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updateLinks="always" codeName="ThisWorkbook"/>
  <mc:AlternateContent xmlns:mc="http://schemas.openxmlformats.org/markup-compatibility/2006">
    <mc:Choice Requires="x15">
      <x15ac:absPath xmlns:x15ac="http://schemas.microsoft.com/office/spreadsheetml/2010/11/ac" url="Y:\01_Technical\T1_Current Projects\302_ACSA Bravo Taxiway Extension\04_DOCUMENTATION &amp; PROCUREMENT\"/>
    </mc:Choice>
  </mc:AlternateContent>
  <xr:revisionPtr revIDLastSave="0" documentId="13_ncr:1_{E511B683-7230-4C99-8FB5-C797EE52CA4F}" xr6:coauthVersionLast="47" xr6:coauthVersionMax="47" xr10:uidLastSave="{00000000-0000-0000-0000-000000000000}"/>
  <workbookProtection workbookAlgorithmName="SHA-512" workbookHashValue="OI5EH0zNAv1gD7b8rgH56LNKmIebUMRNNnJngipg1e5UCMxfds2/wkHBF+nBrN/DlBvnfnvTI9YKa64WO1eCZg==" workbookSaltValue="u97ze/7qCotSu1NFbs8hJQ==" workbookSpinCount="100000" lockStructure="1"/>
  <bookViews>
    <workbookView xWindow="28680" yWindow="-120" windowWidth="29040" windowHeight="15720" tabRatio="883" firstSheet="114" activeTab="114" xr2:uid="{A3F31B5A-9029-4DD5-BD7D-EC421091FB2F}"/>
  </bookViews>
  <sheets>
    <sheet name="Information" sheetId="228" state="hidden" r:id="rId1"/>
    <sheet name="CIVIL BOQ" sheetId="361" r:id="rId2"/>
    <sheet name="C1.2A" sheetId="159" r:id="rId3"/>
    <sheet name="C1.3A" sheetId="161" r:id="rId4"/>
    <sheet name="C1.4A" sheetId="162" r:id="rId5"/>
    <sheet name="C1.5A" sheetId="163" r:id="rId6"/>
    <sheet name="C2.1A" sheetId="237" r:id="rId7"/>
    <sheet name="C20.1A" sheetId="192" r:id="rId8"/>
    <sheet name=" A - PnGs" sheetId="331" r:id="rId9"/>
    <sheet name="C1.6B" sheetId="164" r:id="rId10"/>
    <sheet name="C1.7B" sheetId="165" r:id="rId11"/>
    <sheet name="C3.1B" sheetId="208" r:id="rId12"/>
    <sheet name="C2.3" sheetId="239" state="hidden" r:id="rId13"/>
    <sheet name="C2.4" sheetId="240" state="hidden" r:id="rId14"/>
    <sheet name="C3.2B" sheetId="209" r:id="rId15"/>
    <sheet name="C3.3B" sheetId="207" state="hidden" r:id="rId16"/>
    <sheet name="C4.2B" sheetId="212" r:id="rId17"/>
    <sheet name="C4.3B" sheetId="213" r:id="rId18"/>
    <sheet name="C4.5" sheetId="236" state="hidden" r:id="rId19"/>
    <sheet name="C4.4B" sheetId="235" r:id="rId20"/>
    <sheet name="C5.1" sheetId="166" state="hidden" r:id="rId21"/>
    <sheet name="C5.2B" sheetId="167" r:id="rId22"/>
    <sheet name="C5.3" sheetId="168" state="hidden" r:id="rId23"/>
    <sheet name="C5.4" sheetId="169" state="hidden" r:id="rId24"/>
    <sheet name="C5.5" sheetId="170" state="hidden" r:id="rId25"/>
    <sheet name="C6.1" sheetId="214" state="hidden" r:id="rId26"/>
    <sheet name="C6.2" sheetId="215" state="hidden" r:id="rId27"/>
    <sheet name="C7.1" sheetId="229" state="hidden" r:id="rId28"/>
    <sheet name="C7.2" sheetId="230" state="hidden" r:id="rId29"/>
    <sheet name="C7.3" sheetId="231" state="hidden" r:id="rId30"/>
    <sheet name="C7.4" sheetId="232" state="hidden" r:id="rId31"/>
    <sheet name="C7.5" sheetId="258" state="hidden" r:id="rId32"/>
    <sheet name="C7.6" sheetId="259" state="hidden" r:id="rId33"/>
    <sheet name="C8.1" sheetId="171" state="hidden" r:id="rId34"/>
    <sheet name="C8.2" sheetId="172" state="hidden" r:id="rId35"/>
    <sheet name="C8.3" sheetId="173" state="hidden" r:id="rId36"/>
    <sheet name="C8.4" sheetId="174" state="hidden" r:id="rId37"/>
    <sheet name="C8.1B" sheetId="348" r:id="rId38"/>
    <sheet name="C8.5B" sheetId="175" r:id="rId39"/>
    <sheet name="C8.6" sheetId="176" state="hidden" r:id="rId40"/>
    <sheet name="C8.7" sheetId="177" state="hidden" r:id="rId41"/>
    <sheet name="C8.8B" sheetId="178" r:id="rId42"/>
    <sheet name="C9,1" sheetId="179" state="hidden" r:id="rId43"/>
    <sheet name="C9.1B" sheetId="330" r:id="rId44"/>
    <sheet name="C11.1" sheetId="241" state="hidden" r:id="rId45"/>
    <sheet name="C11.3" sheetId="243" state="hidden" r:id="rId46"/>
    <sheet name="C11.2" sheetId="242" state="hidden" r:id="rId47"/>
    <sheet name="C11.4" sheetId="244" state="hidden" r:id="rId48"/>
    <sheet name="C11.5" sheetId="245" state="hidden" r:id="rId49"/>
    <sheet name="C11.6" sheetId="246" state="hidden" r:id="rId50"/>
    <sheet name="C11.7B" sheetId="247" r:id="rId51"/>
    <sheet name="C11.8B" sheetId="248" r:id="rId52"/>
    <sheet name="C11.9" sheetId="249" state="hidden" r:id="rId53"/>
    <sheet name="C12.1" sheetId="216" state="hidden" r:id="rId54"/>
    <sheet name="C12.2" sheetId="217" state="hidden" r:id="rId55"/>
    <sheet name="C12.3" sheetId="218" state="hidden" r:id="rId56"/>
    <sheet name="C12.4" sheetId="219" state="hidden" r:id="rId57"/>
    <sheet name="C12.5" sheetId="220" state="hidden" r:id="rId58"/>
    <sheet name="C12.6" sheetId="221" state="hidden" r:id="rId59"/>
    <sheet name="C12.8" sheetId="223" state="hidden" r:id="rId60"/>
    <sheet name="C12.9" sheetId="224" state="hidden" r:id="rId61"/>
    <sheet name="C12.10" sheetId="225" state="hidden" r:id="rId62"/>
    <sheet name="C12.12" sheetId="227" state="hidden" r:id="rId63"/>
    <sheet name="C13.1" sheetId="193" state="hidden" r:id="rId64"/>
    <sheet name="C13.2" sheetId="194" state="hidden" r:id="rId65"/>
    <sheet name="C13.3" sheetId="195" state="hidden" r:id="rId66"/>
    <sheet name="C13.4" sheetId="196" state="hidden" r:id="rId67"/>
    <sheet name="C13.8" sheetId="200" state="hidden" r:id="rId68"/>
    <sheet name="C13.5" sheetId="197" state="hidden" r:id="rId69"/>
    <sheet name="C13.9" sheetId="201" state="hidden" r:id="rId70"/>
    <sheet name="C13.10" sheetId="202" state="hidden" r:id="rId71"/>
    <sheet name="C13.11" sheetId="203" state="hidden" r:id="rId72"/>
    <sheet name="C13.12" sheetId="204" state="hidden" r:id="rId73"/>
    <sheet name="C13.13" sheetId="205" state="hidden" r:id="rId74"/>
    <sheet name="C13.14" sheetId="206" state="hidden" r:id="rId75"/>
    <sheet name="C14.1" sheetId="181" state="hidden" r:id="rId76"/>
    <sheet name="C14.2" sheetId="182" state="hidden" r:id="rId77"/>
    <sheet name="C14.3" sheetId="183" state="hidden" r:id="rId78"/>
    <sheet name="C14.4" sheetId="184" state="hidden" r:id="rId79"/>
    <sheet name="C14.5" sheetId="185" state="hidden" r:id="rId80"/>
    <sheet name="C14.6" sheetId="186" state="hidden" r:id="rId81"/>
    <sheet name="C14.7" sheetId="187" state="hidden" r:id="rId82"/>
    <sheet name="C14.8" sheetId="188" state="hidden" r:id="rId83"/>
    <sheet name="C14.9" sheetId="189" state="hidden" r:id="rId84"/>
    <sheet name="C14.10" sheetId="190" state="hidden" r:id="rId85"/>
    <sheet name="C14.11" sheetId="191" state="hidden" r:id="rId86"/>
    <sheet name=" B BRAVO" sheetId="254" r:id="rId87"/>
    <sheet name="C1.6C" sheetId="332" r:id="rId88"/>
    <sheet name="C1.7C" sheetId="333" r:id="rId89"/>
    <sheet name="C2.1C" sheetId="358" r:id="rId90"/>
    <sheet name="C2.2C" sheetId="359" r:id="rId91"/>
    <sheet name="C3.1C" sheetId="334" r:id="rId92"/>
    <sheet name="C3.2C" sheetId="335" r:id="rId93"/>
    <sheet name="C4.2C" sheetId="336" r:id="rId94"/>
    <sheet name="C4.3C" sheetId="337" r:id="rId95"/>
    <sheet name="C4.4C" sheetId="338" r:id="rId96"/>
    <sheet name="C5.1C" sheetId="339" r:id="rId97"/>
    <sheet name="C5.2C" sheetId="340" r:id="rId98"/>
    <sheet name="C5.3C" sheetId="341" r:id="rId99"/>
    <sheet name="C5.4C" sheetId="342" r:id="rId100"/>
    <sheet name="C8.1C" sheetId="343" r:id="rId101"/>
    <sheet name="C9.1C" sheetId="344" r:id="rId102"/>
    <sheet name="C11.7C" sheetId="345" r:id="rId103"/>
    <sheet name="C11.8C" sheetId="346" r:id="rId104"/>
    <sheet name="C12.7" sheetId="222" r:id="rId105"/>
    <sheet name="C - NEW TIE IN" sheetId="347" r:id="rId106"/>
    <sheet name="C1.6D" sheetId="350" r:id="rId107"/>
    <sheet name="C1.7D" sheetId="351" r:id="rId108"/>
    <sheet name="C2.1D" sheetId="349" r:id="rId109"/>
    <sheet name="C2.2D" sheetId="238" r:id="rId110"/>
    <sheet name="C4.2D" sheetId="352" r:id="rId111"/>
    <sheet name="C4.4D" sheetId="354" r:id="rId112"/>
    <sheet name="C5.2D" sheetId="353" r:id="rId113"/>
    <sheet name="D - APRON &amp; C" sheetId="355" r:id="rId114"/>
    <sheet name="CIVIL BOQ Summary" sheetId="264" r:id="rId115"/>
    <sheet name="ELECTRICAL BOQ" sheetId="362" r:id="rId116"/>
    <sheet name="P&amp;G - ELECTRICAL" sheetId="363" r:id="rId117"/>
    <sheet name="P&amp;G SUMMARY" sheetId="364" r:id="rId118"/>
    <sheet name="BT Section 1 " sheetId="365" r:id="rId119"/>
    <sheet name="BT Section 2" sheetId="366" r:id="rId120"/>
    <sheet name="BT Section 3" sheetId="367" r:id="rId121"/>
    <sheet name="BT Section 4" sheetId="368" r:id="rId122"/>
    <sheet name="BT Section 5" sheetId="369" r:id="rId123"/>
    <sheet name="BT Section 6" sheetId="370" r:id="rId124"/>
    <sheet name="BT Section 7" sheetId="371" r:id="rId125"/>
    <sheet name="BT Section 8" sheetId="372" r:id="rId126"/>
    <sheet name="BT Section 9" sheetId="373" r:id="rId127"/>
    <sheet name="BT Section 10" sheetId="374" r:id="rId128"/>
    <sheet name="BRAVO SUM" sheetId="375" r:id="rId129"/>
    <sheet name="QT Section 1 " sheetId="376" r:id="rId130"/>
    <sheet name="QT Section 2" sheetId="377" r:id="rId131"/>
    <sheet name="QT Section 3" sheetId="378" r:id="rId132"/>
    <sheet name="QT Section 4" sheetId="379" r:id="rId133"/>
    <sheet name="QT Section 5" sheetId="380" r:id="rId134"/>
    <sheet name="QUEBEC SUM" sheetId="381" r:id="rId135"/>
    <sheet name="ELECTRICAL BOQ SUMMARY" sheetId="382" r:id="rId136"/>
    <sheet name="MECHANICAL BOQ" sheetId="383" r:id="rId137"/>
    <sheet name="P&amp;G - MECHANICAL" sheetId="384" r:id="rId138"/>
    <sheet name="PSS1 - Pipework" sheetId="385" r:id="rId139"/>
    <sheet name="PSS2 - Valves" sheetId="386" r:id="rId140"/>
    <sheet name="MECHANICAL BOQ SUMMARY" sheetId="387" r:id="rId141"/>
    <sheet name="SUMMARY OF FINAL SCHEDULE OF QU" sheetId="388" r:id="rId142"/>
    <sheet name="CPG SUMMARY " sheetId="357" state="hidden" r:id="rId143"/>
  </sheets>
  <externalReferences>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_Backfill" localSheetId="8">[1]Home!$E$51</definedName>
    <definedName name="_Backfill" localSheetId="86">[1]Home!$E$51</definedName>
    <definedName name="_Backfill" localSheetId="128">[1]Home!$E$51</definedName>
    <definedName name="_Backfill" localSheetId="105">[2]Home!$E$51</definedName>
    <definedName name="_Backfill" localSheetId="44">[3]Home!$E$51</definedName>
    <definedName name="_Backfill" localSheetId="46">[3]Home!$E$51</definedName>
    <definedName name="_Backfill" localSheetId="45">[3]Home!$E$51</definedName>
    <definedName name="_Backfill" localSheetId="47">[3]Home!$E$51</definedName>
    <definedName name="_Backfill" localSheetId="48">[3]Home!$E$51</definedName>
    <definedName name="_Backfill" localSheetId="49">[3]Home!$E$51</definedName>
    <definedName name="_Backfill" localSheetId="50">[3]Home!$E$51</definedName>
    <definedName name="_Backfill" localSheetId="102">[3]Home!$E$51</definedName>
    <definedName name="_Backfill" localSheetId="51">[3]Home!$E$51</definedName>
    <definedName name="_Backfill" localSheetId="103">[3]Home!$E$51</definedName>
    <definedName name="_Backfill" localSheetId="52">[3]Home!$E$51</definedName>
    <definedName name="_Backfill" localSheetId="6">[3]Home!$E$51</definedName>
    <definedName name="_Backfill" localSheetId="89">[4]Home!$E$51</definedName>
    <definedName name="_Backfill" localSheetId="108">[3]Home!$E$51</definedName>
    <definedName name="_Backfill" localSheetId="90">[4]Home!$E$51</definedName>
    <definedName name="_Backfill" localSheetId="109">[3]Home!$E$51</definedName>
    <definedName name="_Backfill" localSheetId="12">[3]Home!$E$51</definedName>
    <definedName name="_Backfill" localSheetId="13">[3]Home!$E$51</definedName>
    <definedName name="_Backfill" localSheetId="19">[3]Home!$E$51</definedName>
    <definedName name="_Backfill" localSheetId="95">[4]Home!$E$51</definedName>
    <definedName name="_Backfill" localSheetId="111">[3]Home!$E$51</definedName>
    <definedName name="_Backfill" localSheetId="18">[3]Home!$E$51</definedName>
    <definedName name="_Backfill" localSheetId="27">[3]Home!$E$51</definedName>
    <definedName name="_Backfill" localSheetId="28">[3]Home!$E$51</definedName>
    <definedName name="_Backfill" localSheetId="29">[3]Home!$E$51</definedName>
    <definedName name="_Backfill" localSheetId="30">[3]Home!$E$51</definedName>
    <definedName name="_Backfill" localSheetId="31">[3]Home!$E$51</definedName>
    <definedName name="_Backfill" localSheetId="32">[3]Home!$E$51</definedName>
    <definedName name="_Backfill" localSheetId="101">#REF!</definedName>
    <definedName name="_Backfill" localSheetId="114">[1]Home!$E$51</definedName>
    <definedName name="_Backfill" localSheetId="113">[2]Home!$E$51</definedName>
    <definedName name="_Backfill" localSheetId="135">[1]Home!$E$51</definedName>
    <definedName name="_Backfill" localSheetId="140">[1]Home!$E$51</definedName>
    <definedName name="_Backfill" localSheetId="117">[1]Home!$E$51</definedName>
    <definedName name="_Backfill" localSheetId="134">[1]Home!$E$51</definedName>
    <definedName name="_Backfill" localSheetId="141">[1]Home!$E$51</definedName>
    <definedName name="_Backfill">#REF!</definedName>
    <definedName name="_Benching" localSheetId="44">[3]Home!$E$49</definedName>
    <definedName name="_Benching" localSheetId="46">[3]Home!$E$49</definedName>
    <definedName name="_Benching" localSheetId="45">[3]Home!$E$49</definedName>
    <definedName name="_Benching" localSheetId="47">[3]Home!$E$49</definedName>
    <definedName name="_Benching" localSheetId="48">[3]Home!$E$49</definedName>
    <definedName name="_Benching" localSheetId="49">[3]Home!$E$49</definedName>
    <definedName name="_Benching" localSheetId="50">[3]Home!$E$49</definedName>
    <definedName name="_Benching" localSheetId="102">[3]Home!$E$49</definedName>
    <definedName name="_Benching" localSheetId="51">[3]Home!$E$49</definedName>
    <definedName name="_Benching" localSheetId="103">[3]Home!$E$49</definedName>
    <definedName name="_Benching" localSheetId="52">[3]Home!$E$49</definedName>
    <definedName name="_Benching" localSheetId="6">[3]Home!$E$49</definedName>
    <definedName name="_Benching" localSheetId="89">[4]Home!$E$49</definedName>
    <definedName name="_Benching" localSheetId="108">[3]Home!$E$49</definedName>
    <definedName name="_Benching" localSheetId="90">[4]Home!$E$49</definedName>
    <definedName name="_Benching" localSheetId="109">[3]Home!$E$49</definedName>
    <definedName name="_Benching" localSheetId="12">[3]Home!$E$49</definedName>
    <definedName name="_Benching" localSheetId="13">[3]Home!$E$49</definedName>
    <definedName name="_Benching" localSheetId="19">[3]Home!$E$49</definedName>
    <definedName name="_Benching" localSheetId="95">[4]Home!$E$49</definedName>
    <definedName name="_Benching" localSheetId="111">[3]Home!$E$49</definedName>
    <definedName name="_Benching" localSheetId="18">[3]Home!$E$49</definedName>
    <definedName name="_Benching" localSheetId="27">[3]Home!$E$49</definedName>
    <definedName name="_Benching" localSheetId="28">[3]Home!$E$49</definedName>
    <definedName name="_Benching" localSheetId="29">[3]Home!$E$49</definedName>
    <definedName name="_Benching" localSheetId="30">[3]Home!$E$49</definedName>
    <definedName name="_Benching" localSheetId="31">[3]Home!$E$49</definedName>
    <definedName name="_Benching" localSheetId="32">[3]Home!$E$49</definedName>
    <definedName name="_Benching" localSheetId="101">#REF!</definedName>
    <definedName name="_Benching">#REF!</definedName>
    <definedName name="_Brickwork" localSheetId="8">[1]Home!$E$43</definedName>
    <definedName name="_Brickwork" localSheetId="86">[1]Home!$E$43</definedName>
    <definedName name="_Brickwork" localSheetId="128">[1]Home!$E$43</definedName>
    <definedName name="_Brickwork" localSheetId="105">[2]Home!$E$43</definedName>
    <definedName name="_Brickwork" localSheetId="44">[3]Home!$E$43</definedName>
    <definedName name="_Brickwork" localSheetId="46">[3]Home!$E$43</definedName>
    <definedName name="_Brickwork" localSheetId="45">[3]Home!$E$43</definedName>
    <definedName name="_Brickwork" localSheetId="47">[3]Home!$E$43</definedName>
    <definedName name="_Brickwork" localSheetId="48">[3]Home!$E$43</definedName>
    <definedName name="_Brickwork" localSheetId="49">[3]Home!$E$43</definedName>
    <definedName name="_Brickwork" localSheetId="50">[3]Home!$E$43</definedName>
    <definedName name="_Brickwork" localSheetId="102">[3]Home!$E$43</definedName>
    <definedName name="_Brickwork" localSheetId="51">[3]Home!$E$43</definedName>
    <definedName name="_Brickwork" localSheetId="103">[3]Home!$E$43</definedName>
    <definedName name="_Brickwork" localSheetId="52">[3]Home!$E$43</definedName>
    <definedName name="_Brickwork" localSheetId="6">[3]Home!$E$43</definedName>
    <definedName name="_Brickwork" localSheetId="89">[4]Home!$E$43</definedName>
    <definedName name="_Brickwork" localSheetId="108">[3]Home!$E$43</definedName>
    <definedName name="_Brickwork" localSheetId="90">[4]Home!$E$43</definedName>
    <definedName name="_Brickwork" localSheetId="109">[3]Home!$E$43</definedName>
    <definedName name="_Brickwork" localSheetId="12">[3]Home!$E$43</definedName>
    <definedName name="_Brickwork" localSheetId="13">[3]Home!$E$43</definedName>
    <definedName name="_Brickwork" localSheetId="19">[3]Home!$E$43</definedName>
    <definedName name="_Brickwork" localSheetId="95">[4]Home!$E$43</definedName>
    <definedName name="_Brickwork" localSheetId="111">[3]Home!$E$43</definedName>
    <definedName name="_Brickwork" localSheetId="18">[3]Home!$E$43</definedName>
    <definedName name="_Brickwork" localSheetId="27">[3]Home!$E$43</definedName>
    <definedName name="_Brickwork" localSheetId="28">[3]Home!$E$43</definedName>
    <definedName name="_Brickwork" localSheetId="29">[3]Home!$E$43</definedName>
    <definedName name="_Brickwork" localSheetId="30">[3]Home!$E$43</definedName>
    <definedName name="_Brickwork" localSheetId="31">[3]Home!$E$43</definedName>
    <definedName name="_Brickwork" localSheetId="32">[3]Home!$E$43</definedName>
    <definedName name="_Brickwork" localSheetId="101">#REF!</definedName>
    <definedName name="_Brickwork" localSheetId="114">[1]Home!$E$43</definedName>
    <definedName name="_Brickwork" localSheetId="113">[2]Home!$E$43</definedName>
    <definedName name="_Brickwork" localSheetId="135">[1]Home!$E$43</definedName>
    <definedName name="_Brickwork" localSheetId="140">[1]Home!$E$43</definedName>
    <definedName name="_Brickwork" localSheetId="117">[1]Home!$E$43</definedName>
    <definedName name="_Brickwork" localSheetId="134">[1]Home!$E$43</definedName>
    <definedName name="_Brickwork" localSheetId="141">[1]Home!$E$43</definedName>
    <definedName name="_Brickwork">#REF!</definedName>
    <definedName name="_Clearing" localSheetId="8">[1]Home!$E$50</definedName>
    <definedName name="_Clearing" localSheetId="86">[1]Home!$E$50</definedName>
    <definedName name="_Clearing" localSheetId="128">[1]Home!$E$50</definedName>
    <definedName name="_Clearing" localSheetId="105">[2]Home!$E$50</definedName>
    <definedName name="_Clearing" localSheetId="44">[3]Home!$E$50</definedName>
    <definedName name="_Clearing" localSheetId="46">[3]Home!$E$50</definedName>
    <definedName name="_Clearing" localSheetId="45">[3]Home!$E$50</definedName>
    <definedName name="_Clearing" localSheetId="47">[3]Home!$E$50</definedName>
    <definedName name="_Clearing" localSheetId="48">[3]Home!$E$50</definedName>
    <definedName name="_Clearing" localSheetId="49">[3]Home!$E$50</definedName>
    <definedName name="_Clearing" localSheetId="50">[3]Home!$E$50</definedName>
    <definedName name="_Clearing" localSheetId="102">[3]Home!$E$50</definedName>
    <definedName name="_Clearing" localSheetId="51">[3]Home!$E$50</definedName>
    <definedName name="_Clearing" localSheetId="103">[3]Home!$E$50</definedName>
    <definedName name="_Clearing" localSheetId="52">[3]Home!$E$50</definedName>
    <definedName name="_Clearing" localSheetId="6">[3]Home!$E$50</definedName>
    <definedName name="_Clearing" localSheetId="89">[4]Home!$E$50</definedName>
    <definedName name="_Clearing" localSheetId="108">[3]Home!$E$50</definedName>
    <definedName name="_Clearing" localSheetId="90">[4]Home!$E$50</definedName>
    <definedName name="_Clearing" localSheetId="109">[3]Home!$E$50</definedName>
    <definedName name="_Clearing" localSheetId="12">[3]Home!$E$50</definedName>
    <definedName name="_Clearing" localSheetId="13">[3]Home!$E$50</definedName>
    <definedName name="_Clearing" localSheetId="19">[3]Home!$E$50</definedName>
    <definedName name="_Clearing" localSheetId="95">[4]Home!$E$50</definedName>
    <definedName name="_Clearing" localSheetId="111">[3]Home!$E$50</definedName>
    <definedName name="_Clearing" localSheetId="18">[3]Home!$E$50</definedName>
    <definedName name="_Clearing" localSheetId="27">[3]Home!$E$50</definedName>
    <definedName name="_Clearing" localSheetId="28">[3]Home!$E$50</definedName>
    <definedName name="_Clearing" localSheetId="29">[3]Home!$E$50</definedName>
    <definedName name="_Clearing" localSheetId="30">[3]Home!$E$50</definedName>
    <definedName name="_Clearing" localSheetId="31">[3]Home!$E$50</definedName>
    <definedName name="_Clearing" localSheetId="32">[3]Home!$E$50</definedName>
    <definedName name="_Clearing" localSheetId="101">#REF!</definedName>
    <definedName name="_Clearing" localSheetId="114">[1]Home!$E$50</definedName>
    <definedName name="_Clearing" localSheetId="113">[2]Home!$E$50</definedName>
    <definedName name="_Clearing" localSheetId="135">[1]Home!$E$50</definedName>
    <definedName name="_Clearing" localSheetId="140">[1]Home!$E$50</definedName>
    <definedName name="_Clearing" localSheetId="117">[1]Home!$E$50</definedName>
    <definedName name="_Clearing" localSheetId="134">[1]Home!$E$50</definedName>
    <definedName name="_Clearing" localSheetId="141">[1]Home!$E$50</definedName>
    <definedName name="_Clearing">#REF!</definedName>
    <definedName name="_Client1" localSheetId="8">[1]Home!$C$2</definedName>
    <definedName name="_Client1" localSheetId="86">[1]Home!$C$2</definedName>
    <definedName name="_Client1" localSheetId="128">[1]Home!$C$2</definedName>
    <definedName name="_Client1" localSheetId="105">[2]Home!$C$2</definedName>
    <definedName name="_Client1" localSheetId="44">[3]Home!$C$2</definedName>
    <definedName name="_Client1" localSheetId="46">[3]Home!$C$2</definedName>
    <definedName name="_Client1" localSheetId="45">[3]Home!$C$2</definedName>
    <definedName name="_Client1" localSheetId="47">[3]Home!$C$2</definedName>
    <definedName name="_Client1" localSheetId="48">[3]Home!$C$2</definedName>
    <definedName name="_Client1" localSheetId="49">[3]Home!$C$2</definedName>
    <definedName name="_Client1" localSheetId="50">[3]Home!$C$2</definedName>
    <definedName name="_Client1" localSheetId="102">[3]Home!$C$2</definedName>
    <definedName name="_Client1" localSheetId="51">[3]Home!$C$2</definedName>
    <definedName name="_Client1" localSheetId="103">[3]Home!$C$2</definedName>
    <definedName name="_Client1" localSheetId="52">[3]Home!$C$2</definedName>
    <definedName name="_Client1" localSheetId="6">[3]Home!$C$2</definedName>
    <definedName name="_Client1" localSheetId="89">[4]Home!$C$2</definedName>
    <definedName name="_Client1" localSheetId="108">[3]Home!$C$2</definedName>
    <definedName name="_Client1" localSheetId="90">[4]Home!$C$2</definedName>
    <definedName name="_Client1" localSheetId="109">[3]Home!$C$2</definedName>
    <definedName name="_Client1" localSheetId="12">[3]Home!$C$2</definedName>
    <definedName name="_Client1" localSheetId="13">[3]Home!$C$2</definedName>
    <definedName name="_Client1" localSheetId="19">[3]Home!$C$2</definedName>
    <definedName name="_Client1" localSheetId="95">[4]Home!$C$2</definedName>
    <definedName name="_Client1" localSheetId="111">[3]Home!$C$2</definedName>
    <definedName name="_Client1" localSheetId="18">[3]Home!$C$2</definedName>
    <definedName name="_Client1" localSheetId="27">[3]Home!$C$2</definedName>
    <definedName name="_Client1" localSheetId="28">[3]Home!$C$2</definedName>
    <definedName name="_Client1" localSheetId="29">[3]Home!$C$2</definedName>
    <definedName name="_Client1" localSheetId="30">[3]Home!$C$2</definedName>
    <definedName name="_Client1" localSheetId="31">[3]Home!$C$2</definedName>
    <definedName name="_Client1" localSheetId="32">[3]Home!$C$2</definedName>
    <definedName name="_Client1" localSheetId="101">#REF!</definedName>
    <definedName name="_Client1" localSheetId="114">[1]Home!$C$2</definedName>
    <definedName name="_Client1" localSheetId="113">[2]Home!$C$2</definedName>
    <definedName name="_Client1" localSheetId="135">[1]Home!$C$2</definedName>
    <definedName name="_Client1" localSheetId="140">[1]Home!$C$2</definedName>
    <definedName name="_Client1" localSheetId="117">[1]Home!$C$2</definedName>
    <definedName name="_Client1" localSheetId="134">[1]Home!$C$2</definedName>
    <definedName name="_Client1" localSheetId="141">[1]Home!$C$2</definedName>
    <definedName name="_Client1">#REF!</definedName>
    <definedName name="_Client2" localSheetId="8">[1]Home!$C$3</definedName>
    <definedName name="_Client2" localSheetId="86">[1]Home!$C$3</definedName>
    <definedName name="_Client2" localSheetId="128">[1]Home!$C$3</definedName>
    <definedName name="_Client2" localSheetId="105">[2]Home!$C$3</definedName>
    <definedName name="_Client2" localSheetId="44">[3]Home!$C$3</definedName>
    <definedName name="_Client2" localSheetId="46">[3]Home!$C$3</definedName>
    <definedName name="_Client2" localSheetId="45">[3]Home!$C$3</definedName>
    <definedName name="_Client2" localSheetId="47">[3]Home!$C$3</definedName>
    <definedName name="_Client2" localSheetId="48">[3]Home!$C$3</definedName>
    <definedName name="_Client2" localSheetId="49">[3]Home!$C$3</definedName>
    <definedName name="_Client2" localSheetId="50">[3]Home!$C$3</definedName>
    <definedName name="_Client2" localSheetId="102">[3]Home!$C$3</definedName>
    <definedName name="_Client2" localSheetId="51">[3]Home!$C$3</definedName>
    <definedName name="_Client2" localSheetId="103">[3]Home!$C$3</definedName>
    <definedName name="_Client2" localSheetId="52">[3]Home!$C$3</definedName>
    <definedName name="_Client2" localSheetId="6">[3]Home!$C$3</definedName>
    <definedName name="_Client2" localSheetId="89">[4]Home!$C$3</definedName>
    <definedName name="_Client2" localSheetId="108">[3]Home!$C$3</definedName>
    <definedName name="_Client2" localSheetId="90">[4]Home!$C$3</definedName>
    <definedName name="_Client2" localSheetId="109">[3]Home!$C$3</definedName>
    <definedName name="_Client2" localSheetId="12">[3]Home!$C$3</definedName>
    <definedName name="_Client2" localSheetId="13">[3]Home!$C$3</definedName>
    <definedName name="_Client2" localSheetId="19">[3]Home!$C$3</definedName>
    <definedName name="_Client2" localSheetId="95">[4]Home!$C$3</definedName>
    <definedName name="_Client2" localSheetId="111">[3]Home!$C$3</definedName>
    <definedName name="_Client2" localSheetId="18">[3]Home!$C$3</definedName>
    <definedName name="_Client2" localSheetId="27">[3]Home!$C$3</definedName>
    <definedName name="_Client2" localSheetId="28">[3]Home!$C$3</definedName>
    <definedName name="_Client2" localSheetId="29">[3]Home!$C$3</definedName>
    <definedName name="_Client2" localSheetId="30">[3]Home!$C$3</definedName>
    <definedName name="_Client2" localSheetId="31">[3]Home!$C$3</definedName>
    <definedName name="_Client2" localSheetId="32">[3]Home!$C$3</definedName>
    <definedName name="_Client2" localSheetId="101">#REF!</definedName>
    <definedName name="_Client2" localSheetId="114">[1]Home!$C$3</definedName>
    <definedName name="_Client2" localSheetId="113">[2]Home!$C$3</definedName>
    <definedName name="_Client2" localSheetId="135">[1]Home!$C$3</definedName>
    <definedName name="_Client2" localSheetId="140">[1]Home!$C$3</definedName>
    <definedName name="_Client2" localSheetId="117">[1]Home!$C$3</definedName>
    <definedName name="_Client2" localSheetId="134">[1]Home!$C$3</definedName>
    <definedName name="_Client2" localSheetId="141">[1]Home!$C$3</definedName>
    <definedName name="_Client2">#REF!</definedName>
    <definedName name="_ContractNo" localSheetId="8">[1]Home!$C$5</definedName>
    <definedName name="_ContractNo" localSheetId="86">[1]Home!$C$5</definedName>
    <definedName name="_ContractNo" localSheetId="128">[1]Home!$C$5</definedName>
    <definedName name="_ContractNo" localSheetId="105">[2]Home!$C$5</definedName>
    <definedName name="_ContractNo" localSheetId="44">[3]Home!$C$5</definedName>
    <definedName name="_ContractNo" localSheetId="46">[3]Home!$C$5</definedName>
    <definedName name="_ContractNo" localSheetId="45">[3]Home!$C$5</definedName>
    <definedName name="_ContractNo" localSheetId="47">[3]Home!$C$5</definedName>
    <definedName name="_ContractNo" localSheetId="48">[3]Home!$C$5</definedName>
    <definedName name="_ContractNo" localSheetId="49">[3]Home!$C$5</definedName>
    <definedName name="_ContractNo" localSheetId="50">[3]Home!$C$5</definedName>
    <definedName name="_ContractNo" localSheetId="102">[3]Home!$C$5</definedName>
    <definedName name="_ContractNo" localSheetId="51">[3]Home!$C$5</definedName>
    <definedName name="_ContractNo" localSheetId="103">[3]Home!$C$5</definedName>
    <definedName name="_ContractNo" localSheetId="52">[3]Home!$C$5</definedName>
    <definedName name="_ContractNo" localSheetId="6">[3]Home!$C$5</definedName>
    <definedName name="_ContractNo" localSheetId="89">[4]Home!$C$5</definedName>
    <definedName name="_ContractNo" localSheetId="108">[3]Home!$C$5</definedName>
    <definedName name="_ContractNo" localSheetId="90">[4]Home!$C$5</definedName>
    <definedName name="_ContractNo" localSheetId="109">[3]Home!$C$5</definedName>
    <definedName name="_ContractNo" localSheetId="12">[3]Home!$C$5</definedName>
    <definedName name="_ContractNo" localSheetId="13">[3]Home!$C$5</definedName>
    <definedName name="_ContractNo" localSheetId="19">[3]Home!$C$5</definedName>
    <definedName name="_ContractNo" localSheetId="95">[4]Home!$C$5</definedName>
    <definedName name="_ContractNo" localSheetId="111">[3]Home!$C$5</definedName>
    <definedName name="_ContractNo" localSheetId="18">[3]Home!$C$5</definedName>
    <definedName name="_ContractNo" localSheetId="27">[3]Home!$C$5</definedName>
    <definedName name="_ContractNo" localSheetId="28">[3]Home!$C$5</definedName>
    <definedName name="_ContractNo" localSheetId="29">[3]Home!$C$5</definedName>
    <definedName name="_ContractNo" localSheetId="30">[3]Home!$C$5</definedName>
    <definedName name="_ContractNo" localSheetId="31">[3]Home!$C$5</definedName>
    <definedName name="_ContractNo" localSheetId="32">[3]Home!$C$5</definedName>
    <definedName name="_ContractNo" localSheetId="101">#REF!</definedName>
    <definedName name="_ContractNo" localSheetId="114">[1]Home!$C$5</definedName>
    <definedName name="_ContractNo" localSheetId="113">[2]Home!$C$5</definedName>
    <definedName name="_ContractNo" localSheetId="135">[1]Home!$C$5</definedName>
    <definedName name="_ContractNo" localSheetId="140">[1]Home!$C$5</definedName>
    <definedName name="_ContractNo" localSheetId="117">[1]Home!$C$5</definedName>
    <definedName name="_ContractNo" localSheetId="134">[1]Home!$C$5</definedName>
    <definedName name="_ContractNo" localSheetId="141">[1]Home!$C$5</definedName>
    <definedName name="_ContractNo">#REF!</definedName>
    <definedName name="_ContractPeriod" localSheetId="8">[1]Home!$C$16</definedName>
    <definedName name="_ContractPeriod" localSheetId="86">[1]Home!$C$16</definedName>
    <definedName name="_ContractPeriod" localSheetId="128">[1]Home!$C$16</definedName>
    <definedName name="_ContractPeriod" localSheetId="105">[2]Home!$C$16</definedName>
    <definedName name="_ContractPeriod" localSheetId="44">[3]Home!$C$16</definedName>
    <definedName name="_ContractPeriod" localSheetId="46">[3]Home!$C$16</definedName>
    <definedName name="_ContractPeriod" localSheetId="45">[3]Home!$C$16</definedName>
    <definedName name="_ContractPeriod" localSheetId="47">[3]Home!$C$16</definedName>
    <definedName name="_ContractPeriod" localSheetId="48">[3]Home!$C$16</definedName>
    <definedName name="_ContractPeriod" localSheetId="49">[3]Home!$C$16</definedName>
    <definedName name="_ContractPeriod" localSheetId="50">[3]Home!$C$16</definedName>
    <definedName name="_ContractPeriod" localSheetId="102">[3]Home!$C$16</definedName>
    <definedName name="_ContractPeriod" localSheetId="51">[3]Home!$C$16</definedName>
    <definedName name="_ContractPeriod" localSheetId="103">[3]Home!$C$16</definedName>
    <definedName name="_ContractPeriod" localSheetId="52">[3]Home!$C$16</definedName>
    <definedName name="_ContractPeriod" localSheetId="6">[3]Home!$C$16</definedName>
    <definedName name="_ContractPeriod" localSheetId="89">[4]Home!$C$16</definedName>
    <definedName name="_ContractPeriod" localSheetId="108">[3]Home!$C$16</definedName>
    <definedName name="_ContractPeriod" localSheetId="90">[4]Home!$C$16</definedName>
    <definedName name="_ContractPeriod" localSheetId="109">[3]Home!$C$16</definedName>
    <definedName name="_ContractPeriod" localSheetId="12">[3]Home!$C$16</definedName>
    <definedName name="_ContractPeriod" localSheetId="13">[3]Home!$C$16</definedName>
    <definedName name="_ContractPeriod" localSheetId="19">[3]Home!$C$16</definedName>
    <definedName name="_ContractPeriod" localSheetId="95">[4]Home!$C$16</definedName>
    <definedName name="_ContractPeriod" localSheetId="111">[3]Home!$C$16</definedName>
    <definedName name="_ContractPeriod" localSheetId="18">[3]Home!$C$16</definedName>
    <definedName name="_ContractPeriod" localSheetId="27">[3]Home!$C$16</definedName>
    <definedName name="_ContractPeriod" localSheetId="28">[3]Home!$C$16</definedName>
    <definedName name="_ContractPeriod" localSheetId="29">[3]Home!$C$16</definedName>
    <definedName name="_ContractPeriod" localSheetId="30">[3]Home!$C$16</definedName>
    <definedName name="_ContractPeriod" localSheetId="31">[3]Home!$C$16</definedName>
    <definedName name="_ContractPeriod" localSheetId="32">[3]Home!$C$16</definedName>
    <definedName name="_ContractPeriod" localSheetId="101">#REF!</definedName>
    <definedName name="_ContractPeriod" localSheetId="114">[1]Home!$C$16</definedName>
    <definedName name="_ContractPeriod" localSheetId="113">[2]Home!$C$16</definedName>
    <definedName name="_ContractPeriod" localSheetId="135">[1]Home!$C$16</definedName>
    <definedName name="_ContractPeriod" localSheetId="140">[1]Home!$C$16</definedName>
    <definedName name="_ContractPeriod" localSheetId="117">[1]Home!$C$16</definedName>
    <definedName name="_ContractPeriod" localSheetId="134">[1]Home!$C$16</definedName>
    <definedName name="_ContractPeriod" localSheetId="141">[1]Home!$C$16</definedName>
    <definedName name="_ContractPeriod">#REF!</definedName>
    <definedName name="_Description" localSheetId="8">[1]Home!$C$6</definedName>
    <definedName name="_Description" localSheetId="86">[1]Home!$C$6</definedName>
    <definedName name="_Description" localSheetId="128">[1]Home!$C$6</definedName>
    <definedName name="_Description" localSheetId="105">[2]Home!$C$6</definedName>
    <definedName name="_Description" localSheetId="44">[3]Home!$C$6</definedName>
    <definedName name="_Description" localSheetId="46">[3]Home!$C$6</definedName>
    <definedName name="_Description" localSheetId="45">[3]Home!$C$6</definedName>
    <definedName name="_Description" localSheetId="47">[3]Home!$C$6</definedName>
    <definedName name="_Description" localSheetId="48">[3]Home!$C$6</definedName>
    <definedName name="_Description" localSheetId="49">[3]Home!$C$6</definedName>
    <definedName name="_Description" localSheetId="50">[3]Home!$C$6</definedName>
    <definedName name="_Description" localSheetId="102">[3]Home!$C$6</definedName>
    <definedName name="_Description" localSheetId="51">[3]Home!$C$6</definedName>
    <definedName name="_Description" localSheetId="103">[3]Home!$C$6</definedName>
    <definedName name="_Description" localSheetId="52">[3]Home!$C$6</definedName>
    <definedName name="_Description" localSheetId="6">[3]Home!$C$6</definedName>
    <definedName name="_Description" localSheetId="89">[4]Home!$C$6</definedName>
    <definedName name="_Description" localSheetId="108">[3]Home!$C$6</definedName>
    <definedName name="_Description" localSheetId="90">[4]Home!$C$6</definedName>
    <definedName name="_Description" localSheetId="109">[3]Home!$C$6</definedName>
    <definedName name="_Description" localSheetId="12">[3]Home!$C$6</definedName>
    <definedName name="_Description" localSheetId="13">[3]Home!$C$6</definedName>
    <definedName name="_Description" localSheetId="19">[3]Home!$C$6</definedName>
    <definedName name="_Description" localSheetId="95">[4]Home!$C$6</definedName>
    <definedName name="_Description" localSheetId="111">[3]Home!$C$6</definedName>
    <definedName name="_Description" localSheetId="18">[3]Home!$C$6</definedName>
    <definedName name="_Description" localSheetId="27">[3]Home!$C$6</definedName>
    <definedName name="_Description" localSheetId="28">[3]Home!$C$6</definedName>
    <definedName name="_Description" localSheetId="29">[3]Home!$C$6</definedName>
    <definedName name="_Description" localSheetId="30">[3]Home!$C$6</definedName>
    <definedName name="_Description" localSheetId="31">[3]Home!$C$6</definedName>
    <definedName name="_Description" localSheetId="32">[3]Home!$C$6</definedName>
    <definedName name="_Description" localSheetId="101">#REF!</definedName>
    <definedName name="_Description" localSheetId="114">[1]Home!$C$6</definedName>
    <definedName name="_Description" localSheetId="113">[2]Home!$C$6</definedName>
    <definedName name="_Description" localSheetId="135">[1]Home!$C$6</definedName>
    <definedName name="_Description" localSheetId="140">[1]Home!$C$6</definedName>
    <definedName name="_Description" localSheetId="117">[1]Home!$C$6</definedName>
    <definedName name="_Description" localSheetId="134">[1]Home!$C$6</definedName>
    <definedName name="_Description" localSheetId="141">[1]Home!$C$6</definedName>
    <definedName name="_Description">#REF!</definedName>
    <definedName name="_Excavation" localSheetId="8">[1]Home!$E$44</definedName>
    <definedName name="_Excavation" localSheetId="86">[1]Home!$E$44</definedName>
    <definedName name="_Excavation" localSheetId="128">[1]Home!$E$44</definedName>
    <definedName name="_Excavation" localSheetId="105">[2]Home!$E$44</definedName>
    <definedName name="_Excavation" localSheetId="44">[3]Home!$E$44</definedName>
    <definedName name="_Excavation" localSheetId="46">[3]Home!$E$44</definedName>
    <definedName name="_Excavation" localSheetId="45">[3]Home!$E$44</definedName>
    <definedName name="_Excavation" localSheetId="47">[3]Home!$E$44</definedName>
    <definedName name="_Excavation" localSheetId="48">[3]Home!$E$44</definedName>
    <definedName name="_Excavation" localSheetId="49">[3]Home!$E$44</definedName>
    <definedName name="_Excavation" localSheetId="50">[3]Home!$E$44</definedName>
    <definedName name="_Excavation" localSheetId="102">[3]Home!$E$44</definedName>
    <definedName name="_Excavation" localSheetId="51">[3]Home!$E$44</definedName>
    <definedName name="_Excavation" localSheetId="103">[3]Home!$E$44</definedName>
    <definedName name="_Excavation" localSheetId="52">[3]Home!$E$44</definedName>
    <definedName name="_Excavation" localSheetId="6">[3]Home!$E$44</definedName>
    <definedName name="_Excavation" localSheetId="89">[4]Home!$E$44</definedName>
    <definedName name="_Excavation" localSheetId="108">[3]Home!$E$44</definedName>
    <definedName name="_Excavation" localSheetId="90">[4]Home!$E$44</definedName>
    <definedName name="_Excavation" localSheetId="109">[3]Home!$E$44</definedName>
    <definedName name="_Excavation" localSheetId="12">[3]Home!$E$44</definedName>
    <definedName name="_Excavation" localSheetId="13">[3]Home!$E$44</definedName>
    <definedName name="_Excavation" localSheetId="19">[3]Home!$E$44</definedName>
    <definedName name="_Excavation" localSheetId="95">[4]Home!$E$44</definedName>
    <definedName name="_Excavation" localSheetId="111">[3]Home!$E$44</definedName>
    <definedName name="_Excavation" localSheetId="18">[3]Home!$E$44</definedName>
    <definedName name="_Excavation" localSheetId="27">[3]Home!$E$44</definedName>
    <definedName name="_Excavation" localSheetId="28">[3]Home!$E$44</definedName>
    <definedName name="_Excavation" localSheetId="29">[3]Home!$E$44</definedName>
    <definedName name="_Excavation" localSheetId="30">[3]Home!$E$44</definedName>
    <definedName name="_Excavation" localSheetId="31">[3]Home!$E$44</definedName>
    <definedName name="_Excavation" localSheetId="32">[3]Home!$E$44</definedName>
    <definedName name="_Excavation" localSheetId="101">#REF!</definedName>
    <definedName name="_Excavation" localSheetId="114">[1]Home!$E$44</definedName>
    <definedName name="_Excavation" localSheetId="113">[2]Home!$E$44</definedName>
    <definedName name="_Excavation" localSheetId="135">[1]Home!$E$44</definedName>
    <definedName name="_Excavation" localSheetId="140">[1]Home!$E$44</definedName>
    <definedName name="_Excavation" localSheetId="117">[1]Home!$E$44</definedName>
    <definedName name="_Excavation" localSheetId="134">[1]Home!$E$44</definedName>
    <definedName name="_Excavation" localSheetId="141">[1]Home!$E$44</definedName>
    <definedName name="_Excavation">#REF!</definedName>
    <definedName name="_Expansion" localSheetId="8">[1]Home!$E$57</definedName>
    <definedName name="_Expansion" localSheetId="86">[1]Home!$E$57</definedName>
    <definedName name="_Expansion" localSheetId="128">[1]Home!$E$57</definedName>
    <definedName name="_Expansion" localSheetId="105">[2]Home!$E$57</definedName>
    <definedName name="_Expansion" localSheetId="44">[3]Home!$E$57</definedName>
    <definedName name="_Expansion" localSheetId="46">[3]Home!$E$57</definedName>
    <definedName name="_Expansion" localSheetId="45">[3]Home!$E$57</definedName>
    <definedName name="_Expansion" localSheetId="47">[3]Home!$E$57</definedName>
    <definedName name="_Expansion" localSheetId="48">[3]Home!$E$57</definedName>
    <definedName name="_Expansion" localSheetId="49">[3]Home!$E$57</definedName>
    <definedName name="_Expansion" localSheetId="50">[3]Home!$E$57</definedName>
    <definedName name="_Expansion" localSheetId="102">[3]Home!$E$57</definedName>
    <definedName name="_Expansion" localSheetId="51">[3]Home!$E$57</definedName>
    <definedName name="_Expansion" localSheetId="103">[3]Home!$E$57</definedName>
    <definedName name="_Expansion" localSheetId="52">[3]Home!$E$57</definedName>
    <definedName name="_Expansion" localSheetId="6">[3]Home!$E$57</definedName>
    <definedName name="_Expansion" localSheetId="89">[4]Home!$E$57</definedName>
    <definedName name="_Expansion" localSheetId="108">[3]Home!$E$57</definedName>
    <definedName name="_Expansion" localSheetId="90">[4]Home!$E$57</definedName>
    <definedName name="_Expansion" localSheetId="109">[3]Home!$E$57</definedName>
    <definedName name="_Expansion" localSheetId="12">[3]Home!$E$57</definedName>
    <definedName name="_Expansion" localSheetId="13">[3]Home!$E$57</definedName>
    <definedName name="_Expansion" localSheetId="19">[3]Home!$E$57</definedName>
    <definedName name="_Expansion" localSheetId="95">[4]Home!$E$57</definedName>
    <definedName name="_Expansion" localSheetId="111">[3]Home!$E$57</definedName>
    <definedName name="_Expansion" localSheetId="18">[3]Home!$E$57</definedName>
    <definedName name="_Expansion" localSheetId="27">[3]Home!$E$57</definedName>
    <definedName name="_Expansion" localSheetId="28">[3]Home!$E$57</definedName>
    <definedName name="_Expansion" localSheetId="29">[3]Home!$E$57</definedName>
    <definedName name="_Expansion" localSheetId="30">[3]Home!$E$57</definedName>
    <definedName name="_Expansion" localSheetId="31">[3]Home!$E$57</definedName>
    <definedName name="_Expansion" localSheetId="32">[3]Home!$E$57</definedName>
    <definedName name="_Expansion" localSheetId="101">#REF!</definedName>
    <definedName name="_Expansion" localSheetId="114">[1]Home!$E$57</definedName>
    <definedName name="_Expansion" localSheetId="113">[2]Home!$E$57</definedName>
    <definedName name="_Expansion" localSheetId="135">[1]Home!$E$57</definedName>
    <definedName name="_Expansion" localSheetId="140">[1]Home!$E$57</definedName>
    <definedName name="_Expansion" localSheetId="117">[1]Home!$E$57</definedName>
    <definedName name="_Expansion" localSheetId="134">[1]Home!$E$57</definedName>
    <definedName name="_Expansion" localSheetId="141">[1]Home!$E$57</definedName>
    <definedName name="_Expansion">#REF!</definedName>
    <definedName name="_Formwork" localSheetId="8">[1]Home!$E$52</definedName>
    <definedName name="_Formwork" localSheetId="86">[1]Home!$E$52</definedName>
    <definedName name="_Formwork" localSheetId="128">[1]Home!$E$52</definedName>
    <definedName name="_Formwork" localSheetId="105">[2]Home!$E$52</definedName>
    <definedName name="_Formwork" localSheetId="44">[3]Home!$E$52</definedName>
    <definedName name="_Formwork" localSheetId="46">[3]Home!$E$52</definedName>
    <definedName name="_Formwork" localSheetId="45">[3]Home!$E$52</definedName>
    <definedName name="_Formwork" localSheetId="47">[3]Home!$E$52</definedName>
    <definedName name="_Formwork" localSheetId="48">[3]Home!$E$52</definedName>
    <definedName name="_Formwork" localSheetId="49">[3]Home!$E$52</definedName>
    <definedName name="_Formwork" localSheetId="50">[3]Home!$E$52</definedName>
    <definedName name="_Formwork" localSheetId="102">[3]Home!$E$52</definedName>
    <definedName name="_Formwork" localSheetId="51">[3]Home!$E$52</definedName>
    <definedName name="_Formwork" localSheetId="103">[3]Home!$E$52</definedName>
    <definedName name="_Formwork" localSheetId="52">[3]Home!$E$52</definedName>
    <definedName name="_Formwork" localSheetId="6">[3]Home!$E$52</definedName>
    <definedName name="_Formwork" localSheetId="89">[4]Home!$E$52</definedName>
    <definedName name="_Formwork" localSheetId="108">[3]Home!$E$52</definedName>
    <definedName name="_Formwork" localSheetId="90">[4]Home!$E$52</definedName>
    <definedName name="_Formwork" localSheetId="109">[3]Home!$E$52</definedName>
    <definedName name="_Formwork" localSheetId="12">[3]Home!$E$52</definedName>
    <definedName name="_Formwork" localSheetId="13">[3]Home!$E$52</definedName>
    <definedName name="_Formwork" localSheetId="19">[3]Home!$E$52</definedName>
    <definedName name="_Formwork" localSheetId="95">[4]Home!$E$52</definedName>
    <definedName name="_Formwork" localSheetId="111">[3]Home!$E$52</definedName>
    <definedName name="_Formwork" localSheetId="18">[3]Home!$E$52</definedName>
    <definedName name="_Formwork" localSheetId="27">[3]Home!$E$52</definedName>
    <definedName name="_Formwork" localSheetId="28">[3]Home!$E$52</definedName>
    <definedName name="_Formwork" localSheetId="29">[3]Home!$E$52</definedName>
    <definedName name="_Formwork" localSheetId="30">[3]Home!$E$52</definedName>
    <definedName name="_Formwork" localSheetId="31">[3]Home!$E$52</definedName>
    <definedName name="_Formwork" localSheetId="32">[3]Home!$E$52</definedName>
    <definedName name="_Formwork" localSheetId="101">#REF!</definedName>
    <definedName name="_Formwork" localSheetId="114">[1]Home!$E$52</definedName>
    <definedName name="_Formwork" localSheetId="113">[2]Home!$E$52</definedName>
    <definedName name="_Formwork" localSheetId="135">[1]Home!$E$52</definedName>
    <definedName name="_Formwork" localSheetId="140">[1]Home!$E$52</definedName>
    <definedName name="_Formwork" localSheetId="117">[1]Home!$E$52</definedName>
    <definedName name="_Formwork" localSheetId="134">[1]Home!$E$52</definedName>
    <definedName name="_Formwork" localSheetId="141">[1]Home!$E$52</definedName>
    <definedName name="_Formwork">#REF!</definedName>
    <definedName name="_Gabion" localSheetId="8">[1]Home!$E$60</definedName>
    <definedName name="_Gabion" localSheetId="86">[1]Home!$E$60</definedName>
    <definedName name="_Gabion" localSheetId="128">[1]Home!$E$60</definedName>
    <definedName name="_Gabion" localSheetId="105">[2]Home!$E$60</definedName>
    <definedName name="_Gabion" localSheetId="44">[3]Home!$E$60</definedName>
    <definedName name="_Gabion" localSheetId="46">[3]Home!$E$60</definedName>
    <definedName name="_Gabion" localSheetId="45">[3]Home!$E$60</definedName>
    <definedName name="_Gabion" localSheetId="47">[3]Home!$E$60</definedName>
    <definedName name="_Gabion" localSheetId="48">[3]Home!$E$60</definedName>
    <definedName name="_Gabion" localSheetId="49">[3]Home!$E$60</definedName>
    <definedName name="_Gabion" localSheetId="50">[3]Home!$E$60</definedName>
    <definedName name="_Gabion" localSheetId="102">[3]Home!$E$60</definedName>
    <definedName name="_Gabion" localSheetId="51">[3]Home!$E$60</definedName>
    <definedName name="_Gabion" localSheetId="103">[3]Home!$E$60</definedName>
    <definedName name="_Gabion" localSheetId="52">[3]Home!$E$60</definedName>
    <definedName name="_Gabion" localSheetId="6">[3]Home!$E$60</definedName>
    <definedName name="_Gabion" localSheetId="89">[4]Home!$E$60</definedName>
    <definedName name="_Gabion" localSheetId="108">[3]Home!$E$60</definedName>
    <definedName name="_Gabion" localSheetId="90">[4]Home!$E$60</definedName>
    <definedName name="_Gabion" localSheetId="109">[3]Home!$E$60</definedName>
    <definedName name="_Gabion" localSheetId="12">[3]Home!$E$60</definedName>
    <definedName name="_Gabion" localSheetId="13">[3]Home!$E$60</definedName>
    <definedName name="_Gabion" localSheetId="19">[3]Home!$E$60</definedName>
    <definedName name="_Gabion" localSheetId="95">[4]Home!$E$60</definedName>
    <definedName name="_Gabion" localSheetId="111">[3]Home!$E$60</definedName>
    <definedName name="_Gabion" localSheetId="18">[3]Home!$E$60</definedName>
    <definedName name="_Gabion" localSheetId="27">[3]Home!$E$60</definedName>
    <definedName name="_Gabion" localSheetId="28">[3]Home!$E$60</definedName>
    <definedName name="_Gabion" localSheetId="29">[3]Home!$E$60</definedName>
    <definedName name="_Gabion" localSheetId="30">[3]Home!$E$60</definedName>
    <definedName name="_Gabion" localSheetId="31">[3]Home!$E$60</definedName>
    <definedName name="_Gabion" localSheetId="32">[3]Home!$E$60</definedName>
    <definedName name="_Gabion" localSheetId="101">#REF!</definedName>
    <definedName name="_Gabion" localSheetId="114">[1]Home!$E$60</definedName>
    <definedName name="_Gabion" localSheetId="113">[2]Home!$E$60</definedName>
    <definedName name="_Gabion" localSheetId="135">[1]Home!$E$60</definedName>
    <definedName name="_Gabion" localSheetId="140">[1]Home!$E$60</definedName>
    <definedName name="_Gabion" localSheetId="117">[1]Home!$E$60</definedName>
    <definedName name="_Gabion" localSheetId="134">[1]Home!$E$60</definedName>
    <definedName name="_Gabion" localSheetId="141">[1]Home!$E$60</definedName>
    <definedName name="_Gabion">#REF!</definedName>
    <definedName name="_Geofabric" localSheetId="8">[1]Home!$E$55</definedName>
    <definedName name="_Geofabric" localSheetId="86">[1]Home!$E$55</definedName>
    <definedName name="_Geofabric" localSheetId="128">[1]Home!$E$55</definedName>
    <definedName name="_Geofabric" localSheetId="105">[2]Home!$E$55</definedName>
    <definedName name="_Geofabric" localSheetId="44">[3]Home!$E$55</definedName>
    <definedName name="_Geofabric" localSheetId="46">[3]Home!$E$55</definedName>
    <definedName name="_Geofabric" localSheetId="45">[3]Home!$E$55</definedName>
    <definedName name="_Geofabric" localSheetId="47">[3]Home!$E$55</definedName>
    <definedName name="_Geofabric" localSheetId="48">[3]Home!$E$55</definedName>
    <definedName name="_Geofabric" localSheetId="49">[3]Home!$E$55</definedName>
    <definedName name="_Geofabric" localSheetId="50">[3]Home!$E$55</definedName>
    <definedName name="_Geofabric" localSheetId="102">[3]Home!$E$55</definedName>
    <definedName name="_Geofabric" localSheetId="51">[3]Home!$E$55</definedName>
    <definedName name="_Geofabric" localSheetId="103">[3]Home!$E$55</definedName>
    <definedName name="_Geofabric" localSheetId="52">[3]Home!$E$55</definedName>
    <definedName name="_Geofabric" localSheetId="6">[3]Home!$E$55</definedName>
    <definedName name="_Geofabric" localSheetId="89">[4]Home!$E$55</definedName>
    <definedName name="_Geofabric" localSheetId="108">[3]Home!$E$55</definedName>
    <definedName name="_Geofabric" localSheetId="90">[4]Home!$E$55</definedName>
    <definedName name="_Geofabric" localSheetId="109">[3]Home!$E$55</definedName>
    <definedName name="_Geofabric" localSheetId="12">[3]Home!$E$55</definedName>
    <definedName name="_Geofabric" localSheetId="13">[3]Home!$E$55</definedName>
    <definedName name="_Geofabric" localSheetId="19">[3]Home!$E$55</definedName>
    <definedName name="_Geofabric" localSheetId="95">[4]Home!$E$55</definedName>
    <definedName name="_Geofabric" localSheetId="111">[3]Home!$E$55</definedName>
    <definedName name="_Geofabric" localSheetId="18">[3]Home!$E$55</definedName>
    <definedName name="_Geofabric" localSheetId="27">[3]Home!$E$55</definedName>
    <definedName name="_Geofabric" localSheetId="28">[3]Home!$E$55</definedName>
    <definedName name="_Geofabric" localSheetId="29">[3]Home!$E$55</definedName>
    <definedName name="_Geofabric" localSheetId="30">[3]Home!$E$55</definedName>
    <definedName name="_Geofabric" localSheetId="31">[3]Home!$E$55</definedName>
    <definedName name="_Geofabric" localSheetId="32">[3]Home!$E$55</definedName>
    <definedName name="_Geofabric" localSheetId="101">#REF!</definedName>
    <definedName name="_Geofabric" localSheetId="114">[1]Home!$E$55</definedName>
    <definedName name="_Geofabric" localSheetId="113">[2]Home!$E$55</definedName>
    <definedName name="_Geofabric" localSheetId="135">[1]Home!$E$55</definedName>
    <definedName name="_Geofabric" localSheetId="140">[1]Home!$E$55</definedName>
    <definedName name="_Geofabric" localSheetId="117">[1]Home!$E$55</definedName>
    <definedName name="_Geofabric" localSheetId="134">[1]Home!$E$55</definedName>
    <definedName name="_Geofabric" localSheetId="141">[1]Home!$E$55</definedName>
    <definedName name="_Geofabric">#REF!</definedName>
    <definedName name="_GPost" localSheetId="44">[3]Home!$E$61</definedName>
    <definedName name="_GPost" localSheetId="46">[3]Home!$E$61</definedName>
    <definedName name="_GPost" localSheetId="45">[3]Home!$E$61</definedName>
    <definedName name="_GPost" localSheetId="47">[3]Home!$E$61</definedName>
    <definedName name="_GPost" localSheetId="48">[3]Home!$E$61</definedName>
    <definedName name="_GPost" localSheetId="49">[3]Home!$E$61</definedName>
    <definedName name="_GPost" localSheetId="50">[3]Home!$E$61</definedName>
    <definedName name="_GPost" localSheetId="102">[3]Home!$E$61</definedName>
    <definedName name="_GPost" localSheetId="51">[3]Home!$E$61</definedName>
    <definedName name="_GPost" localSheetId="103">[3]Home!$E$61</definedName>
    <definedName name="_GPost" localSheetId="52">[3]Home!$E$61</definedName>
    <definedName name="_GPost" localSheetId="6">[3]Home!$E$61</definedName>
    <definedName name="_GPost" localSheetId="89">[4]Home!$E$61</definedName>
    <definedName name="_GPost" localSheetId="108">[3]Home!$E$61</definedName>
    <definedName name="_GPost" localSheetId="90">[4]Home!$E$61</definedName>
    <definedName name="_GPost" localSheetId="109">[3]Home!$E$61</definedName>
    <definedName name="_GPost" localSheetId="12">[3]Home!$E$61</definedName>
    <definedName name="_GPost" localSheetId="13">[3]Home!$E$61</definedName>
    <definedName name="_GPost" localSheetId="19">[3]Home!$E$61</definedName>
    <definedName name="_GPost" localSheetId="95">[4]Home!$E$61</definedName>
    <definedName name="_GPost" localSheetId="111">[3]Home!$E$61</definedName>
    <definedName name="_GPost" localSheetId="18">[3]Home!$E$61</definedName>
    <definedName name="_GPost" localSheetId="27">[3]Home!$E$61</definedName>
    <definedName name="_GPost" localSheetId="28">[3]Home!$E$61</definedName>
    <definedName name="_GPost" localSheetId="29">[3]Home!$E$61</definedName>
    <definedName name="_GPost" localSheetId="30">[3]Home!$E$61</definedName>
    <definedName name="_GPost" localSheetId="31">[3]Home!$E$61</definedName>
    <definedName name="_GPost" localSheetId="32">[3]Home!$E$61</definedName>
    <definedName name="_GPost" localSheetId="101">#REF!</definedName>
    <definedName name="_GPost">#REF!</definedName>
    <definedName name="_GRail" localSheetId="8">[1]Home!$E$62</definedName>
    <definedName name="_GRail" localSheetId="86">[1]Home!$E$62</definedName>
    <definedName name="_GRail" localSheetId="128">[1]Home!$E$62</definedName>
    <definedName name="_GRail" localSheetId="105">[2]Home!$E$62</definedName>
    <definedName name="_GRail" localSheetId="44">[3]Home!$E$62</definedName>
    <definedName name="_GRail" localSheetId="46">[3]Home!$E$62</definedName>
    <definedName name="_GRail" localSheetId="45">[3]Home!$E$62</definedName>
    <definedName name="_GRail" localSheetId="47">[3]Home!$E$62</definedName>
    <definedName name="_GRail" localSheetId="48">[3]Home!$E$62</definedName>
    <definedName name="_GRail" localSheetId="49">[3]Home!$E$62</definedName>
    <definedName name="_GRail" localSheetId="50">[3]Home!$E$62</definedName>
    <definedName name="_GRail" localSheetId="102">[3]Home!$E$62</definedName>
    <definedName name="_GRail" localSheetId="51">[3]Home!$E$62</definedName>
    <definedName name="_GRail" localSheetId="103">[3]Home!$E$62</definedName>
    <definedName name="_GRail" localSheetId="52">[3]Home!$E$62</definedName>
    <definedName name="_GRail" localSheetId="6">[3]Home!$E$62</definedName>
    <definedName name="_GRail" localSheetId="89">[4]Home!$E$62</definedName>
    <definedName name="_GRail" localSheetId="108">[3]Home!$E$62</definedName>
    <definedName name="_GRail" localSheetId="90">[4]Home!$E$62</definedName>
    <definedName name="_GRail" localSheetId="109">[3]Home!$E$62</definedName>
    <definedName name="_GRail" localSheetId="12">[3]Home!$E$62</definedName>
    <definedName name="_GRail" localSheetId="13">[3]Home!$E$62</definedName>
    <definedName name="_GRail" localSheetId="19">[3]Home!$E$62</definedName>
    <definedName name="_GRail" localSheetId="95">[4]Home!$E$62</definedName>
    <definedName name="_GRail" localSheetId="111">[3]Home!$E$62</definedName>
    <definedName name="_GRail" localSheetId="18">[3]Home!$E$62</definedName>
    <definedName name="_GRail" localSheetId="27">[3]Home!$E$62</definedName>
    <definedName name="_GRail" localSheetId="28">[3]Home!$E$62</definedName>
    <definedName name="_GRail" localSheetId="29">[3]Home!$E$62</definedName>
    <definedName name="_GRail" localSheetId="30">[3]Home!$E$62</definedName>
    <definedName name="_GRail" localSheetId="31">[3]Home!$E$62</definedName>
    <definedName name="_GRail" localSheetId="32">[3]Home!$E$62</definedName>
    <definedName name="_GRail" localSheetId="101">#REF!</definedName>
    <definedName name="_GRail" localSheetId="114">[1]Home!$E$62</definedName>
    <definedName name="_GRail" localSheetId="113">[2]Home!$E$62</definedName>
    <definedName name="_GRail" localSheetId="135">[1]Home!$E$62</definedName>
    <definedName name="_GRail" localSheetId="140">[1]Home!$E$62</definedName>
    <definedName name="_GRail" localSheetId="117">[1]Home!$E$62</definedName>
    <definedName name="_GRail" localSheetId="134">[1]Home!$E$62</definedName>
    <definedName name="_GRail" localSheetId="141">[1]Home!$E$62</definedName>
    <definedName name="_GRail">#REF!</definedName>
    <definedName name="_Haul" localSheetId="8">[1]Home!$E$40</definedName>
    <definedName name="_Haul" localSheetId="86">[1]Home!$E$40</definedName>
    <definedName name="_Haul" localSheetId="128">[1]Home!$E$40</definedName>
    <definedName name="_Haul" localSheetId="105">[2]Home!$E$40</definedName>
    <definedName name="_Haul" localSheetId="44">[3]Home!$E$40</definedName>
    <definedName name="_Haul" localSheetId="46">[3]Home!$E$40</definedName>
    <definedName name="_Haul" localSheetId="45">[3]Home!$E$40</definedName>
    <definedName name="_Haul" localSheetId="47">[3]Home!$E$40</definedName>
    <definedName name="_Haul" localSheetId="48">[3]Home!$E$40</definedName>
    <definedName name="_Haul" localSheetId="49">[3]Home!$E$40</definedName>
    <definedName name="_Haul" localSheetId="50">[3]Home!$E$40</definedName>
    <definedName name="_Haul" localSheetId="102">[3]Home!$E$40</definedName>
    <definedName name="_Haul" localSheetId="51">[3]Home!$E$40</definedName>
    <definedName name="_Haul" localSheetId="103">[3]Home!$E$40</definedName>
    <definedName name="_Haul" localSheetId="52">[3]Home!$E$40</definedName>
    <definedName name="_Haul" localSheetId="6">[3]Home!$E$40</definedName>
    <definedName name="_Haul" localSheetId="89">[4]Home!$E$40</definedName>
    <definedName name="_Haul" localSheetId="108">[3]Home!$E$40</definedName>
    <definedName name="_Haul" localSheetId="90">[4]Home!$E$40</definedName>
    <definedName name="_Haul" localSheetId="109">[3]Home!$E$40</definedName>
    <definedName name="_Haul" localSheetId="12">[3]Home!$E$40</definedName>
    <definedName name="_Haul" localSheetId="13">[3]Home!$E$40</definedName>
    <definedName name="_Haul" localSheetId="19">[3]Home!$E$40</definedName>
    <definedName name="_Haul" localSheetId="95">[4]Home!$E$40</definedName>
    <definedName name="_Haul" localSheetId="111">[3]Home!$E$40</definedName>
    <definedName name="_Haul" localSheetId="18">[3]Home!$E$40</definedName>
    <definedName name="_Haul" localSheetId="27">[3]Home!$E$40</definedName>
    <definedName name="_Haul" localSheetId="28">[3]Home!$E$40</definedName>
    <definedName name="_Haul" localSheetId="29">[3]Home!$E$40</definedName>
    <definedName name="_Haul" localSheetId="30">[3]Home!$E$40</definedName>
    <definedName name="_Haul" localSheetId="31">[3]Home!$E$40</definedName>
    <definedName name="_Haul" localSheetId="32">[3]Home!$E$40</definedName>
    <definedName name="_Haul" localSheetId="101">#REF!</definedName>
    <definedName name="_Haul" localSheetId="114">[1]Home!$E$40</definedName>
    <definedName name="_Haul" localSheetId="113">[2]Home!$E$40</definedName>
    <definedName name="_Haul" localSheetId="135">[1]Home!$E$40</definedName>
    <definedName name="_Haul" localSheetId="140">[1]Home!$E$40</definedName>
    <definedName name="_Haul" localSheetId="117">[1]Home!$E$40</definedName>
    <definedName name="_Haul" localSheetId="134">[1]Home!$E$40</definedName>
    <definedName name="_Haul" localSheetId="141">[1]Home!$E$40</definedName>
    <definedName name="_Haul">#REF!</definedName>
    <definedName name="_HaulPerMetre" localSheetId="8">[1]Home!$E$38</definedName>
    <definedName name="_HaulPerMetre" localSheetId="86">[1]Home!$E$38</definedName>
    <definedName name="_HaulPerMetre" localSheetId="128">[1]Home!$E$38</definedName>
    <definedName name="_HaulPerMetre" localSheetId="105">[2]Home!$E$38</definedName>
    <definedName name="_HaulPerMetre" localSheetId="44">[3]Home!$E$38</definedName>
    <definedName name="_HaulPerMetre" localSheetId="46">[3]Home!$E$38</definedName>
    <definedName name="_HaulPerMetre" localSheetId="45">[3]Home!$E$38</definedName>
    <definedName name="_HaulPerMetre" localSheetId="47">[3]Home!$E$38</definedName>
    <definedName name="_HaulPerMetre" localSheetId="48">[3]Home!$E$38</definedName>
    <definedName name="_HaulPerMetre" localSheetId="49">[3]Home!$E$38</definedName>
    <definedName name="_HaulPerMetre" localSheetId="50">[3]Home!$E$38</definedName>
    <definedName name="_HaulPerMetre" localSheetId="102">[3]Home!$E$38</definedName>
    <definedName name="_HaulPerMetre" localSheetId="51">[3]Home!$E$38</definedName>
    <definedName name="_HaulPerMetre" localSheetId="103">[3]Home!$E$38</definedName>
    <definedName name="_HaulPerMetre" localSheetId="52">[3]Home!$E$38</definedName>
    <definedName name="_HaulPerMetre" localSheetId="6">[3]Home!$E$38</definedName>
    <definedName name="_HaulPerMetre" localSheetId="89">[4]Home!$E$38</definedName>
    <definedName name="_HaulPerMetre" localSheetId="108">[3]Home!$E$38</definedName>
    <definedName name="_HaulPerMetre" localSheetId="90">[4]Home!$E$38</definedName>
    <definedName name="_HaulPerMetre" localSheetId="109">[3]Home!$E$38</definedName>
    <definedName name="_HaulPerMetre" localSheetId="12">[3]Home!$E$38</definedName>
    <definedName name="_HaulPerMetre" localSheetId="13">[3]Home!$E$38</definedName>
    <definedName name="_HaulPerMetre" localSheetId="19">[3]Home!$E$38</definedName>
    <definedName name="_HaulPerMetre" localSheetId="95">[4]Home!$E$38</definedName>
    <definedName name="_HaulPerMetre" localSheetId="111">[3]Home!$E$38</definedName>
    <definedName name="_HaulPerMetre" localSheetId="18">[3]Home!$E$38</definedName>
    <definedName name="_HaulPerMetre" localSheetId="27">[3]Home!$E$38</definedName>
    <definedName name="_HaulPerMetre" localSheetId="28">[3]Home!$E$38</definedName>
    <definedName name="_HaulPerMetre" localSheetId="29">[3]Home!$E$38</definedName>
    <definedName name="_HaulPerMetre" localSheetId="30">[3]Home!$E$38</definedName>
    <definedName name="_HaulPerMetre" localSheetId="31">[3]Home!$E$38</definedName>
    <definedName name="_HaulPerMetre" localSheetId="32">[3]Home!$E$38</definedName>
    <definedName name="_HaulPerMetre" localSheetId="101">#REF!</definedName>
    <definedName name="_HaulPerMetre" localSheetId="114">[1]Home!$E$38</definedName>
    <definedName name="_HaulPerMetre" localSheetId="113">[2]Home!$E$38</definedName>
    <definedName name="_HaulPerMetre" localSheetId="135">[1]Home!$E$38</definedName>
    <definedName name="_HaulPerMetre" localSheetId="140">[1]Home!$E$38</definedName>
    <definedName name="_HaulPerMetre" localSheetId="117">[1]Home!$E$38</definedName>
    <definedName name="_HaulPerMetre" localSheetId="134">[1]Home!$E$38</definedName>
    <definedName name="_HaulPerMetre" localSheetId="141">[1]Home!$E$38</definedName>
    <definedName name="_HaulPerMetre">#REF!</definedName>
    <definedName name="_KandC" localSheetId="44">[3]Home!$E$59</definedName>
    <definedName name="_KandC" localSheetId="46">[3]Home!$E$59</definedName>
    <definedName name="_KandC" localSheetId="45">[3]Home!$E$59</definedName>
    <definedName name="_KandC" localSheetId="47">[3]Home!$E$59</definedName>
    <definedName name="_KandC" localSheetId="48">[3]Home!$E$59</definedName>
    <definedName name="_KandC" localSheetId="49">[3]Home!$E$59</definedName>
    <definedName name="_KandC" localSheetId="50">[3]Home!$E$59</definedName>
    <definedName name="_KandC" localSheetId="102">[3]Home!$E$59</definedName>
    <definedName name="_KandC" localSheetId="51">[3]Home!$E$59</definedName>
    <definedName name="_KandC" localSheetId="103">[3]Home!$E$59</definedName>
    <definedName name="_KandC" localSheetId="52">[3]Home!$E$59</definedName>
    <definedName name="_KandC" localSheetId="6">[3]Home!$E$59</definedName>
    <definedName name="_KandC" localSheetId="89">[4]Home!$E$59</definedName>
    <definedName name="_KandC" localSheetId="108">[3]Home!$E$59</definedName>
    <definedName name="_KandC" localSheetId="90">[4]Home!$E$59</definedName>
    <definedName name="_KandC" localSheetId="109">[3]Home!$E$59</definedName>
    <definedName name="_KandC" localSheetId="12">[3]Home!$E$59</definedName>
    <definedName name="_KandC" localSheetId="13">[3]Home!$E$59</definedName>
    <definedName name="_KandC" localSheetId="19">[3]Home!$E$59</definedName>
    <definedName name="_KandC" localSheetId="95">[4]Home!$E$59</definedName>
    <definedName name="_KandC" localSheetId="111">[3]Home!$E$59</definedName>
    <definedName name="_KandC" localSheetId="18">[3]Home!$E$59</definedName>
    <definedName name="_KandC" localSheetId="27">[3]Home!$E$59</definedName>
    <definedName name="_KandC" localSheetId="28">[3]Home!$E$59</definedName>
    <definedName name="_KandC" localSheetId="29">[3]Home!$E$59</definedName>
    <definedName name="_KandC" localSheetId="30">[3]Home!$E$59</definedName>
    <definedName name="_KandC" localSheetId="31">[3]Home!$E$59</definedName>
    <definedName name="_KandC" localSheetId="32">[3]Home!$E$59</definedName>
    <definedName name="_KandC" localSheetId="101">#REF!</definedName>
    <definedName name="_KandC">#REF!</definedName>
    <definedName name="_Kerb" localSheetId="8">[1]Home!$E$58</definedName>
    <definedName name="_Kerb" localSheetId="86">[1]Home!$E$58</definedName>
    <definedName name="_Kerb" localSheetId="128">[1]Home!$E$58</definedName>
    <definedName name="_Kerb" localSheetId="105">[2]Home!$E$58</definedName>
    <definedName name="_Kerb" localSheetId="44">[3]Home!$E$58</definedName>
    <definedName name="_Kerb" localSheetId="46">[3]Home!$E$58</definedName>
    <definedName name="_Kerb" localSheetId="45">[3]Home!$E$58</definedName>
    <definedName name="_Kerb" localSheetId="47">[3]Home!$E$58</definedName>
    <definedName name="_Kerb" localSheetId="48">[3]Home!$E$58</definedName>
    <definedName name="_Kerb" localSheetId="49">[3]Home!$E$58</definedName>
    <definedName name="_Kerb" localSheetId="50">[3]Home!$E$58</definedName>
    <definedName name="_Kerb" localSheetId="102">[3]Home!$E$58</definedName>
    <definedName name="_Kerb" localSheetId="51">[3]Home!$E$58</definedName>
    <definedName name="_Kerb" localSheetId="103">[3]Home!$E$58</definedName>
    <definedName name="_Kerb" localSheetId="52">[3]Home!$E$58</definedName>
    <definedName name="_Kerb" localSheetId="6">[3]Home!$E$58</definedName>
    <definedName name="_Kerb" localSheetId="89">[4]Home!$E$58</definedName>
    <definedName name="_Kerb" localSheetId="108">[3]Home!$E$58</definedName>
    <definedName name="_Kerb" localSheetId="90">[4]Home!$E$58</definedName>
    <definedName name="_Kerb" localSheetId="109">[3]Home!$E$58</definedName>
    <definedName name="_Kerb" localSheetId="12">[3]Home!$E$58</definedName>
    <definedName name="_Kerb" localSheetId="13">[3]Home!$E$58</definedName>
    <definedName name="_Kerb" localSheetId="19">[3]Home!$E$58</definedName>
    <definedName name="_Kerb" localSheetId="95">[4]Home!$E$58</definedName>
    <definedName name="_Kerb" localSheetId="111">[3]Home!$E$58</definedName>
    <definedName name="_Kerb" localSheetId="18">[3]Home!$E$58</definedName>
    <definedName name="_Kerb" localSheetId="27">[3]Home!$E$58</definedName>
    <definedName name="_Kerb" localSheetId="28">[3]Home!$E$58</definedName>
    <definedName name="_Kerb" localSheetId="29">[3]Home!$E$58</definedName>
    <definedName name="_Kerb" localSheetId="30">[3]Home!$E$58</definedName>
    <definedName name="_Kerb" localSheetId="31">[3]Home!$E$58</definedName>
    <definedName name="_Kerb" localSheetId="32">[3]Home!$E$58</definedName>
    <definedName name="_Kerb" localSheetId="101">#REF!</definedName>
    <definedName name="_Kerb" localSheetId="114">[1]Home!$E$58</definedName>
    <definedName name="_Kerb" localSheetId="113">[2]Home!$E$58</definedName>
    <definedName name="_Kerb" localSheetId="135">[1]Home!$E$58</definedName>
    <definedName name="_Kerb" localSheetId="140">[1]Home!$E$58</definedName>
    <definedName name="_Kerb" localSheetId="117">[1]Home!$E$58</definedName>
    <definedName name="_Kerb" localSheetId="134">[1]Home!$E$58</definedName>
    <definedName name="_Kerb" localSheetId="141">[1]Home!$E$58</definedName>
    <definedName name="_Kerb">#REF!</definedName>
    <definedName name="_LabourDaily" localSheetId="8">[1]Home!$C$13</definedName>
    <definedName name="_LabourDaily" localSheetId="86">[1]Home!$C$13</definedName>
    <definedName name="_LabourDaily" localSheetId="128">[1]Home!$C$13</definedName>
    <definedName name="_LabourDaily" localSheetId="105">[2]Home!$C$13</definedName>
    <definedName name="_LabourDaily" localSheetId="44">[3]Home!$C$13</definedName>
    <definedName name="_LabourDaily" localSheetId="46">[3]Home!$C$13</definedName>
    <definedName name="_LabourDaily" localSheetId="45">[3]Home!$C$13</definedName>
    <definedName name="_LabourDaily" localSheetId="47">[3]Home!$C$13</definedName>
    <definedName name="_LabourDaily" localSheetId="48">[3]Home!$C$13</definedName>
    <definedName name="_LabourDaily" localSheetId="49">[3]Home!$C$13</definedName>
    <definedName name="_LabourDaily" localSheetId="50">[3]Home!$C$13</definedName>
    <definedName name="_LabourDaily" localSheetId="102">[3]Home!$C$13</definedName>
    <definedName name="_LabourDaily" localSheetId="51">[3]Home!$C$13</definedName>
    <definedName name="_LabourDaily" localSheetId="103">[3]Home!$C$13</definedName>
    <definedName name="_LabourDaily" localSheetId="52">[3]Home!$C$13</definedName>
    <definedName name="_LabourDaily" localSheetId="6">[3]Home!$C$13</definedName>
    <definedName name="_LabourDaily" localSheetId="89">[4]Home!$C$13</definedName>
    <definedName name="_LabourDaily" localSheetId="108">[3]Home!$C$13</definedName>
    <definedName name="_LabourDaily" localSheetId="90">[4]Home!$C$13</definedName>
    <definedName name="_LabourDaily" localSheetId="109">[3]Home!$C$13</definedName>
    <definedName name="_LabourDaily" localSheetId="12">[3]Home!$C$13</definedName>
    <definedName name="_LabourDaily" localSheetId="13">[3]Home!$C$13</definedName>
    <definedName name="_LabourDaily" localSheetId="19">[3]Home!$C$13</definedName>
    <definedName name="_LabourDaily" localSheetId="95">[4]Home!$C$13</definedName>
    <definedName name="_LabourDaily" localSheetId="111">[3]Home!$C$13</definedName>
    <definedName name="_LabourDaily" localSheetId="18">[3]Home!$C$13</definedName>
    <definedName name="_LabourDaily" localSheetId="27">[3]Home!$C$13</definedName>
    <definedName name="_LabourDaily" localSheetId="28">[3]Home!$C$13</definedName>
    <definedName name="_LabourDaily" localSheetId="29">[3]Home!$C$13</definedName>
    <definedName name="_LabourDaily" localSheetId="30">[3]Home!$C$13</definedName>
    <definedName name="_LabourDaily" localSheetId="31">[3]Home!$C$13</definedName>
    <definedName name="_LabourDaily" localSheetId="32">[3]Home!$C$13</definedName>
    <definedName name="_LabourDaily" localSheetId="101">#REF!</definedName>
    <definedName name="_LabourDaily" localSheetId="114">[1]Home!$C$13</definedName>
    <definedName name="_LabourDaily" localSheetId="113">[2]Home!$C$13</definedName>
    <definedName name="_LabourDaily" localSheetId="135">[1]Home!$C$13</definedName>
    <definedName name="_LabourDaily" localSheetId="140">[1]Home!$C$13</definedName>
    <definedName name="_LabourDaily" localSheetId="117">[1]Home!$C$13</definedName>
    <definedName name="_LabourDaily" localSheetId="134">[1]Home!$C$13</definedName>
    <definedName name="_LabourDaily" localSheetId="141">[1]Home!$C$13</definedName>
    <definedName name="_LabourDaily">#REF!</definedName>
    <definedName name="_LabourHours" localSheetId="44">#REF!</definedName>
    <definedName name="_LabourHours" localSheetId="46">#REF!</definedName>
    <definedName name="_LabourHours" localSheetId="45">#REF!</definedName>
    <definedName name="_LabourHours" localSheetId="47">#REF!</definedName>
    <definedName name="_LabourHours" localSheetId="48">#REF!</definedName>
    <definedName name="_LabourHours" localSheetId="49">#REF!</definedName>
    <definedName name="_LabourHours" localSheetId="50">#REF!</definedName>
    <definedName name="_LabourHours" localSheetId="102">#REF!</definedName>
    <definedName name="_LabourHours" localSheetId="51">#REF!</definedName>
    <definedName name="_LabourHours" localSheetId="103">#REF!</definedName>
    <definedName name="_LabourHours" localSheetId="52">#REF!</definedName>
    <definedName name="_LabourHours" localSheetId="6">#REF!</definedName>
    <definedName name="_LabourHours" localSheetId="89">#REF!</definedName>
    <definedName name="_LabourHours" localSheetId="108">#REF!</definedName>
    <definedName name="_LabourHours" localSheetId="90">#REF!</definedName>
    <definedName name="_LabourHours" localSheetId="109">#REF!</definedName>
    <definedName name="_LabourHours" localSheetId="12">#REF!</definedName>
    <definedName name="_LabourHours" localSheetId="13">#REF!</definedName>
    <definedName name="_LabourHours" localSheetId="19">#REF!</definedName>
    <definedName name="_LabourHours" localSheetId="95">#REF!</definedName>
    <definedName name="_LabourHours" localSheetId="111">#REF!</definedName>
    <definedName name="_LabourHours" localSheetId="18">#REF!</definedName>
    <definedName name="_LabourHours" localSheetId="101">#REF!</definedName>
    <definedName name="_LabourHours">#REF!</definedName>
    <definedName name="_LabourRate" localSheetId="8">[1]Home!$C$11</definedName>
    <definedName name="_LabourRate" localSheetId="86">[1]Home!$C$11</definedName>
    <definedName name="_LabourRate" localSheetId="128">[1]Home!$C$11</definedName>
    <definedName name="_LabourRate" localSheetId="105">[2]Home!$C$11</definedName>
    <definedName name="_LabourRate" localSheetId="44">[3]Home!$C$11</definedName>
    <definedName name="_LabourRate" localSheetId="46">[3]Home!$C$11</definedName>
    <definedName name="_LabourRate" localSheetId="45">[3]Home!$C$11</definedName>
    <definedName name="_LabourRate" localSheetId="47">[3]Home!$C$11</definedName>
    <definedName name="_LabourRate" localSheetId="48">[3]Home!$C$11</definedName>
    <definedName name="_LabourRate" localSheetId="49">[3]Home!$C$11</definedName>
    <definedName name="_LabourRate" localSheetId="50">[3]Home!$C$11</definedName>
    <definedName name="_LabourRate" localSheetId="102">[3]Home!$C$11</definedName>
    <definedName name="_LabourRate" localSheetId="51">[3]Home!$C$11</definedName>
    <definedName name="_LabourRate" localSheetId="103">[3]Home!$C$11</definedName>
    <definedName name="_LabourRate" localSheetId="52">[3]Home!$C$11</definedName>
    <definedName name="_LabourRate" localSheetId="6">[3]Home!$C$11</definedName>
    <definedName name="_LabourRate" localSheetId="89">[4]Home!$C$11</definedName>
    <definedName name="_LabourRate" localSheetId="108">[3]Home!$C$11</definedName>
    <definedName name="_LabourRate" localSheetId="90">[4]Home!$C$11</definedName>
    <definedName name="_LabourRate" localSheetId="109">[3]Home!$C$11</definedName>
    <definedName name="_LabourRate" localSheetId="12">[3]Home!$C$11</definedName>
    <definedName name="_LabourRate" localSheetId="13">[3]Home!$C$11</definedName>
    <definedName name="_LabourRate" localSheetId="19">[3]Home!$C$11</definedName>
    <definedName name="_LabourRate" localSheetId="95">[4]Home!$C$11</definedName>
    <definedName name="_LabourRate" localSheetId="111">[3]Home!$C$11</definedName>
    <definedName name="_LabourRate" localSheetId="18">[3]Home!$C$11</definedName>
    <definedName name="_LabourRate" localSheetId="27">[3]Home!$C$11</definedName>
    <definedName name="_LabourRate" localSheetId="28">[3]Home!$C$11</definedName>
    <definedName name="_LabourRate" localSheetId="29">[3]Home!$C$11</definedName>
    <definedName name="_LabourRate" localSheetId="30">[3]Home!$C$11</definedName>
    <definedName name="_LabourRate" localSheetId="31">[3]Home!$C$11</definedName>
    <definedName name="_LabourRate" localSheetId="32">[3]Home!$C$11</definedName>
    <definedName name="_LabourRate" localSheetId="101">#REF!</definedName>
    <definedName name="_LabourRate" localSheetId="114">[1]Home!$C$11</definedName>
    <definedName name="_LabourRate" localSheetId="113">[2]Home!$C$11</definedName>
    <definedName name="_LabourRate" localSheetId="135">[1]Home!$C$11</definedName>
    <definedName name="_LabourRate" localSheetId="140">[1]Home!$C$11</definedName>
    <definedName name="_LabourRate" localSheetId="117">[1]Home!$C$11</definedName>
    <definedName name="_LabourRate" localSheetId="134">[1]Home!$C$11</definedName>
    <definedName name="_LabourRate" localSheetId="141">[1]Home!$C$11</definedName>
    <definedName name="_LabourRate">#REF!</definedName>
    <definedName name="_Markup" localSheetId="8">[1]Home!$C$27</definedName>
    <definedName name="_Markup" localSheetId="86">[1]Home!$C$27</definedName>
    <definedName name="_Markup" localSheetId="128">[1]Home!$C$27</definedName>
    <definedName name="_Markup" localSheetId="105">[2]Home!$C$27</definedName>
    <definedName name="_Markup" localSheetId="44">[3]Home!$C$27</definedName>
    <definedName name="_Markup" localSheetId="46">[3]Home!$C$27</definedName>
    <definedName name="_Markup" localSheetId="45">[3]Home!$C$27</definedName>
    <definedName name="_Markup" localSheetId="47">[3]Home!$C$27</definedName>
    <definedName name="_Markup" localSheetId="48">[3]Home!$C$27</definedName>
    <definedName name="_Markup" localSheetId="49">[3]Home!$C$27</definedName>
    <definedName name="_Markup" localSheetId="50">[3]Home!$C$27</definedName>
    <definedName name="_Markup" localSheetId="102">[3]Home!$C$27</definedName>
    <definedName name="_Markup" localSheetId="51">[3]Home!$C$27</definedName>
    <definedName name="_Markup" localSheetId="103">[3]Home!$C$27</definedName>
    <definedName name="_Markup" localSheetId="52">[3]Home!$C$27</definedName>
    <definedName name="_Markup" localSheetId="6">[3]Home!$C$27</definedName>
    <definedName name="_Markup" localSheetId="89">[4]Home!$C$27</definedName>
    <definedName name="_Markup" localSheetId="108">[3]Home!$C$27</definedName>
    <definedName name="_Markup" localSheetId="90">[4]Home!$C$27</definedName>
    <definedName name="_Markup" localSheetId="109">[3]Home!$C$27</definedName>
    <definedName name="_Markup" localSheetId="12">[3]Home!$C$27</definedName>
    <definedName name="_Markup" localSheetId="13">[3]Home!$C$27</definedName>
    <definedName name="_Markup" localSheetId="19">[3]Home!$C$27</definedName>
    <definedName name="_Markup" localSheetId="95">[4]Home!$C$27</definedName>
    <definedName name="_Markup" localSheetId="111">[3]Home!$C$27</definedName>
    <definedName name="_Markup" localSheetId="18">[3]Home!$C$27</definedName>
    <definedName name="_Markup" localSheetId="27">[3]Home!$C$27</definedName>
    <definedName name="_Markup" localSheetId="28">[3]Home!$C$27</definedName>
    <definedName name="_Markup" localSheetId="29">[3]Home!$C$27</definedName>
    <definedName name="_Markup" localSheetId="30">[3]Home!$C$27</definedName>
    <definedName name="_Markup" localSheetId="31">[3]Home!$C$27</definedName>
    <definedName name="_Markup" localSheetId="32">[3]Home!$C$27</definedName>
    <definedName name="_Markup" localSheetId="101">#REF!</definedName>
    <definedName name="_Markup" localSheetId="114">[1]Home!$C$27</definedName>
    <definedName name="_Markup" localSheetId="113">[2]Home!$C$27</definedName>
    <definedName name="_Markup" localSheetId="135">[1]Home!$C$27</definedName>
    <definedName name="_Markup" localSheetId="140">[1]Home!$C$27</definedName>
    <definedName name="_Markup" localSheetId="117">[1]Home!$C$27</definedName>
    <definedName name="_Markup" localSheetId="134">[1]Home!$C$27</definedName>
    <definedName name="_Markup" localSheetId="141">[1]Home!$C$27</definedName>
    <definedName name="_Markup">#REF!</definedName>
    <definedName name="_Mesh" localSheetId="8">[1]Home!$E$53</definedName>
    <definedName name="_Mesh" localSheetId="86">[1]Home!$E$53</definedName>
    <definedName name="_Mesh" localSheetId="128">[1]Home!$E$53</definedName>
    <definedName name="_Mesh" localSheetId="105">[2]Home!$E$53</definedName>
    <definedName name="_Mesh" localSheetId="44">[3]Home!$E$53</definedName>
    <definedName name="_Mesh" localSheetId="46">[3]Home!$E$53</definedName>
    <definedName name="_Mesh" localSheetId="45">[3]Home!$E$53</definedName>
    <definedName name="_Mesh" localSheetId="47">[3]Home!$E$53</definedName>
    <definedName name="_Mesh" localSheetId="48">[3]Home!$E$53</definedName>
    <definedName name="_Mesh" localSheetId="49">[3]Home!$E$53</definedName>
    <definedName name="_Mesh" localSheetId="50">[3]Home!$E$53</definedName>
    <definedName name="_Mesh" localSheetId="102">[3]Home!$E$53</definedName>
    <definedName name="_Mesh" localSheetId="51">[3]Home!$E$53</definedName>
    <definedName name="_Mesh" localSheetId="103">[3]Home!$E$53</definedName>
    <definedName name="_Mesh" localSheetId="52">[3]Home!$E$53</definedName>
    <definedName name="_Mesh" localSheetId="6">[3]Home!$E$53</definedName>
    <definedName name="_Mesh" localSheetId="89">[4]Home!$E$53</definedName>
    <definedName name="_Mesh" localSheetId="108">[3]Home!$E$53</definedName>
    <definedName name="_Mesh" localSheetId="90">[4]Home!$E$53</definedName>
    <definedName name="_Mesh" localSheetId="109">[3]Home!$E$53</definedName>
    <definedName name="_Mesh" localSheetId="12">[3]Home!$E$53</definedName>
    <definedName name="_Mesh" localSheetId="13">[3]Home!$E$53</definedName>
    <definedName name="_Mesh" localSheetId="19">[3]Home!$E$53</definedName>
    <definedName name="_Mesh" localSheetId="95">[4]Home!$E$53</definedName>
    <definedName name="_Mesh" localSheetId="111">[3]Home!$E$53</definedName>
    <definedName name="_Mesh" localSheetId="18">[3]Home!$E$53</definedName>
    <definedName name="_Mesh" localSheetId="27">[3]Home!$E$53</definedName>
    <definedName name="_Mesh" localSheetId="28">[3]Home!$E$53</definedName>
    <definedName name="_Mesh" localSheetId="29">[3]Home!$E$53</definedName>
    <definedName name="_Mesh" localSheetId="30">[3]Home!$E$53</definedName>
    <definedName name="_Mesh" localSheetId="31">[3]Home!$E$53</definedName>
    <definedName name="_Mesh" localSheetId="32">[3]Home!$E$53</definedName>
    <definedName name="_Mesh" localSheetId="101">#REF!</definedName>
    <definedName name="_Mesh" localSheetId="114">[1]Home!$E$53</definedName>
    <definedName name="_Mesh" localSheetId="113">[2]Home!$E$53</definedName>
    <definedName name="_Mesh" localSheetId="135">[1]Home!$E$53</definedName>
    <definedName name="_Mesh" localSheetId="140">[1]Home!$E$53</definedName>
    <definedName name="_Mesh" localSheetId="117">[1]Home!$E$53</definedName>
    <definedName name="_Mesh" localSheetId="134">[1]Home!$E$53</definedName>
    <definedName name="_Mesh" localSheetId="141">[1]Home!$E$53</definedName>
    <definedName name="_Mesh">#REF!</definedName>
    <definedName name="_Mix" localSheetId="8">[1]Home!$E$41</definedName>
    <definedName name="_Mix" localSheetId="86">[1]Home!$E$41</definedName>
    <definedName name="_Mix" localSheetId="128">[1]Home!$E$41</definedName>
    <definedName name="_Mix" localSheetId="105">[2]Home!$E$41</definedName>
    <definedName name="_Mix" localSheetId="44">[3]Home!$E$41</definedName>
    <definedName name="_Mix" localSheetId="46">[3]Home!$E$41</definedName>
    <definedName name="_Mix" localSheetId="45">[3]Home!$E$41</definedName>
    <definedName name="_Mix" localSheetId="47">[3]Home!$E$41</definedName>
    <definedName name="_Mix" localSheetId="48">[3]Home!$E$41</definedName>
    <definedName name="_Mix" localSheetId="49">[3]Home!$E$41</definedName>
    <definedName name="_Mix" localSheetId="50">[3]Home!$E$41</definedName>
    <definedName name="_Mix" localSheetId="102">[3]Home!$E$41</definedName>
    <definedName name="_Mix" localSheetId="51">[3]Home!$E$41</definedName>
    <definedName name="_Mix" localSheetId="103">[3]Home!$E$41</definedName>
    <definedName name="_Mix" localSheetId="52">[3]Home!$E$41</definedName>
    <definedName name="_Mix" localSheetId="6">[3]Home!$E$41</definedName>
    <definedName name="_Mix" localSheetId="89">[4]Home!$E$41</definedName>
    <definedName name="_Mix" localSheetId="108">[3]Home!$E$41</definedName>
    <definedName name="_Mix" localSheetId="90">[4]Home!$E$41</definedName>
    <definedName name="_Mix" localSheetId="109">[3]Home!$E$41</definedName>
    <definedName name="_Mix" localSheetId="12">[3]Home!$E$41</definedName>
    <definedName name="_Mix" localSheetId="13">[3]Home!$E$41</definedName>
    <definedName name="_Mix" localSheetId="19">[3]Home!$E$41</definedName>
    <definedName name="_Mix" localSheetId="95">[4]Home!$E$41</definedName>
    <definedName name="_Mix" localSheetId="111">[3]Home!$E$41</definedName>
    <definedName name="_Mix" localSheetId="18">[3]Home!$E$41</definedName>
    <definedName name="_Mix" localSheetId="27">[3]Home!$E$41</definedName>
    <definedName name="_Mix" localSheetId="28">[3]Home!$E$41</definedName>
    <definedName name="_Mix" localSheetId="29">[3]Home!$E$41</definedName>
    <definedName name="_Mix" localSheetId="30">[3]Home!$E$41</definedName>
    <definedName name="_Mix" localSheetId="31">[3]Home!$E$41</definedName>
    <definedName name="_Mix" localSheetId="32">[3]Home!$E$41</definedName>
    <definedName name="_Mix" localSheetId="101">#REF!</definedName>
    <definedName name="_Mix" localSheetId="114">[1]Home!$E$41</definedName>
    <definedName name="_Mix" localSheetId="113">[2]Home!$E$41</definedName>
    <definedName name="_Mix" localSheetId="135">[1]Home!$E$41</definedName>
    <definedName name="_Mix" localSheetId="140">[1]Home!$E$41</definedName>
    <definedName name="_Mix" localSheetId="117">[1]Home!$E$41</definedName>
    <definedName name="_Mix" localSheetId="134">[1]Home!$E$41</definedName>
    <definedName name="_Mix" localSheetId="141">[1]Home!$E$41</definedName>
    <definedName name="_Mix">#REF!</definedName>
    <definedName name="_Place" localSheetId="8">[1]Home!$E$42</definedName>
    <definedName name="_Place" localSheetId="86">[1]Home!$E$42</definedName>
    <definedName name="_Place" localSheetId="128">[1]Home!$E$42</definedName>
    <definedName name="_Place" localSheetId="105">[2]Home!$E$42</definedName>
    <definedName name="_Place" localSheetId="44">[3]Home!$E$42</definedName>
    <definedName name="_Place" localSheetId="46">[3]Home!$E$42</definedName>
    <definedName name="_Place" localSheetId="45">[3]Home!$E$42</definedName>
    <definedName name="_Place" localSheetId="47">[3]Home!$E$42</definedName>
    <definedName name="_Place" localSheetId="48">[3]Home!$E$42</definedName>
    <definedName name="_Place" localSheetId="49">[3]Home!$E$42</definedName>
    <definedName name="_Place" localSheetId="50">[3]Home!$E$42</definedName>
    <definedName name="_Place" localSheetId="102">[3]Home!$E$42</definedName>
    <definedName name="_Place" localSheetId="51">[3]Home!$E$42</definedName>
    <definedName name="_Place" localSheetId="103">[3]Home!$E$42</definedName>
    <definedName name="_Place" localSheetId="52">[3]Home!$E$42</definedName>
    <definedName name="_Place" localSheetId="6">[3]Home!$E$42</definedName>
    <definedName name="_Place" localSheetId="89">[4]Home!$E$42</definedName>
    <definedName name="_Place" localSheetId="108">[3]Home!$E$42</definedName>
    <definedName name="_Place" localSheetId="90">[4]Home!$E$42</definedName>
    <definedName name="_Place" localSheetId="109">[3]Home!$E$42</definedName>
    <definedName name="_Place" localSheetId="12">[3]Home!$E$42</definedName>
    <definedName name="_Place" localSheetId="13">[3]Home!$E$42</definedName>
    <definedName name="_Place" localSheetId="19">[3]Home!$E$42</definedName>
    <definedName name="_Place" localSheetId="95">[4]Home!$E$42</definedName>
    <definedName name="_Place" localSheetId="111">[3]Home!$E$42</definedName>
    <definedName name="_Place" localSheetId="18">[3]Home!$E$42</definedName>
    <definedName name="_Place" localSheetId="27">[3]Home!$E$42</definedName>
    <definedName name="_Place" localSheetId="28">[3]Home!$E$42</definedName>
    <definedName name="_Place" localSheetId="29">[3]Home!$E$42</definedName>
    <definedName name="_Place" localSheetId="30">[3]Home!$E$42</definedName>
    <definedName name="_Place" localSheetId="31">[3]Home!$E$42</definedName>
    <definedName name="_Place" localSheetId="32">[3]Home!$E$42</definedName>
    <definedName name="_Place" localSheetId="101">#REF!</definedName>
    <definedName name="_Place" localSheetId="114">[1]Home!$E$42</definedName>
    <definedName name="_Place" localSheetId="113">[2]Home!$E$42</definedName>
    <definedName name="_Place" localSheetId="135">[1]Home!$E$42</definedName>
    <definedName name="_Place" localSheetId="140">[1]Home!$E$42</definedName>
    <definedName name="_Place" localSheetId="117">[1]Home!$E$42</definedName>
    <definedName name="_Place" localSheetId="134">[1]Home!$E$42</definedName>
    <definedName name="_Place" localSheetId="141">[1]Home!$E$42</definedName>
    <definedName name="_Place">#REF!</definedName>
    <definedName name="_Plaster" localSheetId="44">[3]Home!$E$48</definedName>
    <definedName name="_Plaster" localSheetId="46">[3]Home!$E$48</definedName>
    <definedName name="_Plaster" localSheetId="45">[3]Home!$E$48</definedName>
    <definedName name="_Plaster" localSheetId="47">[3]Home!$E$48</definedName>
    <definedName name="_Plaster" localSheetId="48">[3]Home!$E$48</definedName>
    <definedName name="_Plaster" localSheetId="49">[3]Home!$E$48</definedName>
    <definedName name="_Plaster" localSheetId="50">[3]Home!$E$48</definedName>
    <definedName name="_Plaster" localSheetId="102">[3]Home!$E$48</definedName>
    <definedName name="_Plaster" localSheetId="51">[3]Home!$E$48</definedName>
    <definedName name="_Plaster" localSheetId="103">[3]Home!$E$48</definedName>
    <definedName name="_Plaster" localSheetId="52">[3]Home!$E$48</definedName>
    <definedName name="_Plaster" localSheetId="6">[3]Home!$E$48</definedName>
    <definedName name="_Plaster" localSheetId="89">[4]Home!$E$48</definedName>
    <definedName name="_Plaster" localSheetId="108">[3]Home!$E$48</definedName>
    <definedName name="_Plaster" localSheetId="90">[4]Home!$E$48</definedName>
    <definedName name="_Plaster" localSheetId="109">[3]Home!$E$48</definedName>
    <definedName name="_Plaster" localSheetId="12">[3]Home!$E$48</definedName>
    <definedName name="_Plaster" localSheetId="13">[3]Home!$E$48</definedName>
    <definedName name="_Plaster" localSheetId="19">[3]Home!$E$48</definedName>
    <definedName name="_Plaster" localSheetId="95">[4]Home!$E$48</definedName>
    <definedName name="_Plaster" localSheetId="111">[3]Home!$E$48</definedName>
    <definedName name="_Plaster" localSheetId="18">[3]Home!$E$48</definedName>
    <definedName name="_Plaster" localSheetId="27">[3]Home!$E$48</definedName>
    <definedName name="_Plaster" localSheetId="28">[3]Home!$E$48</definedName>
    <definedName name="_Plaster" localSheetId="29">[3]Home!$E$48</definedName>
    <definedName name="_Plaster" localSheetId="30">[3]Home!$E$48</definedName>
    <definedName name="_Plaster" localSheetId="31">[3]Home!$E$48</definedName>
    <definedName name="_Plaster" localSheetId="32">[3]Home!$E$48</definedName>
    <definedName name="_Plaster" localSheetId="101">#REF!</definedName>
    <definedName name="_Plaster">#REF!</definedName>
    <definedName name="_RoadLength" localSheetId="8">[1]Home!$C$25</definedName>
    <definedName name="_RoadLength" localSheetId="86">[1]Home!$C$25</definedName>
    <definedName name="_RoadLength" localSheetId="128">[1]Home!$C$25</definedName>
    <definedName name="_RoadLength" localSheetId="105">[2]Home!$C$25</definedName>
    <definedName name="_RoadLength" localSheetId="44">[3]Home!$C$25</definedName>
    <definedName name="_RoadLength" localSheetId="46">[3]Home!$C$25</definedName>
    <definedName name="_RoadLength" localSheetId="45">[3]Home!$C$25</definedName>
    <definedName name="_RoadLength" localSheetId="47">[3]Home!$C$25</definedName>
    <definedName name="_RoadLength" localSheetId="48">[3]Home!$C$25</definedName>
    <definedName name="_RoadLength" localSheetId="49">[3]Home!$C$25</definedName>
    <definedName name="_RoadLength" localSheetId="50">[3]Home!$C$25</definedName>
    <definedName name="_RoadLength" localSheetId="102">[3]Home!$C$25</definedName>
    <definedName name="_RoadLength" localSheetId="51">[3]Home!$C$25</definedName>
    <definedName name="_RoadLength" localSheetId="103">[3]Home!$C$25</definedName>
    <definedName name="_RoadLength" localSheetId="52">[3]Home!$C$25</definedName>
    <definedName name="_RoadLength" localSheetId="6">[3]Home!$C$25</definedName>
    <definedName name="_RoadLength" localSheetId="89">[4]Home!$C$25</definedName>
    <definedName name="_RoadLength" localSheetId="108">[3]Home!$C$25</definedName>
    <definedName name="_RoadLength" localSheetId="90">[4]Home!$C$25</definedName>
    <definedName name="_RoadLength" localSheetId="109">[3]Home!$C$25</definedName>
    <definedName name="_RoadLength" localSheetId="12">[3]Home!$C$25</definedName>
    <definedName name="_RoadLength" localSheetId="13">[3]Home!$C$25</definedName>
    <definedName name="_RoadLength" localSheetId="19">[3]Home!$C$25</definedName>
    <definedName name="_RoadLength" localSheetId="95">[4]Home!$C$25</definedName>
    <definedName name="_RoadLength" localSheetId="111">[3]Home!$C$25</definedName>
    <definedName name="_RoadLength" localSheetId="18">[3]Home!$C$25</definedName>
    <definedName name="_RoadLength" localSheetId="27">[3]Home!$C$25</definedName>
    <definedName name="_RoadLength" localSheetId="28">[3]Home!$C$25</definedName>
    <definedName name="_RoadLength" localSheetId="29">[3]Home!$C$25</definedName>
    <definedName name="_RoadLength" localSheetId="30">[3]Home!$C$25</definedName>
    <definedName name="_RoadLength" localSheetId="31">[3]Home!$C$25</definedName>
    <definedName name="_RoadLength" localSheetId="32">[3]Home!$C$25</definedName>
    <definedName name="_RoadLength" localSheetId="101">#REF!</definedName>
    <definedName name="_RoadLength" localSheetId="114">[1]Home!$C$25</definedName>
    <definedName name="_RoadLength" localSheetId="113">[2]Home!$C$25</definedName>
    <definedName name="_RoadLength" localSheetId="135">[1]Home!$C$25</definedName>
    <definedName name="_RoadLength" localSheetId="140">[1]Home!$C$25</definedName>
    <definedName name="_RoadLength" localSheetId="117">[1]Home!$C$25</definedName>
    <definedName name="_RoadLength" localSheetId="134">[1]Home!$C$25</definedName>
    <definedName name="_RoadLength" localSheetId="141">[1]Home!$C$25</definedName>
    <definedName name="_RoadLength">#REF!</definedName>
    <definedName name="_Roadmarkings" localSheetId="44">#REF!</definedName>
    <definedName name="_Roadmarkings" localSheetId="46">#REF!</definedName>
    <definedName name="_Roadmarkings" localSheetId="45">#REF!</definedName>
    <definedName name="_Roadmarkings" localSheetId="47">#REF!</definedName>
    <definedName name="_Roadmarkings" localSheetId="48">#REF!</definedName>
    <definedName name="_Roadmarkings" localSheetId="49">#REF!</definedName>
    <definedName name="_Roadmarkings" localSheetId="50">#REF!</definedName>
    <definedName name="_Roadmarkings" localSheetId="102">#REF!</definedName>
    <definedName name="_Roadmarkings" localSheetId="51">#REF!</definedName>
    <definedName name="_Roadmarkings" localSheetId="103">#REF!</definedName>
    <definedName name="_Roadmarkings" localSheetId="52">#REF!</definedName>
    <definedName name="_Roadmarkings" localSheetId="6">#REF!</definedName>
    <definedName name="_Roadmarkings" localSheetId="89">#REF!</definedName>
    <definedName name="_Roadmarkings" localSheetId="108">#REF!</definedName>
    <definedName name="_Roadmarkings" localSheetId="90">#REF!</definedName>
    <definedName name="_Roadmarkings" localSheetId="109">#REF!</definedName>
    <definedName name="_Roadmarkings" localSheetId="12">#REF!</definedName>
    <definedName name="_Roadmarkings" localSheetId="13">#REF!</definedName>
    <definedName name="_Roadmarkings" localSheetId="19">#REF!</definedName>
    <definedName name="_Roadmarkings" localSheetId="95">#REF!</definedName>
    <definedName name="_Roadmarkings" localSheetId="111">#REF!</definedName>
    <definedName name="_Roadmarkings" localSheetId="18">#REF!</definedName>
    <definedName name="_Roadmarkings" localSheetId="101">#REF!</definedName>
    <definedName name="_Roadmarkings">#REF!</definedName>
    <definedName name="_RoadstudSpc" localSheetId="8">[1]Home!$C$31</definedName>
    <definedName name="_RoadstudSpc" localSheetId="86">[1]Home!$C$31</definedName>
    <definedName name="_RoadstudSpc" localSheetId="128">[1]Home!$C$31</definedName>
    <definedName name="_RoadstudSpc" localSheetId="105">[2]Home!$C$31</definedName>
    <definedName name="_RoadstudSpc" localSheetId="44">[3]Home!$C$31</definedName>
    <definedName name="_RoadstudSpc" localSheetId="46">[3]Home!$C$31</definedName>
    <definedName name="_RoadstudSpc" localSheetId="45">[3]Home!$C$31</definedName>
    <definedName name="_RoadstudSpc" localSheetId="47">[3]Home!$C$31</definedName>
    <definedName name="_RoadstudSpc" localSheetId="48">[3]Home!$C$31</definedName>
    <definedName name="_RoadstudSpc" localSheetId="49">[3]Home!$C$31</definedName>
    <definedName name="_RoadstudSpc" localSheetId="50">[3]Home!$C$31</definedName>
    <definedName name="_RoadstudSpc" localSheetId="102">[3]Home!$C$31</definedName>
    <definedName name="_RoadstudSpc" localSheetId="51">[3]Home!$C$31</definedName>
    <definedName name="_RoadstudSpc" localSheetId="103">[3]Home!$C$31</definedName>
    <definedName name="_RoadstudSpc" localSheetId="52">[3]Home!$C$31</definedName>
    <definedName name="_RoadstudSpc" localSheetId="6">[3]Home!$C$31</definedName>
    <definedName name="_RoadstudSpc" localSheetId="89">[4]Home!$C$31</definedName>
    <definedName name="_RoadstudSpc" localSheetId="108">[3]Home!$C$31</definedName>
    <definedName name="_RoadstudSpc" localSheetId="90">[4]Home!$C$31</definedName>
    <definedName name="_RoadstudSpc" localSheetId="109">[3]Home!$C$31</definedName>
    <definedName name="_RoadstudSpc" localSheetId="12">[3]Home!$C$31</definedName>
    <definedName name="_RoadstudSpc" localSheetId="13">[3]Home!$C$31</definedName>
    <definedName name="_RoadstudSpc" localSheetId="19">[3]Home!$C$31</definedName>
    <definedName name="_RoadstudSpc" localSheetId="95">[4]Home!$C$31</definedName>
    <definedName name="_RoadstudSpc" localSheetId="111">[3]Home!$C$31</definedName>
    <definedName name="_RoadstudSpc" localSheetId="18">[3]Home!$C$31</definedName>
    <definedName name="_RoadstudSpc" localSheetId="27">[3]Home!$C$31</definedName>
    <definedName name="_RoadstudSpc" localSheetId="28">[3]Home!$C$31</definedName>
    <definedName name="_RoadstudSpc" localSheetId="29">[3]Home!$C$31</definedName>
    <definedName name="_RoadstudSpc" localSheetId="30">[3]Home!$C$31</definedName>
    <definedName name="_RoadstudSpc" localSheetId="31">[3]Home!$C$31</definedName>
    <definedName name="_RoadstudSpc" localSheetId="32">[3]Home!$C$31</definedName>
    <definedName name="_RoadstudSpc" localSheetId="101">#REF!</definedName>
    <definedName name="_RoadstudSpc" localSheetId="114">[1]Home!$C$31</definedName>
    <definedName name="_RoadstudSpc" localSheetId="113">[2]Home!$C$31</definedName>
    <definedName name="_RoadstudSpc" localSheetId="135">[1]Home!$C$31</definedName>
    <definedName name="_RoadstudSpc" localSheetId="140">[1]Home!$C$31</definedName>
    <definedName name="_RoadstudSpc" localSheetId="117">[1]Home!$C$31</definedName>
    <definedName name="_RoadstudSpc" localSheetId="134">[1]Home!$C$31</definedName>
    <definedName name="_RoadstudSpc" localSheetId="141">[1]Home!$C$31</definedName>
    <definedName name="_RoadstudSpc">#REF!</definedName>
    <definedName name="_Sheeting" localSheetId="44">[3]Home!$E$54</definedName>
    <definedName name="_Sheeting" localSheetId="46">[3]Home!$E$54</definedName>
    <definedName name="_Sheeting" localSheetId="45">[3]Home!$E$54</definedName>
    <definedName name="_Sheeting" localSheetId="47">[3]Home!$E$54</definedName>
    <definedName name="_Sheeting" localSheetId="48">[3]Home!$E$54</definedName>
    <definedName name="_Sheeting" localSheetId="49">[3]Home!$E$54</definedName>
    <definedName name="_Sheeting" localSheetId="50">[3]Home!$E$54</definedName>
    <definedName name="_Sheeting" localSheetId="102">[3]Home!$E$54</definedName>
    <definedName name="_Sheeting" localSheetId="51">[3]Home!$E$54</definedName>
    <definedName name="_Sheeting" localSheetId="103">[3]Home!$E$54</definedName>
    <definedName name="_Sheeting" localSheetId="52">[3]Home!$E$54</definedName>
    <definedName name="_Sheeting" localSheetId="6">[3]Home!$E$54</definedName>
    <definedName name="_Sheeting" localSheetId="89">[4]Home!$E$54</definedName>
    <definedName name="_Sheeting" localSheetId="108">[3]Home!$E$54</definedName>
    <definedName name="_Sheeting" localSheetId="90">[4]Home!$E$54</definedName>
    <definedName name="_Sheeting" localSheetId="109">[3]Home!$E$54</definedName>
    <definedName name="_Sheeting" localSheetId="12">[3]Home!$E$54</definedName>
    <definedName name="_Sheeting" localSheetId="13">[3]Home!$E$54</definedName>
    <definedName name="_Sheeting" localSheetId="19">[3]Home!$E$54</definedName>
    <definedName name="_Sheeting" localSheetId="95">[4]Home!$E$54</definedName>
    <definedName name="_Sheeting" localSheetId="111">[3]Home!$E$54</definedName>
    <definedName name="_Sheeting" localSheetId="18">[3]Home!$E$54</definedName>
    <definedName name="_Sheeting" localSheetId="27">[3]Home!$E$54</definedName>
    <definedName name="_Sheeting" localSheetId="28">[3]Home!$E$54</definedName>
    <definedName name="_Sheeting" localSheetId="29">[3]Home!$E$54</definedName>
    <definedName name="_Sheeting" localSheetId="30">[3]Home!$E$54</definedName>
    <definedName name="_Sheeting" localSheetId="31">[3]Home!$E$54</definedName>
    <definedName name="_Sheeting" localSheetId="32">[3]Home!$E$54</definedName>
    <definedName name="_Sheeting" localSheetId="101">#REF!</definedName>
    <definedName name="_Sheeting">#REF!</definedName>
    <definedName name="_Sign" localSheetId="8">[1]Home!$E$63</definedName>
    <definedName name="_Sign" localSheetId="86">[1]Home!$E$63</definedName>
    <definedName name="_Sign" localSheetId="128">[1]Home!$E$63</definedName>
    <definedName name="_Sign" localSheetId="105">[2]Home!$E$63</definedName>
    <definedName name="_Sign" localSheetId="44">[3]Home!$E$63</definedName>
    <definedName name="_Sign" localSheetId="46">[3]Home!$E$63</definedName>
    <definedName name="_Sign" localSheetId="45">[3]Home!$E$63</definedName>
    <definedName name="_Sign" localSheetId="47">[3]Home!$E$63</definedName>
    <definedName name="_Sign" localSheetId="48">[3]Home!$E$63</definedName>
    <definedName name="_Sign" localSheetId="49">[3]Home!$E$63</definedName>
    <definedName name="_Sign" localSheetId="50">[3]Home!$E$63</definedName>
    <definedName name="_Sign" localSheetId="102">[3]Home!$E$63</definedName>
    <definedName name="_Sign" localSheetId="51">[3]Home!$E$63</definedName>
    <definedName name="_Sign" localSheetId="103">[3]Home!$E$63</definedName>
    <definedName name="_Sign" localSheetId="52">[3]Home!$E$63</definedName>
    <definedName name="_Sign" localSheetId="6">[3]Home!$E$63</definedName>
    <definedName name="_Sign" localSheetId="89">[4]Home!$E$63</definedName>
    <definedName name="_Sign" localSheetId="108">[3]Home!$E$63</definedName>
    <definedName name="_Sign" localSheetId="90">[4]Home!$E$63</definedName>
    <definedName name="_Sign" localSheetId="109">[3]Home!$E$63</definedName>
    <definedName name="_Sign" localSheetId="12">[3]Home!$E$63</definedName>
    <definedName name="_Sign" localSheetId="13">[3]Home!$E$63</definedName>
    <definedName name="_Sign" localSheetId="19">[3]Home!$E$63</definedName>
    <definedName name="_Sign" localSheetId="95">[4]Home!$E$63</definedName>
    <definedName name="_Sign" localSheetId="111">[3]Home!$E$63</definedName>
    <definedName name="_Sign" localSheetId="18">[3]Home!$E$63</definedName>
    <definedName name="_Sign" localSheetId="27">[3]Home!$E$63</definedName>
    <definedName name="_Sign" localSheetId="28">[3]Home!$E$63</definedName>
    <definedName name="_Sign" localSheetId="29">[3]Home!$E$63</definedName>
    <definedName name="_Sign" localSheetId="30">[3]Home!$E$63</definedName>
    <definedName name="_Sign" localSheetId="31">[3]Home!$E$63</definedName>
    <definedName name="_Sign" localSheetId="32">[3]Home!$E$63</definedName>
    <definedName name="_Sign" localSheetId="101">#REF!</definedName>
    <definedName name="_Sign" localSheetId="114">[1]Home!$E$63</definedName>
    <definedName name="_Sign" localSheetId="113">[2]Home!$E$63</definedName>
    <definedName name="_Sign" localSheetId="135">[1]Home!$E$63</definedName>
    <definedName name="_Sign" localSheetId="140">[1]Home!$E$63</definedName>
    <definedName name="_Sign" localSheetId="117">[1]Home!$E$63</definedName>
    <definedName name="_Sign" localSheetId="134">[1]Home!$E$63</definedName>
    <definedName name="_Sign" localSheetId="141">[1]Home!$E$63</definedName>
    <definedName name="_Sign">#REF!</definedName>
    <definedName name="_Spread" localSheetId="44">[3]Home!$E$47</definedName>
    <definedName name="_Spread" localSheetId="46">[3]Home!$E$47</definedName>
    <definedName name="_Spread" localSheetId="45">[3]Home!$E$47</definedName>
    <definedName name="_Spread" localSheetId="47">[3]Home!$E$47</definedName>
    <definedName name="_Spread" localSheetId="48">[3]Home!$E$47</definedName>
    <definedName name="_Spread" localSheetId="49">[3]Home!$E$47</definedName>
    <definedName name="_Spread" localSheetId="50">[3]Home!$E$47</definedName>
    <definedName name="_Spread" localSheetId="102">[3]Home!$E$47</definedName>
    <definedName name="_Spread" localSheetId="51">[3]Home!$E$47</definedName>
    <definedName name="_Spread" localSheetId="103">[3]Home!$E$47</definedName>
    <definedName name="_Spread" localSheetId="52">[3]Home!$E$47</definedName>
    <definedName name="_Spread" localSheetId="6">[3]Home!$E$47</definedName>
    <definedName name="_Spread" localSheetId="89">[4]Home!$E$47</definedName>
    <definedName name="_Spread" localSheetId="108">[3]Home!$E$47</definedName>
    <definedName name="_Spread" localSheetId="90">[4]Home!$E$47</definedName>
    <definedName name="_Spread" localSheetId="109">[3]Home!$E$47</definedName>
    <definedName name="_Spread" localSheetId="12">[3]Home!$E$47</definedName>
    <definedName name="_Spread" localSheetId="13">[3]Home!$E$47</definedName>
    <definedName name="_Spread" localSheetId="19">[3]Home!$E$47</definedName>
    <definedName name="_Spread" localSheetId="95">[4]Home!$E$47</definedName>
    <definedName name="_Spread" localSheetId="111">[3]Home!$E$47</definedName>
    <definedName name="_Spread" localSheetId="18">[3]Home!$E$47</definedName>
    <definedName name="_Spread" localSheetId="27">[3]Home!$E$47</definedName>
    <definedName name="_Spread" localSheetId="28">[3]Home!$E$47</definedName>
    <definedName name="_Spread" localSheetId="29">[3]Home!$E$47</definedName>
    <definedName name="_Spread" localSheetId="30">[3]Home!$E$47</definedName>
    <definedName name="_Spread" localSheetId="31">[3]Home!$E$47</definedName>
    <definedName name="_Spread" localSheetId="32">[3]Home!$E$47</definedName>
    <definedName name="_Spread" localSheetId="101">#REF!</definedName>
    <definedName name="_Spread">#REF!</definedName>
    <definedName name="_Stamp" localSheetId="44">[3]Home!$E$45</definedName>
    <definedName name="_Stamp" localSheetId="46">[3]Home!$E$45</definedName>
    <definedName name="_Stamp" localSheetId="45">[3]Home!$E$45</definedName>
    <definedName name="_Stamp" localSheetId="47">[3]Home!$E$45</definedName>
    <definedName name="_Stamp" localSheetId="48">[3]Home!$E$45</definedName>
    <definedName name="_Stamp" localSheetId="49">[3]Home!$E$45</definedName>
    <definedName name="_Stamp" localSheetId="50">[3]Home!$E$45</definedName>
    <definedName name="_Stamp" localSheetId="102">[3]Home!$E$45</definedName>
    <definedName name="_Stamp" localSheetId="51">[3]Home!$E$45</definedName>
    <definedName name="_Stamp" localSheetId="103">[3]Home!$E$45</definedName>
    <definedName name="_Stamp" localSheetId="52">[3]Home!$E$45</definedName>
    <definedName name="_Stamp" localSheetId="6">[3]Home!$E$45</definedName>
    <definedName name="_Stamp" localSheetId="89">[4]Home!$E$45</definedName>
    <definedName name="_Stamp" localSheetId="108">[3]Home!$E$45</definedName>
    <definedName name="_Stamp" localSheetId="90">[4]Home!$E$45</definedName>
    <definedName name="_Stamp" localSheetId="109">[3]Home!$E$45</definedName>
    <definedName name="_Stamp" localSheetId="12">[3]Home!$E$45</definedName>
    <definedName name="_Stamp" localSheetId="13">[3]Home!$E$45</definedName>
    <definedName name="_Stamp" localSheetId="19">[3]Home!$E$45</definedName>
    <definedName name="_Stamp" localSheetId="95">[4]Home!$E$45</definedName>
    <definedName name="_Stamp" localSheetId="111">[3]Home!$E$45</definedName>
    <definedName name="_Stamp" localSheetId="18">[3]Home!$E$45</definedName>
    <definedName name="_Stamp" localSheetId="27">[3]Home!$E$45</definedName>
    <definedName name="_Stamp" localSheetId="28">[3]Home!$E$45</definedName>
    <definedName name="_Stamp" localSheetId="29">[3]Home!$E$45</definedName>
    <definedName name="_Stamp" localSheetId="30">[3]Home!$E$45</definedName>
    <definedName name="_Stamp" localSheetId="31">[3]Home!$E$45</definedName>
    <definedName name="_Stamp" localSheetId="32">[3]Home!$E$45</definedName>
    <definedName name="_Stamp" localSheetId="101">#REF!</definedName>
    <definedName name="_Stamp">#REF!</definedName>
    <definedName name="_Subsoil" localSheetId="44">[3]Home!$E$56</definedName>
    <definedName name="_Subsoil" localSheetId="46">[3]Home!$E$56</definedName>
    <definedName name="_Subsoil" localSheetId="45">[3]Home!$E$56</definedName>
    <definedName name="_Subsoil" localSheetId="47">[3]Home!$E$56</definedName>
    <definedName name="_Subsoil" localSheetId="48">[3]Home!$E$56</definedName>
    <definedName name="_Subsoil" localSheetId="49">[3]Home!$E$56</definedName>
    <definedName name="_Subsoil" localSheetId="50">[3]Home!$E$56</definedName>
    <definedName name="_Subsoil" localSheetId="102">[3]Home!$E$56</definedName>
    <definedName name="_Subsoil" localSheetId="51">[3]Home!$E$56</definedName>
    <definedName name="_Subsoil" localSheetId="103">[3]Home!$E$56</definedName>
    <definedName name="_Subsoil" localSheetId="52">[3]Home!$E$56</definedName>
    <definedName name="_Subsoil" localSheetId="6">[3]Home!$E$56</definedName>
    <definedName name="_Subsoil" localSheetId="89">[4]Home!$E$56</definedName>
    <definedName name="_Subsoil" localSheetId="108">[3]Home!$E$56</definedName>
    <definedName name="_Subsoil" localSheetId="90">[4]Home!$E$56</definedName>
    <definedName name="_Subsoil" localSheetId="109">[3]Home!$E$56</definedName>
    <definedName name="_Subsoil" localSheetId="12">[3]Home!$E$56</definedName>
    <definedName name="_Subsoil" localSheetId="13">[3]Home!$E$56</definedName>
    <definedName name="_Subsoil" localSheetId="19">[3]Home!$E$56</definedName>
    <definedName name="_Subsoil" localSheetId="95">[4]Home!$E$56</definedName>
    <definedName name="_Subsoil" localSheetId="111">[3]Home!$E$56</definedName>
    <definedName name="_Subsoil" localSheetId="18">[3]Home!$E$56</definedName>
    <definedName name="_Subsoil" localSheetId="27">[3]Home!$E$56</definedName>
    <definedName name="_Subsoil" localSheetId="28">[3]Home!$E$56</definedName>
    <definedName name="_Subsoil" localSheetId="29">[3]Home!$E$56</definedName>
    <definedName name="_Subsoil" localSheetId="30">[3]Home!$E$56</definedName>
    <definedName name="_Subsoil" localSheetId="31">[3]Home!$E$56</definedName>
    <definedName name="_Subsoil" localSheetId="32">[3]Home!$E$56</definedName>
    <definedName name="_Subsoil" localSheetId="101">#REF!</definedName>
    <definedName name="_Subsoil">#REF!</definedName>
    <definedName name="_Summary" localSheetId="8">[1]Home!$J$16</definedName>
    <definedName name="_Summary" localSheetId="86">[1]Home!$J$16</definedName>
    <definedName name="_Summary" localSheetId="128">[1]Home!$J$16</definedName>
    <definedName name="_Summary" localSheetId="105">[2]Home!$J$16</definedName>
    <definedName name="_Summary" localSheetId="44">[3]Home!$J$16</definedName>
    <definedName name="_Summary" localSheetId="46">[3]Home!$J$16</definedName>
    <definedName name="_Summary" localSheetId="45">[3]Home!$J$16</definedName>
    <definedName name="_Summary" localSheetId="47">[3]Home!$J$16</definedName>
    <definedName name="_Summary" localSheetId="48">[3]Home!$J$16</definedName>
    <definedName name="_Summary" localSheetId="49">[3]Home!$J$16</definedName>
    <definedName name="_Summary" localSheetId="50">[3]Home!$J$16</definedName>
    <definedName name="_Summary" localSheetId="102">[3]Home!$J$16</definedName>
    <definedName name="_Summary" localSheetId="51">[3]Home!$J$16</definedName>
    <definedName name="_Summary" localSheetId="103">[3]Home!$J$16</definedName>
    <definedName name="_Summary" localSheetId="52">[3]Home!$J$16</definedName>
    <definedName name="_Summary" localSheetId="6">[3]Home!$J$16</definedName>
    <definedName name="_Summary" localSheetId="89">[4]Home!$J$16</definedName>
    <definedName name="_Summary" localSheetId="108">[3]Home!$J$16</definedName>
    <definedName name="_Summary" localSheetId="90">[4]Home!$J$16</definedName>
    <definedName name="_Summary" localSheetId="109">[3]Home!$J$16</definedName>
    <definedName name="_Summary" localSheetId="12">[3]Home!$J$16</definedName>
    <definedName name="_Summary" localSheetId="13">[3]Home!$J$16</definedName>
    <definedName name="_Summary" localSheetId="19">[3]Home!$J$16</definedName>
    <definedName name="_Summary" localSheetId="95">[4]Home!$J$16</definedName>
    <definedName name="_Summary" localSheetId="111">[3]Home!$J$16</definedName>
    <definedName name="_Summary" localSheetId="18">[3]Home!$J$16</definedName>
    <definedName name="_Summary" localSheetId="27">[3]Home!$J$16</definedName>
    <definedName name="_Summary" localSheetId="28">[3]Home!$J$16</definedName>
    <definedName name="_Summary" localSheetId="29">[3]Home!$J$16</definedName>
    <definedName name="_Summary" localSheetId="30">[3]Home!$J$16</definedName>
    <definedName name="_Summary" localSheetId="31">[3]Home!$J$16</definedName>
    <definedName name="_Summary" localSheetId="32">[3]Home!$J$16</definedName>
    <definedName name="_Summary" localSheetId="101">#REF!</definedName>
    <definedName name="_Summary" localSheetId="114">[1]Home!$J$16</definedName>
    <definedName name="_Summary" localSheetId="113">[2]Home!$J$16</definedName>
    <definedName name="_Summary" localSheetId="135">[1]Home!$J$16</definedName>
    <definedName name="_Summary" localSheetId="140">[1]Home!$J$16</definedName>
    <definedName name="_Summary" localSheetId="117">[1]Home!$J$16</definedName>
    <definedName name="_Summary" localSheetId="134">[1]Home!$J$16</definedName>
    <definedName name="_Summary" localSheetId="141">[1]Home!$J$16</definedName>
    <definedName name="_Summary">#REF!</definedName>
    <definedName name="_Wacker" localSheetId="8">[1]Home!$E$46</definedName>
    <definedName name="_Wacker" localSheetId="86">[1]Home!$E$46</definedName>
    <definedName name="_Wacker" localSheetId="128">[1]Home!$E$46</definedName>
    <definedName name="_Wacker" localSheetId="105">[2]Home!$E$46</definedName>
    <definedName name="_Wacker" localSheetId="44">[3]Home!$E$46</definedName>
    <definedName name="_Wacker" localSheetId="46">[3]Home!$E$46</definedName>
    <definedName name="_Wacker" localSheetId="45">[3]Home!$E$46</definedName>
    <definedName name="_Wacker" localSheetId="47">[3]Home!$E$46</definedName>
    <definedName name="_Wacker" localSheetId="48">[3]Home!$E$46</definedName>
    <definedName name="_Wacker" localSheetId="49">[3]Home!$E$46</definedName>
    <definedName name="_Wacker" localSheetId="50">[3]Home!$E$46</definedName>
    <definedName name="_Wacker" localSheetId="102">[3]Home!$E$46</definedName>
    <definedName name="_Wacker" localSheetId="51">[3]Home!$E$46</definedName>
    <definedName name="_Wacker" localSheetId="103">[3]Home!$E$46</definedName>
    <definedName name="_Wacker" localSheetId="52">[3]Home!$E$46</definedName>
    <definedName name="_Wacker" localSheetId="6">[3]Home!$E$46</definedName>
    <definedName name="_Wacker" localSheetId="89">[4]Home!$E$46</definedName>
    <definedName name="_Wacker" localSheetId="108">[3]Home!$E$46</definedName>
    <definedName name="_Wacker" localSheetId="90">[4]Home!$E$46</definedName>
    <definedName name="_Wacker" localSheetId="109">[3]Home!$E$46</definedName>
    <definedName name="_Wacker" localSheetId="12">[3]Home!$E$46</definedName>
    <definedName name="_Wacker" localSheetId="13">[3]Home!$E$46</definedName>
    <definedName name="_Wacker" localSheetId="19">[3]Home!$E$46</definedName>
    <definedName name="_Wacker" localSheetId="95">[4]Home!$E$46</definedName>
    <definedName name="_Wacker" localSheetId="111">[3]Home!$E$46</definedName>
    <definedName name="_Wacker" localSheetId="18">[3]Home!$E$46</definedName>
    <definedName name="_Wacker" localSheetId="27">[3]Home!$E$46</definedName>
    <definedName name="_Wacker" localSheetId="28">[3]Home!$E$46</definedName>
    <definedName name="_Wacker" localSheetId="29">[3]Home!$E$46</definedName>
    <definedName name="_Wacker" localSheetId="30">[3]Home!$E$46</definedName>
    <definedName name="_Wacker" localSheetId="31">[3]Home!$E$46</definedName>
    <definedName name="_Wacker" localSheetId="32">[3]Home!$E$46</definedName>
    <definedName name="_Wacker" localSheetId="101">#REF!</definedName>
    <definedName name="_Wacker" localSheetId="114">[1]Home!$E$46</definedName>
    <definedName name="_Wacker" localSheetId="113">[2]Home!$E$46</definedName>
    <definedName name="_Wacker" localSheetId="135">[1]Home!$E$46</definedName>
    <definedName name="_Wacker" localSheetId="140">[1]Home!$E$46</definedName>
    <definedName name="_Wacker" localSheetId="117">[1]Home!$E$46</definedName>
    <definedName name="_Wacker" localSheetId="134">[1]Home!$E$46</definedName>
    <definedName name="_Wacker" localSheetId="141">[1]Home!$E$46</definedName>
    <definedName name="_Wacker">#REF!</definedName>
    <definedName name="C7.3" localSheetId="101">#REF!</definedName>
    <definedName name="C7.3">#REF!</definedName>
    <definedName name="Client1" localSheetId="128">[5]Information!$C$2</definedName>
    <definedName name="Client1" localSheetId="43">[6]Information!$C$2</definedName>
    <definedName name="Client1" localSheetId="101">[6]Information!$C$2</definedName>
    <definedName name="Client1" localSheetId="142">[7]Information!$C$2</definedName>
    <definedName name="Client1" localSheetId="117">[5]Information!$C$2</definedName>
    <definedName name="Client1" localSheetId="134">[5]Information!$C$2</definedName>
    <definedName name="Client1">Information!$C$2</definedName>
    <definedName name="Client2" localSheetId="128">[5]Information!$C$3</definedName>
    <definedName name="Client2" localSheetId="43">[6]Information!$C$3</definedName>
    <definedName name="Client2" localSheetId="101">[6]Information!$C$3</definedName>
    <definedName name="Client2" localSheetId="142">[7]Information!$C$3</definedName>
    <definedName name="Client2" localSheetId="117">[5]Information!$C$3</definedName>
    <definedName name="Client2" localSheetId="134">[5]Information!$C$3</definedName>
    <definedName name="Client2">Information!$C$3</definedName>
    <definedName name="ContractDescription" localSheetId="128">[5]Information!$C$6</definedName>
    <definedName name="ContractDescription" localSheetId="43">[6]Information!$C$6</definedName>
    <definedName name="ContractDescription" localSheetId="101">[6]Information!$C$6</definedName>
    <definedName name="ContractDescription" localSheetId="142">[7]Information!$C$6</definedName>
    <definedName name="ContractDescription" localSheetId="117">[5]Information!$C$6</definedName>
    <definedName name="ContractDescription" localSheetId="134">[5]Information!$C$6</definedName>
    <definedName name="ContractDescription">Information!$C$6</definedName>
    <definedName name="ContractNo" localSheetId="128">[5]Information!$C$5</definedName>
    <definedName name="ContractNo" localSheetId="43">[6]Information!$C$5</definedName>
    <definedName name="ContractNo" localSheetId="101">[6]Information!$C$5</definedName>
    <definedName name="ContractNo" localSheetId="142">[7]Information!$C$5</definedName>
    <definedName name="ContractNo" localSheetId="117">[5]Information!$C$5</definedName>
    <definedName name="ContractNo" localSheetId="134">[5]Information!$C$5</definedName>
    <definedName name="ContractNo">Information!$C$5</definedName>
    <definedName name="DELETE">[8]Home!$E$44</definedName>
    <definedName name="lori" localSheetId="43">#REF!</definedName>
    <definedName name="lori" localSheetId="101">#REF!</definedName>
    <definedName name="lori" localSheetId="142">#REF!</definedName>
    <definedName name="lori">#REF!</definedName>
    <definedName name="lorin" localSheetId="43">#REF!</definedName>
    <definedName name="lorin" localSheetId="101">#REF!</definedName>
    <definedName name="lorin" localSheetId="142">#REF!</definedName>
    <definedName name="lorin">#REF!</definedName>
    <definedName name="lorinda" localSheetId="43">#REF!</definedName>
    <definedName name="lorinda" localSheetId="101">#REF!</definedName>
    <definedName name="lorinda" localSheetId="142">#REF!</definedName>
    <definedName name="lorinda">#REF!</definedName>
    <definedName name="ntha" localSheetId="101">#REF!</definedName>
    <definedName name="ntha">#REF!</definedName>
    <definedName name="nthab" localSheetId="101">#REF!</definedName>
    <definedName name="nthab">#REF!</definedName>
    <definedName name="nthabi" localSheetId="101">#REF!</definedName>
    <definedName name="nthabi">#REF!</definedName>
    <definedName name="nthabz" localSheetId="101">#REF!</definedName>
    <definedName name="nthabz">#REF!</definedName>
    <definedName name="Page_A" localSheetId="8">[1]Home!$J$12</definedName>
    <definedName name="Page_A" localSheetId="86">[1]Home!$J$12</definedName>
    <definedName name="Page_A" localSheetId="128">[1]Home!$J$12</definedName>
    <definedName name="Page_A" localSheetId="105">[2]Home!$J$12</definedName>
    <definedName name="Page_A" localSheetId="44">[3]Home!$J$12</definedName>
    <definedName name="Page_A" localSheetId="46">[3]Home!$J$12</definedName>
    <definedName name="Page_A" localSheetId="45">[3]Home!$J$12</definedName>
    <definedName name="Page_A" localSheetId="47">[3]Home!$J$12</definedName>
    <definedName name="Page_A" localSheetId="48">[3]Home!$J$12</definedName>
    <definedName name="Page_A" localSheetId="49">[3]Home!$J$12</definedName>
    <definedName name="Page_A" localSheetId="50">[3]Home!$J$12</definedName>
    <definedName name="Page_A" localSheetId="102">[3]Home!$J$12</definedName>
    <definedName name="Page_A" localSheetId="51">[3]Home!$J$12</definedName>
    <definedName name="Page_A" localSheetId="103">[3]Home!$J$12</definedName>
    <definedName name="Page_A" localSheetId="52">[3]Home!$J$12</definedName>
    <definedName name="Page_A" localSheetId="6">[3]Home!$J$12</definedName>
    <definedName name="Page_A" localSheetId="89">[4]Home!$J$12</definedName>
    <definedName name="Page_A" localSheetId="108">[3]Home!$J$12</definedName>
    <definedName name="Page_A" localSheetId="90">[4]Home!$J$12</definedName>
    <definedName name="Page_A" localSheetId="109">[3]Home!$J$12</definedName>
    <definedName name="Page_A" localSheetId="12">[3]Home!$J$12</definedName>
    <definedName name="Page_A" localSheetId="13">[3]Home!$J$12</definedName>
    <definedName name="Page_A" localSheetId="19">[3]Home!$J$12</definedName>
    <definedName name="Page_A" localSheetId="95">[4]Home!$J$12</definedName>
    <definedName name="Page_A" localSheetId="111">[3]Home!$J$12</definedName>
    <definedName name="Page_A" localSheetId="18">[3]Home!$J$12</definedName>
    <definedName name="Page_A" localSheetId="27">[3]Home!$J$12</definedName>
    <definedName name="Page_A" localSheetId="28">[3]Home!$J$12</definedName>
    <definedName name="Page_A" localSheetId="29">[3]Home!$J$12</definedName>
    <definedName name="Page_A" localSheetId="30">[3]Home!$J$12</definedName>
    <definedName name="Page_A" localSheetId="31">[3]Home!$J$12</definedName>
    <definedName name="Page_A" localSheetId="32">[3]Home!$J$12</definedName>
    <definedName name="Page_A" localSheetId="101">#REF!</definedName>
    <definedName name="Page_A" localSheetId="114">[1]Home!$J$12</definedName>
    <definedName name="Page_A" localSheetId="113">[2]Home!$J$12</definedName>
    <definedName name="Page_A" localSheetId="135">[1]Home!$J$12</definedName>
    <definedName name="Page_A" localSheetId="140">[1]Home!$J$12</definedName>
    <definedName name="Page_A" localSheetId="117">[1]Home!$J$12</definedName>
    <definedName name="Page_A" localSheetId="134">[1]Home!$J$12</definedName>
    <definedName name="Page_A" localSheetId="141">[1]Home!$J$12</definedName>
    <definedName name="Page_A">#REF!</definedName>
    <definedName name="Page_D" localSheetId="8">[1]Home!$J$13</definedName>
    <definedName name="Page_D" localSheetId="86">[1]Home!$J$13</definedName>
    <definedName name="Page_D" localSheetId="128">[1]Home!$J$13</definedName>
    <definedName name="Page_D" localSheetId="105">[2]Home!$J$13</definedName>
    <definedName name="Page_D" localSheetId="44">[3]Home!$J$13</definedName>
    <definedName name="Page_D" localSheetId="46">[3]Home!$J$13</definedName>
    <definedName name="Page_D" localSheetId="45">[3]Home!$J$13</definedName>
    <definedName name="Page_D" localSheetId="47">[3]Home!$J$13</definedName>
    <definedName name="Page_D" localSheetId="48">[3]Home!$J$13</definedName>
    <definedName name="Page_D" localSheetId="49">[3]Home!$J$13</definedName>
    <definedName name="Page_D" localSheetId="50">[3]Home!$J$13</definedName>
    <definedName name="Page_D" localSheetId="102">[3]Home!$J$13</definedName>
    <definedName name="Page_D" localSheetId="51">[3]Home!$J$13</definedName>
    <definedName name="Page_D" localSheetId="103">[3]Home!$J$13</definedName>
    <definedName name="Page_D" localSheetId="52">[3]Home!$J$13</definedName>
    <definedName name="Page_D" localSheetId="6">[3]Home!$J$13</definedName>
    <definedName name="Page_D" localSheetId="89">[4]Home!$J$13</definedName>
    <definedName name="Page_D" localSheetId="108">[3]Home!$J$13</definedName>
    <definedName name="Page_D" localSheetId="90">[4]Home!$J$13</definedName>
    <definedName name="Page_D" localSheetId="109">[3]Home!$J$13</definedName>
    <definedName name="Page_D" localSheetId="12">[3]Home!$J$13</definedName>
    <definedName name="Page_D" localSheetId="13">[3]Home!$J$13</definedName>
    <definedName name="Page_D" localSheetId="19">[3]Home!$J$13</definedName>
    <definedName name="Page_D" localSheetId="95">[4]Home!$J$13</definedName>
    <definedName name="Page_D" localSheetId="111">[3]Home!$J$13</definedName>
    <definedName name="Page_D" localSheetId="18">[3]Home!$J$13</definedName>
    <definedName name="Page_D" localSheetId="27">[3]Home!$J$13</definedName>
    <definedName name="Page_D" localSheetId="28">[3]Home!$J$13</definedName>
    <definedName name="Page_D" localSheetId="29">[3]Home!$J$13</definedName>
    <definedName name="Page_D" localSheetId="30">[3]Home!$J$13</definedName>
    <definedName name="Page_D" localSheetId="31">[3]Home!$J$13</definedName>
    <definedName name="Page_D" localSheetId="32">[3]Home!$J$13</definedName>
    <definedName name="Page_D" localSheetId="101">#REF!</definedName>
    <definedName name="Page_D" localSheetId="114">[1]Home!$J$13</definedName>
    <definedName name="Page_D" localSheetId="113">[2]Home!$J$13</definedName>
    <definedName name="Page_D" localSheetId="135">[1]Home!$J$13</definedName>
    <definedName name="Page_D" localSheetId="140">[1]Home!$J$13</definedName>
    <definedName name="Page_D" localSheetId="117">[1]Home!$J$13</definedName>
    <definedName name="Page_D" localSheetId="134">[1]Home!$J$13</definedName>
    <definedName name="Page_D" localSheetId="141">[1]Home!$J$13</definedName>
    <definedName name="Page_D">#REF!</definedName>
    <definedName name="Page_F" localSheetId="8">[1]Home!$J$14</definedName>
    <definedName name="Page_F" localSheetId="86">[1]Home!$J$14</definedName>
    <definedName name="Page_F" localSheetId="128">[1]Home!$J$14</definedName>
    <definedName name="Page_F" localSheetId="105">[2]Home!$J$14</definedName>
    <definedName name="Page_F" localSheetId="44">[3]Home!$J$14</definedName>
    <definedName name="Page_F" localSheetId="46">[3]Home!$J$14</definedName>
    <definedName name="Page_F" localSheetId="45">[3]Home!$J$14</definedName>
    <definedName name="Page_F" localSheetId="47">[3]Home!$J$14</definedName>
    <definedName name="Page_F" localSheetId="48">[3]Home!$J$14</definedName>
    <definedName name="Page_F" localSheetId="49">[3]Home!$J$14</definedName>
    <definedName name="Page_F" localSheetId="50">[3]Home!$J$14</definedName>
    <definedName name="Page_F" localSheetId="102">[3]Home!$J$14</definedName>
    <definedName name="Page_F" localSheetId="51">[3]Home!$J$14</definedName>
    <definedName name="Page_F" localSheetId="103">[3]Home!$J$14</definedName>
    <definedName name="Page_F" localSheetId="52">[3]Home!$J$14</definedName>
    <definedName name="Page_F" localSheetId="6">[3]Home!$J$14</definedName>
    <definedName name="Page_F" localSheetId="89">[4]Home!$J$14</definedName>
    <definedName name="Page_F" localSheetId="108">[3]Home!$J$14</definedName>
    <definedName name="Page_F" localSheetId="90">[4]Home!$J$14</definedName>
    <definedName name="Page_F" localSheetId="109">[3]Home!$J$14</definedName>
    <definedName name="Page_F" localSheetId="12">[3]Home!$J$14</definedName>
    <definedName name="Page_F" localSheetId="13">[3]Home!$J$14</definedName>
    <definedName name="Page_F" localSheetId="19">[3]Home!$J$14</definedName>
    <definedName name="Page_F" localSheetId="95">[4]Home!$J$14</definedName>
    <definedName name="Page_F" localSheetId="111">[3]Home!$J$14</definedName>
    <definedName name="Page_F" localSheetId="18">[3]Home!$J$14</definedName>
    <definedName name="Page_F" localSheetId="27">[3]Home!$J$14</definedName>
    <definedName name="Page_F" localSheetId="28">[3]Home!$J$14</definedName>
    <definedName name="Page_F" localSheetId="29">[3]Home!$J$14</definedName>
    <definedName name="Page_F" localSheetId="30">[3]Home!$J$14</definedName>
    <definedName name="Page_F" localSheetId="31">[3]Home!$J$14</definedName>
    <definedName name="Page_F" localSheetId="32">[3]Home!$J$14</definedName>
    <definedName name="Page_F" localSheetId="101">#REF!</definedName>
    <definedName name="Page_F" localSheetId="114">[1]Home!$J$14</definedName>
    <definedName name="Page_F" localSheetId="113">[2]Home!$J$14</definedName>
    <definedName name="Page_F" localSheetId="135">[1]Home!$J$14</definedName>
    <definedName name="Page_F" localSheetId="140">[1]Home!$J$14</definedName>
    <definedName name="Page_F" localSheetId="117">[1]Home!$J$14</definedName>
    <definedName name="Page_F" localSheetId="134">[1]Home!$J$14</definedName>
    <definedName name="Page_F" localSheetId="141">[1]Home!$J$14</definedName>
    <definedName name="Page_F">#REF!</definedName>
    <definedName name="Page_G" localSheetId="8">[1]Home!$J$15</definedName>
    <definedName name="Page_G" localSheetId="86">[1]Home!$J$15</definedName>
    <definedName name="Page_G" localSheetId="128">[1]Home!$J$15</definedName>
    <definedName name="Page_G" localSheetId="105">[2]Home!$J$15</definedName>
    <definedName name="Page_G" localSheetId="44">[3]Home!$J$15</definedName>
    <definedName name="Page_G" localSheetId="46">[3]Home!$J$15</definedName>
    <definedName name="Page_G" localSheetId="45">[3]Home!$J$15</definedName>
    <definedName name="Page_G" localSheetId="47">[3]Home!$J$15</definedName>
    <definedName name="Page_G" localSheetId="48">[3]Home!$J$15</definedName>
    <definedName name="Page_G" localSheetId="49">[3]Home!$J$15</definedName>
    <definedName name="Page_G" localSheetId="50">[3]Home!$J$15</definedName>
    <definedName name="Page_G" localSheetId="102">[3]Home!$J$15</definedName>
    <definedName name="Page_G" localSheetId="51">[3]Home!$J$15</definedName>
    <definedName name="Page_G" localSheetId="103">[3]Home!$J$15</definedName>
    <definedName name="Page_G" localSheetId="52">[3]Home!$J$15</definedName>
    <definedName name="Page_G" localSheetId="6">[3]Home!$J$15</definedName>
    <definedName name="Page_G" localSheetId="89">[4]Home!$J$15</definedName>
    <definedName name="Page_G" localSheetId="108">[3]Home!$J$15</definedName>
    <definedName name="Page_G" localSheetId="90">[4]Home!$J$15</definedName>
    <definedName name="Page_G" localSheetId="109">[3]Home!$J$15</definedName>
    <definedName name="Page_G" localSheetId="12">[3]Home!$J$15</definedName>
    <definedName name="Page_G" localSheetId="13">[3]Home!$J$15</definedName>
    <definedName name="Page_G" localSheetId="19">[3]Home!$J$15</definedName>
    <definedName name="Page_G" localSheetId="95">[4]Home!$J$15</definedName>
    <definedName name="Page_G" localSheetId="111">[3]Home!$J$15</definedName>
    <definedName name="Page_G" localSheetId="18">[3]Home!$J$15</definedName>
    <definedName name="Page_G" localSheetId="27">[3]Home!$J$15</definedName>
    <definedName name="Page_G" localSheetId="28">[3]Home!$J$15</definedName>
    <definedName name="Page_G" localSheetId="29">[3]Home!$J$15</definedName>
    <definedName name="Page_G" localSheetId="30">[3]Home!$J$15</definedName>
    <definedName name="Page_G" localSheetId="31">[3]Home!$J$15</definedName>
    <definedName name="Page_G" localSheetId="32">[3]Home!$J$15</definedName>
    <definedName name="Page_G" localSheetId="101">#REF!</definedName>
    <definedName name="Page_G" localSheetId="114">[1]Home!$J$15</definedName>
    <definedName name="Page_G" localSheetId="113">[2]Home!$J$15</definedName>
    <definedName name="Page_G" localSheetId="135">[1]Home!$J$15</definedName>
    <definedName name="Page_G" localSheetId="140">[1]Home!$J$15</definedName>
    <definedName name="Page_G" localSheetId="117">[1]Home!$J$15</definedName>
    <definedName name="Page_G" localSheetId="134">[1]Home!$J$15</definedName>
    <definedName name="Page_G" localSheetId="141">[1]Home!$J$15</definedName>
    <definedName name="Page_G">#REF!</definedName>
    <definedName name="_xlnm.Print_Area" localSheetId="8">' A - PnGs'!$A$1:$I$15</definedName>
    <definedName name="_xlnm.Print_Area" localSheetId="86">' B BRAVO'!$A$1:$H$24</definedName>
    <definedName name="_xlnm.Print_Area" localSheetId="128">'BRAVO SUM'!$A$1:$I$24</definedName>
    <definedName name="_xlnm.Print_Area" localSheetId="118">'BT Section 1 '!$A$1:$I$49</definedName>
    <definedName name="_xlnm.Print_Area" localSheetId="127">'BT Section 10'!$A$1:$I$46</definedName>
    <definedName name="_xlnm.Print_Area" localSheetId="119">'BT Section 2'!$A$1:$I$49</definedName>
    <definedName name="_xlnm.Print_Area" localSheetId="120">'BT Section 3'!$A$1:$I$41</definedName>
    <definedName name="_xlnm.Print_Area" localSheetId="121">'BT Section 4'!$A$1:$I$48</definedName>
    <definedName name="_xlnm.Print_Area" localSheetId="122">'BT Section 5'!$A$1:$I$48</definedName>
    <definedName name="_xlnm.Print_Area" localSheetId="123">'BT Section 6'!$A$1:$I$48</definedName>
    <definedName name="_xlnm.Print_Area" localSheetId="124">'BT Section 7'!$A$1:$I$48</definedName>
    <definedName name="_xlnm.Print_Area" localSheetId="125">'BT Section 8'!$A$1:$I$48</definedName>
    <definedName name="_xlnm.Print_Area" localSheetId="126">'BT Section 9'!$A$1:$I$47</definedName>
    <definedName name="_xlnm.Print_Area" localSheetId="105">'C - NEW TIE IN'!$A$1:$I$28</definedName>
    <definedName name="_xlnm.Print_Area" localSheetId="2">'C1.2A'!$A$1:$H$90</definedName>
    <definedName name="_xlnm.Print_Area" localSheetId="3">'C1.3A'!$A$1:$I$62</definedName>
    <definedName name="_xlnm.Print_Area" localSheetId="4">'C1.4A'!$A$1:$H$126</definedName>
    <definedName name="_xlnm.Print_Area" localSheetId="5">'C1.5A'!$A$1:$H$149</definedName>
    <definedName name="_xlnm.Print_Area" localSheetId="9">'C1.6B'!$A$1:$H$24</definedName>
    <definedName name="_xlnm.Print_Area" localSheetId="87">'C1.6C'!$A$1:$I$60</definedName>
    <definedName name="_xlnm.Print_Area" localSheetId="106">'C1.6D'!$A$1:$I$60</definedName>
    <definedName name="_xlnm.Print_Area" localSheetId="10">'C1.7B'!$A$1:$I$39</definedName>
    <definedName name="_xlnm.Print_Area" localSheetId="88">'C1.7C'!$A$1:$I$65</definedName>
    <definedName name="_xlnm.Print_Area" localSheetId="107">'C1.7D'!$A$1:$I$65</definedName>
    <definedName name="_xlnm.Print_Area" localSheetId="44">'C11.1'!$A$1:$I$22</definedName>
    <definedName name="_xlnm.Print_Area" localSheetId="46">'C11.2'!$A$1:$I$56</definedName>
    <definedName name="_xlnm.Print_Area" localSheetId="45">'C11.3'!$A$1:$I$51</definedName>
    <definedName name="_xlnm.Print_Area" localSheetId="47">'C11.4'!$A$1:$I$60</definedName>
    <definedName name="_xlnm.Print_Area" localSheetId="48">'C11.5'!$A$1:$I$144</definedName>
    <definedName name="_xlnm.Print_Area" localSheetId="49">'C11.6'!$A$1:$I$104</definedName>
    <definedName name="_xlnm.Print_Area" localSheetId="50">'C11.7B'!$A$1:$I$45</definedName>
    <definedName name="_xlnm.Print_Area" localSheetId="102">'C11.7C'!$A$1:$I$44</definedName>
    <definedName name="_xlnm.Print_Area" localSheetId="51">'C11.8B'!$A$1:$I$50</definedName>
    <definedName name="_xlnm.Print_Area" localSheetId="103">'C11.8C'!$A$1:$I$50</definedName>
    <definedName name="_xlnm.Print_Area" localSheetId="52">'C11.9'!$A$1:$I$48</definedName>
    <definedName name="_xlnm.Print_Area" localSheetId="53">'C12.1'!$A$1:$I$196</definedName>
    <definedName name="_xlnm.Print_Area" localSheetId="54">'C12.2'!$A$1:$H$66</definedName>
    <definedName name="_xlnm.Print_Area" localSheetId="55">'C12.3'!$A$1:$H$215</definedName>
    <definedName name="_xlnm.Print_Area" localSheetId="56">'C12.4'!$A$1:$I$79</definedName>
    <definedName name="_xlnm.Print_Area" localSheetId="57">'C12.5'!$A$1:$I$74</definedName>
    <definedName name="_xlnm.Print_Area" localSheetId="58">'C12.6'!$A$1:$I$145</definedName>
    <definedName name="_xlnm.Print_Area" localSheetId="104">'C12.7'!$A$1:$I$69</definedName>
    <definedName name="_xlnm.Print_Area" localSheetId="70">'C13.10'!$A$1:$I$79</definedName>
    <definedName name="_xlnm.Print_Area" localSheetId="71">'C13.11'!$A$1:$I$76</definedName>
    <definedName name="_xlnm.Print_Area" localSheetId="72">'C13.12'!$A$1:$I$78</definedName>
    <definedName name="_xlnm.Print_Area" localSheetId="74">'C13.14'!$A$1:$I$79</definedName>
    <definedName name="_xlnm.Print_Area" localSheetId="64">'C13.2'!$A$1:$I$60</definedName>
    <definedName name="_xlnm.Print_Area" localSheetId="65">'C13.3'!$A$1:$I$75</definedName>
    <definedName name="_xlnm.Print_Area" localSheetId="68">'C13.5'!$A$1:$I$78</definedName>
    <definedName name="_xlnm.Print_Area" localSheetId="69">'C13.9'!$A$1:$I$70</definedName>
    <definedName name="_xlnm.Print_Area" localSheetId="75">'C14.1'!$A$1:$I$62</definedName>
    <definedName name="_xlnm.Print_Area" localSheetId="84">'C14.10'!$A$1:$I$76</definedName>
    <definedName name="_xlnm.Print_Area" localSheetId="76">'C14.2'!$A$1:$I$71</definedName>
    <definedName name="_xlnm.Print_Area" localSheetId="77">'C14.3'!$A$1:$I$71</definedName>
    <definedName name="_xlnm.Print_Area" localSheetId="78">'C14.4'!$A$1:$I$74</definedName>
    <definedName name="_xlnm.Print_Area" localSheetId="79">'C14.5'!$A$1:$I$71</definedName>
    <definedName name="_xlnm.Print_Area" localSheetId="80">'C14.6'!$A$1:$I$75</definedName>
    <definedName name="_xlnm.Print_Area" localSheetId="81">'C14.7'!$A$1:$I$75</definedName>
    <definedName name="_xlnm.Print_Area" localSheetId="82">'C14.8'!$A$1:$I$74</definedName>
    <definedName name="_xlnm.Print_Area" localSheetId="83">'C14.9'!$A$1:$I$149</definedName>
    <definedName name="_xlnm.Print_Area" localSheetId="6">'C2.1A'!$A$1:$I$37</definedName>
    <definedName name="_xlnm.Print_Area" localSheetId="89">'C2.1C'!$A$1:$I$118</definedName>
    <definedName name="_xlnm.Print_Area" localSheetId="108">'C2.1D'!$A$1:$I$132</definedName>
    <definedName name="_xlnm.Print_Area" localSheetId="90">'C2.2C'!$A$1:$I$68</definedName>
    <definedName name="_xlnm.Print_Area" localSheetId="109">'C2.2D'!$A$1:$H$74</definedName>
    <definedName name="_xlnm.Print_Area" localSheetId="12">'C2.3'!$A$1:$I$591</definedName>
    <definedName name="_xlnm.Print_Area" localSheetId="13">'C2.4'!$A$1:$I$75</definedName>
    <definedName name="_xlnm.Print_Area" localSheetId="7">'C20.1A'!$A$1:$H$17</definedName>
    <definedName name="_xlnm.Print_Area" localSheetId="11">'C3.1B'!$A$1:$I$60</definedName>
    <definedName name="_xlnm.Print_Area" localSheetId="91">'C3.1C'!$A$1:$I$62</definedName>
    <definedName name="_xlnm.Print_Area" localSheetId="14">'C3.2B'!$A$1:$I$67</definedName>
    <definedName name="_xlnm.Print_Area" localSheetId="92">'C3.2C'!$A$1:$I$59</definedName>
    <definedName name="_xlnm.Print_Area" localSheetId="15">'C3.3B'!$B$1:$H$36</definedName>
    <definedName name="_xlnm.Print_Area" localSheetId="16">'C4.2B'!$A$1:$I$42</definedName>
    <definedName name="_xlnm.Print_Area" localSheetId="93">'C4.2C'!$A$1:$I$41</definedName>
    <definedName name="_xlnm.Print_Area" localSheetId="110">'C4.2D'!$A$1:$I$41</definedName>
    <definedName name="_xlnm.Print_Area" localSheetId="17">'C4.3B'!$A$1:$I$65</definedName>
    <definedName name="_xlnm.Print_Area" localSheetId="94">'C4.3C'!$A$1:$I$50</definedName>
    <definedName name="_xlnm.Print_Area" localSheetId="19">'C4.4B'!$A$1:$I$40</definedName>
    <definedName name="_xlnm.Print_Area" localSheetId="95">'C4.4C'!$A$1:$I$54</definedName>
    <definedName name="_xlnm.Print_Area" localSheetId="111">'C4.4D'!$A$1:$I$40</definedName>
    <definedName name="_xlnm.Print_Area" localSheetId="18">'C4.5'!$A$1:$I$77</definedName>
    <definedName name="_xlnm.Print_Area" localSheetId="20">'C5.1'!$A$1:$H$40</definedName>
    <definedName name="_xlnm.Print_Area" localSheetId="96">'C5.1C'!$A$1:$I$38</definedName>
    <definedName name="_xlnm.Print_Area" localSheetId="21">'C5.2B'!$A$1:$I$43</definedName>
    <definedName name="_xlnm.Print_Area" localSheetId="97">'C5.2C'!$A$1:$I$46</definedName>
    <definedName name="_xlnm.Print_Area" localSheetId="112">'C5.2D'!$A$1:$I$43</definedName>
    <definedName name="_xlnm.Print_Area" localSheetId="22">'C5.3'!$B$1:$I$49</definedName>
    <definedName name="_xlnm.Print_Area" localSheetId="98">'C5.3C'!$A$1:$I$57</definedName>
    <definedName name="_xlnm.Print_Area" localSheetId="23">'C5.4'!$A$1:$H$40</definedName>
    <definedName name="_xlnm.Print_Area" localSheetId="99">'C5.4C'!$A$1:$I$45</definedName>
    <definedName name="_xlnm.Print_Area" localSheetId="24">'C5.5'!$A$1:$I$96</definedName>
    <definedName name="_xlnm.Print_Area" localSheetId="25">'C6.1'!$A$1:$H$36</definedName>
    <definedName name="_xlnm.Print_Area" localSheetId="27">'C7.1'!$A$1:$I$74</definedName>
    <definedName name="_xlnm.Print_Area" localSheetId="28">'C7.2'!$A$1:$I$127</definedName>
    <definedName name="_xlnm.Print_Area" localSheetId="29">'C7.3'!$A$1:$I$131</definedName>
    <definedName name="_xlnm.Print_Area" localSheetId="30">'C7.4'!$A$1:$I$77</definedName>
    <definedName name="_xlnm.Print_Area" localSheetId="31">'C7.5'!$A$1:$I$79</definedName>
    <definedName name="_xlnm.Print_Area" localSheetId="32">'C7.6'!$A$1:$I$78</definedName>
    <definedName name="_xlnm.Print_Area" localSheetId="33">'C8.1'!$A$1:$I$63</definedName>
    <definedName name="_xlnm.Print_Area" localSheetId="37">'C8.1B'!$A$1:$I$31</definedName>
    <definedName name="_xlnm.Print_Area" localSheetId="100">'C8.1C'!$A$1:$I$31</definedName>
    <definedName name="_xlnm.Print_Area" localSheetId="34">'C8.2'!$A$1:$I$73</definedName>
    <definedName name="_xlnm.Print_Area" localSheetId="35">'C8.3'!$A$1:$I$73</definedName>
    <definedName name="_xlnm.Print_Area" localSheetId="36">'C8.4'!$A$1:$I$73</definedName>
    <definedName name="_xlnm.Print_Area" localSheetId="38">'C8.5B'!$A$1:$I$79</definedName>
    <definedName name="_xlnm.Print_Area" localSheetId="39">'C8.6'!$A$1:$I$77</definedName>
    <definedName name="_xlnm.Print_Area" localSheetId="40">'C8.7'!$A$1:$I$79</definedName>
    <definedName name="_xlnm.Print_Area" localSheetId="41">'C8.8B'!$A$1:$I$70</definedName>
    <definedName name="_xlnm.Print_Area" localSheetId="42">'C9,1'!$A$1:$I$61</definedName>
    <definedName name="_xlnm.Print_Area" localSheetId="43">'C9.1B'!$A$1:$I$108</definedName>
    <definedName name="_xlnm.Print_Area" localSheetId="101">'C9.1C'!$A$1:$I$82</definedName>
    <definedName name="_xlnm.Print_Area" localSheetId="1">'CIVIL BOQ'!$A$1:$I$53</definedName>
    <definedName name="_xlnm.Print_Area" localSheetId="114">'CIVIL BOQ Summary'!$A$1:$H$14</definedName>
    <definedName name="_xlnm.Print_Area" localSheetId="142">'CPG SUMMARY '!$A$1:$I$37</definedName>
    <definedName name="_xlnm.Print_Area" localSheetId="113">'D - APRON &amp; C'!$A$1:$I$24</definedName>
    <definedName name="_xlnm.Print_Area" localSheetId="135">'ELECTRICAL BOQ SUMMARY'!$A$1:$H$12</definedName>
    <definedName name="_xlnm.Print_Area" localSheetId="0">Information!$A$1:$E$13</definedName>
    <definedName name="_xlnm.Print_Area" localSheetId="140">'MECHANICAL BOQ SUMMARY'!$A$1:$H$12</definedName>
    <definedName name="_xlnm.Print_Area" localSheetId="116">'P&amp;G - ELECTRICAL'!$A$1:$I$50</definedName>
    <definedName name="_xlnm.Print_Area" localSheetId="137">'P&amp;G - MECHANICAL'!$A$1:$I$50</definedName>
    <definedName name="_xlnm.Print_Area" localSheetId="117">'P&amp;G SUMMARY'!$A$1:$I$24</definedName>
    <definedName name="_xlnm.Print_Area" localSheetId="138">'PSS1 - Pipework'!$A$1:$I$135</definedName>
    <definedName name="_xlnm.Print_Area" localSheetId="129">'QT Section 1 '!$A$1:$I$51</definedName>
    <definedName name="_xlnm.Print_Area" localSheetId="130">'QT Section 2'!$A$1:$I$49</definedName>
    <definedName name="_xlnm.Print_Area" localSheetId="131">'QT Section 3'!$A$1:$I$49</definedName>
    <definedName name="_xlnm.Print_Area" localSheetId="132">'QT Section 4'!$A$1:$I$49</definedName>
    <definedName name="_xlnm.Print_Area" localSheetId="133">'QT Section 5'!$A$1:$I$49</definedName>
    <definedName name="_xlnm.Print_Area" localSheetId="134">'QUEBEC SUM'!$A$1:$I$23</definedName>
    <definedName name="_xlnm.Print_Area" localSheetId="141">'SUMMARY OF FINAL SCHEDULE OF QU'!$A$1:$G$24</definedName>
    <definedName name="_xlnm.Print_Titles" localSheetId="44">'C11.1'!$4:$9</definedName>
    <definedName name="_xlnm.Print_Titles" localSheetId="46">'C11.2'!$4:$8</definedName>
    <definedName name="_xlnm.Print_Titles" localSheetId="45">'C11.3'!$4:$9</definedName>
    <definedName name="_xlnm.Print_Titles" localSheetId="47">'C11.4'!$4:$9</definedName>
    <definedName name="_xlnm.Print_Titles" localSheetId="48">'C11.5'!$4:$9</definedName>
    <definedName name="_xlnm.Print_Titles" localSheetId="50">'C11.7B'!$4:$9</definedName>
    <definedName name="_xlnm.Print_Titles" localSheetId="102">'C11.7C'!$4:$9</definedName>
    <definedName name="_xlnm.Print_Titles" localSheetId="51">'C11.8B'!$4:$8</definedName>
    <definedName name="_xlnm.Print_Titles" localSheetId="103">'C11.8C'!$4:$8</definedName>
    <definedName name="_xlnm.Print_Titles" localSheetId="52">'C11.9'!$4:$8</definedName>
    <definedName name="_xlnm.Print_Titles" localSheetId="6">'C2.1A'!$4:$9</definedName>
    <definedName name="_xlnm.Print_Titles" localSheetId="89">'C2.1C'!$4:$9</definedName>
    <definedName name="_xlnm.Print_Titles" localSheetId="108">'C2.1D'!$4:$9</definedName>
    <definedName name="_xlnm.Print_Titles" localSheetId="90">'C2.2C'!$4:$9</definedName>
    <definedName name="_xlnm.Print_Titles" localSheetId="109">'C2.2D'!$4:$9</definedName>
    <definedName name="_xlnm.Print_Titles" localSheetId="12">'C2.3'!$4:$9</definedName>
    <definedName name="_xlnm.Print_Titles" localSheetId="13">'C2.4'!$4:$9</definedName>
    <definedName name="_xlnm.Print_Titles" localSheetId="19">'C4.4B'!$4:$8</definedName>
    <definedName name="_xlnm.Print_Titles" localSheetId="95">'C4.4C'!$4:$10</definedName>
    <definedName name="_xlnm.Print_Titles" localSheetId="111">'C4.4D'!$4:$8</definedName>
    <definedName name="_xlnm.Print_Titles" localSheetId="18">'C4.5'!$4:$10</definedName>
    <definedName name="_xlnm.Print_Titles" localSheetId="27">'C7.1'!$4:$9</definedName>
    <definedName name="_xlnm.Print_Titles" localSheetId="28">'C7.2'!$4:$12</definedName>
    <definedName name="_xlnm.Print_Titles" localSheetId="29">'C7.3'!$4:$9</definedName>
    <definedName name="_xlnm.Print_Titles" localSheetId="30">'C7.4'!$4:$12</definedName>
    <definedName name="_xlnm.Print_Titles" localSheetId="31">'C7.5'!$4:$12</definedName>
    <definedName name="_xlnm.Print_Titles" localSheetId="32">'C7.6'!$4:$12</definedName>
    <definedName name="tbl_Units" localSheetId="43">[9]Tables!$B$4:$B$32</definedName>
    <definedName name="tbl_Units" localSheetId="101">[9]Tables!$B$4:$B$32</definedName>
    <definedName name="tbl_Units" localSheetId="142">[9]Tables!$B$4:$B$32</definedName>
    <definedName name="tbl_Units">[10]Tables!$B$4:$B$32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61" l="1"/>
  <c r="H16" i="161"/>
  <c r="H28" i="342" l="1"/>
  <c r="F26" i="342"/>
  <c r="H26" i="342" s="1"/>
  <c r="H24" i="342"/>
  <c r="H22" i="342"/>
  <c r="F16" i="342"/>
  <c r="H16" i="342" s="1"/>
  <c r="F14" i="342"/>
  <c r="H14" i="342" s="1"/>
  <c r="F12" i="342"/>
  <c r="H12" i="342" s="1"/>
  <c r="H24" i="341"/>
  <c r="H34" i="341"/>
  <c r="H32" i="341"/>
  <c r="H30" i="341"/>
  <c r="H28" i="341"/>
  <c r="F18" i="341"/>
  <c r="H44" i="341"/>
  <c r="H42" i="341"/>
  <c r="H52" i="338"/>
  <c r="H28" i="338"/>
  <c r="H26" i="338"/>
  <c r="H24" i="338"/>
  <c r="H20" i="337"/>
  <c r="F41" i="159" l="1"/>
  <c r="H41" i="159" s="1"/>
  <c r="H39" i="159"/>
  <c r="H85" i="159" l="1"/>
  <c r="H83" i="159"/>
  <c r="B7" i="388"/>
  <c r="B1" i="388"/>
  <c r="F11" i="387"/>
  <c r="B11" i="387"/>
  <c r="F10" i="387"/>
  <c r="B10" i="387"/>
  <c r="B4" i="387"/>
  <c r="B2" i="387"/>
  <c r="F1" i="387"/>
  <c r="B1" i="387"/>
  <c r="B228" i="386"/>
  <c r="H176" i="386"/>
  <c r="H175" i="386"/>
  <c r="H174" i="386"/>
  <c r="H173" i="386"/>
  <c r="H171" i="386"/>
  <c r="H169" i="386"/>
  <c r="H168" i="386"/>
  <c r="H163" i="386"/>
  <c r="H162" i="386"/>
  <c r="H161" i="386"/>
  <c r="H160" i="386"/>
  <c r="H155" i="386"/>
  <c r="H145" i="386"/>
  <c r="H144" i="386"/>
  <c r="H143" i="386"/>
  <c r="H142" i="386"/>
  <c r="H141" i="386"/>
  <c r="H140" i="386"/>
  <c r="H139" i="386"/>
  <c r="H138" i="386"/>
  <c r="H136" i="386"/>
  <c r="H135" i="386"/>
  <c r="H134" i="386"/>
  <c r="H133" i="386"/>
  <c r="H132" i="386"/>
  <c r="H131" i="386"/>
  <c r="H130" i="386"/>
  <c r="H129" i="386"/>
  <c r="H127" i="386"/>
  <c r="H126" i="386"/>
  <c r="H125" i="386"/>
  <c r="H124" i="386"/>
  <c r="H123" i="386"/>
  <c r="H122" i="386"/>
  <c r="H121" i="386"/>
  <c r="H120" i="386"/>
  <c r="H119" i="386"/>
  <c r="H118" i="386"/>
  <c r="H117" i="386"/>
  <c r="H116" i="386"/>
  <c r="H115" i="386"/>
  <c r="H114" i="386"/>
  <c r="H112" i="386"/>
  <c r="H111" i="386"/>
  <c r="H110" i="386"/>
  <c r="H109" i="386"/>
  <c r="H108" i="386"/>
  <c r="H107" i="386"/>
  <c r="H106" i="386"/>
  <c r="H105" i="386"/>
  <c r="H104" i="386"/>
  <c r="H103" i="386"/>
  <c r="H102" i="386"/>
  <c r="H101" i="386"/>
  <c r="H99" i="386"/>
  <c r="H98" i="386"/>
  <c r="H97" i="386"/>
  <c r="H95" i="386"/>
  <c r="H94" i="386"/>
  <c r="H93" i="386"/>
  <c r="H92" i="386"/>
  <c r="H91" i="386"/>
  <c r="H89" i="386"/>
  <c r="H88" i="386"/>
  <c r="H87" i="386"/>
  <c r="H85" i="386"/>
  <c r="H84" i="386"/>
  <c r="H83" i="386"/>
  <c r="H81" i="386"/>
  <c r="H80" i="386"/>
  <c r="H79" i="386"/>
  <c r="H78" i="386"/>
  <c r="H77" i="386"/>
  <c r="H75" i="386"/>
  <c r="H74" i="386"/>
  <c r="H73" i="386"/>
  <c r="H72" i="386"/>
  <c r="H71" i="386"/>
  <c r="H70" i="386"/>
  <c r="H69" i="386"/>
  <c r="H68" i="386"/>
  <c r="H67" i="386"/>
  <c r="H66" i="386"/>
  <c r="H65" i="386"/>
  <c r="H64" i="386"/>
  <c r="H63" i="386"/>
  <c r="H62" i="386"/>
  <c r="H61" i="386"/>
  <c r="H60" i="386"/>
  <c r="H59" i="386"/>
  <c r="H58" i="386"/>
  <c r="H57" i="386"/>
  <c r="H56" i="386"/>
  <c r="H55" i="386"/>
  <c r="H54" i="386"/>
  <c r="H53" i="386"/>
  <c r="H52" i="386"/>
  <c r="H50" i="386"/>
  <c r="H49" i="386"/>
  <c r="H48" i="386"/>
  <c r="H47" i="386"/>
  <c r="H45" i="386"/>
  <c r="H44" i="386"/>
  <c r="H43" i="386"/>
  <c r="H42" i="386"/>
  <c r="H41" i="386"/>
  <c r="H39" i="386"/>
  <c r="H38" i="386"/>
  <c r="H37" i="386"/>
  <c r="H36" i="386"/>
  <c r="H35" i="386"/>
  <c r="H33" i="386"/>
  <c r="H32" i="386"/>
  <c r="H31" i="386"/>
  <c r="H29" i="386"/>
  <c r="H28" i="386"/>
  <c r="H27" i="386"/>
  <c r="H26" i="386"/>
  <c r="H25" i="386"/>
  <c r="H24" i="386"/>
  <c r="H23" i="386"/>
  <c r="H20" i="386"/>
  <c r="H19" i="386"/>
  <c r="H18" i="386"/>
  <c r="H17" i="386"/>
  <c r="H16" i="386"/>
  <c r="H15" i="386"/>
  <c r="H14" i="386"/>
  <c r="H12" i="386"/>
  <c r="H11" i="386"/>
  <c r="H10" i="386"/>
  <c r="H9" i="386"/>
  <c r="B5" i="386"/>
  <c r="H4" i="386"/>
  <c r="B2" i="386"/>
  <c r="F1" i="386"/>
  <c r="B1" i="386"/>
  <c r="B135" i="385"/>
  <c r="H134" i="385"/>
  <c r="H117" i="385"/>
  <c r="H116" i="385"/>
  <c r="H115" i="385"/>
  <c r="H114" i="385"/>
  <c r="H113" i="385"/>
  <c r="H112" i="385"/>
  <c r="H95" i="385"/>
  <c r="H94" i="385"/>
  <c r="H93" i="385"/>
  <c r="H92" i="385"/>
  <c r="H91" i="385"/>
  <c r="H90" i="385"/>
  <c r="H89" i="385"/>
  <c r="H88" i="385"/>
  <c r="H87" i="385"/>
  <c r="H86" i="385"/>
  <c r="H85" i="385"/>
  <c r="H84" i="385"/>
  <c r="H83" i="385"/>
  <c r="H82" i="385"/>
  <c r="H81" i="385"/>
  <c r="H80" i="385"/>
  <c r="H79" i="385"/>
  <c r="H78" i="385"/>
  <c r="H77" i="385"/>
  <c r="H76" i="385"/>
  <c r="H74" i="385"/>
  <c r="F75" i="385" s="1"/>
  <c r="H75" i="385" s="1"/>
  <c r="H71" i="385"/>
  <c r="H68" i="385"/>
  <c r="H63" i="385"/>
  <c r="H62" i="385"/>
  <c r="H56" i="385"/>
  <c r="H55" i="385"/>
  <c r="H54" i="385"/>
  <c r="H53" i="385"/>
  <c r="H52" i="385"/>
  <c r="H51" i="385"/>
  <c r="H50" i="385"/>
  <c r="H49" i="385"/>
  <c r="H45" i="385"/>
  <c r="H43" i="385"/>
  <c r="M48" i="385" s="1"/>
  <c r="H40" i="385"/>
  <c r="H38" i="385"/>
  <c r="H37" i="385"/>
  <c r="F36" i="385"/>
  <c r="H36" i="385" s="1"/>
  <c r="H35" i="385"/>
  <c r="H32" i="385"/>
  <c r="H31" i="385"/>
  <c r="H30" i="385"/>
  <c r="H29" i="385"/>
  <c r="H27" i="385"/>
  <c r="H26" i="385"/>
  <c r="H25" i="385"/>
  <c r="H24" i="385"/>
  <c r="H23" i="385"/>
  <c r="H22" i="385"/>
  <c r="F21" i="385"/>
  <c r="H21" i="385" s="1"/>
  <c r="H20" i="385"/>
  <c r="H19" i="385"/>
  <c r="H18" i="385"/>
  <c r="M21" i="385" s="1"/>
  <c r="M22" i="385" s="1"/>
  <c r="H14" i="385"/>
  <c r="H13" i="385"/>
  <c r="H10" i="385"/>
  <c r="H9" i="385"/>
  <c r="B5" i="385"/>
  <c r="H4" i="385"/>
  <c r="B2" i="385"/>
  <c r="F1" i="385"/>
  <c r="B1" i="385"/>
  <c r="B50" i="384"/>
  <c r="H49" i="384"/>
  <c r="H48" i="384"/>
  <c r="H47" i="384"/>
  <c r="H46" i="384"/>
  <c r="H45" i="384"/>
  <c r="H44" i="384"/>
  <c r="H27" i="384"/>
  <c r="H20" i="384"/>
  <c r="H19" i="384"/>
  <c r="H18" i="384"/>
  <c r="H17" i="384"/>
  <c r="H16" i="384"/>
  <c r="H15" i="384"/>
  <c r="H14" i="384"/>
  <c r="H12" i="384"/>
  <c r="H11" i="384"/>
  <c r="H10" i="384"/>
  <c r="H9" i="384"/>
  <c r="H50" i="384" s="1"/>
  <c r="G9" i="387" s="1"/>
  <c r="B5" i="384"/>
  <c r="H4" i="384"/>
  <c r="B2" i="384"/>
  <c r="F1" i="384"/>
  <c r="B1" i="384"/>
  <c r="H228" i="386" l="1"/>
  <c r="G11" i="387" s="1"/>
  <c r="K160" i="386"/>
  <c r="H135" i="385"/>
  <c r="G10" i="387" s="1"/>
  <c r="G12" i="387" l="1"/>
  <c r="F15" i="388" s="1"/>
  <c r="B4" i="382"/>
  <c r="B2" i="382"/>
  <c r="F1" i="382"/>
  <c r="B1" i="382"/>
  <c r="B2" i="381"/>
  <c r="F1" i="381"/>
  <c r="B1" i="381"/>
  <c r="B49" i="380"/>
  <c r="H48" i="380"/>
  <c r="L46" i="380"/>
  <c r="L45" i="380"/>
  <c r="L44" i="380"/>
  <c r="L43" i="380"/>
  <c r="L42" i="380"/>
  <c r="H14" i="380"/>
  <c r="H11" i="380"/>
  <c r="H10" i="380"/>
  <c r="B5" i="380"/>
  <c r="B2" i="380"/>
  <c r="F1" i="380"/>
  <c r="B1" i="380"/>
  <c r="B49" i="379"/>
  <c r="H48" i="379"/>
  <c r="L46" i="379"/>
  <c r="L45" i="379"/>
  <c r="L44" i="379"/>
  <c r="L43" i="379"/>
  <c r="L42" i="379"/>
  <c r="H16" i="379"/>
  <c r="H15" i="379"/>
  <c r="H14" i="379"/>
  <c r="H13" i="379"/>
  <c r="H12" i="379"/>
  <c r="H11" i="379"/>
  <c r="H10" i="379"/>
  <c r="B5" i="379"/>
  <c r="B2" i="379"/>
  <c r="F1" i="379"/>
  <c r="B1" i="379"/>
  <c r="B49" i="378"/>
  <c r="H48" i="378"/>
  <c r="L46" i="378"/>
  <c r="L45" i="378"/>
  <c r="L44" i="378"/>
  <c r="L43" i="378"/>
  <c r="L42" i="378"/>
  <c r="F14" i="378"/>
  <c r="H14" i="378" s="1"/>
  <c r="H13" i="378"/>
  <c r="H11" i="378"/>
  <c r="H10" i="378"/>
  <c r="H49" i="378" s="1"/>
  <c r="G11" i="381" s="1"/>
  <c r="B5" i="378"/>
  <c r="B2" i="378"/>
  <c r="F1" i="378"/>
  <c r="B1" i="378"/>
  <c r="B49" i="377"/>
  <c r="H48" i="377"/>
  <c r="L46" i="377"/>
  <c r="L45" i="377"/>
  <c r="L44" i="377"/>
  <c r="L43" i="377"/>
  <c r="L42" i="377"/>
  <c r="H16" i="377"/>
  <c r="H15" i="377"/>
  <c r="H14" i="377"/>
  <c r="H13" i="377"/>
  <c r="H12" i="377"/>
  <c r="H11" i="377"/>
  <c r="H10" i="377"/>
  <c r="B5" i="377"/>
  <c r="B2" i="377"/>
  <c r="F1" i="377"/>
  <c r="B1" i="377"/>
  <c r="B51" i="376"/>
  <c r="H50" i="376"/>
  <c r="L48" i="376"/>
  <c r="L47" i="376"/>
  <c r="L46" i="376"/>
  <c r="L45" i="376"/>
  <c r="L44" i="376"/>
  <c r="H41" i="376"/>
  <c r="H40" i="376"/>
  <c r="H39" i="376"/>
  <c r="H38" i="376"/>
  <c r="H36" i="376"/>
  <c r="H35" i="376"/>
  <c r="H31" i="376"/>
  <c r="H30" i="376"/>
  <c r="H29" i="376"/>
  <c r="H27" i="376"/>
  <c r="H23" i="376"/>
  <c r="H22" i="376"/>
  <c r="H21" i="376"/>
  <c r="H19" i="376"/>
  <c r="H18" i="376"/>
  <c r="H13" i="376"/>
  <c r="H11" i="376"/>
  <c r="H10" i="376"/>
  <c r="H51" i="376" s="1"/>
  <c r="G9" i="381" s="1"/>
  <c r="B5" i="376"/>
  <c r="B2" i="376"/>
  <c r="F1" i="376"/>
  <c r="B1" i="376"/>
  <c r="B2" i="375"/>
  <c r="F1" i="375"/>
  <c r="B1" i="375"/>
  <c r="B46" i="374"/>
  <c r="H23" i="374"/>
  <c r="H19" i="374"/>
  <c r="H15" i="374"/>
  <c r="H14" i="374"/>
  <c r="H13" i="374"/>
  <c r="H12" i="374"/>
  <c r="H46" i="374" s="1"/>
  <c r="G18" i="375" s="1"/>
  <c r="B5" i="374"/>
  <c r="B2" i="374"/>
  <c r="F1" i="374"/>
  <c r="B1" i="374"/>
  <c r="B47" i="373"/>
  <c r="H17" i="373"/>
  <c r="H16" i="373"/>
  <c r="H15" i="373"/>
  <c r="H14" i="373"/>
  <c r="H47" i="373" s="1"/>
  <c r="G17" i="375" s="1"/>
  <c r="B5" i="373"/>
  <c r="B2" i="373"/>
  <c r="F1" i="373"/>
  <c r="B1" i="373"/>
  <c r="B48" i="372"/>
  <c r="H17" i="372"/>
  <c r="H16" i="372"/>
  <c r="H15" i="372"/>
  <c r="H14" i="372"/>
  <c r="H12" i="372"/>
  <c r="H48" i="372" s="1"/>
  <c r="G16" i="375" s="1"/>
  <c r="B5" i="372"/>
  <c r="B2" i="372"/>
  <c r="F1" i="372"/>
  <c r="B1" i="372"/>
  <c r="B48" i="371"/>
  <c r="H32" i="371"/>
  <c r="H31" i="371"/>
  <c r="H30" i="371"/>
  <c r="H29" i="371"/>
  <c r="H28" i="371"/>
  <c r="H26" i="371"/>
  <c r="H25" i="371"/>
  <c r="H24" i="371"/>
  <c r="H23" i="371"/>
  <c r="H17" i="371"/>
  <c r="H16" i="371"/>
  <c r="H15" i="371"/>
  <c r="H14" i="371"/>
  <c r="H13" i="371"/>
  <c r="H12" i="371"/>
  <c r="H11" i="371"/>
  <c r="H10" i="371"/>
  <c r="B5" i="371"/>
  <c r="B2" i="371"/>
  <c r="F1" i="371"/>
  <c r="B1" i="371"/>
  <c r="B48" i="370"/>
  <c r="H15" i="370"/>
  <c r="H14" i="370"/>
  <c r="H12" i="370"/>
  <c r="H11" i="370"/>
  <c r="H10" i="370"/>
  <c r="B5" i="370"/>
  <c r="B2" i="370"/>
  <c r="F1" i="370"/>
  <c r="B1" i="370"/>
  <c r="B48" i="369"/>
  <c r="H13" i="369"/>
  <c r="H12" i="369"/>
  <c r="H11" i="369"/>
  <c r="H10" i="369"/>
  <c r="B5" i="369"/>
  <c r="B2" i="369"/>
  <c r="F1" i="369"/>
  <c r="B1" i="369"/>
  <c r="B48" i="368"/>
  <c r="H21" i="368"/>
  <c r="H20" i="368"/>
  <c r="H19" i="368"/>
  <c r="H18" i="368"/>
  <c r="H17" i="368"/>
  <c r="H16" i="368"/>
  <c r="H15" i="368"/>
  <c r="H14" i="368"/>
  <c r="H13" i="368"/>
  <c r="H11" i="368"/>
  <c r="H10" i="368"/>
  <c r="H48" i="368" s="1"/>
  <c r="G12" i="375" s="1"/>
  <c r="B5" i="368"/>
  <c r="B2" i="368"/>
  <c r="F1" i="368"/>
  <c r="B1" i="368"/>
  <c r="B41" i="367"/>
  <c r="H34" i="367"/>
  <c r="H33" i="367"/>
  <c r="H29" i="367"/>
  <c r="H25" i="367"/>
  <c r="H24" i="367"/>
  <c r="H23" i="367"/>
  <c r="H22" i="367"/>
  <c r="H21" i="367"/>
  <c r="H20" i="367"/>
  <c r="H18" i="367"/>
  <c r="H17" i="367"/>
  <c r="H14" i="367"/>
  <c r="H11" i="367"/>
  <c r="H10" i="367"/>
  <c r="B5" i="367"/>
  <c r="B2" i="367"/>
  <c r="F1" i="367"/>
  <c r="B1" i="367"/>
  <c r="B49" i="366"/>
  <c r="H21" i="366"/>
  <c r="H20" i="366"/>
  <c r="H19" i="366"/>
  <c r="H14" i="366"/>
  <c r="H11" i="366"/>
  <c r="H10" i="366"/>
  <c r="B5" i="366"/>
  <c r="B2" i="366"/>
  <c r="F1" i="366"/>
  <c r="B1" i="366"/>
  <c r="B49" i="365"/>
  <c r="H48" i="365"/>
  <c r="L46" i="365"/>
  <c r="H46" i="365"/>
  <c r="L45" i="365"/>
  <c r="H45" i="365"/>
  <c r="L44" i="365"/>
  <c r="L43" i="365"/>
  <c r="H43" i="365"/>
  <c r="L42" i="365"/>
  <c r="H42" i="365"/>
  <c r="H40" i="365"/>
  <c r="H38" i="365"/>
  <c r="H37" i="365"/>
  <c r="H35" i="365"/>
  <c r="H34" i="365"/>
  <c r="H33" i="365"/>
  <c r="H32" i="365"/>
  <c r="H31" i="365"/>
  <c r="H26" i="365"/>
  <c r="H25" i="365"/>
  <c r="H24" i="365"/>
  <c r="H23" i="365"/>
  <c r="H22" i="365"/>
  <c r="H20" i="365"/>
  <c r="H19" i="365"/>
  <c r="H17" i="365"/>
  <c r="H16" i="365"/>
  <c r="H14" i="365"/>
  <c r="H13" i="365"/>
  <c r="H11" i="365"/>
  <c r="H10" i="365"/>
  <c r="B5" i="365"/>
  <c r="B2" i="365"/>
  <c r="F1" i="365"/>
  <c r="B1" i="365"/>
  <c r="B2" i="364"/>
  <c r="F1" i="364"/>
  <c r="B1" i="364"/>
  <c r="B50" i="363"/>
  <c r="H49" i="363"/>
  <c r="H48" i="363"/>
  <c r="H47" i="363"/>
  <c r="H46" i="363"/>
  <c r="H45" i="363"/>
  <c r="H44" i="363"/>
  <c r="H27" i="363"/>
  <c r="H15" i="363"/>
  <c r="H14" i="363"/>
  <c r="H12" i="363"/>
  <c r="K13" i="363" s="1"/>
  <c r="H11" i="363"/>
  <c r="H10" i="363"/>
  <c r="H9" i="363"/>
  <c r="B5" i="363"/>
  <c r="B2" i="363"/>
  <c r="F1" i="363"/>
  <c r="B1" i="363"/>
  <c r="H49" i="365" l="1"/>
  <c r="G9" i="375" s="1"/>
  <c r="H41" i="367"/>
  <c r="G11" i="375" s="1"/>
  <c r="H48" i="369"/>
  <c r="G13" i="375" s="1"/>
  <c r="H48" i="370"/>
  <c r="G14" i="375" s="1"/>
  <c r="H48" i="371"/>
  <c r="G15" i="375" s="1"/>
  <c r="H49" i="377"/>
  <c r="G10" i="381" s="1"/>
  <c r="H49" i="379"/>
  <c r="G12" i="381" s="1"/>
  <c r="H49" i="380"/>
  <c r="G13" i="381" s="1"/>
  <c r="H49" i="366"/>
  <c r="G10" i="375" s="1"/>
  <c r="G23" i="375" s="1"/>
  <c r="G10" i="382" s="1"/>
  <c r="H50" i="363"/>
  <c r="G9" i="382" s="1"/>
  <c r="G23" i="381"/>
  <c r="G11" i="382" s="1"/>
  <c r="G9" i="364" l="1"/>
  <c r="G23" i="364" s="1"/>
  <c r="J9" i="382"/>
  <c r="K11" i="363" s="1"/>
  <c r="K14" i="363" s="1"/>
  <c r="G12" i="382"/>
  <c r="F14" i="388" s="1"/>
  <c r="J10" i="382"/>
  <c r="O43" i="344" l="1"/>
  <c r="O44" i="344" s="1"/>
  <c r="O45" i="344" s="1"/>
  <c r="L31" i="344"/>
  <c r="M31" i="344" s="1"/>
  <c r="M32" i="344" s="1"/>
  <c r="K43" i="344" l="1"/>
  <c r="L43" i="344" s="1"/>
  <c r="M43" i="344" s="1"/>
  <c r="L35" i="344"/>
  <c r="M35" i="344" s="1"/>
  <c r="N35" i="344" s="1"/>
  <c r="K49" i="338" l="1"/>
  <c r="K50" i="338"/>
  <c r="K48" i="338"/>
  <c r="L21" i="341"/>
  <c r="L22" i="341"/>
  <c r="L23" i="341"/>
  <c r="L24" i="341"/>
  <c r="L25" i="341"/>
  <c r="L26" i="341"/>
  <c r="L27" i="341"/>
  <c r="L28" i="341"/>
  <c r="L36" i="341"/>
  <c r="L20" i="341"/>
  <c r="K17" i="338"/>
  <c r="K18" i="338"/>
  <c r="K19" i="338"/>
  <c r="K20" i="338"/>
  <c r="K21" i="338"/>
  <c r="K22" i="338"/>
  <c r="K23" i="338"/>
  <c r="K30" i="338"/>
  <c r="K31" i="338"/>
  <c r="K32" i="338"/>
  <c r="K33" i="338"/>
  <c r="K34" i="338"/>
  <c r="K35" i="338"/>
  <c r="K36" i="338"/>
  <c r="K37" i="338"/>
  <c r="K38" i="338"/>
  <c r="K39" i="338"/>
  <c r="K40" i="338"/>
  <c r="K41" i="338"/>
  <c r="K16" i="338"/>
  <c r="L20" i="338" l="1"/>
  <c r="X36" i="344"/>
  <c r="X37" i="344"/>
  <c r="X38" i="344"/>
  <c r="X39" i="344"/>
  <c r="X40" i="344"/>
  <c r="X41" i="344"/>
  <c r="X42" i="344"/>
  <c r="X43" i="344"/>
  <c r="X44" i="344"/>
  <c r="X45" i="344"/>
  <c r="X46" i="344"/>
  <c r="X47" i="344"/>
  <c r="X48" i="344"/>
  <c r="X49" i="344"/>
  <c r="X50" i="344"/>
  <c r="X51" i="344"/>
  <c r="X52" i="344"/>
  <c r="X53" i="344"/>
  <c r="X54" i="344"/>
  <c r="X55" i="344"/>
  <c r="X56" i="344"/>
  <c r="X57" i="344"/>
  <c r="X58" i="344"/>
  <c r="X59" i="344"/>
  <c r="X60" i="344"/>
  <c r="X35" i="344"/>
  <c r="R61" i="330"/>
  <c r="R62" i="330"/>
  <c r="R63" i="330"/>
  <c r="R64" i="330"/>
  <c r="R65" i="330"/>
  <c r="R66" i="330"/>
  <c r="R67" i="330"/>
  <c r="R68" i="330"/>
  <c r="R69" i="330"/>
  <c r="R70" i="330"/>
  <c r="R71" i="330"/>
  <c r="R72" i="330"/>
  <c r="R60" i="330"/>
  <c r="T61" i="330"/>
  <c r="T65" i="330"/>
  <c r="T66" i="330"/>
  <c r="T67" i="330"/>
  <c r="T68" i="330"/>
  <c r="T69" i="330"/>
  <c r="T71" i="330"/>
  <c r="R73" i="330"/>
  <c r="J126" i="349" l="1"/>
  <c r="H128" i="349"/>
  <c r="H127" i="349"/>
  <c r="H126" i="349"/>
  <c r="H125" i="349"/>
  <c r="H124" i="349"/>
  <c r="H123" i="349"/>
  <c r="H122" i="349"/>
  <c r="H121" i="349"/>
  <c r="H120" i="349"/>
  <c r="H119" i="349"/>
  <c r="H112" i="349"/>
  <c r="H111" i="349"/>
  <c r="H110" i="349"/>
  <c r="H109" i="349"/>
  <c r="H108" i="349"/>
  <c r="H107" i="349"/>
  <c r="H106" i="349"/>
  <c r="H105" i="349"/>
  <c r="H104" i="349"/>
  <c r="F16" i="359" l="1"/>
  <c r="H82" i="162"/>
  <c r="B5" i="159"/>
  <c r="H56" i="238"/>
  <c r="H20" i="238"/>
  <c r="H33" i="238"/>
  <c r="H31" i="238"/>
  <c r="H30" i="238"/>
  <c r="H29" i="238"/>
  <c r="H54" i="238"/>
  <c r="H52" i="238"/>
  <c r="H50" i="238"/>
  <c r="H46" i="238" l="1"/>
  <c r="H44" i="238"/>
  <c r="H39" i="238"/>
  <c r="H37" i="238"/>
  <c r="F36" i="358" l="1"/>
  <c r="F20" i="358"/>
  <c r="O40" i="208" l="1"/>
  <c r="K59" i="209" l="1"/>
  <c r="K60" i="209"/>
  <c r="K61" i="209"/>
  <c r="K62" i="209"/>
  <c r="K63" i="209"/>
  <c r="K64" i="209"/>
  <c r="K58" i="209"/>
  <c r="K16" i="209"/>
  <c r="K17" i="209"/>
  <c r="K18" i="209"/>
  <c r="K19" i="209"/>
  <c r="K20" i="209"/>
  <c r="K21" i="209"/>
  <c r="K22" i="209"/>
  <c r="K23" i="209"/>
  <c r="K24" i="209"/>
  <c r="K25" i="209"/>
  <c r="K26" i="209"/>
  <c r="K27" i="209"/>
  <c r="K28" i="209"/>
  <c r="K29" i="209"/>
  <c r="K30" i="209"/>
  <c r="K31" i="209"/>
  <c r="K32" i="209"/>
  <c r="K33" i="209"/>
  <c r="K34" i="209"/>
  <c r="K15" i="209"/>
  <c r="O24" i="351"/>
  <c r="P24" i="351" s="1"/>
  <c r="F16" i="353" l="1"/>
  <c r="H59" i="359"/>
  <c r="H60" i="359"/>
  <c r="H82" i="163" l="1"/>
  <c r="H71" i="344" l="1"/>
  <c r="F21" i="336"/>
  <c r="L15" i="336"/>
  <c r="H19" i="159" l="1"/>
  <c r="H20" i="159"/>
  <c r="H21" i="159"/>
  <c r="H22" i="159"/>
  <c r="H23" i="159"/>
  <c r="H24" i="159"/>
  <c r="H25" i="159"/>
  <c r="H26" i="159"/>
  <c r="H27" i="159"/>
  <c r="H29" i="159"/>
  <c r="H30" i="159"/>
  <c r="H31" i="159"/>
  <c r="H32" i="159"/>
  <c r="H33" i="159"/>
  <c r="H35" i="159"/>
  <c r="H37" i="159"/>
  <c r="H38" i="159"/>
  <c r="H40" i="159"/>
  <c r="H42" i="159"/>
  <c r="H43" i="159"/>
  <c r="H47" i="159"/>
  <c r="H51" i="159"/>
  <c r="H53" i="159"/>
  <c r="H54" i="159"/>
  <c r="H55" i="159"/>
  <c r="H57" i="159"/>
  <c r="H59" i="159"/>
  <c r="H61" i="159"/>
  <c r="H63" i="159"/>
  <c r="H16" i="159"/>
  <c r="H17" i="159"/>
  <c r="H18" i="159"/>
  <c r="H42" i="359" l="1"/>
  <c r="F54" i="359"/>
  <c r="H54" i="359" s="1"/>
  <c r="H50" i="359" l="1"/>
  <c r="H48" i="359"/>
  <c r="H44" i="359"/>
  <c r="K21" i="359" l="1"/>
  <c r="H40" i="359"/>
  <c r="H39" i="359"/>
  <c r="H38" i="359"/>
  <c r="H37" i="359"/>
  <c r="H36" i="359"/>
  <c r="H35" i="359"/>
  <c r="H34" i="359"/>
  <c r="H32" i="359"/>
  <c r="H31" i="359"/>
  <c r="H30" i="359"/>
  <c r="H28" i="359"/>
  <c r="H27" i="359"/>
  <c r="H26" i="359"/>
  <c r="H25" i="359"/>
  <c r="H24" i="359"/>
  <c r="H23" i="359"/>
  <c r="H22" i="359"/>
  <c r="H21" i="359"/>
  <c r="H20" i="359"/>
  <c r="O81" i="358"/>
  <c r="H87" i="358"/>
  <c r="H86" i="358"/>
  <c r="H85" i="358"/>
  <c r="H84" i="358"/>
  <c r="H83" i="358"/>
  <c r="H82" i="358"/>
  <c r="H81" i="358"/>
  <c r="H79" i="358"/>
  <c r="H80" i="358"/>
  <c r="H78" i="358"/>
  <c r="H77" i="358"/>
  <c r="H76" i="358"/>
  <c r="H75" i="358"/>
  <c r="H74" i="358"/>
  <c r="H73" i="358"/>
  <c r="M67" i="358"/>
  <c r="H71" i="358"/>
  <c r="H70" i="358"/>
  <c r="H69" i="358"/>
  <c r="H68" i="358"/>
  <c r="H67" i="358"/>
  <c r="H66" i="358"/>
  <c r="H65" i="358"/>
  <c r="H52" i="358"/>
  <c r="H50" i="358"/>
  <c r="H48" i="358"/>
  <c r="H47" i="358"/>
  <c r="H46" i="358"/>
  <c r="H42" i="358"/>
  <c r="H45" i="358"/>
  <c r="H44" i="358"/>
  <c r="H43" i="358"/>
  <c r="H41" i="358"/>
  <c r="H40" i="358"/>
  <c r="H38" i="358"/>
  <c r="H39" i="358"/>
  <c r="H37" i="358"/>
  <c r="H36" i="358"/>
  <c r="H35" i="358"/>
  <c r="H34" i="358"/>
  <c r="H33" i="358"/>
  <c r="H32" i="358"/>
  <c r="H30" i="358"/>
  <c r="H29" i="358"/>
  <c r="H28" i="358"/>
  <c r="H27" i="358"/>
  <c r="H26" i="358"/>
  <c r="H25" i="358"/>
  <c r="H22" i="358"/>
  <c r="H20" i="358"/>
  <c r="H19" i="358"/>
  <c r="H18" i="358"/>
  <c r="H17" i="358"/>
  <c r="H16" i="358"/>
  <c r="H14" i="358"/>
  <c r="B1" i="359"/>
  <c r="F1" i="359"/>
  <c r="B2" i="359"/>
  <c r="H4" i="359"/>
  <c r="B5" i="359"/>
  <c r="H9" i="359"/>
  <c r="H10" i="359"/>
  <c r="H11" i="359"/>
  <c r="H12" i="359"/>
  <c r="H13" i="359"/>
  <c r="H14" i="359"/>
  <c r="H15" i="359"/>
  <c r="H16" i="359"/>
  <c r="H17" i="359"/>
  <c r="H18" i="359"/>
  <c r="H19" i="359"/>
  <c r="H49" i="359"/>
  <c r="H58" i="359"/>
  <c r="H67" i="359"/>
  <c r="B68" i="359"/>
  <c r="B1" i="358"/>
  <c r="F1" i="358"/>
  <c r="B2" i="358"/>
  <c r="H4" i="358"/>
  <c r="B5" i="358"/>
  <c r="H9" i="358"/>
  <c r="H10" i="358"/>
  <c r="H11" i="358"/>
  <c r="H12" i="358"/>
  <c r="H13" i="358"/>
  <c r="H23" i="358"/>
  <c r="H53" i="358"/>
  <c r="B54" i="358"/>
  <c r="B55" i="358"/>
  <c r="F55" i="358"/>
  <c r="B56" i="358"/>
  <c r="B59" i="358"/>
  <c r="H64" i="358"/>
  <c r="H93" i="358"/>
  <c r="H117" i="358"/>
  <c r="B118" i="358"/>
  <c r="H16" i="238"/>
  <c r="K18" i="238"/>
  <c r="L18" i="238" s="1"/>
  <c r="H22" i="238"/>
  <c r="H18" i="238"/>
  <c r="H17" i="238"/>
  <c r="H14" i="238"/>
  <c r="H13" i="238"/>
  <c r="H12" i="238"/>
  <c r="H73" i="349"/>
  <c r="M71" i="349"/>
  <c r="H71" i="349"/>
  <c r="M68" i="349"/>
  <c r="M69" i="349" s="1"/>
  <c r="H69" i="349"/>
  <c r="H68" i="349"/>
  <c r="H67" i="349"/>
  <c r="H65" i="349"/>
  <c r="K59" i="349"/>
  <c r="H81" i="349"/>
  <c r="H80" i="349"/>
  <c r="H79" i="349"/>
  <c r="H78" i="349"/>
  <c r="H77" i="349"/>
  <c r="H76" i="349"/>
  <c r="H75" i="349"/>
  <c r="H68" i="359" l="1"/>
  <c r="H54" i="358"/>
  <c r="H63" i="358" s="1"/>
  <c r="H118" i="358" s="1"/>
  <c r="H58" i="358"/>
  <c r="G12" i="347" l="1"/>
  <c r="H22" i="357"/>
  <c r="G11" i="347"/>
  <c r="H21" i="357"/>
  <c r="K31" i="349"/>
  <c r="K19" i="349" l="1"/>
  <c r="H33" i="237" l="1"/>
  <c r="H39" i="163"/>
  <c r="H38" i="163"/>
  <c r="F40" i="163" s="1"/>
  <c r="H40" i="163" s="1"/>
  <c r="H36" i="163"/>
  <c r="H34" i="163"/>
  <c r="H30" i="163"/>
  <c r="H26" i="163"/>
  <c r="H22" i="163" l="1"/>
  <c r="O27" i="351" l="1"/>
  <c r="H100" i="330"/>
  <c r="H23" i="178"/>
  <c r="H76" i="344" l="1"/>
  <c r="H36" i="209" l="1"/>
  <c r="B14" i="355" l="1"/>
  <c r="B10" i="355"/>
  <c r="B9" i="355"/>
  <c r="B4" i="355"/>
  <c r="B2" i="355"/>
  <c r="F1" i="355"/>
  <c r="B1" i="355"/>
  <c r="F28" i="351"/>
  <c r="H28" i="351" s="1"/>
  <c r="L26" i="351"/>
  <c r="L24" i="351"/>
  <c r="L25" i="351" s="1"/>
  <c r="F18" i="353"/>
  <c r="H18" i="353" s="1"/>
  <c r="H16" i="353"/>
  <c r="B40" i="354"/>
  <c r="L32" i="354"/>
  <c r="H32" i="354"/>
  <c r="H31" i="354"/>
  <c r="H30" i="354"/>
  <c r="H29" i="354"/>
  <c r="H28" i="354"/>
  <c r="H27" i="354"/>
  <c r="H26" i="354"/>
  <c r="H25" i="354"/>
  <c r="H24" i="354"/>
  <c r="B24" i="354"/>
  <c r="H23" i="354"/>
  <c r="H22" i="354"/>
  <c r="H21" i="354"/>
  <c r="B21" i="354"/>
  <c r="H20" i="354"/>
  <c r="B20" i="354"/>
  <c r="H19" i="354"/>
  <c r="F19" i="354"/>
  <c r="B19" i="354"/>
  <c r="H18" i="354"/>
  <c r="H17" i="354"/>
  <c r="K16" i="354"/>
  <c r="H16" i="354"/>
  <c r="H15" i="354"/>
  <c r="H14" i="354"/>
  <c r="O13" i="354"/>
  <c r="H13" i="354"/>
  <c r="H12" i="354"/>
  <c r="H9" i="354"/>
  <c r="B5" i="354"/>
  <c r="H4" i="354"/>
  <c r="B2" i="354"/>
  <c r="F1" i="354"/>
  <c r="B1" i="354"/>
  <c r="B43" i="353"/>
  <c r="H42" i="353"/>
  <c r="H41" i="353"/>
  <c r="H40" i="353"/>
  <c r="H39" i="353"/>
  <c r="H38" i="353"/>
  <c r="B32" i="353"/>
  <c r="B29" i="353"/>
  <c r="F28" i="353"/>
  <c r="B28" i="353"/>
  <c r="B27" i="353"/>
  <c r="H20" i="353"/>
  <c r="H19" i="353"/>
  <c r="H15" i="353"/>
  <c r="H14" i="353"/>
  <c r="H13" i="353"/>
  <c r="H12" i="353"/>
  <c r="H11" i="353"/>
  <c r="H10" i="353"/>
  <c r="H9" i="353"/>
  <c r="B5" i="353"/>
  <c r="H4" i="353"/>
  <c r="H31" i="353" s="1"/>
  <c r="B2" i="353"/>
  <c r="F1" i="353"/>
  <c r="B1" i="353"/>
  <c r="H13" i="352"/>
  <c r="H14" i="352"/>
  <c r="H15" i="352"/>
  <c r="H16" i="352"/>
  <c r="H17" i="352"/>
  <c r="H18" i="352"/>
  <c r="H19" i="352"/>
  <c r="H20" i="352"/>
  <c r="H21" i="352"/>
  <c r="H22" i="352"/>
  <c r="H23" i="352"/>
  <c r="B41" i="352"/>
  <c r="H40" i="352"/>
  <c r="H39" i="352"/>
  <c r="H38" i="352"/>
  <c r="H37" i="352"/>
  <c r="H36" i="352"/>
  <c r="H35" i="352"/>
  <c r="H34" i="352"/>
  <c r="H33" i="352"/>
  <c r="H32" i="352"/>
  <c r="H31" i="352"/>
  <c r="H30" i="352"/>
  <c r="H29" i="352"/>
  <c r="H28" i="352"/>
  <c r="H27" i="352"/>
  <c r="H26" i="352"/>
  <c r="H25" i="352"/>
  <c r="H12" i="352"/>
  <c r="H11" i="352"/>
  <c r="H10" i="352"/>
  <c r="H9" i="352"/>
  <c r="B5" i="352"/>
  <c r="H4" i="352"/>
  <c r="B2" i="352"/>
  <c r="F1" i="352"/>
  <c r="B1" i="352"/>
  <c r="B65" i="351"/>
  <c r="H59" i="351"/>
  <c r="H58" i="351"/>
  <c r="H57" i="351"/>
  <c r="H56" i="351"/>
  <c r="H55" i="351"/>
  <c r="H54" i="351"/>
  <c r="H53" i="351"/>
  <c r="H52" i="351"/>
  <c r="H51" i="351"/>
  <c r="H50" i="351"/>
  <c r="H49" i="351"/>
  <c r="H48" i="351"/>
  <c r="H47" i="351"/>
  <c r="H46" i="351"/>
  <c r="H45" i="351"/>
  <c r="H44" i="351"/>
  <c r="H43" i="351"/>
  <c r="H42" i="351"/>
  <c r="H41" i="351"/>
  <c r="H40" i="351"/>
  <c r="H39" i="351"/>
  <c r="H38" i="351"/>
  <c r="H37" i="351"/>
  <c r="H36" i="351"/>
  <c r="H35" i="351"/>
  <c r="H34" i="351"/>
  <c r="H33" i="351"/>
  <c r="H32" i="351"/>
  <c r="H31" i="351"/>
  <c r="H30" i="351"/>
  <c r="H29" i="351"/>
  <c r="H27" i="351"/>
  <c r="H26" i="351"/>
  <c r="H25" i="351"/>
  <c r="H24" i="351"/>
  <c r="H23" i="351"/>
  <c r="H22" i="351"/>
  <c r="H21" i="351"/>
  <c r="H20" i="351"/>
  <c r="H19" i="351"/>
  <c r="H17" i="351"/>
  <c r="H16" i="351"/>
  <c r="H15" i="351"/>
  <c r="H14" i="351"/>
  <c r="H13" i="351"/>
  <c r="H12" i="351"/>
  <c r="H11" i="351"/>
  <c r="H10" i="351"/>
  <c r="H9" i="351"/>
  <c r="B5" i="351"/>
  <c r="H4" i="351"/>
  <c r="B2" i="351"/>
  <c r="F1" i="351"/>
  <c r="B1" i="351"/>
  <c r="B60" i="350"/>
  <c r="H59" i="350"/>
  <c r="H19" i="350"/>
  <c r="H18" i="350"/>
  <c r="H17" i="350"/>
  <c r="H16" i="350"/>
  <c r="H15" i="350"/>
  <c r="H14" i="350"/>
  <c r="H13" i="350"/>
  <c r="H12" i="350"/>
  <c r="H11" i="350"/>
  <c r="H10" i="350"/>
  <c r="H9" i="350"/>
  <c r="B5" i="350"/>
  <c r="H4" i="350"/>
  <c r="B2" i="350"/>
  <c r="F1" i="350"/>
  <c r="B1" i="350"/>
  <c r="H65" i="351" l="1"/>
  <c r="H40" i="354"/>
  <c r="H43" i="353"/>
  <c r="H27" i="353"/>
  <c r="H36" i="353" s="1"/>
  <c r="H41" i="352"/>
  <c r="H60" i="350"/>
  <c r="G14" i="355" l="1"/>
  <c r="H32" i="357"/>
  <c r="G10" i="355"/>
  <c r="H28" i="357"/>
  <c r="H33" i="357"/>
  <c r="G15" i="355"/>
  <c r="G13" i="355"/>
  <c r="H31" i="357"/>
  <c r="G9" i="355"/>
  <c r="H27" i="357"/>
  <c r="H89" i="349"/>
  <c r="H88" i="349"/>
  <c r="H87" i="349"/>
  <c r="H86" i="349"/>
  <c r="H85" i="349"/>
  <c r="H84" i="349"/>
  <c r="H83" i="349"/>
  <c r="H63" i="349"/>
  <c r="H62" i="349"/>
  <c r="H61" i="349"/>
  <c r="H59" i="349"/>
  <c r="H58" i="349"/>
  <c r="H57" i="349"/>
  <c r="H56" i="349"/>
  <c r="H55" i="349"/>
  <c r="H54" i="349"/>
  <c r="H53" i="349"/>
  <c r="H52" i="349"/>
  <c r="H51" i="349"/>
  <c r="H49" i="349"/>
  <c r="H47" i="349"/>
  <c r="H46" i="349"/>
  <c r="H45" i="349"/>
  <c r="H44" i="349"/>
  <c r="H43" i="349"/>
  <c r="H41" i="349"/>
  <c r="H40" i="349"/>
  <c r="H39" i="349"/>
  <c r="H38" i="349"/>
  <c r="H36" i="349"/>
  <c r="H33" i="349"/>
  <c r="H32" i="349"/>
  <c r="H31" i="349"/>
  <c r="H30" i="349"/>
  <c r="F29" i="349"/>
  <c r="H29" i="349" s="1"/>
  <c r="H28" i="349"/>
  <c r="H26" i="349"/>
  <c r="H25" i="349"/>
  <c r="H23" i="349"/>
  <c r="H22" i="349"/>
  <c r="H21" i="349"/>
  <c r="H20" i="349"/>
  <c r="H19" i="349"/>
  <c r="H18" i="349"/>
  <c r="H17" i="349"/>
  <c r="H16" i="349"/>
  <c r="H15" i="349"/>
  <c r="H13" i="349"/>
  <c r="H11" i="349"/>
  <c r="B132" i="349"/>
  <c r="H131" i="349"/>
  <c r="H95" i="349"/>
  <c r="O88" i="349"/>
  <c r="H10" i="349"/>
  <c r="H9" i="349"/>
  <c r="B5" i="349"/>
  <c r="H4" i="349"/>
  <c r="B2" i="349"/>
  <c r="F1" i="349"/>
  <c r="B1" i="349"/>
  <c r="H132" i="349" l="1"/>
  <c r="G11" i="355" l="1"/>
  <c r="H29" i="357"/>
  <c r="AA14" i="344"/>
  <c r="M14" i="343"/>
  <c r="M15" i="343" s="1"/>
  <c r="N16" i="343" s="1"/>
  <c r="T35" i="337"/>
  <c r="T36" i="337"/>
  <c r="T34" i="337"/>
  <c r="N29" i="337"/>
  <c r="AA42" i="344"/>
  <c r="J35" i="344"/>
  <c r="H33" i="337"/>
  <c r="H84" i="330" l="1"/>
  <c r="H80" i="330"/>
  <c r="K14" i="348" l="1"/>
  <c r="B31" i="348"/>
  <c r="H30" i="348"/>
  <c r="H29" i="348"/>
  <c r="H28" i="348"/>
  <c r="H27" i="348"/>
  <c r="H26" i="348"/>
  <c r="H25" i="348"/>
  <c r="H24" i="348"/>
  <c r="H23" i="348"/>
  <c r="H22" i="348"/>
  <c r="H21" i="348"/>
  <c r="H20" i="348"/>
  <c r="H19" i="348"/>
  <c r="H18" i="348"/>
  <c r="H16" i="348"/>
  <c r="H15" i="348"/>
  <c r="H14" i="348"/>
  <c r="H13" i="348"/>
  <c r="H12" i="348"/>
  <c r="H11" i="348"/>
  <c r="H10" i="348"/>
  <c r="H9" i="348"/>
  <c r="B5" i="348"/>
  <c r="H4" i="348"/>
  <c r="B2" i="348"/>
  <c r="F32" i="330"/>
  <c r="X28" i="330"/>
  <c r="H28" i="330"/>
  <c r="H31" i="348" l="1"/>
  <c r="G17" i="254" s="1"/>
  <c r="H72" i="330" l="1"/>
  <c r="T72" i="330" s="1"/>
  <c r="H62" i="330"/>
  <c r="T62" i="330" s="1"/>
  <c r="P26" i="209"/>
  <c r="Q33" i="209"/>
  <c r="H42" i="209"/>
  <c r="H40" i="209"/>
  <c r="H38" i="209"/>
  <c r="Q28" i="337" l="1"/>
  <c r="N14" i="178" l="1"/>
  <c r="F62" i="163"/>
  <c r="H148" i="163"/>
  <c r="H146" i="163"/>
  <c r="H142" i="163"/>
  <c r="H112" i="163"/>
  <c r="F114" i="163" s="1"/>
  <c r="H114" i="163" s="1"/>
  <c r="H88" i="163"/>
  <c r="H86" i="163"/>
  <c r="H84" i="163"/>
  <c r="H78" i="163"/>
  <c r="H76" i="163"/>
  <c r="H74" i="163"/>
  <c r="H72" i="163"/>
  <c r="H70" i="163"/>
  <c r="H20" i="163"/>
  <c r="H30" i="161"/>
  <c r="Z65" i="330"/>
  <c r="AA65" i="330" s="1"/>
  <c r="H41" i="213"/>
  <c r="H120" i="162"/>
  <c r="H118" i="162"/>
  <c r="H39" i="335" l="1"/>
  <c r="H37" i="335"/>
  <c r="H36" i="335"/>
  <c r="H35" i="335"/>
  <c r="H130" i="163"/>
  <c r="H31" i="337"/>
  <c r="H30" i="337"/>
  <c r="H29" i="337"/>
  <c r="H28" i="337"/>
  <c r="H27" i="337"/>
  <c r="H26" i="337"/>
  <c r="H25" i="337"/>
  <c r="H24" i="337"/>
  <c r="H23" i="337"/>
  <c r="H18" i="337"/>
  <c r="H17" i="337"/>
  <c r="H16" i="337"/>
  <c r="H15" i="337"/>
  <c r="H14" i="337"/>
  <c r="H13" i="337"/>
  <c r="H12" i="337"/>
  <c r="F24" i="340"/>
  <c r="H35" i="213" l="1"/>
  <c r="H34" i="213"/>
  <c r="H33" i="213"/>
  <c r="H32" i="213"/>
  <c r="H31" i="213"/>
  <c r="H30" i="213"/>
  <c r="H29" i="213"/>
  <c r="H27" i="213"/>
  <c r="H26" i="213"/>
  <c r="H24" i="213"/>
  <c r="H23" i="213"/>
  <c r="H22" i="213"/>
  <c r="H21" i="213"/>
  <c r="H20" i="213"/>
  <c r="H19" i="213"/>
  <c r="H18" i="213"/>
  <c r="H15" i="213"/>
  <c r="H14" i="213"/>
  <c r="F16" i="213" s="1"/>
  <c r="H16" i="213" s="1"/>
  <c r="H13" i="213"/>
  <c r="H12" i="213"/>
  <c r="H50" i="338"/>
  <c r="F44" i="334" l="1"/>
  <c r="F43" i="208"/>
  <c r="H38" i="345" l="1"/>
  <c r="H37" i="345"/>
  <c r="H36" i="345"/>
  <c r="H34" i="345"/>
  <c r="H33" i="345"/>
  <c r="H32" i="345"/>
  <c r="H31" i="345"/>
  <c r="H30" i="345"/>
  <c r="H29" i="345"/>
  <c r="H28" i="345"/>
  <c r="H26" i="345"/>
  <c r="H25" i="345"/>
  <c r="H24" i="345"/>
  <c r="H22" i="345"/>
  <c r="H21" i="345"/>
  <c r="H20" i="345"/>
  <c r="H18" i="345"/>
  <c r="H17" i="345"/>
  <c r="H16" i="345"/>
  <c r="H15" i="345"/>
  <c r="H14" i="345"/>
  <c r="H40" i="247"/>
  <c r="H39" i="247"/>
  <c r="H38" i="247"/>
  <c r="H36" i="247"/>
  <c r="H35" i="247"/>
  <c r="H34" i="247"/>
  <c r="H33" i="247"/>
  <c r="H32" i="247"/>
  <c r="H31" i="247"/>
  <c r="H30" i="247"/>
  <c r="H28" i="247" l="1"/>
  <c r="H27" i="247"/>
  <c r="H26" i="247"/>
  <c r="H24" i="247"/>
  <c r="H23" i="247"/>
  <c r="H22" i="247"/>
  <c r="H20" i="247"/>
  <c r="H19" i="247"/>
  <c r="H18" i="247"/>
  <c r="H17" i="247"/>
  <c r="H16" i="247"/>
  <c r="H36" i="338" l="1"/>
  <c r="H23" i="162" l="1"/>
  <c r="U63" i="344"/>
  <c r="H78" i="344"/>
  <c r="H77" i="344"/>
  <c r="H75" i="344"/>
  <c r="H74" i="344"/>
  <c r="Q71" i="344"/>
  <c r="Q72" i="344" s="1"/>
  <c r="H106" i="330"/>
  <c r="H105" i="330"/>
  <c r="H104" i="330"/>
  <c r="H103" i="330"/>
  <c r="H102" i="330"/>
  <c r="H21" i="178"/>
  <c r="M24" i="178"/>
  <c r="O24" i="178" s="1"/>
  <c r="M23" i="178"/>
  <c r="O23" i="178" s="1"/>
  <c r="M22" i="178"/>
  <c r="O22" i="178" s="1"/>
  <c r="M21" i="178"/>
  <c r="O21" i="178" s="1"/>
  <c r="O25" i="178" s="1"/>
  <c r="H28" i="175"/>
  <c r="H27" i="175"/>
  <c r="H26" i="175"/>
  <c r="H25" i="175"/>
  <c r="H24" i="175"/>
  <c r="H23" i="175"/>
  <c r="H22" i="175"/>
  <c r="H21" i="175"/>
  <c r="H20" i="175"/>
  <c r="H19" i="175"/>
  <c r="H18" i="175"/>
  <c r="H17" i="175"/>
  <c r="H16" i="175"/>
  <c r="H15" i="175"/>
  <c r="H14" i="175"/>
  <c r="H13" i="175"/>
  <c r="H12" i="175"/>
  <c r="H59" i="208" l="1"/>
  <c r="H58" i="208"/>
  <c r="H57" i="208"/>
  <c r="H56" i="208"/>
  <c r="H55" i="208"/>
  <c r="H54" i="208"/>
  <c r="H53" i="208"/>
  <c r="H52" i="208"/>
  <c r="H51" i="208"/>
  <c r="H50" i="208"/>
  <c r="H49" i="208"/>
  <c r="H47" i="208"/>
  <c r="H46" i="208"/>
  <c r="H45" i="208"/>
  <c r="H43" i="208"/>
  <c r="H42" i="208"/>
  <c r="H41" i="208"/>
  <c r="H39" i="208"/>
  <c r="H38" i="208"/>
  <c r="H35" i="208"/>
  <c r="H34" i="208"/>
  <c r="H33" i="208"/>
  <c r="H31" i="208"/>
  <c r="H29" i="208"/>
  <c r="H28" i="208"/>
  <c r="H27" i="208"/>
  <c r="H26" i="208"/>
  <c r="H25" i="208"/>
  <c r="H24" i="208"/>
  <c r="H23" i="208"/>
  <c r="H92" i="330"/>
  <c r="H90" i="330"/>
  <c r="H88" i="330"/>
  <c r="H82" i="330"/>
  <c r="H78" i="330"/>
  <c r="H76" i="330"/>
  <c r="O42" i="344"/>
  <c r="P42" i="344" s="1"/>
  <c r="Q42" i="344" s="1"/>
  <c r="H70" i="330"/>
  <c r="T70" i="330" s="1"/>
  <c r="M60" i="330"/>
  <c r="M70" i="330"/>
  <c r="P70" i="330" s="1"/>
  <c r="H64" i="330"/>
  <c r="T64" i="330" s="1"/>
  <c r="H60" i="330"/>
  <c r="T60" i="330" s="1"/>
  <c r="H58" i="330"/>
  <c r="U74" i="330" l="1"/>
  <c r="Q26" i="330"/>
  <c r="O30" i="330"/>
  <c r="N24" i="330"/>
  <c r="N25" i="330" s="1"/>
  <c r="H20" i="330"/>
  <c r="H18" i="330"/>
  <c r="H16" i="330"/>
  <c r="F49" i="159"/>
  <c r="H49" i="159" s="1"/>
  <c r="F45" i="159"/>
  <c r="H45" i="159" s="1"/>
  <c r="Q24" i="330" l="1"/>
  <c r="O24" i="330"/>
  <c r="H13" i="336" l="1"/>
  <c r="H60" i="334" l="1"/>
  <c r="H59" i="334"/>
  <c r="H58" i="334"/>
  <c r="H57" i="334"/>
  <c r="H56" i="334"/>
  <c r="H55" i="334"/>
  <c r="H54" i="334"/>
  <c r="H53" i="334"/>
  <c r="H52" i="334"/>
  <c r="H51" i="334"/>
  <c r="H50" i="334"/>
  <c r="H48" i="334"/>
  <c r="H47" i="334"/>
  <c r="H46" i="334"/>
  <c r="H44" i="334"/>
  <c r="H43" i="334"/>
  <c r="H42" i="334"/>
  <c r="H40" i="334"/>
  <c r="H39" i="334"/>
  <c r="H36" i="334"/>
  <c r="H35" i="334"/>
  <c r="H34" i="334"/>
  <c r="H32" i="334"/>
  <c r="H30" i="334"/>
  <c r="H29" i="334" l="1"/>
  <c r="H28" i="334"/>
  <c r="H27" i="334"/>
  <c r="H26" i="334"/>
  <c r="H25" i="334"/>
  <c r="H24" i="334"/>
  <c r="O65" i="344" l="1"/>
  <c r="H66" i="344"/>
  <c r="H64" i="344"/>
  <c r="H60" i="344"/>
  <c r="H58" i="344"/>
  <c r="H55" i="344"/>
  <c r="H120" i="163" l="1"/>
  <c r="H122" i="163"/>
  <c r="H124" i="163"/>
  <c r="H126" i="163"/>
  <c r="H128" i="163"/>
  <c r="H118" i="163"/>
  <c r="H38" i="330"/>
  <c r="R19" i="344" l="1"/>
  <c r="S19" i="344" s="1"/>
  <c r="T19" i="344" s="1"/>
  <c r="H26" i="341" l="1"/>
  <c r="H22" i="341"/>
  <c r="H137" i="163" l="1"/>
  <c r="H135" i="163"/>
  <c r="H133" i="163"/>
  <c r="H16" i="163"/>
  <c r="H114" i="162"/>
  <c r="H102" i="162"/>
  <c r="F104" i="162" s="1"/>
  <c r="H104" i="162" s="1"/>
  <c r="H98" i="162"/>
  <c r="F100" i="162" s="1"/>
  <c r="H100" i="162" s="1"/>
  <c r="H76" i="162"/>
  <c r="H77" i="162"/>
  <c r="H78" i="162"/>
  <c r="H79" i="162"/>
  <c r="H74" i="162"/>
  <c r="H72" i="162"/>
  <c r="H70" i="162"/>
  <c r="H66" i="162"/>
  <c r="H64" i="162"/>
  <c r="H56" i="162"/>
  <c r="H54" i="162"/>
  <c r="H40" i="162"/>
  <c r="H38" i="162"/>
  <c r="H19" i="162"/>
  <c r="H26" i="161"/>
  <c r="H28" i="161"/>
  <c r="H24" i="161"/>
  <c r="B5" i="235" l="1"/>
  <c r="H14" i="161" l="1"/>
  <c r="L32" i="235"/>
  <c r="P38" i="207"/>
  <c r="H64" i="209" l="1"/>
  <c r="H62" i="209"/>
  <c r="P63" i="330"/>
  <c r="P64" i="330" s="1"/>
  <c r="B22" i="347" l="1"/>
  <c r="B21" i="347"/>
  <c r="B20" i="347"/>
  <c r="B18" i="347"/>
  <c r="B17" i="347"/>
  <c r="B10" i="347"/>
  <c r="B9" i="347"/>
  <c r="B4" i="347"/>
  <c r="B2" i="347"/>
  <c r="F1" i="347"/>
  <c r="B1" i="347"/>
  <c r="B50" i="346"/>
  <c r="H49" i="346"/>
  <c r="H48" i="346"/>
  <c r="H47" i="346"/>
  <c r="H46" i="346"/>
  <c r="H45" i="346"/>
  <c r="H44" i="346"/>
  <c r="H43" i="346"/>
  <c r="H42" i="346"/>
  <c r="H41" i="346"/>
  <c r="B41" i="346"/>
  <c r="H40" i="346"/>
  <c r="H39" i="346"/>
  <c r="H38" i="346"/>
  <c r="B38" i="346"/>
  <c r="H37" i="346"/>
  <c r="F37" i="346"/>
  <c r="B37" i="346"/>
  <c r="H36" i="346"/>
  <c r="B36" i="346"/>
  <c r="H35" i="346"/>
  <c r="H34" i="346"/>
  <c r="H33" i="346"/>
  <c r="H32" i="346"/>
  <c r="H31" i="346"/>
  <c r="H30" i="346"/>
  <c r="H29" i="346"/>
  <c r="H28" i="346"/>
  <c r="H27" i="346"/>
  <c r="H26" i="346"/>
  <c r="H25" i="346"/>
  <c r="H24" i="346"/>
  <c r="H23" i="346"/>
  <c r="H22" i="346"/>
  <c r="H21" i="346"/>
  <c r="H20" i="346"/>
  <c r="J19" i="346"/>
  <c r="H19" i="346"/>
  <c r="N18" i="346"/>
  <c r="O18" i="346" s="1"/>
  <c r="H18" i="346"/>
  <c r="H17" i="346"/>
  <c r="H16" i="346"/>
  <c r="H15" i="346"/>
  <c r="S14" i="346"/>
  <c r="N14" i="346"/>
  <c r="O14" i="346" s="1"/>
  <c r="H14" i="346"/>
  <c r="H13" i="346"/>
  <c r="H12" i="346"/>
  <c r="H10" i="346"/>
  <c r="B5" i="346"/>
  <c r="H4" i="346"/>
  <c r="B2" i="346"/>
  <c r="F1" i="346"/>
  <c r="B1" i="346"/>
  <c r="B44" i="345"/>
  <c r="L14" i="345"/>
  <c r="H11" i="345"/>
  <c r="H44" i="345" s="1"/>
  <c r="H10" i="345"/>
  <c r="H9" i="345"/>
  <c r="B5" i="345"/>
  <c r="H4" i="345"/>
  <c r="B2" i="345"/>
  <c r="F1" i="345"/>
  <c r="B1" i="345"/>
  <c r="H72" i="344"/>
  <c r="H70" i="344"/>
  <c r="H69" i="344"/>
  <c r="H68" i="344"/>
  <c r="B82" i="344"/>
  <c r="B44" i="344"/>
  <c r="H43" i="344"/>
  <c r="H42" i="344"/>
  <c r="AB42" i="344" s="1"/>
  <c r="H40" i="344"/>
  <c r="H39" i="344"/>
  <c r="H38" i="344"/>
  <c r="H35" i="344"/>
  <c r="V35" i="344" s="1"/>
  <c r="B20" i="344"/>
  <c r="H18" i="344"/>
  <c r="H16" i="344"/>
  <c r="H15" i="344"/>
  <c r="O14" i="344"/>
  <c r="O16" i="344" s="1"/>
  <c r="O18" i="344" s="1"/>
  <c r="H14" i="344"/>
  <c r="H13" i="344"/>
  <c r="H12" i="344"/>
  <c r="H11" i="344"/>
  <c r="H10" i="344"/>
  <c r="H9" i="344"/>
  <c r="H4" i="344"/>
  <c r="H24" i="344" s="1"/>
  <c r="B31" i="343"/>
  <c r="H30" i="343"/>
  <c r="H29" i="343"/>
  <c r="H28" i="343"/>
  <c r="H27" i="343"/>
  <c r="H26" i="343"/>
  <c r="H25" i="343"/>
  <c r="H24" i="343"/>
  <c r="H23" i="343"/>
  <c r="H22" i="343"/>
  <c r="H21" i="343"/>
  <c r="H20" i="343"/>
  <c r="H19" i="343"/>
  <c r="H18" i="343"/>
  <c r="H16" i="343"/>
  <c r="H15" i="343"/>
  <c r="H14" i="343"/>
  <c r="H13" i="343"/>
  <c r="H12" i="343"/>
  <c r="H11" i="343"/>
  <c r="H10" i="343"/>
  <c r="H9" i="343"/>
  <c r="B5" i="343"/>
  <c r="H4" i="343"/>
  <c r="B2" i="343"/>
  <c r="B45" i="342"/>
  <c r="H11" i="342"/>
  <c r="H10" i="342"/>
  <c r="H9" i="342"/>
  <c r="B5" i="342"/>
  <c r="H4" i="342"/>
  <c r="B2" i="342"/>
  <c r="F1" i="342"/>
  <c r="B1" i="342"/>
  <c r="B57" i="341"/>
  <c r="H40" i="341"/>
  <c r="Y38" i="341"/>
  <c r="H21" i="341"/>
  <c r="T20" i="341"/>
  <c r="H19" i="341"/>
  <c r="H17" i="341"/>
  <c r="H16" i="341"/>
  <c r="AC15" i="341"/>
  <c r="H15" i="341"/>
  <c r="H14" i="341"/>
  <c r="H13" i="341"/>
  <c r="H12" i="341"/>
  <c r="H11" i="341"/>
  <c r="H10" i="341"/>
  <c r="H9" i="341"/>
  <c r="B5" i="341"/>
  <c r="H4" i="341"/>
  <c r="B2" i="341"/>
  <c r="F1" i="341"/>
  <c r="B1" i="341"/>
  <c r="B46" i="340"/>
  <c r="H42" i="340"/>
  <c r="H28" i="340"/>
  <c r="H27" i="340"/>
  <c r="H26" i="340"/>
  <c r="P24" i="340"/>
  <c r="H24" i="340"/>
  <c r="F22" i="340"/>
  <c r="H22" i="340" s="1"/>
  <c r="H21" i="340"/>
  <c r="F20" i="340"/>
  <c r="H20" i="340" s="1"/>
  <c r="H19" i="340"/>
  <c r="H18" i="340"/>
  <c r="H17" i="340"/>
  <c r="H16" i="340"/>
  <c r="H15" i="340"/>
  <c r="H14" i="340"/>
  <c r="H13" i="340"/>
  <c r="H11" i="340"/>
  <c r="H10" i="340"/>
  <c r="H9" i="340"/>
  <c r="B5" i="340"/>
  <c r="H4" i="340"/>
  <c r="B2" i="340"/>
  <c r="F1" i="340"/>
  <c r="B1" i="340"/>
  <c r="B38" i="339"/>
  <c r="H32" i="339"/>
  <c r="H31" i="339"/>
  <c r="H30" i="339"/>
  <c r="H29" i="339"/>
  <c r="H28" i="339"/>
  <c r="H27" i="339"/>
  <c r="H26" i="339"/>
  <c r="H25" i="339"/>
  <c r="H24" i="339"/>
  <c r="H22" i="339"/>
  <c r="H21" i="339"/>
  <c r="H20" i="339"/>
  <c r="H19" i="339"/>
  <c r="H18" i="339"/>
  <c r="H16" i="339"/>
  <c r="H15" i="339"/>
  <c r="H14" i="339"/>
  <c r="H13" i="339"/>
  <c r="H12" i="339"/>
  <c r="H11" i="339"/>
  <c r="H10" i="339"/>
  <c r="H9" i="339"/>
  <c r="B5" i="339"/>
  <c r="H4" i="339"/>
  <c r="B2" i="339"/>
  <c r="F1" i="339"/>
  <c r="B1" i="339"/>
  <c r="B54" i="338"/>
  <c r="H48" i="338"/>
  <c r="H47" i="338"/>
  <c r="H46" i="338"/>
  <c r="H45" i="338"/>
  <c r="H44" i="338"/>
  <c r="H43" i="338"/>
  <c r="H42" i="338"/>
  <c r="H41" i="338"/>
  <c r="H40" i="338"/>
  <c r="H39" i="338"/>
  <c r="H38" i="338"/>
  <c r="H37" i="338"/>
  <c r="H34" i="338"/>
  <c r="L35" i="338" s="1"/>
  <c r="H33" i="338"/>
  <c r="H32" i="338"/>
  <c r="H31" i="338"/>
  <c r="H30" i="338"/>
  <c r="H18" i="341"/>
  <c r="H22" i="338"/>
  <c r="H21" i="338"/>
  <c r="H20" i="338"/>
  <c r="H19" i="338"/>
  <c r="H18" i="338"/>
  <c r="H17" i="338"/>
  <c r="H16" i="338"/>
  <c r="H15" i="338"/>
  <c r="H14" i="338"/>
  <c r="H13" i="338"/>
  <c r="H12" i="338"/>
  <c r="H11" i="338"/>
  <c r="H10" i="338"/>
  <c r="H9" i="338"/>
  <c r="B5" i="338"/>
  <c r="H4" i="338"/>
  <c r="B2" i="338"/>
  <c r="F1" i="338"/>
  <c r="B1" i="338"/>
  <c r="B50" i="337"/>
  <c r="H49" i="337"/>
  <c r="H46" i="337"/>
  <c r="H44" i="337"/>
  <c r="H43" i="337"/>
  <c r="H42" i="337"/>
  <c r="H41" i="337"/>
  <c r="H40" i="337"/>
  <c r="H39" i="337"/>
  <c r="H38" i="337"/>
  <c r="H37" i="337"/>
  <c r="H36" i="337"/>
  <c r="H35" i="337"/>
  <c r="B5" i="337"/>
  <c r="H4" i="337"/>
  <c r="B2" i="337"/>
  <c r="F1" i="337"/>
  <c r="B1" i="337"/>
  <c r="B41" i="336"/>
  <c r="H40" i="336"/>
  <c r="H39" i="336"/>
  <c r="H38" i="336"/>
  <c r="H37" i="336"/>
  <c r="H36" i="336"/>
  <c r="H35" i="336"/>
  <c r="H34" i="336"/>
  <c r="H33" i="336"/>
  <c r="H32" i="336"/>
  <c r="H31" i="336"/>
  <c r="H30" i="336"/>
  <c r="H29" i="336"/>
  <c r="H28" i="336"/>
  <c r="H27" i="336"/>
  <c r="H26" i="336"/>
  <c r="H25" i="336"/>
  <c r="H23" i="336"/>
  <c r="H22" i="336"/>
  <c r="H21" i="336"/>
  <c r="H20" i="336"/>
  <c r="H19" i="336"/>
  <c r="H18" i="336"/>
  <c r="H17" i="336"/>
  <c r="H16" i="336"/>
  <c r="H15" i="336"/>
  <c r="H14" i="336"/>
  <c r="H12" i="336"/>
  <c r="H11" i="336"/>
  <c r="H10" i="336"/>
  <c r="H9" i="336"/>
  <c r="B5" i="336"/>
  <c r="H4" i="336"/>
  <c r="B2" i="336"/>
  <c r="F1" i="336"/>
  <c r="B1" i="336"/>
  <c r="B59" i="335"/>
  <c r="H57" i="335"/>
  <c r="B45" i="335"/>
  <c r="B42" i="335"/>
  <c r="F41" i="335"/>
  <c r="B41" i="335"/>
  <c r="B40" i="335"/>
  <c r="H34" i="335"/>
  <c r="H33" i="335"/>
  <c r="H32" i="335"/>
  <c r="H31" i="335"/>
  <c r="H30" i="335"/>
  <c r="H29" i="335"/>
  <c r="H28" i="335"/>
  <c r="H27" i="335"/>
  <c r="H26" i="335"/>
  <c r="H25" i="335"/>
  <c r="H24" i="335"/>
  <c r="H23" i="335"/>
  <c r="H22" i="335"/>
  <c r="H21" i="335"/>
  <c r="H20" i="335"/>
  <c r="H19" i="335"/>
  <c r="H18" i="335"/>
  <c r="H17" i="335"/>
  <c r="H16" i="335"/>
  <c r="H15" i="335"/>
  <c r="H14" i="335"/>
  <c r="H13" i="335"/>
  <c r="H12" i="335"/>
  <c r="H11" i="335"/>
  <c r="H10" i="335"/>
  <c r="H9" i="335"/>
  <c r="B5" i="335"/>
  <c r="H4" i="335"/>
  <c r="H44" i="335" s="1"/>
  <c r="B2" i="335"/>
  <c r="F1" i="335"/>
  <c r="B1" i="335"/>
  <c r="B62" i="334"/>
  <c r="H23" i="334"/>
  <c r="H22" i="334"/>
  <c r="H21" i="334"/>
  <c r="H20" i="334"/>
  <c r="H19" i="334"/>
  <c r="H18" i="334"/>
  <c r="H17" i="334"/>
  <c r="H16" i="334"/>
  <c r="H15" i="334"/>
  <c r="H13" i="334"/>
  <c r="H12" i="334"/>
  <c r="H11" i="334"/>
  <c r="H10" i="334"/>
  <c r="H9" i="334"/>
  <c r="B5" i="334"/>
  <c r="H4" i="334"/>
  <c r="B2" i="334"/>
  <c r="F1" i="334"/>
  <c r="B1" i="334"/>
  <c r="B65" i="333"/>
  <c r="H59" i="333"/>
  <c r="H58" i="333"/>
  <c r="H57" i="333"/>
  <c r="H56" i="333"/>
  <c r="H55" i="333"/>
  <c r="H54" i="333"/>
  <c r="H53" i="333"/>
  <c r="H52" i="333"/>
  <c r="H51" i="333"/>
  <c r="H50" i="333"/>
  <c r="H49" i="333"/>
  <c r="H48" i="333"/>
  <c r="H47" i="333"/>
  <c r="H46" i="333"/>
  <c r="H45" i="333"/>
  <c r="H44" i="333"/>
  <c r="H43" i="333"/>
  <c r="H42" i="333"/>
  <c r="H41" i="333"/>
  <c r="H40" i="333"/>
  <c r="H39" i="333"/>
  <c r="H38" i="333"/>
  <c r="H37" i="333"/>
  <c r="H36" i="333"/>
  <c r="H35" i="333"/>
  <c r="H34" i="333"/>
  <c r="H33" i="333"/>
  <c r="H32" i="333"/>
  <c r="H31" i="333"/>
  <c r="H30" i="333"/>
  <c r="H29" i="333"/>
  <c r="H28" i="333"/>
  <c r="H27" i="333"/>
  <c r="H26" i="333"/>
  <c r="H25" i="333"/>
  <c r="H24" i="333"/>
  <c r="H23" i="333"/>
  <c r="H22" i="333"/>
  <c r="H21" i="333"/>
  <c r="H20" i="333"/>
  <c r="H19" i="333"/>
  <c r="H17" i="333"/>
  <c r="H16" i="333"/>
  <c r="H15" i="333"/>
  <c r="H14" i="333"/>
  <c r="H13" i="333"/>
  <c r="H12" i="333"/>
  <c r="H11" i="333"/>
  <c r="H10" i="333"/>
  <c r="H9" i="333"/>
  <c r="B5" i="333"/>
  <c r="H4" i="333"/>
  <c r="B2" i="333"/>
  <c r="F1" i="333"/>
  <c r="B1" i="333"/>
  <c r="B60" i="332"/>
  <c r="H59" i="332"/>
  <c r="H19" i="332"/>
  <c r="H18" i="332"/>
  <c r="H17" i="332"/>
  <c r="H16" i="332"/>
  <c r="H15" i="332"/>
  <c r="H14" i="332"/>
  <c r="H13" i="332"/>
  <c r="H12" i="332"/>
  <c r="H11" i="332"/>
  <c r="H10" i="332"/>
  <c r="H9" i="332"/>
  <c r="B5" i="332"/>
  <c r="H4" i="332"/>
  <c r="B2" i="332"/>
  <c r="F1" i="332"/>
  <c r="B1" i="332"/>
  <c r="H50" i="337" l="1"/>
  <c r="H50" i="346"/>
  <c r="H60" i="332"/>
  <c r="G9" i="347" s="1"/>
  <c r="H62" i="334"/>
  <c r="A1" i="334" s="1"/>
  <c r="H65" i="333"/>
  <c r="G10" i="347" s="1"/>
  <c r="G16" i="347"/>
  <c r="H41" i="336"/>
  <c r="G15" i="347" s="1"/>
  <c r="H40" i="335"/>
  <c r="H49" i="335" s="1"/>
  <c r="H59" i="335" s="1"/>
  <c r="H38" i="339"/>
  <c r="G18" i="347" s="1"/>
  <c r="H36" i="341"/>
  <c r="G24" i="347"/>
  <c r="H48" i="344"/>
  <c r="H31" i="343"/>
  <c r="G22" i="347" s="1"/>
  <c r="H46" i="340"/>
  <c r="G19" i="347" s="1"/>
  <c r="H20" i="344"/>
  <c r="H29" i="344" s="1"/>
  <c r="H44" i="344" s="1"/>
  <c r="H53" i="344" s="1"/>
  <c r="H82" i="344" s="1"/>
  <c r="G23" i="347" s="1"/>
  <c r="H20" i="341"/>
  <c r="H54" i="338"/>
  <c r="G17" i="347" s="1"/>
  <c r="H45" i="342" l="1"/>
  <c r="G21" i="347" s="1"/>
  <c r="G14" i="347"/>
  <c r="H24" i="357"/>
  <c r="G13" i="347"/>
  <c r="H23" i="357"/>
  <c r="G25" i="347"/>
  <c r="H25" i="357"/>
  <c r="H57" i="341"/>
  <c r="G20" i="347" s="1"/>
  <c r="H98" i="330" l="1"/>
  <c r="H97" i="330"/>
  <c r="H96" i="330"/>
  <c r="H95" i="330"/>
  <c r="H94" i="330"/>
  <c r="H75" i="330"/>
  <c r="H74" i="330"/>
  <c r="H18" i="237"/>
  <c r="E12" i="331"/>
  <c r="D12" i="331"/>
  <c r="C12" i="331"/>
  <c r="B12" i="331"/>
  <c r="E11" i="331"/>
  <c r="D11" i="331"/>
  <c r="C11" i="331"/>
  <c r="B11" i="331"/>
  <c r="E10" i="331"/>
  <c r="D10" i="331"/>
  <c r="C10" i="331"/>
  <c r="B10" i="331"/>
  <c r="C9" i="331"/>
  <c r="B9" i="331"/>
  <c r="F1" i="331"/>
  <c r="B1" i="331"/>
  <c r="H108" i="163"/>
  <c r="H107" i="163"/>
  <c r="H106" i="163"/>
  <c r="H15" i="159"/>
  <c r="F1" i="159" l="1"/>
  <c r="M32" i="207" l="1"/>
  <c r="H34" i="209" l="1"/>
  <c r="B108" i="330" l="1"/>
  <c r="H63" i="330"/>
  <c r="T63" i="330" s="1"/>
  <c r="H57" i="330"/>
  <c r="H56" i="330"/>
  <c r="B45" i="330"/>
  <c r="H43" i="330"/>
  <c r="H42" i="330"/>
  <c r="H40" i="330"/>
  <c r="H37" i="330"/>
  <c r="O36" i="330"/>
  <c r="O40" i="330" s="1"/>
  <c r="O42" i="330" s="1"/>
  <c r="H36" i="330"/>
  <c r="H35" i="330"/>
  <c r="H34" i="330"/>
  <c r="H33" i="330"/>
  <c r="H32" i="330"/>
  <c r="H30" i="330"/>
  <c r="H26" i="330"/>
  <c r="H24" i="330"/>
  <c r="H23" i="330"/>
  <c r="H22" i="330"/>
  <c r="H21" i="330"/>
  <c r="H15" i="330"/>
  <c r="H14" i="330"/>
  <c r="H12" i="330"/>
  <c r="H11" i="330"/>
  <c r="H10" i="330"/>
  <c r="H9" i="330"/>
  <c r="H4" i="330"/>
  <c r="H49" i="330" l="1"/>
  <c r="H45" i="330"/>
  <c r="H54" i="330" s="1"/>
  <c r="H108" i="330" s="1"/>
  <c r="V111" i="330" l="1"/>
  <c r="G20" i="254"/>
  <c r="O13" i="235"/>
  <c r="K16" i="235"/>
  <c r="O10" i="242" l="1"/>
  <c r="B96" i="170"/>
  <c r="H50" i="170"/>
  <c r="H49" i="170"/>
  <c r="H48" i="170"/>
  <c r="H47" i="170"/>
  <c r="H46" i="170"/>
  <c r="M29" i="170"/>
  <c r="N29" i="170" s="1"/>
  <c r="F22" i="169"/>
  <c r="H18" i="169"/>
  <c r="H17" i="169"/>
  <c r="H16" i="169"/>
  <c r="H36" i="235"/>
  <c r="F43" i="169" l="1"/>
  <c r="D47" i="169"/>
  <c r="C54" i="169"/>
  <c r="C49" i="169"/>
  <c r="D50" i="169" l="1"/>
  <c r="D51" i="169" s="1"/>
  <c r="H22" i="169" l="1"/>
  <c r="N56" i="244" l="1"/>
  <c r="N41" i="244"/>
  <c r="H16" i="242"/>
  <c r="P13" i="171" l="1"/>
  <c r="Q13" i="171" s="1"/>
  <c r="R13" i="171" s="1"/>
  <c r="Q33" i="214"/>
  <c r="V11" i="214"/>
  <c r="V12" i="214" s="1"/>
  <c r="P12" i="214"/>
  <c r="H65" i="209" l="1"/>
  <c r="H60" i="209"/>
  <c r="H58" i="209"/>
  <c r="K33" i="166" l="1"/>
  <c r="K37" i="166"/>
  <c r="K14" i="166"/>
  <c r="V20" i="169" l="1"/>
  <c r="V23" i="169"/>
  <c r="V26" i="169"/>
  <c r="V27" i="169"/>
  <c r="V28" i="169"/>
  <c r="V30" i="169"/>
  <c r="V31" i="169"/>
  <c r="V32" i="169"/>
  <c r="V33" i="169"/>
  <c r="V35" i="169"/>
  <c r="O39" i="166"/>
  <c r="L40" i="166"/>
  <c r="H34" i="214" l="1"/>
  <c r="H12" i="208" l="1"/>
  <c r="N19" i="214" l="1"/>
  <c r="H32" i="235" l="1"/>
  <c r="H58" i="162"/>
  <c r="H59" i="162"/>
  <c r="H60" i="162"/>
  <c r="H61" i="162"/>
  <c r="X20" i="214"/>
  <c r="Y20" i="214" s="1"/>
  <c r="W16" i="214"/>
  <c r="X16" i="214" s="1"/>
  <c r="Z16" i="214" s="1"/>
  <c r="K21" i="179"/>
  <c r="H39" i="179"/>
  <c r="H38" i="179"/>
  <c r="F37" i="179"/>
  <c r="H37" i="179" s="1"/>
  <c r="H36" i="179"/>
  <c r="H35" i="179"/>
  <c r="H34" i="179"/>
  <c r="H33" i="179"/>
  <c r="H32" i="179"/>
  <c r="H31" i="179"/>
  <c r="H30" i="179"/>
  <c r="H29" i="179"/>
  <c r="H28" i="179"/>
  <c r="H27" i="179"/>
  <c r="H26" i="179"/>
  <c r="H25" i="179"/>
  <c r="H24" i="179"/>
  <c r="H23" i="179"/>
  <c r="H22" i="179"/>
  <c r="H21" i="179"/>
  <c r="H20" i="179"/>
  <c r="H19" i="179"/>
  <c r="H18" i="179"/>
  <c r="H17" i="179"/>
  <c r="H16" i="179"/>
  <c r="H15" i="179"/>
  <c r="H14" i="179"/>
  <c r="H13" i="179"/>
  <c r="H12" i="179"/>
  <c r="H10" i="179"/>
  <c r="H18" i="167" l="1"/>
  <c r="H16" i="235"/>
  <c r="H17" i="235"/>
  <c r="H18" i="235"/>
  <c r="H19" i="235"/>
  <c r="H20" i="235"/>
  <c r="H21" i="235"/>
  <c r="H22" i="235"/>
  <c r="H23" i="235"/>
  <c r="H24" i="235"/>
  <c r="H25" i="235"/>
  <c r="H26" i="235"/>
  <c r="H27" i="235"/>
  <c r="H28" i="235"/>
  <c r="H29" i="235"/>
  <c r="H30" i="235"/>
  <c r="B65" i="213" l="1"/>
  <c r="P27" i="214" l="1"/>
  <c r="H31" i="235" l="1"/>
  <c r="H13" i="159" l="1"/>
  <c r="H14" i="159"/>
  <c r="H10" i="208"/>
  <c r="H11" i="208"/>
  <c r="H15" i="208"/>
  <c r="H17" i="208"/>
  <c r="H18" i="208"/>
  <c r="H20" i="208"/>
  <c r="H22" i="208"/>
  <c r="H21" i="208"/>
  <c r="H19" i="208"/>
  <c r="H16" i="208"/>
  <c r="H14" i="208"/>
  <c r="H56" i="209"/>
  <c r="H57" i="209"/>
  <c r="H12" i="209"/>
  <c r="H13" i="209"/>
  <c r="H14" i="209"/>
  <c r="H16" i="209"/>
  <c r="H18" i="209"/>
  <c r="H20" i="209"/>
  <c r="H21" i="209"/>
  <c r="H22" i="209"/>
  <c r="H24" i="209"/>
  <c r="H25" i="209"/>
  <c r="H27" i="209"/>
  <c r="H28" i="209"/>
  <c r="H29" i="209"/>
  <c r="H31" i="209"/>
  <c r="H33" i="209"/>
  <c r="H32" i="209"/>
  <c r="H30" i="209"/>
  <c r="H26" i="209"/>
  <c r="H23" i="209"/>
  <c r="H19" i="209"/>
  <c r="H17" i="209"/>
  <c r="H15" i="209"/>
  <c r="H12" i="207"/>
  <c r="H13" i="207"/>
  <c r="H14" i="207"/>
  <c r="H15" i="207"/>
  <c r="H33" i="207"/>
  <c r="H12" i="214"/>
  <c r="H13" i="214"/>
  <c r="H14" i="214"/>
  <c r="H15" i="214"/>
  <c r="H17" i="214"/>
  <c r="H18" i="214"/>
  <c r="H19" i="214"/>
  <c r="H21" i="214"/>
  <c r="H22" i="214"/>
  <c r="H23" i="214"/>
  <c r="H25" i="214"/>
  <c r="H26" i="214"/>
  <c r="H27" i="214"/>
  <c r="H29" i="214"/>
  <c r="H30" i="214"/>
  <c r="H31" i="214"/>
  <c r="H33" i="214"/>
  <c r="H32" i="214"/>
  <c r="H28" i="214"/>
  <c r="H24" i="214"/>
  <c r="H20" i="214"/>
  <c r="H16" i="214"/>
  <c r="H60" i="208" l="1"/>
  <c r="H36" i="207"/>
  <c r="H103" i="163"/>
  <c r="H104" i="163"/>
  <c r="H105" i="163"/>
  <c r="H109" i="163"/>
  <c r="H55" i="163"/>
  <c r="H56" i="163"/>
  <c r="H57" i="163"/>
  <c r="H58" i="163"/>
  <c r="H59" i="163"/>
  <c r="H60" i="163"/>
  <c r="H61" i="163"/>
  <c r="H62" i="163"/>
  <c r="H63" i="163"/>
  <c r="H90" i="163"/>
  <c r="H13" i="163"/>
  <c r="H14" i="163"/>
  <c r="H15" i="163"/>
  <c r="H18" i="163"/>
  <c r="H19" i="163"/>
  <c r="H17" i="357" l="1"/>
  <c r="H47" i="248"/>
  <c r="F37" i="248"/>
  <c r="H34" i="248"/>
  <c r="H48" i="248"/>
  <c r="H46" i="248"/>
  <c r="H45" i="248"/>
  <c r="H44" i="248"/>
  <c r="H43" i="248"/>
  <c r="H42" i="248"/>
  <c r="H41" i="248"/>
  <c r="H40" i="248"/>
  <c r="H39" i="248"/>
  <c r="H38" i="248"/>
  <c r="H37" i="248"/>
  <c r="H36" i="248"/>
  <c r="H35" i="248"/>
  <c r="H33" i="248"/>
  <c r="H32" i="248"/>
  <c r="H31" i="248"/>
  <c r="H30" i="248"/>
  <c r="H29" i="248"/>
  <c r="H28" i="248"/>
  <c r="H27" i="248"/>
  <c r="H26" i="248"/>
  <c r="H25" i="248"/>
  <c r="H24" i="248"/>
  <c r="H23" i="248"/>
  <c r="H22" i="248"/>
  <c r="H21" i="248"/>
  <c r="H20" i="248"/>
  <c r="H19" i="248"/>
  <c r="H18" i="248"/>
  <c r="H17" i="248"/>
  <c r="H16" i="248"/>
  <c r="H15" i="248"/>
  <c r="H14" i="248"/>
  <c r="H13" i="248"/>
  <c r="H12" i="248"/>
  <c r="H10" i="248"/>
  <c r="H50" i="248" l="1"/>
  <c r="G22" i="254" l="1"/>
  <c r="H19" i="357"/>
  <c r="G11" i="254"/>
  <c r="H20" i="164" l="1"/>
  <c r="H21" i="164"/>
  <c r="H19" i="164"/>
  <c r="H18" i="164"/>
  <c r="H15" i="192" l="1"/>
  <c r="H13" i="192"/>
  <c r="H12" i="192"/>
  <c r="F14" i="192" s="1"/>
  <c r="H14" i="192" s="1"/>
  <c r="B1" i="235" l="1"/>
  <c r="F1" i="235"/>
  <c r="B2" i="235"/>
  <c r="H4" i="235"/>
  <c r="H113" i="162"/>
  <c r="H112" i="162"/>
  <c r="H109" i="162"/>
  <c r="H106" i="162"/>
  <c r="F108" i="162" s="1"/>
  <c r="H108" i="162" s="1"/>
  <c r="H97" i="162"/>
  <c r="H96" i="162"/>
  <c r="H68" i="162"/>
  <c r="H67" i="162"/>
  <c r="H62" i="162"/>
  <c r="H53" i="162"/>
  <c r="H52" i="162"/>
  <c r="H51" i="162"/>
  <c r="H50" i="162"/>
  <c r="H49" i="162"/>
  <c r="H48" i="162"/>
  <c r="H47" i="162"/>
  <c r="H46" i="162"/>
  <c r="H45" i="162"/>
  <c r="H44" i="162"/>
  <c r="H21" i="162"/>
  <c r="H18" i="162"/>
  <c r="H17" i="162"/>
  <c r="H20" i="237" l="1"/>
  <c r="H24" i="237"/>
  <c r="H26" i="237"/>
  <c r="H16" i="237"/>
  <c r="F22" i="237" l="1"/>
  <c r="H22" i="237" s="1"/>
  <c r="H14" i="357"/>
  <c r="H34" i="200"/>
  <c r="H30" i="196"/>
  <c r="H31" i="196"/>
  <c r="H32" i="196"/>
  <c r="H38" i="212"/>
  <c r="B4" i="264" l="1"/>
  <c r="B2" i="264"/>
  <c r="F1" i="264"/>
  <c r="B1" i="264"/>
  <c r="C22" i="254"/>
  <c r="C21" i="254"/>
  <c r="B21" i="254"/>
  <c r="B22" i="254"/>
  <c r="B39" i="170"/>
  <c r="B36" i="170"/>
  <c r="F35" i="170"/>
  <c r="B35" i="170"/>
  <c r="B34" i="170"/>
  <c r="H10" i="170"/>
  <c r="H11" i="170"/>
  <c r="H12" i="170"/>
  <c r="H13" i="170"/>
  <c r="H14" i="170"/>
  <c r="H15" i="170"/>
  <c r="H16" i="170"/>
  <c r="H17" i="170"/>
  <c r="H18" i="170"/>
  <c r="H19" i="170"/>
  <c r="H20" i="170"/>
  <c r="H21" i="170"/>
  <c r="H22" i="170"/>
  <c r="H23" i="170"/>
  <c r="H24" i="170"/>
  <c r="H25" i="170"/>
  <c r="H26" i="170"/>
  <c r="H27" i="170"/>
  <c r="H28" i="170"/>
  <c r="H29" i="170"/>
  <c r="H31" i="170"/>
  <c r="H33" i="170"/>
  <c r="H95" i="170"/>
  <c r="H9" i="170"/>
  <c r="B45" i="247"/>
  <c r="H4" i="247"/>
  <c r="B104" i="246"/>
  <c r="B89" i="246"/>
  <c r="B86" i="246"/>
  <c r="F85" i="246"/>
  <c r="B85" i="246"/>
  <c r="B84" i="246"/>
  <c r="B54" i="246"/>
  <c r="B51" i="246"/>
  <c r="F50" i="246"/>
  <c r="B50" i="246"/>
  <c r="B49" i="246"/>
  <c r="B24" i="246"/>
  <c r="B21" i="246"/>
  <c r="F20" i="246"/>
  <c r="B20" i="246"/>
  <c r="B19" i="246"/>
  <c r="B198" i="193"/>
  <c r="B134" i="193"/>
  <c r="B131" i="193"/>
  <c r="F130" i="193"/>
  <c r="B130" i="193"/>
  <c r="B129" i="193"/>
  <c r="H119" i="193"/>
  <c r="H115" i="193"/>
  <c r="H111" i="193"/>
  <c r="H103" i="193"/>
  <c r="H99" i="193"/>
  <c r="B69" i="193"/>
  <c r="B66" i="193"/>
  <c r="F65" i="193"/>
  <c r="B65" i="193"/>
  <c r="B64" i="193"/>
  <c r="H10" i="193"/>
  <c r="H11" i="193"/>
  <c r="H12" i="193"/>
  <c r="H13" i="193"/>
  <c r="H14" i="193"/>
  <c r="H15" i="193"/>
  <c r="H16" i="193"/>
  <c r="H17" i="193"/>
  <c r="H18" i="193"/>
  <c r="H19" i="193"/>
  <c r="H20" i="193"/>
  <c r="H21" i="193"/>
  <c r="H22" i="193"/>
  <c r="H23" i="193"/>
  <c r="H24" i="193"/>
  <c r="H25" i="193"/>
  <c r="H26" i="193"/>
  <c r="H27" i="193"/>
  <c r="H28" i="193"/>
  <c r="H29" i="193"/>
  <c r="H30" i="193"/>
  <c r="H31" i="193"/>
  <c r="H32" i="193"/>
  <c r="H33" i="193"/>
  <c r="H34" i="193"/>
  <c r="H35" i="193"/>
  <c r="H36" i="193"/>
  <c r="H37" i="193"/>
  <c r="H38" i="193"/>
  <c r="H39" i="193"/>
  <c r="H40" i="193"/>
  <c r="H41" i="193"/>
  <c r="H42" i="193"/>
  <c r="H43" i="193"/>
  <c r="H44" i="193"/>
  <c r="H45" i="193"/>
  <c r="H46" i="193"/>
  <c r="H47" i="193"/>
  <c r="H48" i="193"/>
  <c r="H49" i="193"/>
  <c r="H50" i="193"/>
  <c r="H51" i="193"/>
  <c r="H52" i="193"/>
  <c r="H53" i="193"/>
  <c r="H54" i="193"/>
  <c r="H55" i="193"/>
  <c r="H56" i="193"/>
  <c r="H57" i="193"/>
  <c r="H58" i="193"/>
  <c r="H59" i="193"/>
  <c r="H60" i="193"/>
  <c r="H61" i="193"/>
  <c r="H62" i="193"/>
  <c r="H63" i="193"/>
  <c r="H75" i="193"/>
  <c r="H76" i="193"/>
  <c r="H77" i="193"/>
  <c r="H78" i="193"/>
  <c r="H79" i="193"/>
  <c r="H80" i="193"/>
  <c r="H81" i="193"/>
  <c r="H82" i="193"/>
  <c r="H83" i="193"/>
  <c r="H84" i="193"/>
  <c r="H85" i="193"/>
  <c r="H86" i="193"/>
  <c r="H87" i="193"/>
  <c r="H88" i="193"/>
  <c r="H89" i="193"/>
  <c r="H90" i="193"/>
  <c r="H91" i="193"/>
  <c r="H92" i="193"/>
  <c r="H93" i="193"/>
  <c r="H94" i="193"/>
  <c r="H95" i="193"/>
  <c r="H97" i="193"/>
  <c r="H101" i="193"/>
  <c r="H105" i="193"/>
  <c r="H106" i="193"/>
  <c r="H107" i="193"/>
  <c r="H108" i="193"/>
  <c r="H109" i="193"/>
  <c r="H113" i="193"/>
  <c r="H117" i="193"/>
  <c r="H120" i="193"/>
  <c r="H121" i="193"/>
  <c r="H122" i="193"/>
  <c r="H123" i="193"/>
  <c r="H124" i="193"/>
  <c r="H125" i="193"/>
  <c r="H126" i="193"/>
  <c r="H127" i="193"/>
  <c r="H128" i="193"/>
  <c r="H140" i="193"/>
  <c r="H141" i="193"/>
  <c r="H142" i="193"/>
  <c r="H143" i="193"/>
  <c r="H144" i="193"/>
  <c r="H145" i="193"/>
  <c r="H146" i="193"/>
  <c r="H147" i="193"/>
  <c r="H148" i="193"/>
  <c r="H149" i="193"/>
  <c r="H150" i="193"/>
  <c r="H151" i="193"/>
  <c r="H152" i="193"/>
  <c r="H153" i="193"/>
  <c r="H154" i="193"/>
  <c r="H155" i="193"/>
  <c r="H156" i="193"/>
  <c r="H157" i="193"/>
  <c r="H158" i="193"/>
  <c r="H159" i="193"/>
  <c r="H160" i="193"/>
  <c r="H161" i="193"/>
  <c r="H162" i="193"/>
  <c r="H163" i="193"/>
  <c r="H164" i="193"/>
  <c r="H165" i="193"/>
  <c r="H166" i="193"/>
  <c r="H167" i="193"/>
  <c r="H168" i="193"/>
  <c r="H169" i="193"/>
  <c r="H170" i="193"/>
  <c r="H171" i="193"/>
  <c r="H172" i="193"/>
  <c r="H173" i="193"/>
  <c r="H174" i="193"/>
  <c r="H175" i="193"/>
  <c r="H176" i="193"/>
  <c r="H177" i="193"/>
  <c r="H178" i="193"/>
  <c r="H179" i="193"/>
  <c r="H180" i="193"/>
  <c r="H181" i="193"/>
  <c r="H182" i="193"/>
  <c r="H183" i="193"/>
  <c r="H184" i="193"/>
  <c r="H185" i="193"/>
  <c r="H186" i="193"/>
  <c r="H187" i="193"/>
  <c r="H188" i="193"/>
  <c r="H189" i="193"/>
  <c r="H190" i="193"/>
  <c r="H191" i="193"/>
  <c r="H192" i="193"/>
  <c r="H193" i="193"/>
  <c r="H194" i="193"/>
  <c r="H195" i="193"/>
  <c r="H196" i="193"/>
  <c r="H197" i="193"/>
  <c r="B215" i="218"/>
  <c r="H134" i="218"/>
  <c r="H135" i="218"/>
  <c r="H136" i="218"/>
  <c r="H137" i="218"/>
  <c r="H138" i="218"/>
  <c r="H139" i="218"/>
  <c r="H140" i="218"/>
  <c r="B146" i="218"/>
  <c r="B143" i="218"/>
  <c r="F142" i="218"/>
  <c r="B142" i="218"/>
  <c r="B141" i="218"/>
  <c r="H74" i="218"/>
  <c r="B81" i="218"/>
  <c r="B78" i="218"/>
  <c r="F77" i="218"/>
  <c r="B77" i="218"/>
  <c r="B76" i="218"/>
  <c r="H10" i="218"/>
  <c r="H11" i="218"/>
  <c r="H12" i="218"/>
  <c r="H13" i="218"/>
  <c r="H14" i="218"/>
  <c r="H15" i="218"/>
  <c r="H16" i="218"/>
  <c r="H17" i="218"/>
  <c r="H18" i="218"/>
  <c r="H19" i="218"/>
  <c r="H20" i="218"/>
  <c r="H21" i="218"/>
  <c r="H22" i="218"/>
  <c r="H23" i="218"/>
  <c r="H24" i="218"/>
  <c r="H25" i="218"/>
  <c r="H26" i="218"/>
  <c r="H27" i="218"/>
  <c r="H28" i="218"/>
  <c r="H29" i="218"/>
  <c r="H30" i="218"/>
  <c r="H31" i="218"/>
  <c r="H32" i="218"/>
  <c r="H33" i="218"/>
  <c r="H34" i="218"/>
  <c r="H35" i="218"/>
  <c r="H36" i="218"/>
  <c r="H37" i="218"/>
  <c r="H38" i="218"/>
  <c r="H39" i="218"/>
  <c r="H40" i="218"/>
  <c r="H41" i="218"/>
  <c r="H42" i="218"/>
  <c r="H43" i="218"/>
  <c r="H44" i="218"/>
  <c r="H45" i="218"/>
  <c r="H46" i="218"/>
  <c r="H47" i="218"/>
  <c r="H48" i="218"/>
  <c r="H49" i="218"/>
  <c r="H50" i="218"/>
  <c r="H51" i="218"/>
  <c r="H52" i="218"/>
  <c r="H53" i="218"/>
  <c r="H54" i="218"/>
  <c r="H55" i="218"/>
  <c r="H56" i="218"/>
  <c r="H57" i="218"/>
  <c r="H58" i="218"/>
  <c r="H59" i="218"/>
  <c r="H60" i="218"/>
  <c r="H61" i="218"/>
  <c r="H62" i="218"/>
  <c r="H63" i="218"/>
  <c r="H64" i="218"/>
  <c r="H65" i="218"/>
  <c r="H66" i="218"/>
  <c r="H67" i="218"/>
  <c r="H68" i="218"/>
  <c r="H69" i="218"/>
  <c r="H70" i="218"/>
  <c r="H71" i="218"/>
  <c r="H72" i="218"/>
  <c r="H73" i="218"/>
  <c r="H87" i="218"/>
  <c r="H88" i="218"/>
  <c r="H89" i="218"/>
  <c r="H90" i="218"/>
  <c r="H91" i="218"/>
  <c r="H92" i="218"/>
  <c r="H93" i="218"/>
  <c r="H94" i="218"/>
  <c r="H95" i="218"/>
  <c r="H96" i="218"/>
  <c r="H97" i="218"/>
  <c r="H98" i="218"/>
  <c r="H99" i="218"/>
  <c r="H100" i="218"/>
  <c r="H101" i="218"/>
  <c r="H102" i="218"/>
  <c r="H103" i="218"/>
  <c r="H104" i="218"/>
  <c r="H105" i="218"/>
  <c r="H106" i="218"/>
  <c r="H107" i="218"/>
  <c r="H108" i="218"/>
  <c r="H109" i="218"/>
  <c r="H110" i="218"/>
  <c r="H111" i="218"/>
  <c r="H112" i="218"/>
  <c r="H113" i="218"/>
  <c r="H114" i="218"/>
  <c r="H115" i="218"/>
  <c r="H116" i="218"/>
  <c r="H117" i="218"/>
  <c r="H118" i="218"/>
  <c r="H119" i="218"/>
  <c r="H120" i="218"/>
  <c r="H121" i="218"/>
  <c r="H122" i="218"/>
  <c r="H123" i="218"/>
  <c r="H124" i="218"/>
  <c r="H125" i="218"/>
  <c r="H126" i="218"/>
  <c r="H127" i="218"/>
  <c r="H128" i="218"/>
  <c r="H129" i="218"/>
  <c r="H130" i="218"/>
  <c r="H131" i="218"/>
  <c r="H132" i="218"/>
  <c r="H133" i="218"/>
  <c r="H152" i="218"/>
  <c r="H153" i="218"/>
  <c r="H154" i="218"/>
  <c r="H155" i="218"/>
  <c r="H156" i="218"/>
  <c r="H157" i="218"/>
  <c r="H158" i="218"/>
  <c r="H159" i="218"/>
  <c r="H160" i="218"/>
  <c r="H161" i="218"/>
  <c r="H162" i="218"/>
  <c r="H163" i="218"/>
  <c r="H164" i="218"/>
  <c r="H165" i="218"/>
  <c r="H166" i="218"/>
  <c r="H167" i="218"/>
  <c r="H168" i="218"/>
  <c r="H169" i="218"/>
  <c r="H170" i="218"/>
  <c r="H171" i="218"/>
  <c r="H172" i="218"/>
  <c r="H173" i="218"/>
  <c r="H174" i="218"/>
  <c r="H175" i="218"/>
  <c r="H176" i="218"/>
  <c r="H177" i="218"/>
  <c r="H178" i="218"/>
  <c r="H179" i="218"/>
  <c r="H180" i="218"/>
  <c r="H4" i="218"/>
  <c r="H80" i="218" s="1"/>
  <c r="B196" i="216"/>
  <c r="H124" i="216"/>
  <c r="B132" i="216"/>
  <c r="B129" i="216"/>
  <c r="F128" i="216"/>
  <c r="B128" i="216"/>
  <c r="B127" i="216"/>
  <c r="B70" i="216"/>
  <c r="B67" i="216"/>
  <c r="F66" i="216"/>
  <c r="B66" i="216"/>
  <c r="B65" i="216"/>
  <c r="H10" i="216"/>
  <c r="H11" i="216"/>
  <c r="H12" i="216"/>
  <c r="H13" i="216"/>
  <c r="H14" i="216"/>
  <c r="H15" i="216"/>
  <c r="H16" i="216"/>
  <c r="H17" i="216"/>
  <c r="H18" i="216"/>
  <c r="H19" i="216"/>
  <c r="H20" i="216"/>
  <c r="H21" i="216"/>
  <c r="H22" i="216"/>
  <c r="H23" i="216"/>
  <c r="H24" i="216"/>
  <c r="H25" i="216"/>
  <c r="H26" i="216"/>
  <c r="H27" i="216"/>
  <c r="H28" i="216"/>
  <c r="H29" i="216"/>
  <c r="H30" i="216"/>
  <c r="H31" i="216"/>
  <c r="H32" i="216"/>
  <c r="H33" i="216"/>
  <c r="H34" i="216"/>
  <c r="H35" i="216"/>
  <c r="H36" i="216"/>
  <c r="H37" i="216"/>
  <c r="H38" i="216"/>
  <c r="H39" i="216"/>
  <c r="H40" i="216"/>
  <c r="H41" i="216"/>
  <c r="H42" i="216"/>
  <c r="H43" i="216"/>
  <c r="H44" i="216"/>
  <c r="H45" i="216"/>
  <c r="H46" i="216"/>
  <c r="H47" i="216"/>
  <c r="H48" i="216"/>
  <c r="H49" i="216"/>
  <c r="H50" i="216"/>
  <c r="H51" i="216"/>
  <c r="H52" i="216"/>
  <c r="H53" i="216"/>
  <c r="H54" i="216"/>
  <c r="H55" i="216"/>
  <c r="H56" i="216"/>
  <c r="H57" i="216"/>
  <c r="H58" i="216"/>
  <c r="H59" i="216"/>
  <c r="H60" i="216"/>
  <c r="H61" i="216"/>
  <c r="H62" i="216"/>
  <c r="H63" i="216"/>
  <c r="H64" i="216"/>
  <c r="H76" i="216"/>
  <c r="H77" i="216"/>
  <c r="H78" i="216"/>
  <c r="H79" i="216"/>
  <c r="H80" i="216"/>
  <c r="H81" i="216"/>
  <c r="H82" i="216"/>
  <c r="H83" i="216"/>
  <c r="H84" i="216"/>
  <c r="H85" i="216"/>
  <c r="H86" i="216"/>
  <c r="H87" i="216"/>
  <c r="H88" i="216"/>
  <c r="H89" i="216"/>
  <c r="H90" i="216"/>
  <c r="H91" i="216"/>
  <c r="H92" i="216"/>
  <c r="H93" i="216"/>
  <c r="H94" i="216"/>
  <c r="H95" i="216"/>
  <c r="H96" i="216"/>
  <c r="H97" i="216"/>
  <c r="H98" i="216"/>
  <c r="H99" i="216"/>
  <c r="H100" i="216"/>
  <c r="H101" i="216"/>
  <c r="H102" i="216"/>
  <c r="H103" i="216"/>
  <c r="H104" i="216"/>
  <c r="H105" i="216"/>
  <c r="H106" i="216"/>
  <c r="H107" i="216"/>
  <c r="H108" i="216"/>
  <c r="H109" i="216"/>
  <c r="H110" i="216"/>
  <c r="H111" i="216"/>
  <c r="H112" i="216"/>
  <c r="H113" i="216"/>
  <c r="H114" i="216"/>
  <c r="H115" i="216"/>
  <c r="H116" i="216"/>
  <c r="H117" i="216"/>
  <c r="H118" i="216"/>
  <c r="H119" i="216"/>
  <c r="H120" i="216"/>
  <c r="H121" i="216"/>
  <c r="H122" i="216"/>
  <c r="H126" i="216"/>
  <c r="H137" i="216"/>
  <c r="H138" i="216"/>
  <c r="H139" i="216"/>
  <c r="H140" i="216"/>
  <c r="H141" i="216"/>
  <c r="H142" i="216"/>
  <c r="H143" i="216"/>
  <c r="H144" i="216"/>
  <c r="H145" i="216"/>
  <c r="H146" i="216"/>
  <c r="H147" i="216"/>
  <c r="H148" i="216"/>
  <c r="H149" i="216"/>
  <c r="H150" i="216"/>
  <c r="H151" i="216"/>
  <c r="H152" i="216"/>
  <c r="H153" i="216"/>
  <c r="H154" i="216"/>
  <c r="H155" i="216"/>
  <c r="H156" i="216"/>
  <c r="H157" i="216"/>
  <c r="H158" i="216"/>
  <c r="H159" i="216"/>
  <c r="H160" i="216"/>
  <c r="H161" i="216"/>
  <c r="H162" i="216"/>
  <c r="H163" i="216"/>
  <c r="H164" i="216"/>
  <c r="H165" i="216"/>
  <c r="H166" i="216"/>
  <c r="H167" i="216"/>
  <c r="H168" i="216"/>
  <c r="H169" i="216"/>
  <c r="H170" i="216"/>
  <c r="H171" i="216"/>
  <c r="H172" i="216"/>
  <c r="H9" i="216"/>
  <c r="B50" i="248"/>
  <c r="B36" i="248"/>
  <c r="B41" i="248"/>
  <c r="B38" i="248"/>
  <c r="B37" i="248"/>
  <c r="H4" i="248"/>
  <c r="B144" i="245"/>
  <c r="H4" i="245"/>
  <c r="B70" i="245"/>
  <c r="B67" i="245"/>
  <c r="F66" i="245"/>
  <c r="B66" i="245"/>
  <c r="B65" i="245"/>
  <c r="B60" i="244"/>
  <c r="B49" i="244"/>
  <c r="B46" i="244"/>
  <c r="B45" i="244"/>
  <c r="B44" i="244"/>
  <c r="B30" i="244"/>
  <c r="B27" i="244"/>
  <c r="F26" i="244"/>
  <c r="B26" i="244"/>
  <c r="B25" i="244"/>
  <c r="H4" i="244"/>
  <c r="H29" i="244" s="1"/>
  <c r="H9" i="244"/>
  <c r="H12" i="244"/>
  <c r="H13" i="244"/>
  <c r="H14" i="244"/>
  <c r="H15" i="244"/>
  <c r="H69" i="178"/>
  <c r="H10" i="178"/>
  <c r="H11" i="178"/>
  <c r="H12" i="178"/>
  <c r="H13" i="178"/>
  <c r="H14" i="178"/>
  <c r="H15" i="178"/>
  <c r="H16" i="178"/>
  <c r="H17" i="178"/>
  <c r="H18" i="178"/>
  <c r="H19" i="178"/>
  <c r="H20" i="178"/>
  <c r="H58" i="178"/>
  <c r="H59" i="178"/>
  <c r="H60" i="178"/>
  <c r="H61" i="178"/>
  <c r="H62" i="178"/>
  <c r="H63" i="178"/>
  <c r="H64" i="178"/>
  <c r="H65" i="178"/>
  <c r="H66" i="178"/>
  <c r="H67" i="178"/>
  <c r="H68" i="178"/>
  <c r="B70" i="178"/>
  <c r="B49" i="168"/>
  <c r="B41" i="168"/>
  <c r="B38" i="168"/>
  <c r="F37" i="168"/>
  <c r="B37" i="168"/>
  <c r="B36" i="168"/>
  <c r="B24" i="168"/>
  <c r="B21" i="168"/>
  <c r="F20" i="168"/>
  <c r="B20" i="168"/>
  <c r="B19" i="168"/>
  <c r="H10" i="168"/>
  <c r="H11" i="168"/>
  <c r="H12" i="168"/>
  <c r="H13" i="168"/>
  <c r="H14" i="168"/>
  <c r="H15" i="168"/>
  <c r="H16" i="168"/>
  <c r="H49" i="168" s="1"/>
  <c r="H17" i="168"/>
  <c r="H18" i="168"/>
  <c r="H30" i="168"/>
  <c r="H34" i="168"/>
  <c r="H47" i="168"/>
  <c r="B150" i="200"/>
  <c r="B80" i="200"/>
  <c r="B77" i="200"/>
  <c r="F76" i="200"/>
  <c r="B76" i="200"/>
  <c r="B75" i="200"/>
  <c r="H10" i="200"/>
  <c r="H11" i="200"/>
  <c r="H12" i="200"/>
  <c r="H13" i="200"/>
  <c r="H14" i="200"/>
  <c r="H15" i="200"/>
  <c r="H16" i="200"/>
  <c r="H17" i="200"/>
  <c r="H18" i="200"/>
  <c r="H19" i="200"/>
  <c r="H20" i="200"/>
  <c r="H21" i="200"/>
  <c r="H22" i="200"/>
  <c r="H23" i="200"/>
  <c r="H24" i="200"/>
  <c r="H25" i="200"/>
  <c r="H26" i="200"/>
  <c r="H27" i="200"/>
  <c r="H28" i="200"/>
  <c r="H29" i="200"/>
  <c r="H30" i="200"/>
  <c r="H31" i="200"/>
  <c r="H32" i="200"/>
  <c r="H33" i="200"/>
  <c r="H35" i="200"/>
  <c r="H36" i="200"/>
  <c r="H37" i="200"/>
  <c r="H38" i="200"/>
  <c r="H39" i="200"/>
  <c r="H40" i="200"/>
  <c r="H41" i="200"/>
  <c r="H42" i="200"/>
  <c r="H43" i="200"/>
  <c r="H44" i="200"/>
  <c r="H45" i="200"/>
  <c r="H46" i="200"/>
  <c r="H47" i="200"/>
  <c r="H48" i="200"/>
  <c r="H49" i="200"/>
  <c r="H50" i="200"/>
  <c r="H51" i="200"/>
  <c r="H52" i="200"/>
  <c r="H53" i="200"/>
  <c r="H54" i="200"/>
  <c r="H55" i="200"/>
  <c r="H56" i="200"/>
  <c r="H57" i="200"/>
  <c r="H58" i="200"/>
  <c r="H59" i="200"/>
  <c r="H60" i="200"/>
  <c r="H61" i="200"/>
  <c r="H62" i="200"/>
  <c r="H63" i="200"/>
  <c r="H64" i="200"/>
  <c r="H66" i="200"/>
  <c r="H67" i="200"/>
  <c r="H68" i="200"/>
  <c r="H74" i="200"/>
  <c r="H86" i="200"/>
  <c r="H87" i="200"/>
  <c r="H88" i="200"/>
  <c r="H89" i="200"/>
  <c r="H90" i="200"/>
  <c r="H91" i="200"/>
  <c r="H92" i="200"/>
  <c r="H93" i="200"/>
  <c r="H94" i="200"/>
  <c r="H95" i="200"/>
  <c r="H96" i="200"/>
  <c r="H97" i="200"/>
  <c r="H98" i="200"/>
  <c r="H99" i="200"/>
  <c r="H100" i="200"/>
  <c r="H101" i="200"/>
  <c r="H102" i="200"/>
  <c r="H103" i="200"/>
  <c r="H104" i="200"/>
  <c r="H105" i="200"/>
  <c r="H106" i="200"/>
  <c r="H107" i="200"/>
  <c r="H108" i="200"/>
  <c r="H109" i="200"/>
  <c r="H110" i="200"/>
  <c r="H111" i="200"/>
  <c r="H112" i="200"/>
  <c r="H113" i="200"/>
  <c r="H114" i="200"/>
  <c r="H115" i="200"/>
  <c r="H116" i="200"/>
  <c r="H117" i="200"/>
  <c r="H118" i="200"/>
  <c r="H119" i="200"/>
  <c r="H120" i="200"/>
  <c r="H121" i="200"/>
  <c r="H122" i="200"/>
  <c r="H123" i="200"/>
  <c r="H124" i="200"/>
  <c r="H125" i="200"/>
  <c r="H126" i="200"/>
  <c r="H127" i="200"/>
  <c r="H128" i="200"/>
  <c r="H129" i="200"/>
  <c r="H130" i="200"/>
  <c r="H131" i="200"/>
  <c r="H132" i="200"/>
  <c r="H133" i="200"/>
  <c r="H134" i="200"/>
  <c r="H135" i="200"/>
  <c r="H136" i="200"/>
  <c r="H137" i="200"/>
  <c r="H138" i="200"/>
  <c r="H139" i="200"/>
  <c r="H140" i="200"/>
  <c r="H141" i="200"/>
  <c r="H142" i="200"/>
  <c r="H143" i="200"/>
  <c r="H144" i="200"/>
  <c r="H145" i="200"/>
  <c r="H146" i="200"/>
  <c r="H147" i="200"/>
  <c r="H148" i="200"/>
  <c r="H149" i="200"/>
  <c r="B200" i="196"/>
  <c r="B135" i="196"/>
  <c r="B132" i="196"/>
  <c r="F131" i="196"/>
  <c r="B131" i="196"/>
  <c r="B130" i="196"/>
  <c r="H83" i="196"/>
  <c r="H84" i="196"/>
  <c r="H85" i="196"/>
  <c r="H86" i="196"/>
  <c r="H87" i="196"/>
  <c r="H88" i="196"/>
  <c r="H89" i="196"/>
  <c r="H90" i="196"/>
  <c r="H91" i="196"/>
  <c r="H92" i="196"/>
  <c r="H93" i="196"/>
  <c r="H94" i="196"/>
  <c r="H95" i="196"/>
  <c r="H96" i="196"/>
  <c r="H97" i="196"/>
  <c r="H98" i="196"/>
  <c r="H99" i="196"/>
  <c r="H100" i="196"/>
  <c r="H101" i="196"/>
  <c r="H102" i="196"/>
  <c r="H103" i="196"/>
  <c r="H104" i="196"/>
  <c r="H105" i="196"/>
  <c r="H106" i="196"/>
  <c r="H107" i="196"/>
  <c r="H108" i="196"/>
  <c r="H109" i="196"/>
  <c r="H110" i="196"/>
  <c r="H111" i="196"/>
  <c r="H112" i="196"/>
  <c r="H113" i="196"/>
  <c r="H114" i="196"/>
  <c r="H115" i="196"/>
  <c r="H116" i="196"/>
  <c r="H117" i="196"/>
  <c r="H118" i="196"/>
  <c r="H119" i="196"/>
  <c r="H120" i="196"/>
  <c r="H121" i="196"/>
  <c r="H122" i="196"/>
  <c r="H123" i="196"/>
  <c r="H124" i="196"/>
  <c r="H129" i="196"/>
  <c r="H141" i="196"/>
  <c r="H142" i="196"/>
  <c r="H143" i="196"/>
  <c r="H144" i="196"/>
  <c r="H145" i="196"/>
  <c r="H146" i="196"/>
  <c r="H147" i="196"/>
  <c r="H148" i="196"/>
  <c r="H149" i="196"/>
  <c r="H150" i="196"/>
  <c r="H151" i="196"/>
  <c r="H152" i="196"/>
  <c r="H153" i="196"/>
  <c r="H154" i="196"/>
  <c r="H155" i="196"/>
  <c r="H156" i="196"/>
  <c r="H157" i="196"/>
  <c r="H158" i="196"/>
  <c r="H159" i="196"/>
  <c r="H160" i="196"/>
  <c r="B76" i="196"/>
  <c r="B73" i="196"/>
  <c r="F72" i="196"/>
  <c r="B72" i="196"/>
  <c r="B71" i="196"/>
  <c r="H10" i="196"/>
  <c r="H11" i="196"/>
  <c r="H12" i="196"/>
  <c r="H13" i="196"/>
  <c r="H14" i="196"/>
  <c r="H15" i="196"/>
  <c r="H33" i="196"/>
  <c r="H34" i="196"/>
  <c r="H35" i="196"/>
  <c r="H36" i="196"/>
  <c r="H37" i="196"/>
  <c r="H38" i="196"/>
  <c r="H39" i="196"/>
  <c r="H40" i="196"/>
  <c r="H41" i="196"/>
  <c r="H42" i="196"/>
  <c r="H43" i="196"/>
  <c r="H44" i="196"/>
  <c r="H45" i="196"/>
  <c r="H46" i="196"/>
  <c r="H47" i="196"/>
  <c r="H48" i="196"/>
  <c r="H49" i="196"/>
  <c r="H50" i="196"/>
  <c r="H51" i="196"/>
  <c r="H52" i="196"/>
  <c r="H53" i="196"/>
  <c r="H54" i="196"/>
  <c r="H55" i="196"/>
  <c r="H56" i="196"/>
  <c r="H57" i="196"/>
  <c r="H58" i="196"/>
  <c r="H59" i="196"/>
  <c r="H60" i="196"/>
  <c r="H61" i="196"/>
  <c r="H62" i="196"/>
  <c r="H63" i="196"/>
  <c r="H64" i="196"/>
  <c r="H69" i="196"/>
  <c r="H82" i="196"/>
  <c r="H161" i="196"/>
  <c r="H162" i="196"/>
  <c r="H163" i="196"/>
  <c r="H164" i="196"/>
  <c r="H165" i="196"/>
  <c r="H166" i="196"/>
  <c r="H167" i="196"/>
  <c r="H168" i="196"/>
  <c r="H169" i="196"/>
  <c r="H170" i="196"/>
  <c r="H171" i="196"/>
  <c r="H172" i="196"/>
  <c r="H173" i="196"/>
  <c r="H174" i="196"/>
  <c r="H175" i="196"/>
  <c r="B145" i="221"/>
  <c r="H57" i="221"/>
  <c r="H58" i="221"/>
  <c r="H59" i="221"/>
  <c r="H60" i="221"/>
  <c r="H61" i="221"/>
  <c r="H62" i="221"/>
  <c r="H63" i="221"/>
  <c r="H64" i="221"/>
  <c r="H65" i="221"/>
  <c r="H66" i="221"/>
  <c r="H67" i="221"/>
  <c r="H68" i="221"/>
  <c r="H69" i="221"/>
  <c r="H70" i="221"/>
  <c r="H71" i="221"/>
  <c r="H72" i="221"/>
  <c r="H73" i="221"/>
  <c r="B79" i="221"/>
  <c r="B76" i="221"/>
  <c r="F75" i="221"/>
  <c r="B75" i="221"/>
  <c r="B74" i="221"/>
  <c r="H114" i="221"/>
  <c r="H141" i="221"/>
  <c r="H142" i="221"/>
  <c r="H143" i="221"/>
  <c r="H144" i="221"/>
  <c r="H10" i="221"/>
  <c r="H11" i="221"/>
  <c r="H12" i="221"/>
  <c r="H13" i="221"/>
  <c r="H14" i="221"/>
  <c r="H15" i="221"/>
  <c r="H16" i="221"/>
  <c r="H17" i="221"/>
  <c r="H18" i="221"/>
  <c r="H19" i="221"/>
  <c r="H20" i="221"/>
  <c r="H21" i="221"/>
  <c r="H22" i="221"/>
  <c r="H23" i="221"/>
  <c r="H24" i="221"/>
  <c r="H25" i="221"/>
  <c r="H26" i="221"/>
  <c r="H27" i="221"/>
  <c r="H28" i="221"/>
  <c r="H29" i="221"/>
  <c r="H30" i="221"/>
  <c r="H31" i="221"/>
  <c r="H32" i="221"/>
  <c r="H33" i="221"/>
  <c r="H34" i="221"/>
  <c r="H35" i="221"/>
  <c r="H36" i="221"/>
  <c r="H37" i="221"/>
  <c r="H38" i="221"/>
  <c r="H39" i="221"/>
  <c r="H40" i="221"/>
  <c r="H41" i="221"/>
  <c r="H42" i="221"/>
  <c r="H43" i="221"/>
  <c r="H44" i="221"/>
  <c r="H45" i="221"/>
  <c r="H46" i="221"/>
  <c r="H47" i="221"/>
  <c r="H48" i="221"/>
  <c r="H49" i="221"/>
  <c r="H50" i="221"/>
  <c r="H51" i="221"/>
  <c r="H52" i="221"/>
  <c r="H53" i="221"/>
  <c r="H54" i="221"/>
  <c r="H55" i="221"/>
  <c r="H56" i="221"/>
  <c r="H85" i="221"/>
  <c r="H86" i="221"/>
  <c r="H87" i="221"/>
  <c r="H88" i="221"/>
  <c r="H89" i="221"/>
  <c r="H90" i="221"/>
  <c r="H91" i="221"/>
  <c r="H92" i="221"/>
  <c r="H93" i="221"/>
  <c r="H94" i="221"/>
  <c r="H95" i="221"/>
  <c r="H96" i="221"/>
  <c r="H97" i="221"/>
  <c r="H98" i="221"/>
  <c r="H99" i="221"/>
  <c r="H100" i="221"/>
  <c r="H101" i="221"/>
  <c r="H102" i="221"/>
  <c r="H103" i="221"/>
  <c r="H104" i="221"/>
  <c r="H105" i="221"/>
  <c r="H106" i="221"/>
  <c r="H107" i="221"/>
  <c r="H108" i="221"/>
  <c r="H109" i="221"/>
  <c r="H110" i="221"/>
  <c r="H111" i="221"/>
  <c r="H112" i="221"/>
  <c r="H113" i="221"/>
  <c r="H9" i="221"/>
  <c r="H4" i="221"/>
  <c r="H78" i="221" s="1"/>
  <c r="H4" i="241"/>
  <c r="B22" i="241"/>
  <c r="B131" i="231"/>
  <c r="B71" i="231"/>
  <c r="B68" i="231"/>
  <c r="F67" i="231"/>
  <c r="B67" i="231"/>
  <c r="B66" i="231"/>
  <c r="H4" i="231"/>
  <c r="H70" i="231" s="1"/>
  <c r="B127" i="230"/>
  <c r="B68" i="230"/>
  <c r="B65" i="230"/>
  <c r="F64" i="230"/>
  <c r="B64" i="230"/>
  <c r="B63" i="230"/>
  <c r="H4" i="230"/>
  <c r="H67" i="230" s="1"/>
  <c r="B39" i="169"/>
  <c r="B30" i="169"/>
  <c r="B27" i="169"/>
  <c r="F26" i="169"/>
  <c r="B26" i="169"/>
  <c r="B25" i="169"/>
  <c r="H10" i="169"/>
  <c r="H11" i="169"/>
  <c r="H12" i="169"/>
  <c r="H13" i="169"/>
  <c r="H14" i="169"/>
  <c r="H24" i="169"/>
  <c r="V24" i="169" s="1"/>
  <c r="H36" i="169"/>
  <c r="V36" i="169" s="1"/>
  <c r="H37" i="169"/>
  <c r="H38" i="169"/>
  <c r="C15" i="254"/>
  <c r="B15" i="254"/>
  <c r="H10" i="205"/>
  <c r="H11" i="205"/>
  <c r="H12" i="205"/>
  <c r="H13" i="205"/>
  <c r="H14" i="205"/>
  <c r="H15" i="205"/>
  <c r="H16" i="205"/>
  <c r="H17" i="205"/>
  <c r="H18" i="205"/>
  <c r="H19" i="205"/>
  <c r="H20" i="205"/>
  <c r="H21" i="205"/>
  <c r="H22" i="205"/>
  <c r="H23" i="205"/>
  <c r="H24" i="205"/>
  <c r="H25" i="205"/>
  <c r="H26" i="205"/>
  <c r="H27" i="205"/>
  <c r="H28" i="205"/>
  <c r="H29" i="205"/>
  <c r="H30" i="205"/>
  <c r="H31" i="205"/>
  <c r="H32" i="205"/>
  <c r="H33" i="205"/>
  <c r="H34" i="205"/>
  <c r="H35" i="205"/>
  <c r="H36" i="205"/>
  <c r="H37" i="205"/>
  <c r="H38" i="205"/>
  <c r="H39" i="205"/>
  <c r="H40" i="205"/>
  <c r="H41" i="205"/>
  <c r="H42" i="205"/>
  <c r="H43" i="205"/>
  <c r="H44" i="205"/>
  <c r="H45" i="205"/>
  <c r="H46" i="205"/>
  <c r="H47" i="205"/>
  <c r="H48" i="205"/>
  <c r="H49" i="205"/>
  <c r="H50" i="205"/>
  <c r="H51" i="205"/>
  <c r="H52" i="205"/>
  <c r="H53" i="205"/>
  <c r="H54" i="205"/>
  <c r="H55" i="205"/>
  <c r="H56" i="205"/>
  <c r="H57" i="205"/>
  <c r="H58" i="205"/>
  <c r="H59" i="205"/>
  <c r="H60" i="205"/>
  <c r="H61" i="205"/>
  <c r="H62" i="205"/>
  <c r="H63" i="205"/>
  <c r="H64" i="205"/>
  <c r="H65" i="205"/>
  <c r="H66" i="205"/>
  <c r="H67" i="205"/>
  <c r="H68" i="205"/>
  <c r="H69" i="205"/>
  <c r="H70" i="205"/>
  <c r="H71" i="205"/>
  <c r="H72" i="205"/>
  <c r="H73" i="205"/>
  <c r="H75" i="205"/>
  <c r="H76" i="205"/>
  <c r="B77" i="205"/>
  <c r="B78" i="204"/>
  <c r="H10" i="204"/>
  <c r="H11" i="204"/>
  <c r="H12" i="204"/>
  <c r="H13" i="204"/>
  <c r="H14" i="204"/>
  <c r="H15" i="204"/>
  <c r="H16" i="204"/>
  <c r="H17" i="204"/>
  <c r="H18" i="204"/>
  <c r="H19" i="204"/>
  <c r="H20" i="204"/>
  <c r="H21" i="204"/>
  <c r="H22" i="204"/>
  <c r="H23" i="204"/>
  <c r="H24" i="204"/>
  <c r="H25" i="204"/>
  <c r="H26" i="204"/>
  <c r="H27" i="204"/>
  <c r="H28" i="204"/>
  <c r="H29" i="204"/>
  <c r="H30" i="204"/>
  <c r="H31" i="204"/>
  <c r="H32" i="204"/>
  <c r="H33" i="204"/>
  <c r="H34" i="204"/>
  <c r="H35" i="204"/>
  <c r="H36" i="204"/>
  <c r="H37" i="204"/>
  <c r="H38" i="204"/>
  <c r="H39" i="204"/>
  <c r="H40" i="204"/>
  <c r="H41" i="204"/>
  <c r="H42" i="204"/>
  <c r="H43" i="204"/>
  <c r="H44" i="204"/>
  <c r="H45" i="204"/>
  <c r="H46" i="204"/>
  <c r="H47" i="204"/>
  <c r="H48" i="204"/>
  <c r="H49" i="204"/>
  <c r="H50" i="204"/>
  <c r="H51" i="204"/>
  <c r="H52" i="204"/>
  <c r="H53" i="204"/>
  <c r="H67" i="204"/>
  <c r="H68" i="204"/>
  <c r="H69" i="204"/>
  <c r="H70" i="204"/>
  <c r="H71" i="204"/>
  <c r="H72" i="204"/>
  <c r="H73" i="204"/>
  <c r="H74" i="204"/>
  <c r="H75" i="204"/>
  <c r="H76" i="204"/>
  <c r="H77" i="204"/>
  <c r="B76" i="203"/>
  <c r="H10" i="203"/>
  <c r="H11" i="203"/>
  <c r="H12" i="203"/>
  <c r="H13" i="203"/>
  <c r="H14" i="203"/>
  <c r="H15" i="203"/>
  <c r="H16" i="203"/>
  <c r="H17" i="203"/>
  <c r="H18" i="203"/>
  <c r="H19" i="203"/>
  <c r="H20" i="203"/>
  <c r="H21" i="203"/>
  <c r="H22" i="203"/>
  <c r="H23" i="203"/>
  <c r="H24" i="203"/>
  <c r="H25" i="203"/>
  <c r="H26" i="203"/>
  <c r="H27" i="203"/>
  <c r="H28" i="203"/>
  <c r="H29" i="203"/>
  <c r="H30" i="203"/>
  <c r="H31" i="203"/>
  <c r="H32" i="203"/>
  <c r="H33" i="203"/>
  <c r="H34" i="203"/>
  <c r="H35" i="203"/>
  <c r="H36" i="203"/>
  <c r="H37" i="203"/>
  <c r="H38" i="203"/>
  <c r="H39" i="203"/>
  <c r="H40" i="203"/>
  <c r="H41" i="203"/>
  <c r="H42" i="203"/>
  <c r="H43" i="203"/>
  <c r="H44" i="203"/>
  <c r="H45" i="203"/>
  <c r="H46" i="203"/>
  <c r="H47" i="203"/>
  <c r="H48" i="203"/>
  <c r="H49" i="203"/>
  <c r="H50" i="203"/>
  <c r="H51" i="203"/>
  <c r="H52" i="203"/>
  <c r="H53" i="203"/>
  <c r="H54" i="203"/>
  <c r="H55" i="203"/>
  <c r="H56" i="203"/>
  <c r="H57" i="203"/>
  <c r="H58" i="203"/>
  <c r="H59" i="203"/>
  <c r="H71" i="203"/>
  <c r="H72" i="203"/>
  <c r="H73" i="203"/>
  <c r="H74" i="203"/>
  <c r="H75" i="203"/>
  <c r="B79" i="202"/>
  <c r="H10" i="202"/>
  <c r="H11" i="202"/>
  <c r="H12" i="202"/>
  <c r="H13" i="202"/>
  <c r="H14" i="202"/>
  <c r="H15" i="202"/>
  <c r="H16" i="202"/>
  <c r="H17" i="202"/>
  <c r="H18" i="202"/>
  <c r="H19" i="202"/>
  <c r="H20" i="202"/>
  <c r="H21" i="202"/>
  <c r="H22" i="202"/>
  <c r="H23" i="202"/>
  <c r="H24" i="202"/>
  <c r="H25" i="202"/>
  <c r="H26" i="202"/>
  <c r="H27" i="202"/>
  <c r="H28" i="202"/>
  <c r="H29" i="202"/>
  <c r="H30" i="202"/>
  <c r="H31" i="202"/>
  <c r="H32" i="202"/>
  <c r="H33" i="202"/>
  <c r="H34" i="202"/>
  <c r="H35" i="202"/>
  <c r="H36" i="202"/>
  <c r="H37" i="202"/>
  <c r="H38" i="202"/>
  <c r="H39" i="202"/>
  <c r="H40" i="202"/>
  <c r="H41" i="202"/>
  <c r="H42" i="202"/>
  <c r="H43" i="202"/>
  <c r="H44" i="202"/>
  <c r="H45" i="202"/>
  <c r="H46" i="202"/>
  <c r="H47" i="202"/>
  <c r="H48" i="202"/>
  <c r="H49" i="202"/>
  <c r="H50" i="202"/>
  <c r="H51" i="202"/>
  <c r="H52" i="202"/>
  <c r="H53" i="202"/>
  <c r="H76" i="202"/>
  <c r="H77" i="202"/>
  <c r="H78" i="202"/>
  <c r="B70" i="201"/>
  <c r="H10" i="201"/>
  <c r="H11" i="201"/>
  <c r="H12" i="201"/>
  <c r="H13" i="201"/>
  <c r="H14" i="201"/>
  <c r="H15" i="201"/>
  <c r="H16" i="201"/>
  <c r="H17" i="201"/>
  <c r="H18" i="201"/>
  <c r="H19" i="201"/>
  <c r="H20" i="201"/>
  <c r="H21" i="201"/>
  <c r="H22" i="201"/>
  <c r="H23" i="201"/>
  <c r="H24" i="201"/>
  <c r="H25" i="201"/>
  <c r="H26" i="201"/>
  <c r="H27" i="201"/>
  <c r="H28" i="201"/>
  <c r="H29" i="201"/>
  <c r="H30" i="201"/>
  <c r="H31" i="201"/>
  <c r="H32" i="201"/>
  <c r="H33" i="201"/>
  <c r="H34" i="201"/>
  <c r="H35" i="201"/>
  <c r="H36" i="201"/>
  <c r="H37" i="201"/>
  <c r="H38" i="201"/>
  <c r="H39" i="201"/>
  <c r="H40" i="201"/>
  <c r="H41" i="201"/>
  <c r="H42" i="201"/>
  <c r="H43" i="201"/>
  <c r="H44" i="201"/>
  <c r="H45" i="201"/>
  <c r="H46" i="201"/>
  <c r="H47" i="201"/>
  <c r="H48" i="201"/>
  <c r="H49" i="201"/>
  <c r="H50" i="201"/>
  <c r="H51" i="201"/>
  <c r="H52" i="201"/>
  <c r="H53" i="201"/>
  <c r="H54" i="201"/>
  <c r="H55" i="201"/>
  <c r="H56" i="201"/>
  <c r="H57" i="201"/>
  <c r="H58" i="201"/>
  <c r="H59" i="201"/>
  <c r="H66" i="201"/>
  <c r="H67" i="201"/>
  <c r="H68" i="201"/>
  <c r="H69" i="201"/>
  <c r="B78" i="197"/>
  <c r="H10" i="197"/>
  <c r="H11" i="197"/>
  <c r="H12" i="197"/>
  <c r="H13" i="197"/>
  <c r="H14" i="197"/>
  <c r="H15" i="197"/>
  <c r="H16" i="197"/>
  <c r="H17" i="197"/>
  <c r="H18" i="197"/>
  <c r="H19" i="197"/>
  <c r="H20" i="197"/>
  <c r="H21" i="197"/>
  <c r="H22" i="197"/>
  <c r="H23" i="197"/>
  <c r="H24" i="197"/>
  <c r="H25" i="197"/>
  <c r="H26" i="197"/>
  <c r="H27" i="197"/>
  <c r="H28" i="197"/>
  <c r="H29" i="197"/>
  <c r="H30" i="197"/>
  <c r="H31" i="197"/>
  <c r="H32" i="197"/>
  <c r="H33" i="197"/>
  <c r="H34" i="197"/>
  <c r="H35" i="197"/>
  <c r="H36" i="197"/>
  <c r="H37" i="197"/>
  <c r="H38" i="197"/>
  <c r="H39" i="197"/>
  <c r="H40" i="197"/>
  <c r="H41" i="197"/>
  <c r="H42" i="197"/>
  <c r="H43" i="197"/>
  <c r="H44" i="197"/>
  <c r="H45" i="197"/>
  <c r="H46" i="197"/>
  <c r="H47" i="197"/>
  <c r="H48" i="197"/>
  <c r="H49" i="197"/>
  <c r="H50" i="197"/>
  <c r="H51" i="197"/>
  <c r="H52" i="197"/>
  <c r="H53" i="197"/>
  <c r="H54" i="197"/>
  <c r="H55" i="197"/>
  <c r="H56" i="197"/>
  <c r="H57" i="197"/>
  <c r="H58" i="197"/>
  <c r="H59" i="197"/>
  <c r="H60" i="197"/>
  <c r="H61" i="197"/>
  <c r="H62" i="197"/>
  <c r="H63" i="197"/>
  <c r="H64" i="197"/>
  <c r="H65" i="197"/>
  <c r="H66" i="197"/>
  <c r="H67" i="197"/>
  <c r="H68" i="197"/>
  <c r="H69" i="197"/>
  <c r="H70" i="197"/>
  <c r="H71" i="197"/>
  <c r="H72" i="197"/>
  <c r="H73" i="197"/>
  <c r="H74" i="197"/>
  <c r="H76" i="197"/>
  <c r="H77" i="197"/>
  <c r="H10" i="195"/>
  <c r="H11" i="195"/>
  <c r="H12" i="195"/>
  <c r="H13" i="195"/>
  <c r="H14" i="195"/>
  <c r="H15" i="195"/>
  <c r="H16" i="195"/>
  <c r="H17" i="195"/>
  <c r="H18" i="195"/>
  <c r="H19" i="195"/>
  <c r="H20" i="195"/>
  <c r="H21" i="195"/>
  <c r="H22" i="195"/>
  <c r="H23" i="195"/>
  <c r="H24" i="195"/>
  <c r="H25" i="195"/>
  <c r="H26" i="195"/>
  <c r="H27" i="195"/>
  <c r="H28" i="195"/>
  <c r="H29" i="195"/>
  <c r="H30" i="195"/>
  <c r="H31" i="195"/>
  <c r="H32" i="195"/>
  <c r="H33" i="195"/>
  <c r="H34" i="195"/>
  <c r="H35" i="195"/>
  <c r="H36" i="195"/>
  <c r="H37" i="195"/>
  <c r="H38" i="195"/>
  <c r="H39" i="195"/>
  <c r="H40" i="195"/>
  <c r="H41" i="195"/>
  <c r="H42" i="195"/>
  <c r="H43" i="195"/>
  <c r="H44" i="195"/>
  <c r="H45" i="195"/>
  <c r="H46" i="195"/>
  <c r="H47" i="195"/>
  <c r="H48" i="195"/>
  <c r="H49" i="195"/>
  <c r="H50" i="195"/>
  <c r="H51" i="195"/>
  <c r="H52" i="195"/>
  <c r="H53" i="195"/>
  <c r="H54" i="195"/>
  <c r="H55" i="195"/>
  <c r="H56" i="195"/>
  <c r="H57" i="195"/>
  <c r="H58" i="195"/>
  <c r="H59" i="195"/>
  <c r="H60" i="195"/>
  <c r="H61" i="195"/>
  <c r="H62" i="195"/>
  <c r="H63" i="195"/>
  <c r="H64" i="195"/>
  <c r="H65" i="195"/>
  <c r="H66" i="195"/>
  <c r="H67" i="195"/>
  <c r="H68" i="195"/>
  <c r="H69" i="195"/>
  <c r="H71" i="195"/>
  <c r="H72" i="195"/>
  <c r="H73" i="195"/>
  <c r="H74" i="195"/>
  <c r="H9" i="195"/>
  <c r="B75" i="195"/>
  <c r="B60" i="194"/>
  <c r="H10" i="194"/>
  <c r="H11" i="194"/>
  <c r="H12" i="194"/>
  <c r="H13" i="194"/>
  <c r="H14" i="194"/>
  <c r="H15" i="194"/>
  <c r="H16" i="194"/>
  <c r="H17" i="194"/>
  <c r="H18" i="194"/>
  <c r="H19" i="194"/>
  <c r="H20" i="194"/>
  <c r="H21" i="194"/>
  <c r="H22" i="194"/>
  <c r="H23" i="194"/>
  <c r="H24" i="194"/>
  <c r="H25" i="194"/>
  <c r="H26" i="194"/>
  <c r="H27" i="194"/>
  <c r="H28" i="194"/>
  <c r="H29" i="194"/>
  <c r="H30" i="194"/>
  <c r="H31" i="194"/>
  <c r="H32" i="194"/>
  <c r="H33" i="194"/>
  <c r="H34" i="194"/>
  <c r="H35" i="194"/>
  <c r="H36" i="194"/>
  <c r="H37" i="194"/>
  <c r="H38" i="194"/>
  <c r="H39" i="194"/>
  <c r="H40" i="194"/>
  <c r="H41" i="194"/>
  <c r="H42" i="194"/>
  <c r="H43" i="194"/>
  <c r="H44" i="194"/>
  <c r="H45" i="194"/>
  <c r="H46" i="194"/>
  <c r="H47" i="194"/>
  <c r="H48" i="194"/>
  <c r="H49" i="194"/>
  <c r="H50" i="194"/>
  <c r="H51" i="194"/>
  <c r="H52" i="194"/>
  <c r="H53" i="194"/>
  <c r="H54" i="194"/>
  <c r="H55" i="194"/>
  <c r="H56" i="194"/>
  <c r="H57" i="194"/>
  <c r="H58" i="194"/>
  <c r="H59" i="194"/>
  <c r="H10" i="227"/>
  <c r="H11" i="227"/>
  <c r="H12" i="227"/>
  <c r="H13" i="227"/>
  <c r="H14" i="227"/>
  <c r="H15" i="227"/>
  <c r="H16" i="227"/>
  <c r="H17" i="227"/>
  <c r="H18" i="227"/>
  <c r="H19" i="227"/>
  <c r="H20" i="227"/>
  <c r="H21" i="227"/>
  <c r="H22" i="227"/>
  <c r="H23" i="227"/>
  <c r="H24" i="227"/>
  <c r="H25" i="227"/>
  <c r="H26" i="227"/>
  <c r="H27" i="227"/>
  <c r="H28" i="227"/>
  <c r="H29" i="227"/>
  <c r="H30" i="227"/>
  <c r="H70" i="227"/>
  <c r="H9" i="227"/>
  <c r="B71" i="227"/>
  <c r="H4" i="227"/>
  <c r="H10" i="225"/>
  <c r="H11" i="225"/>
  <c r="H12" i="225"/>
  <c r="H13" i="225"/>
  <c r="H14" i="225"/>
  <c r="H15" i="225"/>
  <c r="H16" i="225"/>
  <c r="H17" i="225"/>
  <c r="H18" i="225"/>
  <c r="H19" i="225"/>
  <c r="H20" i="225"/>
  <c r="H21" i="225"/>
  <c r="H22" i="225"/>
  <c r="H23" i="225"/>
  <c r="H24" i="225"/>
  <c r="H25" i="225"/>
  <c r="H26" i="225"/>
  <c r="H27" i="225"/>
  <c r="H28" i="225"/>
  <c r="H29" i="225"/>
  <c r="H30" i="225"/>
  <c r="H31" i="225"/>
  <c r="H32" i="225"/>
  <c r="H33" i="225"/>
  <c r="H34" i="225"/>
  <c r="H35" i="225"/>
  <c r="H36" i="225"/>
  <c r="H37" i="225"/>
  <c r="H38" i="225"/>
  <c r="H39" i="225"/>
  <c r="H40" i="225"/>
  <c r="H41" i="225"/>
  <c r="H42" i="225"/>
  <c r="H43" i="225"/>
  <c r="H44" i="225"/>
  <c r="H45" i="225"/>
  <c r="H46" i="225"/>
  <c r="H47" i="225"/>
  <c r="H48" i="225"/>
  <c r="H49" i="225"/>
  <c r="H50" i="225"/>
  <c r="H51" i="225"/>
  <c r="H52" i="225"/>
  <c r="H53" i="225"/>
  <c r="H54" i="225"/>
  <c r="H55" i="225"/>
  <c r="H56" i="225"/>
  <c r="H57" i="225"/>
  <c r="H58" i="225"/>
  <c r="H59" i="225"/>
  <c r="H60" i="225"/>
  <c r="H61" i="225"/>
  <c r="H62" i="225"/>
  <c r="H63" i="225"/>
  <c r="H64" i="225"/>
  <c r="H65" i="225"/>
  <c r="H66" i="225"/>
  <c r="H67" i="225"/>
  <c r="H68" i="225"/>
  <c r="H69" i="225"/>
  <c r="H70" i="225"/>
  <c r="H71" i="225"/>
  <c r="H72" i="225"/>
  <c r="H73" i="225"/>
  <c r="H74" i="225"/>
  <c r="H75" i="225"/>
  <c r="H76" i="225"/>
  <c r="H77" i="225"/>
  <c r="H9" i="225"/>
  <c r="B78" i="225"/>
  <c r="H4" i="225"/>
  <c r="H4" i="224"/>
  <c r="H10" i="224"/>
  <c r="H11" i="224"/>
  <c r="H12" i="224"/>
  <c r="H13" i="224"/>
  <c r="H14" i="224"/>
  <c r="H15" i="224"/>
  <c r="H16" i="224"/>
  <c r="H17" i="224"/>
  <c r="H18" i="224"/>
  <c r="H19" i="224"/>
  <c r="H20" i="224"/>
  <c r="H21" i="224"/>
  <c r="H22" i="224"/>
  <c r="H23" i="224"/>
  <c r="H24" i="224"/>
  <c r="H25" i="224"/>
  <c r="H26" i="224"/>
  <c r="H27" i="224"/>
  <c r="H28" i="224"/>
  <c r="H29" i="224"/>
  <c r="H30" i="224"/>
  <c r="H31" i="224"/>
  <c r="H32" i="224"/>
  <c r="H33" i="224"/>
  <c r="H34" i="224"/>
  <c r="H51" i="224"/>
  <c r="B52" i="224"/>
  <c r="H10" i="223"/>
  <c r="H11" i="223"/>
  <c r="H12" i="223"/>
  <c r="H13" i="223"/>
  <c r="H14" i="223"/>
  <c r="H15" i="223"/>
  <c r="H16" i="223"/>
  <c r="H17" i="223"/>
  <c r="H18" i="223"/>
  <c r="H19" i="223"/>
  <c r="H20" i="223"/>
  <c r="H21" i="223"/>
  <c r="H22" i="223"/>
  <c r="H23" i="223"/>
  <c r="H24" i="223"/>
  <c r="H25" i="223"/>
  <c r="H26" i="223"/>
  <c r="H27" i="223"/>
  <c r="H28" i="223"/>
  <c r="H29" i="223"/>
  <c r="H30" i="223"/>
  <c r="H31" i="223"/>
  <c r="H32" i="223"/>
  <c r="H33" i="223"/>
  <c r="H34" i="223"/>
  <c r="H35" i="223"/>
  <c r="H36" i="223"/>
  <c r="H37" i="223"/>
  <c r="H38" i="223"/>
  <c r="H39" i="223"/>
  <c r="H40" i="223"/>
  <c r="H41" i="223"/>
  <c r="H42" i="223"/>
  <c r="H43" i="223"/>
  <c r="H44" i="223"/>
  <c r="H45" i="223"/>
  <c r="H46" i="223"/>
  <c r="H47" i="223"/>
  <c r="H48" i="223"/>
  <c r="H49" i="223"/>
  <c r="H50" i="223"/>
  <c r="H51" i="223"/>
  <c r="H52" i="223"/>
  <c r="H53" i="223"/>
  <c r="H54" i="223"/>
  <c r="H55" i="223"/>
  <c r="H56" i="223"/>
  <c r="H57" i="223"/>
  <c r="H58" i="223"/>
  <c r="H59" i="223"/>
  <c r="H60" i="223"/>
  <c r="H61" i="223"/>
  <c r="H62" i="223"/>
  <c r="H63" i="223"/>
  <c r="H64" i="223"/>
  <c r="H65" i="223"/>
  <c r="H66" i="223"/>
  <c r="H9" i="223"/>
  <c r="B67" i="223"/>
  <c r="H10" i="222"/>
  <c r="H11" i="222"/>
  <c r="H12" i="222"/>
  <c r="H13" i="222"/>
  <c r="H14" i="222"/>
  <c r="H15" i="222"/>
  <c r="H16" i="222"/>
  <c r="H17" i="222"/>
  <c r="H23" i="222"/>
  <c r="H24" i="222"/>
  <c r="H25" i="222"/>
  <c r="H26" i="222"/>
  <c r="H27" i="222"/>
  <c r="H28" i="222"/>
  <c r="H29" i="222"/>
  <c r="H30" i="222"/>
  <c r="H31" i="222"/>
  <c r="H32" i="222"/>
  <c r="H33" i="222"/>
  <c r="H34" i="222"/>
  <c r="H35" i="222"/>
  <c r="H36" i="222"/>
  <c r="H37" i="222"/>
  <c r="H38" i="222"/>
  <c r="H39" i="222"/>
  <c r="H40" i="222"/>
  <c r="H41" i="222"/>
  <c r="H42" i="222"/>
  <c r="H43" i="222"/>
  <c r="H44" i="222"/>
  <c r="H45" i="222"/>
  <c r="H46" i="222"/>
  <c r="H47" i="222"/>
  <c r="H48" i="222"/>
  <c r="H49" i="222"/>
  <c r="H50" i="222"/>
  <c r="H51" i="222"/>
  <c r="H52" i="222"/>
  <c r="H53" i="222"/>
  <c r="H54" i="222"/>
  <c r="H55" i="222"/>
  <c r="H56" i="222"/>
  <c r="H57" i="222"/>
  <c r="H58" i="222"/>
  <c r="H59" i="222"/>
  <c r="H60" i="222"/>
  <c r="H61" i="222"/>
  <c r="H62" i="222"/>
  <c r="H63" i="222"/>
  <c r="H64" i="222"/>
  <c r="H65" i="222"/>
  <c r="H66" i="222"/>
  <c r="H67" i="222"/>
  <c r="H68" i="222"/>
  <c r="H9" i="222"/>
  <c r="B69" i="222"/>
  <c r="H4" i="222"/>
  <c r="H10" i="220"/>
  <c r="H11" i="220"/>
  <c r="H12" i="220"/>
  <c r="H13" i="220"/>
  <c r="H14" i="220"/>
  <c r="H15" i="220"/>
  <c r="H16" i="220"/>
  <c r="H17" i="220"/>
  <c r="H18" i="220"/>
  <c r="H19" i="220"/>
  <c r="H20" i="220"/>
  <c r="H21" i="220"/>
  <c r="H22" i="220"/>
  <c r="H23" i="220"/>
  <c r="H24" i="220"/>
  <c r="H25" i="220"/>
  <c r="H26" i="220"/>
  <c r="H27" i="220"/>
  <c r="H28" i="220"/>
  <c r="H29" i="220"/>
  <c r="H30" i="220"/>
  <c r="H31" i="220"/>
  <c r="H32" i="220"/>
  <c r="H33" i="220"/>
  <c r="H34" i="220"/>
  <c r="H35" i="220"/>
  <c r="H36" i="220"/>
  <c r="H37" i="220"/>
  <c r="H38" i="220"/>
  <c r="H39" i="220"/>
  <c r="H40" i="220"/>
  <c r="H41" i="220"/>
  <c r="H42" i="220"/>
  <c r="H43" i="220"/>
  <c r="H44" i="220"/>
  <c r="H45" i="220"/>
  <c r="H46" i="220"/>
  <c r="H47" i="220"/>
  <c r="H48" i="220"/>
  <c r="H49" i="220"/>
  <c r="H50" i="220"/>
  <c r="H51" i="220"/>
  <c r="H52" i="220"/>
  <c r="H53" i="220"/>
  <c r="H54" i="220"/>
  <c r="H55" i="220"/>
  <c r="H56" i="220"/>
  <c r="H57" i="220"/>
  <c r="H58" i="220"/>
  <c r="H59" i="220"/>
  <c r="H60" i="220"/>
  <c r="H61" i="220"/>
  <c r="H62" i="220"/>
  <c r="H63" i="220"/>
  <c r="H64" i="220"/>
  <c r="H65" i="220"/>
  <c r="H66" i="220"/>
  <c r="H67" i="220"/>
  <c r="H68" i="220"/>
  <c r="H69" i="220"/>
  <c r="H70" i="220"/>
  <c r="H71" i="220"/>
  <c r="H72" i="220"/>
  <c r="H73" i="220"/>
  <c r="H9" i="220"/>
  <c r="B74" i="220"/>
  <c r="H4" i="220"/>
  <c r="H10" i="219"/>
  <c r="H11" i="219"/>
  <c r="H12" i="219"/>
  <c r="H13" i="219"/>
  <c r="H14" i="219"/>
  <c r="H15" i="219"/>
  <c r="H16" i="219"/>
  <c r="H17" i="219"/>
  <c r="H18" i="219"/>
  <c r="H19" i="219"/>
  <c r="H20" i="219"/>
  <c r="H21" i="219"/>
  <c r="H22" i="219"/>
  <c r="H23" i="219"/>
  <c r="H24" i="219"/>
  <c r="H25" i="219"/>
  <c r="H26" i="219"/>
  <c r="H27" i="219"/>
  <c r="H28" i="219"/>
  <c r="H29" i="219"/>
  <c r="H30" i="219"/>
  <c r="H31" i="219"/>
  <c r="H32" i="219"/>
  <c r="H33" i="219"/>
  <c r="H34" i="219"/>
  <c r="H35" i="219"/>
  <c r="H36" i="219"/>
  <c r="H37" i="219"/>
  <c r="H38" i="219"/>
  <c r="H39" i="219"/>
  <c r="H40" i="219"/>
  <c r="H41" i="219"/>
  <c r="H42" i="219"/>
  <c r="H43" i="219"/>
  <c r="H44" i="219"/>
  <c r="H45" i="219"/>
  <c r="H46" i="219"/>
  <c r="H47" i="219"/>
  <c r="H48" i="219"/>
  <c r="H49" i="219"/>
  <c r="H50" i="219"/>
  <c r="H51" i="219"/>
  <c r="H52" i="219"/>
  <c r="H53" i="219"/>
  <c r="H54" i="219"/>
  <c r="H55" i="219"/>
  <c r="H56" i="219"/>
  <c r="H57" i="219"/>
  <c r="H58" i="219"/>
  <c r="H59" i="219"/>
  <c r="H60" i="219"/>
  <c r="H61" i="219"/>
  <c r="H62" i="219"/>
  <c r="H63" i="219"/>
  <c r="H64" i="219"/>
  <c r="H65" i="219"/>
  <c r="H66" i="219"/>
  <c r="H67" i="219"/>
  <c r="H68" i="219"/>
  <c r="H69" i="219"/>
  <c r="H70" i="219"/>
  <c r="H71" i="219"/>
  <c r="H72" i="219"/>
  <c r="H73" i="219"/>
  <c r="H74" i="219"/>
  <c r="H75" i="219"/>
  <c r="H76" i="219"/>
  <c r="H77" i="219"/>
  <c r="H78" i="219"/>
  <c r="H9" i="219"/>
  <c r="B79" i="219"/>
  <c r="H4" i="219"/>
  <c r="B66" i="217"/>
  <c r="H10" i="217"/>
  <c r="H11" i="217"/>
  <c r="H12" i="217"/>
  <c r="H13" i="217"/>
  <c r="H14" i="217"/>
  <c r="H15" i="217"/>
  <c r="H16" i="217"/>
  <c r="H17" i="217"/>
  <c r="H18" i="217"/>
  <c r="H19" i="217"/>
  <c r="H20" i="217"/>
  <c r="H21" i="217"/>
  <c r="H22" i="217"/>
  <c r="H23" i="217"/>
  <c r="H24" i="217"/>
  <c r="H25" i="217"/>
  <c r="H26" i="217"/>
  <c r="H27" i="217"/>
  <c r="H28" i="217"/>
  <c r="H29" i="217"/>
  <c r="H30" i="217"/>
  <c r="H31" i="217"/>
  <c r="H32" i="217"/>
  <c r="H33" i="217"/>
  <c r="H34" i="217"/>
  <c r="H35" i="217"/>
  <c r="H36" i="217"/>
  <c r="H37" i="217"/>
  <c r="H38" i="217"/>
  <c r="H39" i="217"/>
  <c r="H40" i="217"/>
  <c r="H41" i="217"/>
  <c r="H42" i="217"/>
  <c r="H43" i="217"/>
  <c r="H44" i="217"/>
  <c r="H45" i="217"/>
  <c r="H46" i="217"/>
  <c r="H47" i="217"/>
  <c r="H48" i="217"/>
  <c r="H49" i="217"/>
  <c r="H50" i="217"/>
  <c r="H51" i="217"/>
  <c r="H52" i="217"/>
  <c r="H53" i="217"/>
  <c r="H54" i="217"/>
  <c r="H55" i="217"/>
  <c r="H56" i="217"/>
  <c r="H57" i="217"/>
  <c r="H58" i="217"/>
  <c r="H59" i="217"/>
  <c r="H60" i="217"/>
  <c r="H9" i="217"/>
  <c r="H4" i="217"/>
  <c r="H10" i="249"/>
  <c r="H11" i="249"/>
  <c r="H12" i="249"/>
  <c r="H13" i="249"/>
  <c r="H14" i="249"/>
  <c r="H15" i="249"/>
  <c r="H16" i="249"/>
  <c r="H17" i="249"/>
  <c r="H18" i="249"/>
  <c r="H19" i="249"/>
  <c r="H20" i="249"/>
  <c r="H21" i="249"/>
  <c r="H22" i="249"/>
  <c r="H23" i="249"/>
  <c r="H24" i="249"/>
  <c r="H25" i="249"/>
  <c r="H26" i="249"/>
  <c r="H27" i="249"/>
  <c r="H29" i="249"/>
  <c r="H30" i="249"/>
  <c r="H31" i="249"/>
  <c r="H32" i="249"/>
  <c r="H33" i="249"/>
  <c r="H34" i="249"/>
  <c r="H35" i="249"/>
  <c r="H36" i="249"/>
  <c r="H37" i="249"/>
  <c r="H38" i="249"/>
  <c r="H39" i="249"/>
  <c r="H40" i="249"/>
  <c r="H41" i="249"/>
  <c r="H42" i="249"/>
  <c r="H43" i="249"/>
  <c r="H44" i="249"/>
  <c r="H45" i="249"/>
  <c r="H46" i="249"/>
  <c r="H47" i="249"/>
  <c r="H9" i="249"/>
  <c r="B48" i="249"/>
  <c r="H4" i="249"/>
  <c r="B51" i="243"/>
  <c r="B56" i="242"/>
  <c r="H9" i="243"/>
  <c r="H10" i="243"/>
  <c r="H11" i="243"/>
  <c r="H4" i="243"/>
  <c r="H10" i="242"/>
  <c r="H11" i="242"/>
  <c r="H12" i="242"/>
  <c r="H13" i="242"/>
  <c r="H14" i="242"/>
  <c r="H15" i="242"/>
  <c r="H18" i="242"/>
  <c r="H19" i="242"/>
  <c r="H20" i="242"/>
  <c r="H21" i="242"/>
  <c r="H22" i="242"/>
  <c r="H23" i="242"/>
  <c r="H24" i="242"/>
  <c r="H25" i="242"/>
  <c r="H26" i="242"/>
  <c r="H27" i="242"/>
  <c r="H28" i="242"/>
  <c r="H29" i="242"/>
  <c r="H30" i="242"/>
  <c r="H31" i="242"/>
  <c r="H32" i="242"/>
  <c r="H33" i="242"/>
  <c r="H34" i="242"/>
  <c r="H35" i="242"/>
  <c r="H36" i="242"/>
  <c r="H37" i="242"/>
  <c r="H38" i="242"/>
  <c r="H39" i="242"/>
  <c r="H40" i="242"/>
  <c r="H41" i="242"/>
  <c r="H42" i="242"/>
  <c r="H43" i="242"/>
  <c r="H44" i="242"/>
  <c r="H45" i="242"/>
  <c r="H46" i="242"/>
  <c r="H47" i="242"/>
  <c r="H48" i="242"/>
  <c r="H49" i="242"/>
  <c r="H50" i="242"/>
  <c r="H51" i="242"/>
  <c r="H52" i="242"/>
  <c r="H9" i="242"/>
  <c r="H4" i="242"/>
  <c r="H40" i="179"/>
  <c r="H41" i="179"/>
  <c r="H42" i="179"/>
  <c r="H43" i="179"/>
  <c r="H44" i="179"/>
  <c r="H45" i="179"/>
  <c r="H46" i="179"/>
  <c r="H47" i="179"/>
  <c r="H48" i="179"/>
  <c r="H49" i="179"/>
  <c r="H50" i="179"/>
  <c r="H51" i="179"/>
  <c r="H52" i="179"/>
  <c r="H53" i="179"/>
  <c r="H54" i="179"/>
  <c r="H55" i="179"/>
  <c r="H56" i="179"/>
  <c r="H57" i="179"/>
  <c r="H58" i="179"/>
  <c r="H59" i="179"/>
  <c r="H60" i="179"/>
  <c r="B61" i="179"/>
  <c r="H10" i="177"/>
  <c r="H11" i="177"/>
  <c r="H12" i="177"/>
  <c r="H13" i="177"/>
  <c r="H14" i="177"/>
  <c r="H15" i="177"/>
  <c r="H16" i="177"/>
  <c r="H17" i="177"/>
  <c r="H18" i="177"/>
  <c r="H19" i="177"/>
  <c r="H20" i="177"/>
  <c r="H21" i="177"/>
  <c r="H22" i="177"/>
  <c r="H23" i="177"/>
  <c r="H24" i="177"/>
  <c r="H25" i="177"/>
  <c r="H26" i="177"/>
  <c r="H27" i="177"/>
  <c r="H28" i="177"/>
  <c r="H29" i="177"/>
  <c r="H30" i="177"/>
  <c r="H31" i="177"/>
  <c r="H32" i="177"/>
  <c r="H33" i="177"/>
  <c r="H34" i="177"/>
  <c r="H35" i="177"/>
  <c r="H36" i="177"/>
  <c r="H37" i="177"/>
  <c r="H38" i="177"/>
  <c r="H39" i="177"/>
  <c r="H40" i="177"/>
  <c r="H41" i="177"/>
  <c r="H42" i="177"/>
  <c r="H43" i="177"/>
  <c r="H44" i="177"/>
  <c r="H45" i="177"/>
  <c r="H46" i="177"/>
  <c r="H47" i="177"/>
  <c r="H48" i="177"/>
  <c r="H49" i="177"/>
  <c r="H50" i="177"/>
  <c r="H51" i="177"/>
  <c r="H52" i="177"/>
  <c r="H53" i="177"/>
  <c r="H54" i="177"/>
  <c r="H55" i="177"/>
  <c r="H56" i="177"/>
  <c r="H57" i="177"/>
  <c r="H58" i="177"/>
  <c r="H59" i="177"/>
  <c r="H60" i="177"/>
  <c r="H61" i="177"/>
  <c r="H62" i="177"/>
  <c r="H63" i="177"/>
  <c r="H64" i="177"/>
  <c r="H65" i="177"/>
  <c r="H66" i="177"/>
  <c r="H67" i="177"/>
  <c r="H68" i="177"/>
  <c r="H69" i="177"/>
  <c r="H70" i="177"/>
  <c r="H71" i="177"/>
  <c r="H72" i="177"/>
  <c r="H73" i="177"/>
  <c r="H74" i="177"/>
  <c r="H75" i="177"/>
  <c r="H76" i="177"/>
  <c r="H77" i="177"/>
  <c r="H78" i="177"/>
  <c r="B79" i="177"/>
  <c r="H10" i="176"/>
  <c r="H11" i="176"/>
  <c r="H12" i="176"/>
  <c r="H13" i="176"/>
  <c r="H14" i="176"/>
  <c r="H15" i="176"/>
  <c r="H16" i="176"/>
  <c r="H17" i="176"/>
  <c r="H18" i="176"/>
  <c r="H19" i="176"/>
  <c r="H20" i="176"/>
  <c r="H21" i="176"/>
  <c r="H22" i="176"/>
  <c r="H23" i="176"/>
  <c r="H24" i="176"/>
  <c r="H25" i="176"/>
  <c r="H26" i="176"/>
  <c r="H27" i="176"/>
  <c r="H28" i="176"/>
  <c r="H29" i="176"/>
  <c r="H30" i="176"/>
  <c r="H31" i="176"/>
  <c r="H32" i="176"/>
  <c r="H33" i="176"/>
  <c r="H34" i="176"/>
  <c r="H35" i="176"/>
  <c r="H36" i="176"/>
  <c r="H37" i="176"/>
  <c r="H38" i="176"/>
  <c r="H39" i="176"/>
  <c r="H40" i="176"/>
  <c r="H41" i="176"/>
  <c r="H42" i="176"/>
  <c r="H43" i="176"/>
  <c r="H44" i="176"/>
  <c r="H45" i="176"/>
  <c r="H46" i="176"/>
  <c r="H47" i="176"/>
  <c r="H48" i="176"/>
  <c r="H49" i="176"/>
  <c r="H50" i="176"/>
  <c r="H51" i="176"/>
  <c r="H52" i="176"/>
  <c r="H53" i="176"/>
  <c r="H54" i="176"/>
  <c r="H55" i="176"/>
  <c r="H56" i="176"/>
  <c r="H57" i="176"/>
  <c r="H58" i="176"/>
  <c r="H59" i="176"/>
  <c r="H60" i="176"/>
  <c r="H61" i="176"/>
  <c r="H62" i="176"/>
  <c r="H63" i="176"/>
  <c r="H64" i="176"/>
  <c r="H65" i="176"/>
  <c r="H66" i="176"/>
  <c r="H67" i="176"/>
  <c r="H68" i="176"/>
  <c r="H69" i="176"/>
  <c r="H70" i="176"/>
  <c r="H71" i="176"/>
  <c r="H72" i="176"/>
  <c r="H73" i="176"/>
  <c r="H74" i="176"/>
  <c r="H75" i="176"/>
  <c r="H76" i="176"/>
  <c r="B77" i="176"/>
  <c r="H10" i="175"/>
  <c r="H11" i="175"/>
  <c r="H29" i="175"/>
  <c r="H33" i="175"/>
  <c r="H34" i="175"/>
  <c r="H35" i="175"/>
  <c r="H36" i="175"/>
  <c r="H37" i="175"/>
  <c r="H38" i="175"/>
  <c r="H39" i="175"/>
  <c r="H40" i="175"/>
  <c r="H41" i="175"/>
  <c r="H42" i="175"/>
  <c r="H43" i="175"/>
  <c r="H44" i="175"/>
  <c r="H45" i="175"/>
  <c r="H46" i="175"/>
  <c r="H47" i="175"/>
  <c r="H48" i="175"/>
  <c r="H49" i="175"/>
  <c r="H50" i="175"/>
  <c r="H51" i="175"/>
  <c r="H52" i="175"/>
  <c r="H53" i="175"/>
  <c r="H54" i="175"/>
  <c r="H55" i="175"/>
  <c r="H56" i="175"/>
  <c r="H57" i="175"/>
  <c r="H58" i="175"/>
  <c r="H59" i="175"/>
  <c r="H60" i="175"/>
  <c r="H61" i="175"/>
  <c r="H62" i="175"/>
  <c r="H63" i="175"/>
  <c r="H64" i="175"/>
  <c r="H65" i="175"/>
  <c r="H66" i="175"/>
  <c r="H67" i="175"/>
  <c r="H68" i="175"/>
  <c r="H69" i="175"/>
  <c r="H70" i="175"/>
  <c r="H71" i="175"/>
  <c r="H72" i="175"/>
  <c r="H73" i="175"/>
  <c r="H74" i="175"/>
  <c r="H75" i="175"/>
  <c r="H76" i="175"/>
  <c r="H77" i="175"/>
  <c r="H78" i="175"/>
  <c r="B79" i="175"/>
  <c r="B73" i="174"/>
  <c r="H10" i="173"/>
  <c r="H11" i="173"/>
  <c r="H12" i="173"/>
  <c r="H13" i="173"/>
  <c r="H14" i="173"/>
  <c r="H15" i="173"/>
  <c r="H16" i="173"/>
  <c r="H17" i="173"/>
  <c r="H18" i="173"/>
  <c r="H19" i="173"/>
  <c r="H20" i="173"/>
  <c r="H21" i="173"/>
  <c r="H22" i="173"/>
  <c r="H23" i="173"/>
  <c r="H24" i="173"/>
  <c r="H25" i="173"/>
  <c r="H26" i="173"/>
  <c r="H27" i="173"/>
  <c r="H28" i="173"/>
  <c r="H29" i="173"/>
  <c r="H30" i="173"/>
  <c r="H31" i="173"/>
  <c r="H32" i="173"/>
  <c r="H33" i="173"/>
  <c r="H34" i="173"/>
  <c r="H35" i="173"/>
  <c r="H36" i="173"/>
  <c r="H37" i="173"/>
  <c r="H38" i="173"/>
  <c r="H39" i="173"/>
  <c r="H40" i="173"/>
  <c r="H41" i="173"/>
  <c r="H42" i="173"/>
  <c r="H43" i="173"/>
  <c r="H44" i="173"/>
  <c r="H45" i="173"/>
  <c r="H46" i="173"/>
  <c r="H47" i="173"/>
  <c r="H48" i="173"/>
  <c r="H49" i="173"/>
  <c r="H50" i="173"/>
  <c r="H51" i="173"/>
  <c r="H52" i="173"/>
  <c r="H53" i="173"/>
  <c r="H54" i="173"/>
  <c r="H55" i="173"/>
  <c r="H56" i="173"/>
  <c r="H57" i="173"/>
  <c r="H58" i="173"/>
  <c r="H59" i="173"/>
  <c r="H60" i="173"/>
  <c r="H61" i="173"/>
  <c r="H62" i="173"/>
  <c r="H63" i="173"/>
  <c r="H64" i="173"/>
  <c r="H65" i="173"/>
  <c r="H66" i="173"/>
  <c r="H67" i="173"/>
  <c r="H68" i="173"/>
  <c r="H69" i="173"/>
  <c r="H70" i="173"/>
  <c r="H71" i="173"/>
  <c r="H72" i="173"/>
  <c r="B73" i="173"/>
  <c r="H10" i="172"/>
  <c r="H11" i="172"/>
  <c r="H12" i="172"/>
  <c r="H13" i="172"/>
  <c r="H14" i="172"/>
  <c r="H15" i="172"/>
  <c r="H16" i="172"/>
  <c r="H17" i="172"/>
  <c r="H18" i="172"/>
  <c r="H19" i="172"/>
  <c r="H20" i="172"/>
  <c r="H21" i="172"/>
  <c r="H22" i="172"/>
  <c r="H23" i="172"/>
  <c r="H24" i="172"/>
  <c r="H25" i="172"/>
  <c r="H26" i="172"/>
  <c r="H27" i="172"/>
  <c r="H28" i="172"/>
  <c r="H29" i="172"/>
  <c r="H30" i="172"/>
  <c r="H31" i="172"/>
  <c r="H32" i="172"/>
  <c r="H33" i="172"/>
  <c r="H34" i="172"/>
  <c r="H35" i="172"/>
  <c r="H36" i="172"/>
  <c r="H37" i="172"/>
  <c r="H38" i="172"/>
  <c r="H39" i="172"/>
  <c r="H40" i="172"/>
  <c r="H41" i="172"/>
  <c r="H42" i="172"/>
  <c r="H43" i="172"/>
  <c r="H44" i="172"/>
  <c r="H45" i="172"/>
  <c r="H46" i="172"/>
  <c r="H47" i="172"/>
  <c r="H48" i="172"/>
  <c r="H49" i="172"/>
  <c r="H50" i="172"/>
  <c r="H51" i="172"/>
  <c r="H52" i="172"/>
  <c r="H53" i="172"/>
  <c r="H54" i="172"/>
  <c r="H55" i="172"/>
  <c r="H56" i="172"/>
  <c r="H57" i="172"/>
  <c r="H58" i="172"/>
  <c r="H59" i="172"/>
  <c r="H60" i="172"/>
  <c r="H61" i="172"/>
  <c r="H62" i="172"/>
  <c r="H63" i="172"/>
  <c r="H64" i="172"/>
  <c r="H65" i="172"/>
  <c r="H67" i="172"/>
  <c r="H68" i="172"/>
  <c r="H69" i="172"/>
  <c r="H70" i="172"/>
  <c r="H71" i="172"/>
  <c r="H72" i="172"/>
  <c r="B73" i="172"/>
  <c r="H10" i="171"/>
  <c r="H11" i="171"/>
  <c r="H12" i="171"/>
  <c r="H13" i="171"/>
  <c r="H14" i="171"/>
  <c r="H15" i="171"/>
  <c r="H16" i="171"/>
  <c r="H17" i="171"/>
  <c r="H18" i="171"/>
  <c r="H19" i="171"/>
  <c r="H20" i="171"/>
  <c r="H21" i="171"/>
  <c r="H22" i="171"/>
  <c r="H23" i="171"/>
  <c r="H24" i="171"/>
  <c r="H25" i="171"/>
  <c r="H26" i="171"/>
  <c r="H27" i="171"/>
  <c r="H28" i="171"/>
  <c r="H29" i="171"/>
  <c r="H30" i="171"/>
  <c r="H31" i="171"/>
  <c r="H32" i="171"/>
  <c r="H33" i="171"/>
  <c r="H34" i="171"/>
  <c r="H35" i="171"/>
  <c r="H36" i="171"/>
  <c r="H37" i="171"/>
  <c r="H38" i="171"/>
  <c r="H39" i="171"/>
  <c r="H40" i="171"/>
  <c r="H41" i="171"/>
  <c r="H42" i="171"/>
  <c r="H43" i="171"/>
  <c r="H44" i="171"/>
  <c r="H45" i="171"/>
  <c r="H46" i="171"/>
  <c r="H47" i="171"/>
  <c r="H48" i="171"/>
  <c r="H49" i="171"/>
  <c r="H50" i="171"/>
  <c r="H51" i="171"/>
  <c r="H52" i="171"/>
  <c r="H53" i="171"/>
  <c r="H54" i="171"/>
  <c r="H55" i="171"/>
  <c r="H56" i="171"/>
  <c r="H57" i="171"/>
  <c r="H58" i="171"/>
  <c r="H59" i="171"/>
  <c r="H60" i="171"/>
  <c r="H61" i="171"/>
  <c r="H62" i="171"/>
  <c r="B63" i="171"/>
  <c r="B78" i="259"/>
  <c r="H77" i="259"/>
  <c r="H76" i="259"/>
  <c r="H75" i="259"/>
  <c r="H74" i="259"/>
  <c r="H73" i="259"/>
  <c r="H71" i="259"/>
  <c r="H70" i="259"/>
  <c r="H69" i="259"/>
  <c r="H68" i="259"/>
  <c r="H65" i="259"/>
  <c r="H64" i="259"/>
  <c r="H63" i="259"/>
  <c r="H62" i="259"/>
  <c r="H61" i="259"/>
  <c r="H12" i="259"/>
  <c r="H11" i="259"/>
  <c r="H10" i="259"/>
  <c r="H9" i="259"/>
  <c r="B5" i="259"/>
  <c r="H4" i="259"/>
  <c r="B2" i="259"/>
  <c r="F1" i="259"/>
  <c r="B1" i="259"/>
  <c r="B79" i="258"/>
  <c r="H78" i="258"/>
  <c r="H77" i="258"/>
  <c r="H76" i="258"/>
  <c r="H75" i="258"/>
  <c r="H74" i="258"/>
  <c r="H73" i="258"/>
  <c r="H71" i="258"/>
  <c r="H70" i="258"/>
  <c r="H69" i="258"/>
  <c r="H68" i="258"/>
  <c r="H65" i="258"/>
  <c r="H64" i="258"/>
  <c r="H63" i="258"/>
  <c r="H62" i="258"/>
  <c r="H61" i="258"/>
  <c r="H12" i="258"/>
  <c r="H11" i="258"/>
  <c r="H10" i="258"/>
  <c r="H9" i="258"/>
  <c r="B5" i="258"/>
  <c r="H4" i="258"/>
  <c r="B2" i="258"/>
  <c r="F1" i="258"/>
  <c r="B1" i="258"/>
  <c r="B77" i="232"/>
  <c r="H4" i="232"/>
  <c r="H61" i="232"/>
  <c r="H62" i="232"/>
  <c r="H63" i="232"/>
  <c r="H64" i="232"/>
  <c r="H65" i="232"/>
  <c r="H66" i="232"/>
  <c r="H67" i="232"/>
  <c r="H68" i="232"/>
  <c r="H69" i="232"/>
  <c r="H70" i="232"/>
  <c r="H71" i="232"/>
  <c r="H72" i="232"/>
  <c r="H73" i="232"/>
  <c r="H74" i="232"/>
  <c r="H75" i="232"/>
  <c r="H76" i="232"/>
  <c r="H9" i="232"/>
  <c r="H10" i="232"/>
  <c r="H11" i="232"/>
  <c r="B36" i="214"/>
  <c r="H10" i="214"/>
  <c r="H11" i="214"/>
  <c r="H36" i="214" s="1"/>
  <c r="B40" i="235"/>
  <c r="B24" i="235"/>
  <c r="B21" i="235"/>
  <c r="F19" i="235"/>
  <c r="B20" i="235"/>
  <c r="B19" i="235"/>
  <c r="H12" i="235"/>
  <c r="H13" i="235"/>
  <c r="H14" i="235"/>
  <c r="H15" i="235"/>
  <c r="H34" i="235"/>
  <c r="H35" i="235"/>
  <c r="H37" i="235"/>
  <c r="H9" i="235"/>
  <c r="H73" i="229"/>
  <c r="H10" i="229"/>
  <c r="H11" i="229"/>
  <c r="H12" i="229"/>
  <c r="H13" i="229"/>
  <c r="H14" i="229"/>
  <c r="H15" i="229"/>
  <c r="H16" i="229"/>
  <c r="H17" i="229"/>
  <c r="H18" i="229"/>
  <c r="H19" i="229"/>
  <c r="H20" i="229"/>
  <c r="H21" i="229"/>
  <c r="H22" i="229"/>
  <c r="H23" i="229"/>
  <c r="H24" i="229"/>
  <c r="H25" i="229"/>
  <c r="H26" i="229"/>
  <c r="H27" i="229"/>
  <c r="H28" i="229"/>
  <c r="H29" i="229"/>
  <c r="H30" i="229"/>
  <c r="H31" i="229"/>
  <c r="H32" i="229"/>
  <c r="H33" i="229"/>
  <c r="H34" i="229"/>
  <c r="H35" i="229"/>
  <c r="H36" i="229"/>
  <c r="H37" i="229"/>
  <c r="H38" i="229"/>
  <c r="H39" i="229"/>
  <c r="H40" i="229"/>
  <c r="H41" i="229"/>
  <c r="H42" i="229"/>
  <c r="H43" i="229"/>
  <c r="H44" i="229"/>
  <c r="H45" i="229"/>
  <c r="H46" i="229"/>
  <c r="H47" i="229"/>
  <c r="H48" i="229"/>
  <c r="H49" i="229"/>
  <c r="H50" i="229"/>
  <c r="H51" i="229"/>
  <c r="H52" i="229"/>
  <c r="H53" i="229"/>
  <c r="H54" i="229"/>
  <c r="H55" i="229"/>
  <c r="H56" i="229"/>
  <c r="H57" i="229"/>
  <c r="H58" i="229"/>
  <c r="H59" i="229"/>
  <c r="H60" i="229"/>
  <c r="H61" i="229"/>
  <c r="H62" i="229"/>
  <c r="H63" i="229"/>
  <c r="H64" i="229"/>
  <c r="H65" i="229"/>
  <c r="H66" i="229"/>
  <c r="H67" i="229"/>
  <c r="H68" i="229"/>
  <c r="H69" i="229"/>
  <c r="H70" i="229"/>
  <c r="H71" i="229"/>
  <c r="H72" i="229"/>
  <c r="B74" i="229"/>
  <c r="H4" i="229"/>
  <c r="H9" i="229"/>
  <c r="B76" i="215"/>
  <c r="B79" i="206"/>
  <c r="H10" i="181"/>
  <c r="H11" i="181"/>
  <c r="H12" i="181"/>
  <c r="H13" i="181"/>
  <c r="H14" i="181"/>
  <c r="H15" i="181"/>
  <c r="H16" i="181"/>
  <c r="H17" i="181"/>
  <c r="H18" i="181"/>
  <c r="H19" i="181"/>
  <c r="H20" i="181"/>
  <c r="H21" i="181"/>
  <c r="H22" i="181"/>
  <c r="H23" i="181"/>
  <c r="H24" i="181"/>
  <c r="H25" i="181"/>
  <c r="H26" i="181"/>
  <c r="H27" i="181"/>
  <c r="H28" i="181"/>
  <c r="H29" i="181"/>
  <c r="H30" i="181"/>
  <c r="H31" i="181"/>
  <c r="H32" i="181"/>
  <c r="H33" i="181"/>
  <c r="H34" i="181"/>
  <c r="H35" i="181"/>
  <c r="H36" i="181"/>
  <c r="H37" i="181"/>
  <c r="H38" i="181"/>
  <c r="H39" i="181"/>
  <c r="H40" i="181"/>
  <c r="H41" i="181"/>
  <c r="H42" i="181"/>
  <c r="H43" i="181"/>
  <c r="H44" i="181"/>
  <c r="H45" i="181"/>
  <c r="H46" i="181"/>
  <c r="H47" i="181"/>
  <c r="H48" i="181"/>
  <c r="H49" i="181"/>
  <c r="H50" i="181"/>
  <c r="H51" i="181"/>
  <c r="H52" i="181"/>
  <c r="H53" i="181"/>
  <c r="H54" i="181"/>
  <c r="H55" i="181"/>
  <c r="H56" i="181"/>
  <c r="H57" i="181"/>
  <c r="H58" i="181"/>
  <c r="H59" i="181"/>
  <c r="H60" i="181"/>
  <c r="H61" i="181"/>
  <c r="B62" i="181"/>
  <c r="B71" i="182"/>
  <c r="H10" i="182"/>
  <c r="H11" i="182"/>
  <c r="H12" i="182"/>
  <c r="H13" i="182"/>
  <c r="H14" i="182"/>
  <c r="H15" i="182"/>
  <c r="H16" i="182"/>
  <c r="H17" i="182"/>
  <c r="H18" i="182"/>
  <c r="H19" i="182"/>
  <c r="H20" i="182"/>
  <c r="H21" i="182"/>
  <c r="H22" i="182"/>
  <c r="H23" i="182"/>
  <c r="H24" i="182"/>
  <c r="H25" i="182"/>
  <c r="H26" i="182"/>
  <c r="H27" i="182"/>
  <c r="H28" i="182"/>
  <c r="H29" i="182"/>
  <c r="H30" i="182"/>
  <c r="H31" i="182"/>
  <c r="H32" i="182"/>
  <c r="H33" i="182"/>
  <c r="H34" i="182"/>
  <c r="H35" i="182"/>
  <c r="H36" i="182"/>
  <c r="H37" i="182"/>
  <c r="H38" i="182"/>
  <c r="H39" i="182"/>
  <c r="H40" i="182"/>
  <c r="H41" i="182"/>
  <c r="H42" i="182"/>
  <c r="H43" i="182"/>
  <c r="H44" i="182"/>
  <c r="H45" i="182"/>
  <c r="H46" i="182"/>
  <c r="H47" i="182"/>
  <c r="H48" i="182"/>
  <c r="H49" i="182"/>
  <c r="H50" i="182"/>
  <c r="H51" i="182"/>
  <c r="H52" i="182"/>
  <c r="H53" i="182"/>
  <c r="H54" i="182"/>
  <c r="H55" i="182"/>
  <c r="H56" i="182"/>
  <c r="H57" i="182"/>
  <c r="H58" i="182"/>
  <c r="H59" i="182"/>
  <c r="H60" i="182"/>
  <c r="H61" i="182"/>
  <c r="H62" i="182"/>
  <c r="H63" i="182"/>
  <c r="H64" i="182"/>
  <c r="H65" i="182"/>
  <c r="H66" i="182"/>
  <c r="H67" i="182"/>
  <c r="H68" i="182"/>
  <c r="H69" i="182"/>
  <c r="H70" i="182"/>
  <c r="B71" i="183"/>
  <c r="H10" i="183"/>
  <c r="H11" i="183"/>
  <c r="H12" i="183"/>
  <c r="H13" i="183"/>
  <c r="H14" i="183"/>
  <c r="H15" i="183"/>
  <c r="H16" i="183"/>
  <c r="H17" i="183"/>
  <c r="H18" i="183"/>
  <c r="H19" i="183"/>
  <c r="H20" i="183"/>
  <c r="H21" i="183"/>
  <c r="H22" i="183"/>
  <c r="H23" i="183"/>
  <c r="H24" i="183"/>
  <c r="H25" i="183"/>
  <c r="H26" i="183"/>
  <c r="H27" i="183"/>
  <c r="H28" i="183"/>
  <c r="H29" i="183"/>
  <c r="H30" i="183"/>
  <c r="H31" i="183"/>
  <c r="H32" i="183"/>
  <c r="H33" i="183"/>
  <c r="H34" i="183"/>
  <c r="H35" i="183"/>
  <c r="H36" i="183"/>
  <c r="H37" i="183"/>
  <c r="H38" i="183"/>
  <c r="H39" i="183"/>
  <c r="H40" i="183"/>
  <c r="H41" i="183"/>
  <c r="H42" i="183"/>
  <c r="H43" i="183"/>
  <c r="H44" i="183"/>
  <c r="H45" i="183"/>
  <c r="H46" i="183"/>
  <c r="H47" i="183"/>
  <c r="H48" i="183"/>
  <c r="H49" i="183"/>
  <c r="H50" i="183"/>
  <c r="H51" i="183"/>
  <c r="H52" i="183"/>
  <c r="H53" i="183"/>
  <c r="H54" i="183"/>
  <c r="H55" i="183"/>
  <c r="H56" i="183"/>
  <c r="H57" i="183"/>
  <c r="H58" i="183"/>
  <c r="H59" i="183"/>
  <c r="H60" i="183"/>
  <c r="H61" i="183"/>
  <c r="H62" i="183"/>
  <c r="H63" i="183"/>
  <c r="H64" i="183"/>
  <c r="H65" i="183"/>
  <c r="H66" i="183"/>
  <c r="H67" i="183"/>
  <c r="H68" i="183"/>
  <c r="H69" i="183"/>
  <c r="H70" i="183"/>
  <c r="B74" i="184"/>
  <c r="H10" i="184"/>
  <c r="H11" i="184"/>
  <c r="H12" i="184"/>
  <c r="H13" i="184"/>
  <c r="H14" i="184"/>
  <c r="H15" i="184"/>
  <c r="H16" i="184"/>
  <c r="H17" i="184"/>
  <c r="H18" i="184"/>
  <c r="H19" i="184"/>
  <c r="H20" i="184"/>
  <c r="H21" i="184"/>
  <c r="H22" i="184"/>
  <c r="H23" i="184"/>
  <c r="H24" i="184"/>
  <c r="H25" i="184"/>
  <c r="H26" i="184"/>
  <c r="H27" i="184"/>
  <c r="H28" i="184"/>
  <c r="H29" i="184"/>
  <c r="H30" i="184"/>
  <c r="H31" i="184"/>
  <c r="H32" i="184"/>
  <c r="H33" i="184"/>
  <c r="H34" i="184"/>
  <c r="H35" i="184"/>
  <c r="H36" i="184"/>
  <c r="H37" i="184"/>
  <c r="H38" i="184"/>
  <c r="H39" i="184"/>
  <c r="H40" i="184"/>
  <c r="H41" i="184"/>
  <c r="H42" i="184"/>
  <c r="H43" i="184"/>
  <c r="H44" i="184"/>
  <c r="H45" i="184"/>
  <c r="H46" i="184"/>
  <c r="H47" i="184"/>
  <c r="H48" i="184"/>
  <c r="H49" i="184"/>
  <c r="H50" i="184"/>
  <c r="H51" i="184"/>
  <c r="H52" i="184"/>
  <c r="H53" i="184"/>
  <c r="H54" i="184"/>
  <c r="H55" i="184"/>
  <c r="H56" i="184"/>
  <c r="H57" i="184"/>
  <c r="H58" i="184"/>
  <c r="H59" i="184"/>
  <c r="H60" i="184"/>
  <c r="H61" i="184"/>
  <c r="H62" i="184"/>
  <c r="H63" i="184"/>
  <c r="H64" i="184"/>
  <c r="H65" i="184"/>
  <c r="H66" i="184"/>
  <c r="H67" i="184"/>
  <c r="H68" i="184"/>
  <c r="H69" i="184"/>
  <c r="H70" i="184"/>
  <c r="H71" i="184"/>
  <c r="H72" i="184"/>
  <c r="H73" i="184"/>
  <c r="B71" i="185"/>
  <c r="H10" i="185"/>
  <c r="H11" i="185"/>
  <c r="H12" i="185"/>
  <c r="H13" i="185"/>
  <c r="H14" i="185"/>
  <c r="H15" i="185"/>
  <c r="H16" i="185"/>
  <c r="H17" i="185"/>
  <c r="H18" i="185"/>
  <c r="H19" i="185"/>
  <c r="H20" i="185"/>
  <c r="H21" i="185"/>
  <c r="H22" i="185"/>
  <c r="H23" i="185"/>
  <c r="H24" i="185"/>
  <c r="H25" i="185"/>
  <c r="H26" i="185"/>
  <c r="H27" i="185"/>
  <c r="H28" i="185"/>
  <c r="H29" i="185"/>
  <c r="H30" i="185"/>
  <c r="H31" i="185"/>
  <c r="H32" i="185"/>
  <c r="H33" i="185"/>
  <c r="H34" i="185"/>
  <c r="H35" i="185"/>
  <c r="H36" i="185"/>
  <c r="H37" i="185"/>
  <c r="H38" i="185"/>
  <c r="H39" i="185"/>
  <c r="H40" i="185"/>
  <c r="H41" i="185"/>
  <c r="H42" i="185"/>
  <c r="H43" i="185"/>
  <c r="H44" i="185"/>
  <c r="H45" i="185"/>
  <c r="H46" i="185"/>
  <c r="H47" i="185"/>
  <c r="H48" i="185"/>
  <c r="H49" i="185"/>
  <c r="H50" i="185"/>
  <c r="H51" i="185"/>
  <c r="H52" i="185"/>
  <c r="H53" i="185"/>
  <c r="H54" i="185"/>
  <c r="H55" i="185"/>
  <c r="H56" i="185"/>
  <c r="H57" i="185"/>
  <c r="H58" i="185"/>
  <c r="H59" i="185"/>
  <c r="H60" i="185"/>
  <c r="H61" i="185"/>
  <c r="H62" i="185"/>
  <c r="H63" i="185"/>
  <c r="H64" i="185"/>
  <c r="H65" i="185"/>
  <c r="H66" i="185"/>
  <c r="H67" i="185"/>
  <c r="H68" i="185"/>
  <c r="H69" i="185"/>
  <c r="H70" i="185"/>
  <c r="B75" i="186"/>
  <c r="H10" i="186"/>
  <c r="H11" i="186"/>
  <c r="H12" i="186"/>
  <c r="H13" i="186"/>
  <c r="H14" i="186"/>
  <c r="H15" i="186"/>
  <c r="H16" i="186"/>
  <c r="H17" i="186"/>
  <c r="H18" i="186"/>
  <c r="H19" i="186"/>
  <c r="H20" i="186"/>
  <c r="H21" i="186"/>
  <c r="H22" i="186"/>
  <c r="H23" i="186"/>
  <c r="H24" i="186"/>
  <c r="H25" i="186"/>
  <c r="H26" i="186"/>
  <c r="H27" i="186"/>
  <c r="H28" i="186"/>
  <c r="H29" i="186"/>
  <c r="H30" i="186"/>
  <c r="H31" i="186"/>
  <c r="H32" i="186"/>
  <c r="H33" i="186"/>
  <c r="H34" i="186"/>
  <c r="H35" i="186"/>
  <c r="H36" i="186"/>
  <c r="H37" i="186"/>
  <c r="H38" i="186"/>
  <c r="H39" i="186"/>
  <c r="H40" i="186"/>
  <c r="H41" i="186"/>
  <c r="H42" i="186"/>
  <c r="H43" i="186"/>
  <c r="H44" i="186"/>
  <c r="H45" i="186"/>
  <c r="H46" i="186"/>
  <c r="H47" i="186"/>
  <c r="H48" i="186"/>
  <c r="H49" i="186"/>
  <c r="H50" i="186"/>
  <c r="H51" i="186"/>
  <c r="H52" i="186"/>
  <c r="H53" i="186"/>
  <c r="H54" i="186"/>
  <c r="H55" i="186"/>
  <c r="H56" i="186"/>
  <c r="H57" i="186"/>
  <c r="H58" i="186"/>
  <c r="H59" i="186"/>
  <c r="H60" i="186"/>
  <c r="H61" i="186"/>
  <c r="H62" i="186"/>
  <c r="H63" i="186"/>
  <c r="H64" i="186"/>
  <c r="H65" i="186"/>
  <c r="H66" i="186"/>
  <c r="H67" i="186"/>
  <c r="H69" i="186"/>
  <c r="H70" i="186"/>
  <c r="H71" i="186"/>
  <c r="H72" i="186"/>
  <c r="H73" i="186"/>
  <c r="H74" i="186"/>
  <c r="B75" i="187"/>
  <c r="H10" i="187"/>
  <c r="H11" i="187"/>
  <c r="H12" i="187"/>
  <c r="H13" i="187"/>
  <c r="H14" i="187"/>
  <c r="H15" i="187"/>
  <c r="H16" i="187"/>
  <c r="H17" i="187"/>
  <c r="H18" i="187"/>
  <c r="H19" i="187"/>
  <c r="H20" i="187"/>
  <c r="H21" i="187"/>
  <c r="H22" i="187"/>
  <c r="H23" i="187"/>
  <c r="H24" i="187"/>
  <c r="H25" i="187"/>
  <c r="H26" i="187"/>
  <c r="H27" i="187"/>
  <c r="H28" i="187"/>
  <c r="H29" i="187"/>
  <c r="H30" i="187"/>
  <c r="H31" i="187"/>
  <c r="H32" i="187"/>
  <c r="H33" i="187"/>
  <c r="H34" i="187"/>
  <c r="H35" i="187"/>
  <c r="H36" i="187"/>
  <c r="H37" i="187"/>
  <c r="H38" i="187"/>
  <c r="H39" i="187"/>
  <c r="H40" i="187"/>
  <c r="H41" i="187"/>
  <c r="H42" i="187"/>
  <c r="H43" i="187"/>
  <c r="H44" i="187"/>
  <c r="H45" i="187"/>
  <c r="H46" i="187"/>
  <c r="H47" i="187"/>
  <c r="H48" i="187"/>
  <c r="H49" i="187"/>
  <c r="H50" i="187"/>
  <c r="H51" i="187"/>
  <c r="H52" i="187"/>
  <c r="H53" i="187"/>
  <c r="H54" i="187"/>
  <c r="H55" i="187"/>
  <c r="H56" i="187"/>
  <c r="H57" i="187"/>
  <c r="H58" i="187"/>
  <c r="H59" i="187"/>
  <c r="H60" i="187"/>
  <c r="H61" i="187"/>
  <c r="H62" i="187"/>
  <c r="H63" i="187"/>
  <c r="H64" i="187"/>
  <c r="H65" i="187"/>
  <c r="H66" i="187"/>
  <c r="H67" i="187"/>
  <c r="H68" i="187"/>
  <c r="H69" i="187"/>
  <c r="H70" i="187"/>
  <c r="H71" i="187"/>
  <c r="H72" i="187"/>
  <c r="H73" i="187"/>
  <c r="H74" i="187"/>
  <c r="B74" i="188"/>
  <c r="H10" i="188"/>
  <c r="H11" i="188"/>
  <c r="H12" i="188"/>
  <c r="H14" i="188"/>
  <c r="H16" i="188"/>
  <c r="H18" i="188"/>
  <c r="H19" i="188"/>
  <c r="H20" i="188"/>
  <c r="H21" i="188"/>
  <c r="H22" i="188"/>
  <c r="H23" i="188"/>
  <c r="H24" i="188"/>
  <c r="H25" i="188"/>
  <c r="H26" i="188"/>
  <c r="H27" i="188"/>
  <c r="H28" i="188"/>
  <c r="H29" i="188"/>
  <c r="H30" i="188"/>
  <c r="H31" i="188"/>
  <c r="H32" i="188"/>
  <c r="H33" i="188"/>
  <c r="H34" i="188"/>
  <c r="H35" i="188"/>
  <c r="H36" i="188"/>
  <c r="H37" i="188"/>
  <c r="H38" i="188"/>
  <c r="H39" i="188"/>
  <c r="H40" i="188"/>
  <c r="H41" i="188"/>
  <c r="H42" i="188"/>
  <c r="H43" i="188"/>
  <c r="H44" i="188"/>
  <c r="H45" i="188"/>
  <c r="H46" i="188"/>
  <c r="H47" i="188"/>
  <c r="H48" i="188"/>
  <c r="H49" i="188"/>
  <c r="H50" i="188"/>
  <c r="H51" i="188"/>
  <c r="H52" i="188"/>
  <c r="H53" i="188"/>
  <c r="H54" i="188"/>
  <c r="H55" i="188"/>
  <c r="H56" i="188"/>
  <c r="H57" i="188"/>
  <c r="H58" i="188"/>
  <c r="H59" i="188"/>
  <c r="H60" i="188"/>
  <c r="H61" i="188"/>
  <c r="H62" i="188"/>
  <c r="H63" i="188"/>
  <c r="H64" i="188"/>
  <c r="H65" i="188"/>
  <c r="H66" i="188"/>
  <c r="H67" i="188"/>
  <c r="H68" i="188"/>
  <c r="H69" i="188"/>
  <c r="H70" i="188"/>
  <c r="H71" i="188"/>
  <c r="H72" i="188"/>
  <c r="H73" i="188"/>
  <c r="H83" i="189"/>
  <c r="H84" i="189"/>
  <c r="H85" i="189"/>
  <c r="H86" i="189"/>
  <c r="H87" i="189"/>
  <c r="H88" i="189"/>
  <c r="H89" i="189"/>
  <c r="H90" i="189"/>
  <c r="H91" i="189"/>
  <c r="H92" i="189"/>
  <c r="H93" i="189"/>
  <c r="H94" i="189"/>
  <c r="H95" i="189"/>
  <c r="H96" i="189"/>
  <c r="H97" i="189"/>
  <c r="H98" i="189"/>
  <c r="H99" i="189"/>
  <c r="H100" i="189"/>
  <c r="H101" i="189"/>
  <c r="H102" i="189"/>
  <c r="H103" i="189"/>
  <c r="H104" i="189"/>
  <c r="H105" i="189"/>
  <c r="H106" i="189"/>
  <c r="H107" i="189"/>
  <c r="H108" i="189"/>
  <c r="H109" i="189"/>
  <c r="H110" i="189"/>
  <c r="H111" i="189"/>
  <c r="H112" i="189"/>
  <c r="H113" i="189"/>
  <c r="H114" i="189"/>
  <c r="H115" i="189"/>
  <c r="H116" i="189"/>
  <c r="H117" i="189"/>
  <c r="H118" i="189"/>
  <c r="H119" i="189"/>
  <c r="H120" i="189"/>
  <c r="H121" i="189"/>
  <c r="H122" i="189"/>
  <c r="H123" i="189"/>
  <c r="H124" i="189"/>
  <c r="H125" i="189"/>
  <c r="H126" i="189"/>
  <c r="H127" i="189"/>
  <c r="H128" i="189"/>
  <c r="H129" i="189"/>
  <c r="H130" i="189"/>
  <c r="H131" i="189"/>
  <c r="H132" i="189"/>
  <c r="H133" i="189"/>
  <c r="H134" i="189"/>
  <c r="H135" i="189"/>
  <c r="H136" i="189"/>
  <c r="H137" i="189"/>
  <c r="H138" i="189"/>
  <c r="H139" i="189"/>
  <c r="H140" i="189"/>
  <c r="H141" i="189"/>
  <c r="H142" i="189"/>
  <c r="H143" i="189"/>
  <c r="H144" i="189"/>
  <c r="H145" i="189"/>
  <c r="H146" i="189"/>
  <c r="H147" i="189"/>
  <c r="H148" i="189"/>
  <c r="H82" i="189"/>
  <c r="H10" i="189"/>
  <c r="H11" i="189"/>
  <c r="H12" i="189"/>
  <c r="H13" i="189"/>
  <c r="H14" i="189"/>
  <c r="H15" i="189"/>
  <c r="H16" i="189"/>
  <c r="H17" i="189"/>
  <c r="H18" i="189"/>
  <c r="H19" i="189"/>
  <c r="H20" i="189"/>
  <c r="H21" i="189"/>
  <c r="H22" i="189"/>
  <c r="H23" i="189"/>
  <c r="H24" i="189"/>
  <c r="H25" i="189"/>
  <c r="H26" i="189"/>
  <c r="H27" i="189"/>
  <c r="H28" i="189"/>
  <c r="H29" i="189"/>
  <c r="H30" i="189"/>
  <c r="H31" i="189"/>
  <c r="H32" i="189"/>
  <c r="H33" i="189"/>
  <c r="H34" i="189"/>
  <c r="H35" i="189"/>
  <c r="H36" i="189"/>
  <c r="H37" i="189"/>
  <c r="H38" i="189"/>
  <c r="H39" i="189"/>
  <c r="H40" i="189"/>
  <c r="H41" i="189"/>
  <c r="H42" i="189"/>
  <c r="H43" i="189"/>
  <c r="H44" i="189"/>
  <c r="H45" i="189"/>
  <c r="H46" i="189"/>
  <c r="H47" i="189"/>
  <c r="H48" i="189"/>
  <c r="H49" i="189"/>
  <c r="H50" i="189"/>
  <c r="H51" i="189"/>
  <c r="H52" i="189"/>
  <c r="H53" i="189"/>
  <c r="H54" i="189"/>
  <c r="H55" i="189"/>
  <c r="H56" i="189"/>
  <c r="H57" i="189"/>
  <c r="H58" i="189"/>
  <c r="H59" i="189"/>
  <c r="H60" i="189"/>
  <c r="H61" i="189"/>
  <c r="H62" i="189"/>
  <c r="H63" i="189"/>
  <c r="H64" i="189"/>
  <c r="H65" i="189"/>
  <c r="H66" i="189"/>
  <c r="H67" i="189"/>
  <c r="H68" i="189"/>
  <c r="H69" i="189"/>
  <c r="H70" i="189"/>
  <c r="H71" i="189"/>
  <c r="H9" i="189"/>
  <c r="B149" i="189"/>
  <c r="B77" i="189"/>
  <c r="B74" i="189"/>
  <c r="F73" i="189"/>
  <c r="B73" i="189"/>
  <c r="B72" i="189"/>
  <c r="H10" i="190"/>
  <c r="H11" i="190"/>
  <c r="H12" i="190"/>
  <c r="H13" i="190"/>
  <c r="H14" i="190"/>
  <c r="H15" i="190"/>
  <c r="H16" i="190"/>
  <c r="H17" i="190"/>
  <c r="H18" i="190"/>
  <c r="H19" i="190"/>
  <c r="H20" i="190"/>
  <c r="H21" i="190"/>
  <c r="H22" i="190"/>
  <c r="H23" i="190"/>
  <c r="H24" i="190"/>
  <c r="H25" i="190"/>
  <c r="H26" i="190"/>
  <c r="H27" i="190"/>
  <c r="H28" i="190"/>
  <c r="H29" i="190"/>
  <c r="H30" i="190"/>
  <c r="H31" i="190"/>
  <c r="H32" i="190"/>
  <c r="H33" i="190"/>
  <c r="H34" i="190"/>
  <c r="H35" i="190"/>
  <c r="H36" i="190"/>
  <c r="H37" i="190"/>
  <c r="H38" i="190"/>
  <c r="H39" i="190"/>
  <c r="H40" i="190"/>
  <c r="H41" i="190"/>
  <c r="H42" i="190"/>
  <c r="H43" i="190"/>
  <c r="H44" i="190"/>
  <c r="H45" i="190"/>
  <c r="H46" i="190"/>
  <c r="H47" i="190"/>
  <c r="H48" i="190"/>
  <c r="H49" i="190"/>
  <c r="H50" i="190"/>
  <c r="H51" i="190"/>
  <c r="H52" i="190"/>
  <c r="H53" i="190"/>
  <c r="H54" i="190"/>
  <c r="H55" i="190"/>
  <c r="H56" i="190"/>
  <c r="H57" i="190"/>
  <c r="H58" i="190"/>
  <c r="H59" i="190"/>
  <c r="H60" i="190"/>
  <c r="H61" i="190"/>
  <c r="H62" i="190"/>
  <c r="H63" i="190"/>
  <c r="H64" i="190"/>
  <c r="H65" i="190"/>
  <c r="H66" i="190"/>
  <c r="H67" i="190"/>
  <c r="H68" i="190"/>
  <c r="H69" i="190"/>
  <c r="H70" i="190"/>
  <c r="H71" i="190"/>
  <c r="H72" i="190"/>
  <c r="H73" i="190"/>
  <c r="H74" i="190"/>
  <c r="H75" i="190"/>
  <c r="B76" i="190"/>
  <c r="H16" i="192"/>
  <c r="H10" i="192"/>
  <c r="H11" i="192"/>
  <c r="H9" i="192"/>
  <c r="B17" i="192"/>
  <c r="B77" i="191"/>
  <c r="H39" i="169" l="1"/>
  <c r="H17" i="192"/>
  <c r="G14" i="331" s="1"/>
  <c r="V14" i="169"/>
  <c r="V39" i="169"/>
  <c r="F38" i="235"/>
  <c r="H38" i="235" s="1"/>
  <c r="H40" i="235" s="1"/>
  <c r="G15" i="254" s="1"/>
  <c r="H74" i="229"/>
  <c r="H79" i="219"/>
  <c r="H78" i="259"/>
  <c r="H74" i="220"/>
  <c r="H66" i="217"/>
  <c r="H56" i="242"/>
  <c r="H75" i="195"/>
  <c r="H34" i="170"/>
  <c r="H43" i="170" s="1"/>
  <c r="H96" i="170" s="1"/>
  <c r="H145" i="218"/>
  <c r="H65" i="216"/>
  <c r="H74" i="216" s="1"/>
  <c r="H127" i="216" s="1"/>
  <c r="H136" i="216" s="1"/>
  <c r="H196" i="216" s="1"/>
  <c r="H48" i="244"/>
  <c r="H74" i="221"/>
  <c r="H83" i="221" s="1"/>
  <c r="H145" i="221" s="1"/>
  <c r="H78" i="197"/>
  <c r="H71" i="227"/>
  <c r="H78" i="225"/>
  <c r="H69" i="222"/>
  <c r="G26" i="347" s="1"/>
  <c r="G27" i="347" s="1"/>
  <c r="G11" i="264" s="1"/>
  <c r="H79" i="258"/>
  <c r="H72" i="189"/>
  <c r="H81" i="189" s="1"/>
  <c r="H149" i="189" s="1"/>
  <c r="B43" i="167"/>
  <c r="B32" i="167" l="1"/>
  <c r="B29" i="167"/>
  <c r="F28" i="167"/>
  <c r="B28" i="167"/>
  <c r="B27" i="167"/>
  <c r="H10" i="167"/>
  <c r="H11" i="167"/>
  <c r="H12" i="167"/>
  <c r="H13" i="167"/>
  <c r="H14" i="167"/>
  <c r="H15" i="167"/>
  <c r="H16" i="167"/>
  <c r="H19" i="167"/>
  <c r="H20" i="167"/>
  <c r="H38" i="167"/>
  <c r="H39" i="167"/>
  <c r="H40" i="167"/>
  <c r="H41" i="167"/>
  <c r="H42" i="167"/>
  <c r="H9" i="167"/>
  <c r="B40" i="166"/>
  <c r="B23" i="166"/>
  <c r="B20" i="166"/>
  <c r="F19" i="166"/>
  <c r="B19" i="166"/>
  <c r="B18" i="166"/>
  <c r="H4" i="166"/>
  <c r="H22" i="166" s="1"/>
  <c r="H10" i="236"/>
  <c r="H11" i="236"/>
  <c r="H12" i="236"/>
  <c r="H13" i="236"/>
  <c r="H14" i="236"/>
  <c r="H15" i="236"/>
  <c r="H16" i="236"/>
  <c r="H17" i="236"/>
  <c r="H18" i="236"/>
  <c r="H19" i="236"/>
  <c r="H20" i="236"/>
  <c r="H21" i="236"/>
  <c r="H22" i="236"/>
  <c r="H23" i="236"/>
  <c r="H24" i="236"/>
  <c r="H25" i="236"/>
  <c r="H26" i="236"/>
  <c r="H27" i="236"/>
  <c r="H28" i="236"/>
  <c r="H29" i="236"/>
  <c r="H30" i="236"/>
  <c r="H31" i="236"/>
  <c r="H32" i="236"/>
  <c r="H33" i="236"/>
  <c r="H34" i="236"/>
  <c r="H35" i="236"/>
  <c r="H36" i="236"/>
  <c r="H37" i="236"/>
  <c r="H38" i="236"/>
  <c r="H39" i="236"/>
  <c r="H40" i="236"/>
  <c r="H41" i="236"/>
  <c r="H42" i="236"/>
  <c r="H43" i="236"/>
  <c r="H44" i="236"/>
  <c r="H45" i="236"/>
  <c r="H46" i="236"/>
  <c r="H47" i="236"/>
  <c r="H48" i="236"/>
  <c r="H49" i="236"/>
  <c r="H50" i="236"/>
  <c r="H51" i="236"/>
  <c r="H52" i="236"/>
  <c r="H53" i="236"/>
  <c r="H54" i="236"/>
  <c r="H55" i="236"/>
  <c r="H56" i="236"/>
  <c r="H57" i="236"/>
  <c r="H58" i="236"/>
  <c r="H59" i="236"/>
  <c r="H60" i="236"/>
  <c r="H61" i="236"/>
  <c r="H62" i="236"/>
  <c r="H63" i="236"/>
  <c r="H64" i="236"/>
  <c r="H65" i="236"/>
  <c r="H66" i="236"/>
  <c r="H67" i="236"/>
  <c r="H68" i="236"/>
  <c r="H69" i="236"/>
  <c r="H70" i="236"/>
  <c r="H71" i="236"/>
  <c r="H72" i="236"/>
  <c r="H73" i="236"/>
  <c r="H74" i="236"/>
  <c r="H75" i="236"/>
  <c r="H76" i="236"/>
  <c r="H9" i="236"/>
  <c r="H10" i="166"/>
  <c r="H11" i="166"/>
  <c r="H12" i="166"/>
  <c r="H13" i="166"/>
  <c r="H14" i="166"/>
  <c r="H15" i="166"/>
  <c r="H16" i="166"/>
  <c r="H29" i="166"/>
  <c r="H30" i="166"/>
  <c r="H31" i="166"/>
  <c r="H32" i="166"/>
  <c r="H33" i="166"/>
  <c r="O33" i="166" s="1"/>
  <c r="H34" i="166"/>
  <c r="H35" i="166"/>
  <c r="H36" i="166"/>
  <c r="H37" i="166"/>
  <c r="O37" i="166" s="1"/>
  <c r="H38" i="166"/>
  <c r="H9" i="166"/>
  <c r="H4" i="236"/>
  <c r="B77" i="236"/>
  <c r="H4" i="213"/>
  <c r="H43" i="167" l="1"/>
  <c r="H40" i="166"/>
  <c r="O40" i="166" s="1"/>
  <c r="O14" i="166"/>
  <c r="H77" i="236"/>
  <c r="H27" i="167"/>
  <c r="H36" i="167" s="1"/>
  <c r="H18" i="166"/>
  <c r="H27" i="166" s="1"/>
  <c r="H64" i="213"/>
  <c r="H65" i="213" s="1"/>
  <c r="G14" i="254" s="1"/>
  <c r="E22" i="254"/>
  <c r="D22" i="254"/>
  <c r="E21" i="254"/>
  <c r="D21" i="254"/>
  <c r="E16" i="254"/>
  <c r="D16" i="254"/>
  <c r="C16" i="254"/>
  <c r="E15" i="254"/>
  <c r="D15" i="254"/>
  <c r="E13" i="254"/>
  <c r="D13" i="254"/>
  <c r="C13" i="254"/>
  <c r="E12" i="254"/>
  <c r="D12" i="254"/>
  <c r="C12" i="254"/>
  <c r="E11" i="254"/>
  <c r="D11" i="254"/>
  <c r="C11" i="254"/>
  <c r="E10" i="254"/>
  <c r="D10" i="254"/>
  <c r="C10" i="254"/>
  <c r="E9" i="254"/>
  <c r="D9" i="254"/>
  <c r="C9" i="254"/>
  <c r="B16" i="254"/>
  <c r="B13" i="254"/>
  <c r="B12" i="254"/>
  <c r="B11" i="254"/>
  <c r="B10" i="254"/>
  <c r="B9" i="254"/>
  <c r="B2" i="254"/>
  <c r="F1" i="254"/>
  <c r="B1" i="254"/>
  <c r="H33" i="212"/>
  <c r="B42" i="212"/>
  <c r="H10" i="212"/>
  <c r="H11" i="212"/>
  <c r="H12" i="212"/>
  <c r="H13" i="212"/>
  <c r="H14" i="212"/>
  <c r="H15" i="212"/>
  <c r="H16" i="212"/>
  <c r="H17" i="212"/>
  <c r="H18" i="212"/>
  <c r="H19" i="212"/>
  <c r="H20" i="212"/>
  <c r="H22" i="212"/>
  <c r="B28" i="212"/>
  <c r="B25" i="212"/>
  <c r="F24" i="212"/>
  <c r="B24" i="212"/>
  <c r="B23" i="212"/>
  <c r="G16" i="254" l="1"/>
  <c r="H4" i="212"/>
  <c r="B36" i="207"/>
  <c r="H10" i="207"/>
  <c r="H11" i="207"/>
  <c r="H9" i="207"/>
  <c r="B67" i="209"/>
  <c r="B50" i="209"/>
  <c r="B47" i="209"/>
  <c r="F46" i="209"/>
  <c r="B46" i="209"/>
  <c r="B45" i="209"/>
  <c r="H35" i="209"/>
  <c r="H10" i="209"/>
  <c r="H11" i="209"/>
  <c r="H4" i="209"/>
  <c r="H9" i="209"/>
  <c r="B60" i="208"/>
  <c r="H9" i="208"/>
  <c r="H47" i="240"/>
  <c r="H48" i="240"/>
  <c r="H49" i="240"/>
  <c r="H50" i="240"/>
  <c r="H51" i="240"/>
  <c r="H52" i="240"/>
  <c r="H53" i="240"/>
  <c r="H54" i="240"/>
  <c r="H55" i="240"/>
  <c r="H56" i="240"/>
  <c r="H57" i="240"/>
  <c r="H58" i="240"/>
  <c r="H59" i="240"/>
  <c r="H60" i="240"/>
  <c r="H61" i="240"/>
  <c r="H62" i="240"/>
  <c r="H63" i="240"/>
  <c r="H64" i="240"/>
  <c r="H65" i="240"/>
  <c r="H66" i="240"/>
  <c r="H67" i="240"/>
  <c r="H68" i="240"/>
  <c r="H69" i="240"/>
  <c r="H70" i="240"/>
  <c r="H71" i="240"/>
  <c r="H72" i="240"/>
  <c r="H73" i="240"/>
  <c r="H74" i="240"/>
  <c r="B75" i="240"/>
  <c r="H46" i="240"/>
  <c r="H4" i="240"/>
  <c r="B591" i="239"/>
  <c r="B528" i="239"/>
  <c r="B525" i="239"/>
  <c r="F524" i="239"/>
  <c r="B524" i="239"/>
  <c r="B523" i="239"/>
  <c r="B466" i="239"/>
  <c r="B463" i="239"/>
  <c r="F462" i="239"/>
  <c r="B462" i="239"/>
  <c r="B461" i="239"/>
  <c r="B400" i="239"/>
  <c r="B397" i="239"/>
  <c r="F396" i="239"/>
  <c r="B396" i="239"/>
  <c r="B395" i="239"/>
  <c r="B337" i="239"/>
  <c r="B334" i="239"/>
  <c r="F333" i="239"/>
  <c r="B333" i="239"/>
  <c r="B332" i="239"/>
  <c r="B272" i="239"/>
  <c r="B269" i="239"/>
  <c r="F268" i="239"/>
  <c r="B268" i="239"/>
  <c r="B267" i="239"/>
  <c r="B209" i="239"/>
  <c r="B206" i="239"/>
  <c r="F205" i="239"/>
  <c r="B205" i="239"/>
  <c r="B204" i="239"/>
  <c r="B143" i="239"/>
  <c r="B140" i="239"/>
  <c r="F139" i="239"/>
  <c r="B139" i="239"/>
  <c r="B138" i="239"/>
  <c r="H71" i="239"/>
  <c r="H72" i="239"/>
  <c r="H73" i="239"/>
  <c r="H74" i="239"/>
  <c r="B80" i="239"/>
  <c r="B77" i="239"/>
  <c r="F76" i="239"/>
  <c r="B76" i="239"/>
  <c r="B75" i="239"/>
  <c r="H548" i="239"/>
  <c r="H4" i="239"/>
  <c r="H79" i="239" s="1"/>
  <c r="B74" i="238"/>
  <c r="H4" i="238"/>
  <c r="B37" i="237"/>
  <c r="H10" i="237"/>
  <c r="H11" i="237"/>
  <c r="H14" i="237"/>
  <c r="H15" i="237"/>
  <c r="H27" i="237"/>
  <c r="H28" i="237"/>
  <c r="H29" i="237"/>
  <c r="H31" i="237"/>
  <c r="H36" i="237"/>
  <c r="H9" i="237"/>
  <c r="H4" i="237"/>
  <c r="F30" i="237" l="1"/>
  <c r="H30" i="237" s="1"/>
  <c r="H15" i="357"/>
  <c r="H37" i="237"/>
  <c r="G13" i="331" s="1"/>
  <c r="H45" i="209"/>
  <c r="H27" i="212"/>
  <c r="H49" i="209"/>
  <c r="H527" i="239"/>
  <c r="H465" i="239"/>
  <c r="H399" i="239"/>
  <c r="H336" i="239"/>
  <c r="H271" i="239"/>
  <c r="H208" i="239"/>
  <c r="H142" i="239"/>
  <c r="B5" i="161"/>
  <c r="B5" i="162"/>
  <c r="B5" i="163"/>
  <c r="B5" i="164"/>
  <c r="B5" i="237"/>
  <c r="B5" i="238"/>
  <c r="B5" i="239"/>
  <c r="B5" i="240"/>
  <c r="B5" i="208"/>
  <c r="B5" i="209"/>
  <c r="B5" i="207"/>
  <c r="B5" i="212"/>
  <c r="B5" i="213"/>
  <c r="B5" i="236"/>
  <c r="B5" i="166"/>
  <c r="B5" i="167"/>
  <c r="B5" i="168"/>
  <c r="B5" i="169"/>
  <c r="B5" i="170"/>
  <c r="B5" i="214"/>
  <c r="B5" i="215"/>
  <c r="B5" i="229"/>
  <c r="B5" i="230"/>
  <c r="B5" i="231"/>
  <c r="B5" i="232"/>
  <c r="B5" i="171"/>
  <c r="B5" i="172"/>
  <c r="B5" i="173"/>
  <c r="B5" i="174"/>
  <c r="B5" i="175"/>
  <c r="B5" i="177"/>
  <c r="B5" i="176"/>
  <c r="B5" i="178"/>
  <c r="B5" i="179"/>
  <c r="B5" i="241"/>
  <c r="B5" i="242"/>
  <c r="B5" i="243"/>
  <c r="B5" i="244"/>
  <c r="B5" i="245"/>
  <c r="B5" i="246"/>
  <c r="B5" i="249"/>
  <c r="B5" i="216"/>
  <c r="B5" i="217"/>
  <c r="B5" i="218"/>
  <c r="B5" i="219"/>
  <c r="B5" i="220"/>
  <c r="B5" i="221"/>
  <c r="B5" i="222"/>
  <c r="B5" i="223"/>
  <c r="B5" i="224"/>
  <c r="B5" i="225"/>
  <c r="B5" i="227"/>
  <c r="B5" i="193"/>
  <c r="B5" i="194"/>
  <c r="B5" i="195"/>
  <c r="B5" i="196"/>
  <c r="B5" i="197"/>
  <c r="B5" i="200"/>
  <c r="B5" i="201"/>
  <c r="B5" i="202"/>
  <c r="B5" i="203"/>
  <c r="B5" i="204"/>
  <c r="B5" i="205"/>
  <c r="B5" i="206"/>
  <c r="B5" i="181"/>
  <c r="B5" i="182"/>
  <c r="B5" i="183"/>
  <c r="B5" i="184"/>
  <c r="B5" i="185"/>
  <c r="B5" i="186"/>
  <c r="B5" i="187"/>
  <c r="B5" i="188"/>
  <c r="B5" i="189"/>
  <c r="B5" i="190"/>
  <c r="B5" i="191"/>
  <c r="B5" i="192"/>
  <c r="B5" i="165"/>
  <c r="H4" i="159"/>
  <c r="H4" i="161"/>
  <c r="H4" i="162"/>
  <c r="H4" i="163"/>
  <c r="H4" i="164"/>
  <c r="H4" i="208"/>
  <c r="H4" i="207"/>
  <c r="H4" i="167"/>
  <c r="H31" i="167" s="1"/>
  <c r="H4" i="168"/>
  <c r="H40" i="168" s="1"/>
  <c r="H4" i="169"/>
  <c r="H29" i="169" s="1"/>
  <c r="V29" i="169" s="1"/>
  <c r="H4" i="170"/>
  <c r="H4" i="214"/>
  <c r="H4" i="215"/>
  <c r="H4" i="171"/>
  <c r="H4" i="172"/>
  <c r="H4" i="173"/>
  <c r="H4" i="174"/>
  <c r="H4" i="175"/>
  <c r="H4" i="177"/>
  <c r="H4" i="176"/>
  <c r="H4" i="178"/>
  <c r="H4" i="179"/>
  <c r="H69" i="245"/>
  <c r="H4" i="246"/>
  <c r="H88" i="246" s="1"/>
  <c r="H4" i="216"/>
  <c r="H4" i="223"/>
  <c r="H4" i="193"/>
  <c r="H4" i="194"/>
  <c r="H4" i="195"/>
  <c r="H4" i="196"/>
  <c r="H4" i="197"/>
  <c r="H4" i="200"/>
  <c r="H79" i="200" s="1"/>
  <c r="H4" i="201"/>
  <c r="H4" i="202"/>
  <c r="H4" i="203"/>
  <c r="H4" i="204"/>
  <c r="H4" i="205"/>
  <c r="H4" i="206"/>
  <c r="H4" i="181"/>
  <c r="H4" i="182"/>
  <c r="H4" i="183"/>
  <c r="H4" i="184"/>
  <c r="H4" i="185"/>
  <c r="H4" i="186"/>
  <c r="H4" i="187"/>
  <c r="H4" i="188"/>
  <c r="H4" i="189"/>
  <c r="H76" i="189" s="1"/>
  <c r="H4" i="190"/>
  <c r="H4" i="191"/>
  <c r="H4" i="192"/>
  <c r="H4" i="165"/>
  <c r="B2" i="161"/>
  <c r="B2" i="162"/>
  <c r="B2" i="163"/>
  <c r="B2" i="164"/>
  <c r="B2" i="237"/>
  <c r="B2" i="238"/>
  <c r="B2" i="239"/>
  <c r="B2" i="240"/>
  <c r="B2" i="208"/>
  <c r="B2" i="209"/>
  <c r="B2" i="207"/>
  <c r="B2" i="212"/>
  <c r="B2" i="213"/>
  <c r="B2" i="236"/>
  <c r="B2" i="166"/>
  <c r="B2" i="167"/>
  <c r="B2" i="168"/>
  <c r="B2" i="169"/>
  <c r="B2" i="170"/>
  <c r="B2" i="214"/>
  <c r="B2" i="215"/>
  <c r="B2" i="229"/>
  <c r="B2" i="230"/>
  <c r="B2" i="231"/>
  <c r="B2" i="232"/>
  <c r="B2" i="171"/>
  <c r="B2" i="172"/>
  <c r="B2" i="173"/>
  <c r="B2" i="174"/>
  <c r="B2" i="175"/>
  <c r="B2" i="177"/>
  <c r="B2" i="176"/>
  <c r="B2" i="178"/>
  <c r="B2" i="179"/>
  <c r="B2" i="241"/>
  <c r="B2" i="242"/>
  <c r="B2" i="243"/>
  <c r="B2" i="244"/>
  <c r="B2" i="245"/>
  <c r="B2" i="246"/>
  <c r="B2" i="247"/>
  <c r="B2" i="248"/>
  <c r="B2" i="249"/>
  <c r="B2" i="216"/>
  <c r="B2" i="217"/>
  <c r="B2" i="218"/>
  <c r="B2" i="219"/>
  <c r="B2" i="220"/>
  <c r="B2" i="221"/>
  <c r="B2" i="222"/>
  <c r="B2" i="223"/>
  <c r="B2" i="224"/>
  <c r="B2" i="225"/>
  <c r="B2" i="227"/>
  <c r="B2" i="193"/>
  <c r="B2" i="194"/>
  <c r="B2" i="195"/>
  <c r="B2" i="196"/>
  <c r="B2" i="197"/>
  <c r="B2" i="200"/>
  <c r="B2" i="201"/>
  <c r="B2" i="202"/>
  <c r="B2" i="203"/>
  <c r="B2" i="204"/>
  <c r="B2" i="205"/>
  <c r="B2" i="206"/>
  <c r="B2" i="181"/>
  <c r="B2" i="182"/>
  <c r="B2" i="183"/>
  <c r="B2" i="184"/>
  <c r="B2" i="185"/>
  <c r="B2" i="186"/>
  <c r="B2" i="187"/>
  <c r="B2" i="188"/>
  <c r="B2" i="189"/>
  <c r="B2" i="190"/>
  <c r="B2" i="191"/>
  <c r="B2" i="192"/>
  <c r="B2" i="165"/>
  <c r="B1" i="159"/>
  <c r="B1" i="161"/>
  <c r="B1" i="162"/>
  <c r="B1" i="163"/>
  <c r="B1" i="164"/>
  <c r="B1" i="237"/>
  <c r="B1" i="238"/>
  <c r="B1" i="239"/>
  <c r="B1" i="240"/>
  <c r="B1" i="208"/>
  <c r="B1" i="209"/>
  <c r="B1" i="207"/>
  <c r="B1" i="212"/>
  <c r="B1" i="213"/>
  <c r="B1" i="236"/>
  <c r="B1" i="166"/>
  <c r="B1" i="167"/>
  <c r="B1" i="168"/>
  <c r="B1" i="169"/>
  <c r="B1" i="170"/>
  <c r="B1" i="214"/>
  <c r="B1" i="215"/>
  <c r="B1" i="229"/>
  <c r="B1" i="230"/>
  <c r="B1" i="231"/>
  <c r="B1" i="232"/>
  <c r="B1" i="171"/>
  <c r="B1" i="172"/>
  <c r="B1" i="173"/>
  <c r="B1" i="174"/>
  <c r="B1" i="175"/>
  <c r="B1" i="177"/>
  <c r="B1" i="176"/>
  <c r="B1" i="178"/>
  <c r="B1" i="179"/>
  <c r="B1" i="241"/>
  <c r="B1" i="242"/>
  <c r="B1" i="243"/>
  <c r="B1" i="244"/>
  <c r="B1" i="245"/>
  <c r="B1" i="246"/>
  <c r="B1" i="247"/>
  <c r="B1" i="248"/>
  <c r="B1" i="249"/>
  <c r="B1" i="216"/>
  <c r="B1" i="217"/>
  <c r="B1" i="218"/>
  <c r="B1" i="219"/>
  <c r="B1" i="220"/>
  <c r="B1" i="221"/>
  <c r="B1" i="222"/>
  <c r="B1" i="223"/>
  <c r="B1" i="224"/>
  <c r="B1" i="225"/>
  <c r="B1" i="227"/>
  <c r="B1" i="193"/>
  <c r="B1" i="194"/>
  <c r="B1" i="195"/>
  <c r="B1" i="196"/>
  <c r="B1" i="197"/>
  <c r="B1" i="200"/>
  <c r="B1" i="201"/>
  <c r="B1" i="202"/>
  <c r="B1" i="203"/>
  <c r="B1" i="204"/>
  <c r="B1" i="205"/>
  <c r="B1" i="206"/>
  <c r="B1" i="181"/>
  <c r="B1" i="182"/>
  <c r="B1" i="183"/>
  <c r="B1" i="184"/>
  <c r="B1" i="185"/>
  <c r="B1" i="186"/>
  <c r="B1" i="187"/>
  <c r="B1" i="188"/>
  <c r="B1" i="189"/>
  <c r="B1" i="190"/>
  <c r="B1" i="191"/>
  <c r="B1" i="192"/>
  <c r="B1" i="165"/>
  <c r="F1" i="161"/>
  <c r="F1" i="162"/>
  <c r="F1" i="163"/>
  <c r="F1" i="164"/>
  <c r="F1" i="237"/>
  <c r="F1" i="238"/>
  <c r="F1" i="239"/>
  <c r="F1" i="240"/>
  <c r="F1" i="208"/>
  <c r="F1" i="209"/>
  <c r="F1" i="207"/>
  <c r="F1" i="212"/>
  <c r="F1" i="213"/>
  <c r="F1" i="236"/>
  <c r="F1" i="166"/>
  <c r="F1" i="167"/>
  <c r="F1" i="168"/>
  <c r="F1" i="169"/>
  <c r="F1" i="170"/>
  <c r="F1" i="214"/>
  <c r="F1" i="215"/>
  <c r="F1" i="229"/>
  <c r="F1" i="230"/>
  <c r="F1" i="231"/>
  <c r="F1" i="232"/>
  <c r="F1" i="171"/>
  <c r="F1" i="172"/>
  <c r="F1" i="173"/>
  <c r="F1" i="174"/>
  <c r="F1" i="175"/>
  <c r="F1" i="177"/>
  <c r="F1" i="176"/>
  <c r="F1" i="178"/>
  <c r="F1" i="179"/>
  <c r="F1" i="241"/>
  <c r="F1" i="242"/>
  <c r="F1" i="243"/>
  <c r="F1" i="244"/>
  <c r="F1" i="245"/>
  <c r="F1" i="246"/>
  <c r="F1" i="247"/>
  <c r="F1" i="248"/>
  <c r="F1" i="249"/>
  <c r="F1" i="216"/>
  <c r="F1" i="217"/>
  <c r="F1" i="218"/>
  <c r="F1" i="219"/>
  <c r="F1" i="220"/>
  <c r="F1" i="221"/>
  <c r="F1" i="222"/>
  <c r="F1" i="223"/>
  <c r="F1" i="224"/>
  <c r="F1" i="225"/>
  <c r="F1" i="227"/>
  <c r="F1" i="193"/>
  <c r="F1" i="194"/>
  <c r="F1" i="195"/>
  <c r="F1" i="196"/>
  <c r="F1" i="197"/>
  <c r="F1" i="200"/>
  <c r="F1" i="201"/>
  <c r="F1" i="202"/>
  <c r="F1" i="203"/>
  <c r="F1" i="204"/>
  <c r="F1" i="205"/>
  <c r="F1" i="206"/>
  <c r="F1" i="181"/>
  <c r="F1" i="182"/>
  <c r="F1" i="183"/>
  <c r="F1" i="184"/>
  <c r="F1" i="185"/>
  <c r="F1" i="186"/>
  <c r="F1" i="187"/>
  <c r="F1" i="188"/>
  <c r="F1" i="189"/>
  <c r="F1" i="190"/>
  <c r="F1" i="191"/>
  <c r="F1" i="192"/>
  <c r="F1" i="165"/>
  <c r="B39" i="165"/>
  <c r="H10" i="165"/>
  <c r="H11" i="165"/>
  <c r="H12" i="165"/>
  <c r="H13" i="165"/>
  <c r="H14" i="165"/>
  <c r="H15" i="165"/>
  <c r="H16" i="165"/>
  <c r="H17" i="165"/>
  <c r="H18" i="165"/>
  <c r="H19" i="165"/>
  <c r="H20" i="165"/>
  <c r="H21" i="165"/>
  <c r="H22" i="165"/>
  <c r="H23" i="165"/>
  <c r="H24" i="165"/>
  <c r="H26" i="165"/>
  <c r="H27" i="165"/>
  <c r="H28" i="165"/>
  <c r="H29" i="165"/>
  <c r="H30" i="165"/>
  <c r="H31" i="165"/>
  <c r="H32" i="165"/>
  <c r="H33" i="165"/>
  <c r="H34" i="165"/>
  <c r="H9" i="165"/>
  <c r="H49" i="248"/>
  <c r="H9" i="247"/>
  <c r="H10" i="247"/>
  <c r="H12" i="247"/>
  <c r="H44" i="247"/>
  <c r="H45" i="247" s="1"/>
  <c r="G21" i="254" s="1"/>
  <c r="H9" i="246"/>
  <c r="H10" i="246"/>
  <c r="H11" i="246"/>
  <c r="H12" i="246"/>
  <c r="H13" i="246"/>
  <c r="H14" i="246"/>
  <c r="H15" i="246"/>
  <c r="H16" i="246"/>
  <c r="H17" i="246"/>
  <c r="H18" i="246"/>
  <c r="H30" i="246"/>
  <c r="H31" i="246"/>
  <c r="H32" i="246"/>
  <c r="H33" i="246"/>
  <c r="H34" i="246"/>
  <c r="H35" i="246"/>
  <c r="H36" i="246"/>
  <c r="H37" i="246"/>
  <c r="H38" i="246"/>
  <c r="H39" i="246"/>
  <c r="H40" i="246"/>
  <c r="H41" i="246"/>
  <c r="H42" i="246"/>
  <c r="H43" i="246"/>
  <c r="H44" i="246"/>
  <c r="H46" i="246"/>
  <c r="H60" i="246"/>
  <c r="H61" i="246"/>
  <c r="H63" i="246"/>
  <c r="H64" i="246"/>
  <c r="H65" i="246"/>
  <c r="H66" i="246"/>
  <c r="H67" i="246"/>
  <c r="H68" i="246"/>
  <c r="H69" i="246"/>
  <c r="H70" i="246"/>
  <c r="H71" i="246"/>
  <c r="H72" i="246"/>
  <c r="H73" i="246"/>
  <c r="H74" i="246"/>
  <c r="H75" i="246"/>
  <c r="H76" i="246"/>
  <c r="H77" i="246"/>
  <c r="H78" i="246"/>
  <c r="H79" i="246"/>
  <c r="H80" i="246"/>
  <c r="H81" i="246"/>
  <c r="H82" i="246"/>
  <c r="H83" i="246"/>
  <c r="H95" i="246"/>
  <c r="H96" i="246"/>
  <c r="H97" i="246"/>
  <c r="H98" i="246"/>
  <c r="H9" i="245"/>
  <c r="H12" i="245"/>
  <c r="H13" i="245"/>
  <c r="H14" i="245"/>
  <c r="H15" i="245"/>
  <c r="H16" i="245"/>
  <c r="H17" i="245"/>
  <c r="H18" i="245"/>
  <c r="H19" i="245"/>
  <c r="H20" i="245"/>
  <c r="H21" i="245"/>
  <c r="H22" i="245"/>
  <c r="H23" i="245"/>
  <c r="H24" i="245"/>
  <c r="H25" i="245"/>
  <c r="H26" i="245"/>
  <c r="H29" i="245"/>
  <c r="H30" i="245"/>
  <c r="H31" i="245"/>
  <c r="H32" i="245"/>
  <c r="H33" i="245"/>
  <c r="H34" i="245"/>
  <c r="H35" i="245"/>
  <c r="H36" i="245"/>
  <c r="H37" i="245"/>
  <c r="H38" i="245"/>
  <c r="H39" i="245"/>
  <c r="H40" i="245"/>
  <c r="H41" i="245"/>
  <c r="H42" i="245"/>
  <c r="H43" i="245"/>
  <c r="H44" i="245"/>
  <c r="H45" i="245"/>
  <c r="H46" i="245"/>
  <c r="H47" i="245"/>
  <c r="H48" i="245"/>
  <c r="H49" i="245"/>
  <c r="H50" i="245"/>
  <c r="H51" i="245"/>
  <c r="H52" i="245"/>
  <c r="H53" i="245"/>
  <c r="H54" i="245"/>
  <c r="H55" i="245"/>
  <c r="H56" i="245"/>
  <c r="H57" i="245"/>
  <c r="H59" i="245"/>
  <c r="H60" i="245"/>
  <c r="H64" i="245"/>
  <c r="H76" i="245"/>
  <c r="H77" i="245"/>
  <c r="H78" i="245"/>
  <c r="H79" i="245"/>
  <c r="H80" i="245"/>
  <c r="H83" i="245"/>
  <c r="H84" i="245"/>
  <c r="H86" i="245"/>
  <c r="H87" i="245"/>
  <c r="H88" i="245"/>
  <c r="H89" i="245"/>
  <c r="H90" i="245"/>
  <c r="H91" i="245"/>
  <c r="H92" i="245"/>
  <c r="H93" i="245"/>
  <c r="H94" i="245"/>
  <c r="H95" i="245"/>
  <c r="H96" i="245"/>
  <c r="H97" i="245"/>
  <c r="H98" i="245"/>
  <c r="H99" i="245"/>
  <c r="H100" i="245"/>
  <c r="H101" i="245"/>
  <c r="H102" i="245"/>
  <c r="H103" i="245"/>
  <c r="H104" i="245"/>
  <c r="H105" i="245"/>
  <c r="H106" i="245"/>
  <c r="H107" i="245"/>
  <c r="H108" i="245"/>
  <c r="H109" i="245"/>
  <c r="H110" i="245"/>
  <c r="H111" i="245"/>
  <c r="H112" i="245"/>
  <c r="H113" i="245"/>
  <c r="H114" i="245"/>
  <c r="H115" i="245"/>
  <c r="H116" i="245"/>
  <c r="H117" i="245"/>
  <c r="H118" i="245"/>
  <c r="H119" i="245"/>
  <c r="H120" i="245"/>
  <c r="H121" i="245"/>
  <c r="H122" i="245"/>
  <c r="H123" i="245"/>
  <c r="H124" i="245"/>
  <c r="H125" i="245"/>
  <c r="H126" i="245"/>
  <c r="H129" i="245"/>
  <c r="H130" i="245"/>
  <c r="H131" i="245"/>
  <c r="H132" i="245"/>
  <c r="H133" i="245"/>
  <c r="H134" i="245"/>
  <c r="H135" i="245"/>
  <c r="H136" i="245"/>
  <c r="H137" i="245"/>
  <c r="H138" i="245"/>
  <c r="H139" i="245"/>
  <c r="H140" i="245"/>
  <c r="H141" i="245"/>
  <c r="H142" i="245"/>
  <c r="H143" i="245"/>
  <c r="H16" i="244"/>
  <c r="H17" i="244"/>
  <c r="H19" i="244"/>
  <c r="H20" i="244"/>
  <c r="H21" i="244"/>
  <c r="H22" i="244"/>
  <c r="H23" i="244"/>
  <c r="H24" i="244"/>
  <c r="H36" i="244"/>
  <c r="H37" i="244"/>
  <c r="H38" i="244"/>
  <c r="H39" i="244"/>
  <c r="H40" i="244"/>
  <c r="H41" i="244"/>
  <c r="H42" i="244"/>
  <c r="H56" i="244"/>
  <c r="H57" i="244"/>
  <c r="H12" i="243"/>
  <c r="H13" i="243"/>
  <c r="H9" i="241"/>
  <c r="H10" i="241"/>
  <c r="H11" i="241"/>
  <c r="H12" i="241"/>
  <c r="H13" i="241"/>
  <c r="H14" i="241"/>
  <c r="H15" i="241"/>
  <c r="H39" i="165" l="1"/>
  <c r="G10" i="254" s="1"/>
  <c r="H22" i="241"/>
  <c r="H25" i="244"/>
  <c r="H34" i="244" s="1"/>
  <c r="H51" i="243"/>
  <c r="H38" i="170"/>
  <c r="H23" i="246"/>
  <c r="H53" i="246"/>
  <c r="H19" i="246"/>
  <c r="H28" i="246" s="1"/>
  <c r="H49" i="246" s="1"/>
  <c r="H68" i="193"/>
  <c r="H133" i="193"/>
  <c r="H69" i="216"/>
  <c r="H131" i="216"/>
  <c r="H65" i="245"/>
  <c r="H74" i="245" s="1"/>
  <c r="H144" i="245" s="1"/>
  <c r="H23" i="168"/>
  <c r="H75" i="196"/>
  <c r="H134" i="196"/>
  <c r="H48" i="249"/>
  <c r="H9" i="240"/>
  <c r="H10" i="240"/>
  <c r="H11" i="240"/>
  <c r="H12" i="240"/>
  <c r="H13" i="240"/>
  <c r="H14" i="240"/>
  <c r="H15" i="240"/>
  <c r="H16" i="240"/>
  <c r="H17" i="240"/>
  <c r="H18" i="240"/>
  <c r="H19" i="240"/>
  <c r="H20" i="240"/>
  <c r="H23" i="240"/>
  <c r="H24" i="240"/>
  <c r="H25" i="240"/>
  <c r="H26" i="240"/>
  <c r="H27" i="240"/>
  <c r="H28" i="240"/>
  <c r="H29" i="240"/>
  <c r="H30" i="240"/>
  <c r="H31" i="240"/>
  <c r="H32" i="240"/>
  <c r="H33" i="240"/>
  <c r="H34" i="240"/>
  <c r="H35" i="240"/>
  <c r="H36" i="240"/>
  <c r="H37" i="240"/>
  <c r="H38" i="240"/>
  <c r="H39" i="240"/>
  <c r="H40" i="240"/>
  <c r="H41" i="240"/>
  <c r="H42" i="240"/>
  <c r="H43" i="240"/>
  <c r="H44" i="240"/>
  <c r="H45" i="240"/>
  <c r="H9" i="239"/>
  <c r="H10" i="239"/>
  <c r="H11" i="239"/>
  <c r="H12" i="239"/>
  <c r="H13" i="239"/>
  <c r="H14" i="239"/>
  <c r="H15" i="239"/>
  <c r="H16" i="239"/>
  <c r="H17" i="239"/>
  <c r="H18" i="239"/>
  <c r="H19" i="239"/>
  <c r="H20" i="239"/>
  <c r="H21" i="239"/>
  <c r="H22" i="239"/>
  <c r="H23" i="239"/>
  <c r="H24" i="239"/>
  <c r="H27" i="239"/>
  <c r="H28" i="239"/>
  <c r="H29" i="239"/>
  <c r="H30" i="239"/>
  <c r="H31" i="239"/>
  <c r="H32" i="239"/>
  <c r="H33" i="239"/>
  <c r="H34" i="239"/>
  <c r="H35" i="239"/>
  <c r="H36" i="239"/>
  <c r="H37" i="239"/>
  <c r="H38" i="239"/>
  <c r="H39" i="239"/>
  <c r="H40" i="239"/>
  <c r="H41" i="239"/>
  <c r="H42" i="239"/>
  <c r="H43" i="239"/>
  <c r="H44" i="239"/>
  <c r="H45" i="239"/>
  <c r="H46" i="239"/>
  <c r="H47" i="239"/>
  <c r="H48" i="239"/>
  <c r="H49" i="239"/>
  <c r="H50" i="239"/>
  <c r="H51" i="239"/>
  <c r="H52" i="239"/>
  <c r="H53" i="239"/>
  <c r="H54" i="239"/>
  <c r="H55" i="239"/>
  <c r="H56" i="239"/>
  <c r="H57" i="239"/>
  <c r="H58" i="239"/>
  <c r="H59" i="239"/>
  <c r="H60" i="239"/>
  <c r="H61" i="239"/>
  <c r="H62" i="239"/>
  <c r="H63" i="239"/>
  <c r="H64" i="239"/>
  <c r="H65" i="239"/>
  <c r="H66" i="239"/>
  <c r="H68" i="239"/>
  <c r="H69" i="239"/>
  <c r="H70" i="239"/>
  <c r="H86" i="239"/>
  <c r="H87" i="239"/>
  <c r="H88" i="239"/>
  <c r="H89" i="239"/>
  <c r="H90" i="239"/>
  <c r="H91" i="239"/>
  <c r="H92" i="239"/>
  <c r="H93" i="239"/>
  <c r="H94" i="239"/>
  <c r="H95" i="239"/>
  <c r="H96" i="239"/>
  <c r="H97" i="239"/>
  <c r="H98" i="239"/>
  <c r="H99" i="239"/>
  <c r="H100" i="239"/>
  <c r="H101" i="239"/>
  <c r="H102" i="239"/>
  <c r="H103" i="239"/>
  <c r="H104" i="239"/>
  <c r="H105" i="239"/>
  <c r="H106" i="239"/>
  <c r="H107" i="239"/>
  <c r="H108" i="239"/>
  <c r="H109" i="239"/>
  <c r="H110" i="239"/>
  <c r="H111" i="239"/>
  <c r="H112" i="239"/>
  <c r="H113" i="239"/>
  <c r="H114" i="239"/>
  <c r="H115" i="239"/>
  <c r="H116" i="239"/>
  <c r="H117" i="239"/>
  <c r="H118" i="239"/>
  <c r="H119" i="239"/>
  <c r="H120" i="239"/>
  <c r="H121" i="239"/>
  <c r="H122" i="239"/>
  <c r="H125" i="239"/>
  <c r="H126" i="239"/>
  <c r="H127" i="239"/>
  <c r="H128" i="239"/>
  <c r="H129" i="239"/>
  <c r="H130" i="239"/>
  <c r="H131" i="239"/>
  <c r="H132" i="239"/>
  <c r="H133" i="239"/>
  <c r="H134" i="239"/>
  <c r="H149" i="239"/>
  <c r="H150" i="239"/>
  <c r="H151" i="239"/>
  <c r="H152" i="239"/>
  <c r="H153" i="239"/>
  <c r="H154" i="239"/>
  <c r="H155" i="239"/>
  <c r="H156" i="239"/>
  <c r="H157" i="239"/>
  <c r="H158" i="239"/>
  <c r="H159" i="239"/>
  <c r="H160" i="239"/>
  <c r="H161" i="239"/>
  <c r="H162" i="239"/>
  <c r="H163" i="239"/>
  <c r="H164" i="239"/>
  <c r="H165" i="239"/>
  <c r="H166" i="239"/>
  <c r="H167" i="239"/>
  <c r="H168" i="239"/>
  <c r="H169" i="239"/>
  <c r="H170" i="239"/>
  <c r="H171" i="239"/>
  <c r="H172" i="239"/>
  <c r="H173" i="239"/>
  <c r="H174" i="239"/>
  <c r="H175" i="239"/>
  <c r="H176" i="239"/>
  <c r="H177" i="239"/>
  <c r="H178" i="239"/>
  <c r="H179" i="239"/>
  <c r="H180" i="239"/>
  <c r="H181" i="239"/>
  <c r="H182" i="239"/>
  <c r="H183" i="239"/>
  <c r="H184" i="239"/>
  <c r="H185" i="239"/>
  <c r="H186" i="239"/>
  <c r="H187" i="239"/>
  <c r="H188" i="239"/>
  <c r="H189" i="239"/>
  <c r="H190" i="239"/>
  <c r="H191" i="239"/>
  <c r="H192" i="239"/>
  <c r="H193" i="239"/>
  <c r="H194" i="239"/>
  <c r="H195" i="239"/>
  <c r="H203" i="239"/>
  <c r="H215" i="239"/>
  <c r="H216" i="239"/>
  <c r="H217" i="239"/>
  <c r="H218" i="239"/>
  <c r="H219" i="239"/>
  <c r="H220" i="239"/>
  <c r="H221" i="239"/>
  <c r="H222" i="239"/>
  <c r="H223" i="239"/>
  <c r="H224" i="239"/>
  <c r="H225" i="239"/>
  <c r="H226" i="239"/>
  <c r="H227" i="239"/>
  <c r="H228" i="239"/>
  <c r="H229" i="239"/>
  <c r="H230" i="239"/>
  <c r="H231" i="239"/>
  <c r="H232" i="239"/>
  <c r="H233" i="239"/>
  <c r="H234" i="239"/>
  <c r="H235" i="239"/>
  <c r="H236" i="239"/>
  <c r="H237" i="239"/>
  <c r="H238" i="239"/>
  <c r="H239" i="239"/>
  <c r="H240" i="239"/>
  <c r="H241" i="239"/>
  <c r="H242" i="239"/>
  <c r="H243" i="239"/>
  <c r="H244" i="239"/>
  <c r="H245" i="239"/>
  <c r="H246" i="239"/>
  <c r="H247" i="239"/>
  <c r="H248" i="239"/>
  <c r="H249" i="239"/>
  <c r="H250" i="239"/>
  <c r="H251" i="239"/>
  <c r="H252" i="239"/>
  <c r="H253" i="239"/>
  <c r="H254" i="239"/>
  <c r="H255" i="239"/>
  <c r="H256" i="239"/>
  <c r="H257" i="239"/>
  <c r="H258" i="239"/>
  <c r="H259" i="239"/>
  <c r="H264" i="239"/>
  <c r="H278" i="239"/>
  <c r="H279" i="239"/>
  <c r="H280" i="239"/>
  <c r="H281" i="239"/>
  <c r="H282" i="239"/>
  <c r="H283" i="239"/>
  <c r="H284" i="239"/>
  <c r="H285" i="239"/>
  <c r="H286" i="239"/>
  <c r="H287" i="239"/>
  <c r="H288" i="239"/>
  <c r="H289" i="239"/>
  <c r="H290" i="239"/>
  <c r="H291" i="239"/>
  <c r="H292" i="239"/>
  <c r="H293" i="239"/>
  <c r="H294" i="239"/>
  <c r="H295" i="239"/>
  <c r="H296" i="239"/>
  <c r="H297" i="239"/>
  <c r="H298" i="239"/>
  <c r="H299" i="239"/>
  <c r="H300" i="239"/>
  <c r="H301" i="239"/>
  <c r="H302" i="239"/>
  <c r="H303" i="239"/>
  <c r="H304" i="239"/>
  <c r="H305" i="239"/>
  <c r="H306" i="239"/>
  <c r="H307" i="239"/>
  <c r="H308" i="239"/>
  <c r="H309" i="239"/>
  <c r="H310" i="239"/>
  <c r="H313" i="239"/>
  <c r="H314" i="239"/>
  <c r="H315" i="239"/>
  <c r="H316" i="239"/>
  <c r="H317" i="239"/>
  <c r="H318" i="239"/>
  <c r="H326" i="239"/>
  <c r="H343" i="239"/>
  <c r="H344" i="239"/>
  <c r="H345" i="239"/>
  <c r="H346" i="239"/>
  <c r="H347" i="239"/>
  <c r="H348" i="239"/>
  <c r="H349" i="239"/>
  <c r="H350" i="239"/>
  <c r="H351" i="239"/>
  <c r="H352" i="239"/>
  <c r="H353" i="239"/>
  <c r="H354" i="239"/>
  <c r="H355" i="239"/>
  <c r="H356" i="239"/>
  <c r="H357" i="239"/>
  <c r="H358" i="239"/>
  <c r="H359" i="239"/>
  <c r="H360" i="239"/>
  <c r="H361" i="239"/>
  <c r="H362" i="239"/>
  <c r="H363" i="239"/>
  <c r="H364" i="239"/>
  <c r="H365" i="239"/>
  <c r="H366" i="239"/>
  <c r="H367" i="239"/>
  <c r="H368" i="239"/>
  <c r="H369" i="239"/>
  <c r="H370" i="239"/>
  <c r="H371" i="239"/>
  <c r="H379" i="239"/>
  <c r="H380" i="239"/>
  <c r="H381" i="239"/>
  <c r="H383" i="239"/>
  <c r="H384" i="239"/>
  <c r="H385" i="239"/>
  <c r="H386" i="239"/>
  <c r="H387" i="239"/>
  <c r="H388" i="239"/>
  <c r="H389" i="239"/>
  <c r="H390" i="239"/>
  <c r="H391" i="239"/>
  <c r="H406" i="239"/>
  <c r="H407" i="239"/>
  <c r="H408" i="239"/>
  <c r="H409" i="239"/>
  <c r="H410" i="239"/>
  <c r="H411" i="239"/>
  <c r="H412" i="239"/>
  <c r="H413" i="239"/>
  <c r="H414" i="239"/>
  <c r="H415" i="239"/>
  <c r="H416" i="239"/>
  <c r="H417" i="239"/>
  <c r="H418" i="239"/>
  <c r="H419" i="239"/>
  <c r="H420" i="239"/>
  <c r="H421" i="239"/>
  <c r="H422" i="239"/>
  <c r="H423" i="239"/>
  <c r="H424" i="239"/>
  <c r="H425" i="239"/>
  <c r="H426" i="239"/>
  <c r="H427" i="239"/>
  <c r="H428" i="239"/>
  <c r="H429" i="239"/>
  <c r="H430" i="239"/>
  <c r="H431" i="239"/>
  <c r="H432" i="239"/>
  <c r="H433" i="239"/>
  <c r="H434" i="239"/>
  <c r="H435" i="239"/>
  <c r="H436" i="239"/>
  <c r="H437" i="239"/>
  <c r="H438" i="239"/>
  <c r="H439" i="239"/>
  <c r="H440" i="239"/>
  <c r="H441" i="239"/>
  <c r="H442" i="239"/>
  <c r="H443" i="239"/>
  <c r="H444" i="239"/>
  <c r="H446" i="239"/>
  <c r="H447" i="239"/>
  <c r="H448" i="239"/>
  <c r="H449" i="239"/>
  <c r="H450" i="239"/>
  <c r="H452" i="239"/>
  <c r="H454" i="239"/>
  <c r="H472" i="239"/>
  <c r="H473" i="239"/>
  <c r="H474" i="239"/>
  <c r="H476" i="239"/>
  <c r="H477" i="239"/>
  <c r="H478" i="239"/>
  <c r="H479" i="239"/>
  <c r="H480" i="239"/>
  <c r="H482" i="239"/>
  <c r="H483" i="239"/>
  <c r="H484" i="239"/>
  <c r="H485" i="239"/>
  <c r="H486" i="239"/>
  <c r="H487" i="239"/>
  <c r="H488" i="239"/>
  <c r="H489" i="239"/>
  <c r="H490" i="239"/>
  <c r="H491" i="239"/>
  <c r="H492" i="239"/>
  <c r="H493" i="239"/>
  <c r="H494" i="239"/>
  <c r="H495" i="239"/>
  <c r="H496" i="239"/>
  <c r="H497" i="239"/>
  <c r="H498" i="239"/>
  <c r="H506" i="239"/>
  <c r="H507" i="239"/>
  <c r="H508" i="239"/>
  <c r="H511" i="239"/>
  <c r="H512" i="239"/>
  <c r="H513" i="239"/>
  <c r="H514" i="239"/>
  <c r="H515" i="239"/>
  <c r="H516" i="239"/>
  <c r="H517" i="239"/>
  <c r="H518" i="239"/>
  <c r="H520" i="239"/>
  <c r="H521" i="239"/>
  <c r="H534" i="239"/>
  <c r="H535" i="239"/>
  <c r="H536" i="239"/>
  <c r="H537" i="239"/>
  <c r="H538" i="239"/>
  <c r="H539" i="239"/>
  <c r="H540" i="239"/>
  <c r="H541" i="239"/>
  <c r="H542" i="239"/>
  <c r="H543" i="239"/>
  <c r="H544" i="239"/>
  <c r="H545" i="239"/>
  <c r="H546" i="239"/>
  <c r="H547" i="239"/>
  <c r="H9" i="238"/>
  <c r="H10" i="238"/>
  <c r="H11" i="238"/>
  <c r="H73" i="238"/>
  <c r="H75" i="240" l="1"/>
  <c r="H44" i="244"/>
  <c r="H53" i="244" s="1"/>
  <c r="H60" i="244" s="1"/>
  <c r="H75" i="239"/>
  <c r="H84" i="239" s="1"/>
  <c r="H138" i="239" s="1"/>
  <c r="H147" i="239" s="1"/>
  <c r="H204" i="239" s="1"/>
  <c r="H213" i="239" s="1"/>
  <c r="H267" i="239" s="1"/>
  <c r="H276" i="239" s="1"/>
  <c r="H74" i="238"/>
  <c r="H30" i="357" s="1"/>
  <c r="G12" i="355" l="1"/>
  <c r="G23" i="355" s="1"/>
  <c r="G12" i="264" s="1"/>
  <c r="H58" i="246"/>
  <c r="H84" i="246" s="1"/>
  <c r="H332" i="239"/>
  <c r="H341" i="239" s="1"/>
  <c r="H93" i="246" l="1"/>
  <c r="H395" i="239"/>
  <c r="H404" i="239" s="1"/>
  <c r="H461" i="239" s="1"/>
  <c r="H104" i="246" l="1"/>
  <c r="H470" i="239"/>
  <c r="H12" i="232"/>
  <c r="H77" i="232" s="1"/>
  <c r="H9" i="231"/>
  <c r="H12" i="231"/>
  <c r="H13" i="231"/>
  <c r="H14" i="231"/>
  <c r="H15" i="231"/>
  <c r="H16" i="231"/>
  <c r="H17" i="231"/>
  <c r="H18" i="231"/>
  <c r="H19" i="231"/>
  <c r="H20" i="231"/>
  <c r="H21" i="231"/>
  <c r="H22" i="231"/>
  <c r="H23" i="231"/>
  <c r="H24" i="231"/>
  <c r="H25" i="231"/>
  <c r="H26" i="231"/>
  <c r="H27" i="231"/>
  <c r="H28" i="231"/>
  <c r="H29" i="231"/>
  <c r="H30" i="231"/>
  <c r="H31" i="231"/>
  <c r="H32" i="231"/>
  <c r="H33" i="231"/>
  <c r="H34" i="231"/>
  <c r="H35" i="231"/>
  <c r="H36" i="231"/>
  <c r="H37" i="231"/>
  <c r="H38" i="231"/>
  <c r="H39" i="231"/>
  <c r="H40" i="231"/>
  <c r="H41" i="231"/>
  <c r="H42" i="231"/>
  <c r="H43" i="231"/>
  <c r="H44" i="231"/>
  <c r="H45" i="231"/>
  <c r="H46" i="231"/>
  <c r="H47" i="231"/>
  <c r="H48" i="231"/>
  <c r="H49" i="231"/>
  <c r="H50" i="231"/>
  <c r="H51" i="231"/>
  <c r="H52" i="231"/>
  <c r="H53" i="231"/>
  <c r="H54" i="231"/>
  <c r="H55" i="231"/>
  <c r="H56" i="231"/>
  <c r="H57" i="231"/>
  <c r="H58" i="231"/>
  <c r="H65" i="231"/>
  <c r="H76" i="231"/>
  <c r="H77" i="231"/>
  <c r="H78" i="231"/>
  <c r="H79" i="231"/>
  <c r="H80" i="231"/>
  <c r="H81" i="231"/>
  <c r="H82" i="231"/>
  <c r="H83" i="231"/>
  <c r="H84" i="231"/>
  <c r="H85" i="231"/>
  <c r="H86" i="231"/>
  <c r="H87" i="231"/>
  <c r="H88" i="231"/>
  <c r="H89" i="231"/>
  <c r="H90" i="231"/>
  <c r="H91" i="231"/>
  <c r="H92" i="231"/>
  <c r="H93" i="231"/>
  <c r="H94" i="231"/>
  <c r="H95" i="231"/>
  <c r="H96" i="231"/>
  <c r="H97" i="231"/>
  <c r="H98" i="231"/>
  <c r="H99" i="231"/>
  <c r="H100" i="231"/>
  <c r="H101" i="231"/>
  <c r="H102" i="231"/>
  <c r="H103" i="231"/>
  <c r="H14" i="230"/>
  <c r="H15" i="230"/>
  <c r="H16" i="230"/>
  <c r="H17" i="230"/>
  <c r="H18" i="230"/>
  <c r="H19" i="230"/>
  <c r="H20" i="230"/>
  <c r="H21" i="230"/>
  <c r="H22" i="230"/>
  <c r="H23" i="230"/>
  <c r="H24" i="230"/>
  <c r="H25" i="230"/>
  <c r="H26" i="230"/>
  <c r="H27" i="230"/>
  <c r="H28" i="230"/>
  <c r="H29" i="230"/>
  <c r="H30" i="230"/>
  <c r="H31" i="230"/>
  <c r="H32" i="230"/>
  <c r="H33" i="230"/>
  <c r="H34" i="230"/>
  <c r="H35" i="230"/>
  <c r="H36" i="230"/>
  <c r="H37" i="230"/>
  <c r="H38" i="230"/>
  <c r="H39" i="230"/>
  <c r="H40" i="230"/>
  <c r="H41" i="230"/>
  <c r="H42" i="230"/>
  <c r="H43" i="230"/>
  <c r="H44" i="230"/>
  <c r="H45" i="230"/>
  <c r="H46" i="230"/>
  <c r="H47" i="230"/>
  <c r="H48" i="230"/>
  <c r="H49" i="230"/>
  <c r="H50" i="230"/>
  <c r="H51" i="230"/>
  <c r="H52" i="230"/>
  <c r="H53" i="230"/>
  <c r="H54" i="230"/>
  <c r="H62" i="230"/>
  <c r="H74" i="230"/>
  <c r="H75" i="230"/>
  <c r="H76" i="230"/>
  <c r="H77" i="230"/>
  <c r="H78" i="230"/>
  <c r="H79" i="230"/>
  <c r="H80" i="230"/>
  <c r="H81" i="230"/>
  <c r="H82" i="230"/>
  <c r="H83" i="230"/>
  <c r="H84" i="230"/>
  <c r="H85" i="230"/>
  <c r="H86" i="230"/>
  <c r="H87" i="230"/>
  <c r="H88" i="230"/>
  <c r="H89" i="230"/>
  <c r="H90" i="230"/>
  <c r="G27" i="229"/>
  <c r="H66" i="231" l="1"/>
  <c r="H75" i="231" s="1"/>
  <c r="H131" i="231" s="1"/>
  <c r="H63" i="230"/>
  <c r="H72" i="230" s="1"/>
  <c r="H127" i="230" s="1"/>
  <c r="H523" i="239"/>
  <c r="H532" i="239" s="1"/>
  <c r="H591" i="239" s="1"/>
  <c r="H10" i="164" l="1"/>
  <c r="H11" i="164"/>
  <c r="H12" i="164"/>
  <c r="H13" i="164"/>
  <c r="H14" i="164"/>
  <c r="H15" i="164"/>
  <c r="H16" i="164"/>
  <c r="H17" i="164"/>
  <c r="H22" i="164"/>
  <c r="H23" i="164"/>
  <c r="H9" i="164"/>
  <c r="B24" i="164"/>
  <c r="B96" i="163"/>
  <c r="B93" i="163"/>
  <c r="F92" i="163"/>
  <c r="B92" i="163"/>
  <c r="B91" i="163"/>
  <c r="B47" i="163"/>
  <c r="B44" i="163"/>
  <c r="F43" i="163"/>
  <c r="B43" i="163"/>
  <c r="B42" i="163"/>
  <c r="H10" i="163"/>
  <c r="H41" i="163"/>
  <c r="H54" i="163"/>
  <c r="H101" i="163"/>
  <c r="H102" i="163"/>
  <c r="H95" i="162"/>
  <c r="H80" i="162"/>
  <c r="B84" i="162"/>
  <c r="B24" i="162"/>
  <c r="B90" i="162"/>
  <c r="H89" i="162"/>
  <c r="B87" i="162"/>
  <c r="F86" i="162"/>
  <c r="B86" i="162"/>
  <c r="B30" i="162"/>
  <c r="B27" i="162"/>
  <c r="F26" i="162"/>
  <c r="B26" i="162"/>
  <c r="H29" i="162"/>
  <c r="H46" i="163"/>
  <c r="H24" i="164" l="1"/>
  <c r="G9" i="254" s="1"/>
  <c r="H9" i="224"/>
  <c r="H52" i="224" s="1"/>
  <c r="H67" i="223"/>
  <c r="H9" i="218"/>
  <c r="H76" i="218" s="1"/>
  <c r="H85" i="218" l="1"/>
  <c r="H141" i="218" s="1"/>
  <c r="H150" i="218" l="1"/>
  <c r="H215" i="218" s="1"/>
  <c r="H9" i="179"/>
  <c r="H61" i="179" s="1"/>
  <c r="H9" i="177"/>
  <c r="H79" i="177" s="1"/>
  <c r="H9" i="174"/>
  <c r="H10" i="174"/>
  <c r="H11" i="174"/>
  <c r="H12" i="174"/>
  <c r="H13" i="174"/>
  <c r="H15" i="174"/>
  <c r="H16" i="174"/>
  <c r="H17" i="174"/>
  <c r="H18" i="174"/>
  <c r="H20" i="174"/>
  <c r="H22" i="174"/>
  <c r="H24" i="174"/>
  <c r="H26" i="174"/>
  <c r="H27" i="174"/>
  <c r="H9" i="173"/>
  <c r="H73" i="173" s="1"/>
  <c r="H9" i="215"/>
  <c r="H10" i="215"/>
  <c r="H11" i="215"/>
  <c r="H12" i="215"/>
  <c r="H13" i="215"/>
  <c r="H14" i="215"/>
  <c r="H15" i="215"/>
  <c r="H16" i="215"/>
  <c r="H17" i="215"/>
  <c r="H18" i="215"/>
  <c r="H19" i="215"/>
  <c r="H20" i="215"/>
  <c r="H21" i="215"/>
  <c r="H22" i="215"/>
  <c r="H23" i="215"/>
  <c r="H24" i="215"/>
  <c r="H25" i="215"/>
  <c r="H26" i="215"/>
  <c r="H27" i="215"/>
  <c r="H28" i="215"/>
  <c r="H61" i="215"/>
  <c r="H62" i="215"/>
  <c r="H63" i="215"/>
  <c r="H64" i="215"/>
  <c r="H65" i="215"/>
  <c r="H66" i="215"/>
  <c r="H67" i="215"/>
  <c r="H68" i="215"/>
  <c r="H69" i="215"/>
  <c r="H70" i="215"/>
  <c r="H71" i="215"/>
  <c r="H72" i="215"/>
  <c r="H73" i="215"/>
  <c r="H74" i="215"/>
  <c r="H75" i="215"/>
  <c r="H9" i="214"/>
  <c r="H76" i="215" l="1"/>
  <c r="H9" i="212"/>
  <c r="H23" i="212" l="1"/>
  <c r="H32" i="212" s="1"/>
  <c r="H42" i="212" s="1"/>
  <c r="G13" i="254" s="1"/>
  <c r="H10" i="159" l="1"/>
  <c r="H12" i="159"/>
  <c r="H9" i="162"/>
  <c r="H24" i="162" s="1"/>
  <c r="H34" i="162" s="1"/>
  <c r="H9" i="159"/>
  <c r="H90" i="159" s="1"/>
  <c r="B90" i="159"/>
  <c r="G9" i="331" l="1"/>
  <c r="H10" i="206" l="1"/>
  <c r="H11" i="206"/>
  <c r="H12" i="206"/>
  <c r="H13" i="206"/>
  <c r="H14" i="206"/>
  <c r="H9" i="206"/>
  <c r="H9" i="205"/>
  <c r="H77" i="205" s="1"/>
  <c r="H9" i="204"/>
  <c r="H78" i="204" s="1"/>
  <c r="H9" i="203"/>
  <c r="H76" i="203" s="1"/>
  <c r="H9" i="202"/>
  <c r="H79" i="202" s="1"/>
  <c r="H9" i="201"/>
  <c r="H70" i="201" s="1"/>
  <c r="H9" i="200"/>
  <c r="H75" i="200" s="1"/>
  <c r="H84" i="200" s="1"/>
  <c r="H150" i="200" s="1"/>
  <c r="H9" i="197"/>
  <c r="H9" i="196"/>
  <c r="H71" i="196" s="1"/>
  <c r="H80" i="196" s="1"/>
  <c r="H130" i="196" s="1"/>
  <c r="H139" i="196" s="1"/>
  <c r="H200" i="196" s="1"/>
  <c r="H9" i="194"/>
  <c r="H60" i="194" s="1"/>
  <c r="H9" i="193"/>
  <c r="H64" i="193" s="1"/>
  <c r="H73" i="193" s="1"/>
  <c r="H129" i="193" s="1"/>
  <c r="H138" i="193" s="1"/>
  <c r="H198" i="193" s="1"/>
  <c r="H14" i="191"/>
  <c r="H13" i="191"/>
  <c r="H12" i="191"/>
  <c r="H11" i="191"/>
  <c r="H10" i="191"/>
  <c r="H9" i="191"/>
  <c r="H9" i="190"/>
  <c r="H76" i="190" s="1"/>
  <c r="H9" i="188"/>
  <c r="H74" i="188" s="1"/>
  <c r="H9" i="187"/>
  <c r="H75" i="187" s="1"/>
  <c r="H9" i="186"/>
  <c r="H75" i="186" s="1"/>
  <c r="H9" i="185"/>
  <c r="H71" i="185" s="1"/>
  <c r="H9" i="184"/>
  <c r="H74" i="184" s="1"/>
  <c r="H9" i="183"/>
  <c r="H71" i="183" s="1"/>
  <c r="H9" i="182"/>
  <c r="H71" i="182" s="1"/>
  <c r="H9" i="181"/>
  <c r="H62" i="181" s="1"/>
  <c r="H9" i="178"/>
  <c r="H70" i="178" s="1"/>
  <c r="G19" i="254" s="1"/>
  <c r="H9" i="176"/>
  <c r="H77" i="176" s="1"/>
  <c r="H9" i="175"/>
  <c r="H79" i="175" s="1"/>
  <c r="G18" i="254" s="1"/>
  <c r="H14" i="174"/>
  <c r="H73" i="174" s="1"/>
  <c r="H9" i="172"/>
  <c r="H73" i="172" s="1"/>
  <c r="H9" i="171"/>
  <c r="H63" i="171" s="1"/>
  <c r="H9" i="169"/>
  <c r="H25" i="169" s="1"/>
  <c r="V25" i="169" s="1"/>
  <c r="H9" i="168"/>
  <c r="B149" i="163"/>
  <c r="H9" i="163"/>
  <c r="B126" i="162"/>
  <c r="H84" i="162"/>
  <c r="H94" i="162" s="1"/>
  <c r="B62" i="161"/>
  <c r="H34" i="161"/>
  <c r="H33" i="161"/>
  <c r="H19" i="161"/>
  <c r="L14" i="161"/>
  <c r="H13" i="161"/>
  <c r="H12" i="161"/>
  <c r="H11" i="161"/>
  <c r="H10" i="161"/>
  <c r="H9" i="161"/>
  <c r="H34" i="169" l="1"/>
  <c r="V34" i="169" s="1"/>
  <c r="H77" i="191"/>
  <c r="H79" i="206"/>
  <c r="H126" i="162"/>
  <c r="H54" i="209"/>
  <c r="H67" i="209" s="1"/>
  <c r="H42" i="163"/>
  <c r="H51" i="163" s="1"/>
  <c r="H62" i="161"/>
  <c r="G10" i="331" s="1"/>
  <c r="G12" i="254" l="1"/>
  <c r="G23" i="254" s="1"/>
  <c r="H18" i="357"/>
  <c r="H34" i="357" s="1"/>
  <c r="G11" i="331"/>
  <c r="J128" i="162"/>
  <c r="H19" i="168"/>
  <c r="H91" i="163"/>
  <c r="H100" i="163" s="1"/>
  <c r="H149" i="163" s="1"/>
  <c r="G12" i="331" s="1"/>
  <c r="G15" i="331" l="1"/>
  <c r="G9" i="264" s="1"/>
  <c r="H28" i="168"/>
  <c r="H36" i="168" l="1"/>
  <c r="G10" i="264" l="1"/>
  <c r="G13" i="264" s="1"/>
  <c r="F13" i="388" s="1"/>
  <c r="F16" i="388" s="1"/>
  <c r="F17" i="388" s="1"/>
  <c r="F18" i="388" s="1"/>
  <c r="F19" i="388" s="1"/>
  <c r="F20" i="388" s="1"/>
  <c r="F21" i="388" s="1"/>
  <c r="F22" i="388" s="1"/>
  <c r="F23" i="388" s="1"/>
  <c r="F24" i="388" s="1"/>
  <c r="H45" i="168"/>
  <c r="H35" i="357" l="1"/>
  <c r="L15" i="161"/>
  <c r="L18" i="1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tc={F8AB2865-CD7A-42C1-B839-BDFB91B93227}</author>
  </authors>
  <commentList>
    <comment ref="G34" authorId="0" shapeId="0" xr:uid="{F8AB2865-CD7A-42C1-B839-BDFB91B93227}">
      <text>
        <t>[Threaded comment]
Your version of Excel allows you to read this threaded comment; however, any edits to it will get removed if the file is opened in a newer version of Excel. Learn more: https://go.microsoft.com/fwlink/?linkid=870924
Comment:
    confirm drawing details</t>
      </text>
    </comment>
  </commentList>
</comments>
</file>

<file path=xl/sharedStrings.xml><?xml version="1.0" encoding="utf-8"?>
<sst xmlns="http://schemas.openxmlformats.org/spreadsheetml/2006/main" count="8995" uniqueCount="3913">
  <si>
    <t>Client Line 1:</t>
  </si>
  <si>
    <t>AIRPORTS COMPANY - SOUTH AFRICA</t>
  </si>
  <si>
    <t>Client Line 2:</t>
  </si>
  <si>
    <t>ACSA</t>
  </si>
  <si>
    <t>Contract No</t>
  </si>
  <si>
    <t>KSIA7806/2025/RFP</t>
  </si>
  <si>
    <t>Contract Description</t>
  </si>
  <si>
    <t>PROCUREMENT OF A CIDB GRADE 9 CE CONTRACTOR THE COMPLETION OF BRAVO TAXIWAY EXTENSION AT KING SHAKA INTERNATIONAL AIRPORT FOR A PERIOD OF 12 MONTHS AT KING SHAKA INTERNATIONAL AIRPORT</t>
  </si>
  <si>
    <t>Prepared by</t>
  </si>
  <si>
    <t>C2.2.1 PART  A: TENDER NO. KSIA7806/2025/RFP – CIVIL ENGINEERING</t>
  </si>
  <si>
    <t xml:space="preserve">SCHEDULE A: PRELIMINARY AND GENERAL  </t>
  </si>
  <si>
    <t>ITEM NO</t>
  </si>
  <si>
    <t>DESCRIPTION</t>
  </si>
  <si>
    <t>UNIT</t>
  </si>
  <si>
    <t>LI</t>
  </si>
  <si>
    <t>QUANTITY</t>
  </si>
  <si>
    <t>RATE</t>
  </si>
  <si>
    <t>AMOUNT</t>
  </si>
  <si>
    <t>C1.2</t>
  </si>
  <si>
    <t>GENERAL REQUIREMENTS AND PAYMENT</t>
  </si>
  <si>
    <t>NOTE TO THE CONTRACTOR: THE FOLLOW CHAPTER SHALL BE APPLICABLE TO ALL SCOPE OR WORKS - CIVIL, ELECTRICAL AND MECHANICAL</t>
  </si>
  <si>
    <t>PSC1.2.1</t>
  </si>
  <si>
    <t>Environmental Management</t>
  </si>
  <si>
    <t>PSC1.2.1.1</t>
  </si>
  <si>
    <t>Monitoring of compliance with and reporting on the EMP</t>
  </si>
  <si>
    <t>month</t>
  </si>
  <si>
    <t>PSC1.2.1.2</t>
  </si>
  <si>
    <t xml:space="preserve">Dedicated environmental officer </t>
  </si>
  <si>
    <t>Month</t>
  </si>
  <si>
    <t>PSC1.2.2</t>
  </si>
  <si>
    <t>Programming and Reporting</t>
  </si>
  <si>
    <t>PSC1.2.2.3</t>
  </si>
  <si>
    <t>Submission of a Scheme 2 Initial Programme</t>
  </si>
  <si>
    <t>Lump Sum</t>
  </si>
  <si>
    <t>PSC1.2.2.4</t>
  </si>
  <si>
    <t>Submission of a Scheme 2 Full Programme</t>
  </si>
  <si>
    <t>PSC1.2.2.5</t>
  </si>
  <si>
    <t>Reviewing and updating a Scheme 2 Programme every month</t>
  </si>
  <si>
    <t>PSC1.2.2.6</t>
  </si>
  <si>
    <t>Preparation and submission of all information and reports specified in the Contract Documentation</t>
  </si>
  <si>
    <t>PSC1.2.5</t>
  </si>
  <si>
    <t>Safety</t>
  </si>
  <si>
    <t>PSC1.2.5.1</t>
  </si>
  <si>
    <t>Health and safety plan</t>
  </si>
  <si>
    <t>PSC1.2.5.2</t>
  </si>
  <si>
    <t>Implementation of health and safety plan</t>
  </si>
  <si>
    <t>PSC1.2.5.3</t>
  </si>
  <si>
    <t xml:space="preserve">Provision of full time Construction Safety Officer               </t>
  </si>
  <si>
    <t>PSC 1.2.10</t>
  </si>
  <si>
    <t>Community Participation</t>
  </si>
  <si>
    <t>PSC 1.2.10 (a)</t>
  </si>
  <si>
    <t>Cost for community Participation (PLC and CLO)</t>
  </si>
  <si>
    <t>Prov Sum</t>
  </si>
  <si>
    <t>PSC 1.2.10 (b)</t>
  </si>
  <si>
    <t>Handling costs and profit in respect of sub-item PSC 1.2.10 (a) above (Capped at 7.5%)</t>
  </si>
  <si>
    <t>%</t>
  </si>
  <si>
    <t>PSC 1.2.11 (a)</t>
  </si>
  <si>
    <t>Provision for Aviation Specialist</t>
  </si>
  <si>
    <t xml:space="preserve">PC Sum </t>
  </si>
  <si>
    <t>PSC 1.2.11 (b)</t>
  </si>
  <si>
    <t>Handling costs and profit in respect of sub-item PSC 1.2.11 (a) above (Capped at 7.5%)</t>
  </si>
  <si>
    <t>PSC 1.2.12 (a)</t>
  </si>
  <si>
    <t xml:space="preserve">Provision for Rehabilitation of sensitive areas </t>
  </si>
  <si>
    <t>PSC 1.2.12 (b)</t>
  </si>
  <si>
    <t>Handling costs and profit in respect of sub-item PSC 1.2.12 (a) above (Capped at 7.5%)</t>
  </si>
  <si>
    <t>PSC1.2.13</t>
  </si>
  <si>
    <t xml:space="preserve">Airside induction courses and permits - To include all permits (Personal, Vehicle and Plant), inductions, Airside Training, Parking Cards and required works permits. </t>
  </si>
  <si>
    <t xml:space="preserve">Lump Sum </t>
  </si>
  <si>
    <t>PSC1.2.14</t>
  </si>
  <si>
    <t>Control of Dust and FOD pollution on the runways, taxiways, taxilanes, services roads, aprons, haul and site access road and campsites/site office</t>
  </si>
  <si>
    <t xml:space="preserve">PSC1.2.15 </t>
  </si>
  <si>
    <t xml:space="preserve">Security requirements at the Contractors Gate and Camp site </t>
  </si>
  <si>
    <t xml:space="preserve">Month </t>
  </si>
  <si>
    <t>PSC 1.2.16</t>
  </si>
  <si>
    <t xml:space="preserve">As-built Survey </t>
  </si>
  <si>
    <t>PSC1.2.17</t>
  </si>
  <si>
    <t xml:space="preserve">Material As-Builts </t>
  </si>
  <si>
    <t>PSC1.2.18</t>
  </si>
  <si>
    <t xml:space="preserve">Management and Implementation of CPG Requirements </t>
  </si>
  <si>
    <t>PSC1.2.19</t>
  </si>
  <si>
    <t>Management and Implementation of CIDB B.U.I.L.D program</t>
  </si>
  <si>
    <t>PSC1.2.20</t>
  </si>
  <si>
    <t>Penalty to be deducted for non-compliances with requirements for accommodation of traffic as per COTO Section 1.5,  ACSA Specific Regulations and Volume 5  Manual of Procedures for Working Airside</t>
  </si>
  <si>
    <t>(a)</t>
  </si>
  <si>
    <t xml:space="preserve">Fixed penalty per occurrence </t>
  </si>
  <si>
    <t>No</t>
  </si>
  <si>
    <t>(b)</t>
  </si>
  <si>
    <t xml:space="preserve">Time related penalty </t>
  </si>
  <si>
    <t>hour</t>
  </si>
  <si>
    <t>PSC1.2.21</t>
  </si>
  <si>
    <t xml:space="preserve">Penalty to be deducted for non-compliances with Environmental Specification, ACSA Specific Regulations and Volume 5  Manual of Procedures for Working Airside per Occurrence </t>
  </si>
  <si>
    <t>PSC1.2.22</t>
  </si>
  <si>
    <t xml:space="preserve">Penalty to be deducted for non-compliances with OHS-Act, Construction Regulations, ACSA Specific Regulations and Volume 5  Manual of Procedures for Working Airside per Occurrence </t>
  </si>
  <si>
    <t>PSC1.2.23</t>
  </si>
  <si>
    <t>Penalty to be deducted for non-compliances with Volume 5 Manual Of Procedures For Working Airside per Occurrence</t>
  </si>
  <si>
    <t>PSC 1.2.24 (a)</t>
  </si>
  <si>
    <t>Provision for Independent Health and Safety (OHS) and Environmental Management (ENV)</t>
  </si>
  <si>
    <t>PSC 1.2.24 (b)</t>
  </si>
  <si>
    <t>Handling costs and profit in respect of sub-item PSC 1.2.24 (a) above (Capped at 7.5%)</t>
  </si>
  <si>
    <t>TOTAL CARRIED FORWARD</t>
  </si>
  <si>
    <t>NCE - COMMENTS</t>
  </si>
  <si>
    <t>C1.3</t>
  </si>
  <si>
    <t>CONTRACTOR'S SITE ESTABLISHMENT AND GENERAL OBLIGATIONS</t>
  </si>
  <si>
    <t>C1.3.1</t>
  </si>
  <si>
    <t>The Contractor's general obligations</t>
  </si>
  <si>
    <t>C1.3.1.1</t>
  </si>
  <si>
    <t>Fixed obligations</t>
  </si>
  <si>
    <t>PSC1.3.1.3 (a)</t>
  </si>
  <si>
    <t xml:space="preserve">Time-related obligations - Normal Working Hours - Sunrise to Sunset </t>
  </si>
  <si>
    <t>PSC1.3.1.3 (b)</t>
  </si>
  <si>
    <t>Time-related obligations - Night Works - After Hours - 22h00 to 04h00</t>
  </si>
  <si>
    <t>NOTE TO THE CONTRACTOR: THE FOLLOW PAY ITEM BELOW PSC1.3.1.4 SHALL BE APPLICABLE TO ALL SCOPE OR WORKS - CIVIL, ELECTRICAL AND MECHANICAL</t>
  </si>
  <si>
    <t>PSC1.3.1.4</t>
  </si>
  <si>
    <t>Suspension Cost</t>
  </si>
  <si>
    <t xml:space="preserve">New Item Added </t>
  </si>
  <si>
    <t>(a) De-establishment</t>
  </si>
  <si>
    <t>(b) Re-establishment</t>
  </si>
  <si>
    <t>(c)</t>
  </si>
  <si>
    <t>(c) Suspension period</t>
  </si>
  <si>
    <t>(d)</t>
  </si>
  <si>
    <t>(d) Engineer's cost</t>
  </si>
  <si>
    <t>PC Sum</t>
  </si>
  <si>
    <t>C1.3.2</t>
  </si>
  <si>
    <t>Contract sign boards</t>
  </si>
  <si>
    <r>
      <t>m</t>
    </r>
    <r>
      <rPr>
        <vertAlign val="superscript"/>
        <sz val="10"/>
        <rFont val="Arial"/>
        <family val="2"/>
      </rPr>
      <t>2</t>
    </r>
  </si>
  <si>
    <t>TOTAL CARRIED FORWARD TO SUMMARY</t>
  </si>
  <si>
    <t>C1.4</t>
  </si>
  <si>
    <t>FACILITIES FOR THE ENGINEER</t>
  </si>
  <si>
    <t/>
  </si>
  <si>
    <t>C1.4.1</t>
  </si>
  <si>
    <t>Site accommodation</t>
  </si>
  <si>
    <t>C1.4.1.1</t>
  </si>
  <si>
    <t>Offices and conference room</t>
  </si>
  <si>
    <t xml:space="preserve">4 Offices and 1 Boardroom </t>
  </si>
  <si>
    <t>C1.4.1.6</t>
  </si>
  <si>
    <t>Car ports</t>
  </si>
  <si>
    <t>C1.4.1.7</t>
  </si>
  <si>
    <t>Ablution unit</t>
  </si>
  <si>
    <t>C4.4.1.9</t>
  </si>
  <si>
    <t xml:space="preserve">Kitchen unit </t>
  </si>
  <si>
    <t>TOTAL BROUGHT FORWARD</t>
  </si>
  <si>
    <t>C1.4.2</t>
  </si>
  <si>
    <t>Items measured by area</t>
  </si>
  <si>
    <t>C1.4.2.1</t>
  </si>
  <si>
    <t>Shelving as specified, complete with brackets</t>
  </si>
  <si>
    <t>m²</t>
  </si>
  <si>
    <t>C1.4.2.8</t>
  </si>
  <si>
    <t>Notice boards</t>
  </si>
  <si>
    <t>C1.4.3</t>
  </si>
  <si>
    <t>Items measured by number</t>
  </si>
  <si>
    <t>C1.4.3.1</t>
  </si>
  <si>
    <t>Office swivel chair</t>
  </si>
  <si>
    <t>C1.4.3.2</t>
  </si>
  <si>
    <t>Office chair</t>
  </si>
  <si>
    <t>C1.4.3.5</t>
  </si>
  <si>
    <t>Office desk with 3 drawers (at least one lockable drawer)</t>
  </si>
  <si>
    <t>C1.4.3.7</t>
  </si>
  <si>
    <t>Drawing table</t>
  </si>
  <si>
    <t>C1.4.3.8</t>
  </si>
  <si>
    <t>Conference table</t>
  </si>
  <si>
    <t>C1.4.3.10</t>
  </si>
  <si>
    <t>Filing cabinet</t>
  </si>
  <si>
    <t>C1.4.3.11</t>
  </si>
  <si>
    <t>General purpose steel cabinet with shelves</t>
  </si>
  <si>
    <t>C1.4.3.13</t>
  </si>
  <si>
    <t>220/250 volt power outlet plug point</t>
  </si>
  <si>
    <t>C1.4.3.15</t>
  </si>
  <si>
    <t>Single 1 500 mm, 58 watt fluorescent tube ceiling light</t>
  </si>
  <si>
    <t>C1.4.3.17</t>
  </si>
  <si>
    <t>11 watt compact fluorescent bulb ceiling light</t>
  </si>
  <si>
    <t>C1.4.3.23</t>
  </si>
  <si>
    <t>Fire extinguisher 9,0 kg, dry powder type</t>
  </si>
  <si>
    <t>C1.4.3.24</t>
  </si>
  <si>
    <t>Air-conditioning unit</t>
  </si>
  <si>
    <t>C1.4.3.29</t>
  </si>
  <si>
    <t>A3 / A4 colour printer, copier, scanner</t>
  </si>
  <si>
    <t>C1.4.3.31</t>
  </si>
  <si>
    <t>Rain gauge</t>
  </si>
  <si>
    <t>C1.4.3.35</t>
  </si>
  <si>
    <t>3,0m aluminium straight edge complete with two measuring wedges</t>
  </si>
  <si>
    <t>C1.4.3.37</t>
  </si>
  <si>
    <t>First aid kit</t>
  </si>
  <si>
    <t>PSC1.4.3.39</t>
  </si>
  <si>
    <t>ACSA approved lime coloured reflective safety  jackets (With lettering)</t>
  </si>
  <si>
    <t>PSC1.4.3.40</t>
  </si>
  <si>
    <t>Rechargeable 500 000 candlelight halogen lamps</t>
  </si>
  <si>
    <t>PSC1.4.3.41</t>
  </si>
  <si>
    <t xml:space="preserve">Two-way hand held radio VHF/AM Dittel FSG5 complete with charger, carrying bag with strap and vehicle magnetic antenna including adapter cable - Compliant with ACSA approved frequency. </t>
  </si>
  <si>
    <t>PSC1.4.3.42</t>
  </si>
  <si>
    <t xml:space="preserve">Supply and install ACSA Approved meters for water and electricity </t>
  </si>
  <si>
    <t>C1.4.4</t>
  </si>
  <si>
    <t>Prime cost items</t>
  </si>
  <si>
    <t>C1.4.4.1</t>
  </si>
  <si>
    <t>Cell phones costs, including pro-rata rentals, for calls made in connection with contract administration</t>
  </si>
  <si>
    <t>1</t>
  </si>
  <si>
    <t>C1.4.4.2</t>
  </si>
  <si>
    <t>Handling costs and profit in respect of item C1.4.4.1 (Capped at 7.5%)</t>
  </si>
  <si>
    <t>C1.4.4.5</t>
  </si>
  <si>
    <t>The provision of internet connectivity and Wi-Fi data for Engineer"s site staff</t>
  </si>
  <si>
    <t>C1.4.4.6</t>
  </si>
  <si>
    <t>Handling costs and profit in respect of item C1.4.4.5 (Capped at 7.5%)</t>
  </si>
  <si>
    <t>C1.4.4.7</t>
  </si>
  <si>
    <t>The provision of paper and ink for a combination colour printer/copier/scanner</t>
  </si>
  <si>
    <t>C4.4.8</t>
  </si>
  <si>
    <t>Handling costs and profit in respect of item C1.4.4.7</t>
  </si>
  <si>
    <t>C1.4.5</t>
  </si>
  <si>
    <t>Services at site offices, laboratories and site accommodation</t>
  </si>
  <si>
    <t>C1.4.5.1</t>
  </si>
  <si>
    <t>Fixed costs</t>
  </si>
  <si>
    <t>C1.4.5.2</t>
  </si>
  <si>
    <t>Running costs</t>
  </si>
  <si>
    <t>C1.4.6</t>
  </si>
  <si>
    <t xml:space="preserve">Office Staff </t>
  </si>
  <si>
    <t>C1.4.6.1</t>
  </si>
  <si>
    <t xml:space="preserve">Secretary/Receptionist </t>
  </si>
  <si>
    <t>C1.4.6.2</t>
  </si>
  <si>
    <t xml:space="preserve">Technical assistant </t>
  </si>
  <si>
    <t>C1.5</t>
  </si>
  <si>
    <t>ACCOMMODATION OF TRAFFIC</t>
  </si>
  <si>
    <t>PSC1.5.1</t>
  </si>
  <si>
    <t>Accommodation of pedestrian and non-motorised traffic</t>
  </si>
  <si>
    <t>PSC1.5.1.1</t>
  </si>
  <si>
    <t>PSC1.5.2</t>
  </si>
  <si>
    <t>Accommodation of vehicular traffic</t>
  </si>
  <si>
    <t>C1.5.3</t>
  </si>
  <si>
    <t>Liaison with traffic authorities</t>
  </si>
  <si>
    <t xml:space="preserve">month </t>
  </si>
  <si>
    <t>C1.5.4</t>
  </si>
  <si>
    <t xml:space="preserve">Construction of temporary deviations </t>
  </si>
  <si>
    <t>C1.5.4/C4.4.2</t>
  </si>
  <si>
    <t xml:space="preserve">Pavement layer material </t>
  </si>
  <si>
    <t>(j)</t>
  </si>
  <si>
    <t xml:space="preserve">Type G7 Material </t>
  </si>
  <si>
    <r>
      <t>m</t>
    </r>
    <r>
      <rPr>
        <vertAlign val="superscript"/>
        <sz val="10"/>
        <rFont val="Arial"/>
        <family val="2"/>
      </rPr>
      <t>3</t>
    </r>
    <r>
      <rPr>
        <sz val="11"/>
        <color theme="1"/>
        <rFont val="Calibri"/>
        <family val="2"/>
        <scheme val="minor"/>
      </rPr>
      <t/>
    </r>
  </si>
  <si>
    <t>C1.5.4/C5.3.2.1</t>
  </si>
  <si>
    <t>Construction of layers using conventional construction methods:</t>
  </si>
  <si>
    <t>(g)</t>
  </si>
  <si>
    <t>Gravel wearing course layer (layer thickness indicated) compacted to 95% of MDD</t>
  </si>
  <si>
    <t>C1.5.5</t>
  </si>
  <si>
    <t>Maintenance of temporary deviations</t>
  </si>
  <si>
    <t>C1.5.5.9</t>
  </si>
  <si>
    <t>Grading of temporary deviations and existing roads used as detours</t>
  </si>
  <si>
    <t>km</t>
  </si>
  <si>
    <t>C1.5.5.10</t>
  </si>
  <si>
    <t>Watering of temporary deviations and existing roads used as detours</t>
  </si>
  <si>
    <t>kl</t>
  </si>
  <si>
    <t>C1.5.5.11</t>
  </si>
  <si>
    <t>Other road maintenance work ordered by the Engineer</t>
  </si>
  <si>
    <t xml:space="preserve">Prov Sum </t>
  </si>
  <si>
    <t>C1.5.5.12</t>
  </si>
  <si>
    <t>Handling cost, profit and all other charges in respect of item C1.5.5.12 (Capped at 7.5%)</t>
  </si>
  <si>
    <t>100*12</t>
  </si>
  <si>
    <t>C1.5.7</t>
  </si>
  <si>
    <t>Temporary traffic control facilities</t>
  </si>
  <si>
    <t>C1.5.7.1</t>
  </si>
  <si>
    <t>Delineators including mounting bases and ballast:</t>
  </si>
  <si>
    <t>Single sided, reversible left or right (size indicated)</t>
  </si>
  <si>
    <t>Double sided, reversible left or right (size indicated)</t>
  </si>
  <si>
    <t>C1.5.7.2</t>
  </si>
  <si>
    <t>Traffic cones, minimum height 750 mm</t>
  </si>
  <si>
    <t>C1.5.7.3</t>
  </si>
  <si>
    <t>Flagmen</t>
  </si>
  <si>
    <t>man-shift</t>
  </si>
  <si>
    <t>C1.5.7.4</t>
  </si>
  <si>
    <t xml:space="preserve">Traffic Controllers </t>
  </si>
  <si>
    <t xml:space="preserve">Man-Shift </t>
  </si>
  <si>
    <t xml:space="preserve">Rate Only </t>
  </si>
  <si>
    <t xml:space="preserve">Add a quantity </t>
  </si>
  <si>
    <t>C1.5.7.5</t>
  </si>
  <si>
    <t xml:space="preserve">Provision of illuminated traffic signs </t>
  </si>
  <si>
    <t>Sign mounted flashing amber lights (2 lights with the specified power supply) mounted on a backing board which is</t>
  </si>
  <si>
    <t>(i)</t>
  </si>
  <si>
    <t>900 mm wide x 150 mm high</t>
  </si>
  <si>
    <t>(ii)</t>
  </si>
  <si>
    <t>1 200 mm wide x 200 mm high</t>
  </si>
  <si>
    <t>Flashing LED illuminated arrow board</t>
  </si>
  <si>
    <t xml:space="preserve">Illuminated road sign – R &amp; TR series </t>
  </si>
  <si>
    <t xml:space="preserve">Illuminated road sign – TW series </t>
  </si>
  <si>
    <t>C1.5.7.6</t>
  </si>
  <si>
    <t>Maintenance of illuminated traffic signs:</t>
  </si>
  <si>
    <t>Sign mounted flashing amber lights (a pair of two lights mounted on a separate backing board)</t>
  </si>
  <si>
    <t>C1.5.7.9</t>
  </si>
  <si>
    <t>Cleaning of traffic control facilities</t>
  </si>
  <si>
    <t>CHAPTER C1.5</t>
  </si>
  <si>
    <t>C1.5.11</t>
  </si>
  <si>
    <t>Provision of safety equipment for visitors</t>
  </si>
  <si>
    <t>C1.5.11.1</t>
  </si>
  <si>
    <t>Provision of reflective safety vests for visitors</t>
  </si>
  <si>
    <t>C1.5.8</t>
  </si>
  <si>
    <t>Traffic safety officer</t>
  </si>
  <si>
    <t>Man-month</t>
  </si>
  <si>
    <t>C1.5.9</t>
  </si>
  <si>
    <t>Traffic safety vehicle</t>
  </si>
  <si>
    <t>C1.5.12</t>
  </si>
  <si>
    <t>Additional traffic accommodation facilities ordered by the Engineer:</t>
  </si>
  <si>
    <t>C1.5.12.1</t>
  </si>
  <si>
    <t>Provision of additional traffic accommodation facilities</t>
  </si>
  <si>
    <t>C1.5.12.2</t>
  </si>
  <si>
    <t>Handling cost, profit and all other charges in respect of item C1.5.12.1 (Capped at 7.5%)</t>
  </si>
  <si>
    <t>PSC1.5.13</t>
  </si>
  <si>
    <t xml:space="preserve">Safety Barriers: </t>
  </si>
  <si>
    <t>Provide HDPE plastic mobile road safety barrier, NJ type (2.0m x 1.0m high) taped with yellow reflective tape, two strips on either side</t>
  </si>
  <si>
    <t xml:space="preserve">Placing, moving and final removal of HDPE NJ type barriers upon completion of the works </t>
  </si>
  <si>
    <t>Provide precast concrete temporary barrier, NJ type (2.0m x 0.8m high with 0.6m base) taped with yellow reflective tape, two strips on either side and with two amber flashing lights mounted on each barrier</t>
  </si>
  <si>
    <t xml:space="preserve">Check BMK Barriers </t>
  </si>
  <si>
    <t xml:space="preserve">Placing, moving and final removal of concrete barriers upon completion of the apron works </t>
  </si>
  <si>
    <t>(e)</t>
  </si>
  <si>
    <t>Provide Taxiway/Runway closure barriers as per drawing complete KSIA-CIV-PP-033</t>
  </si>
  <si>
    <t>(f)</t>
  </si>
  <si>
    <t xml:space="preserve">Placing, moving and final removal of taxiway/runway closure barriers upon completion of the works </t>
  </si>
  <si>
    <t>Provision for temporary construction wooden fencing -  Bravo Taxi Way, Greenfield Area, Apron Stand as per detailed drawing KSIA-CIV-SD-032C</t>
  </si>
  <si>
    <t>PSC1.5.14</t>
  </si>
  <si>
    <t>Provision of lighting on site for works areas during night work or where instructed</t>
  </si>
  <si>
    <t>PSC1.5.15</t>
  </si>
  <si>
    <t>Provision of mobile flood light tower for the use by the Engineer’s staff for works areas during night work or where instructed</t>
  </si>
  <si>
    <t>PSC1.5.16</t>
  </si>
  <si>
    <t>Provision of escort services for all project vehicles</t>
  </si>
  <si>
    <t>C11.6.1.8</t>
  </si>
  <si>
    <t xml:space="preserve">Regulatory signs, temporary </t>
  </si>
  <si>
    <t xml:space="preserve">1200mm size retro reflective sign boards </t>
  </si>
  <si>
    <t>C11.6.1.10</t>
  </si>
  <si>
    <t xml:space="preserve">Warning signs, temporary </t>
  </si>
  <si>
    <t xml:space="preserve">1500mm size retro reflective sign boards </t>
  </si>
  <si>
    <t>C2.1</t>
  </si>
  <si>
    <t>GENERAL REQUIREMENTS AND TRENCHING FOR SERVICES</t>
  </si>
  <si>
    <t>C2.1.1</t>
  </si>
  <si>
    <t>Location, Identification and relocation of existing services</t>
  </si>
  <si>
    <t>C2.1.1.1</t>
  </si>
  <si>
    <t>Contractors' obligations</t>
  </si>
  <si>
    <t>C2.1.1.4</t>
  </si>
  <si>
    <t>Permanent services relocation or protection work by Contractor</t>
  </si>
  <si>
    <t>C2.1.2.3</t>
  </si>
  <si>
    <t xml:space="preserve">Survey to verify existing service positions as directed by the Engineer. Survey may including scanning and or CCTV inspection of pipe lines. </t>
  </si>
  <si>
    <t>C2.1.2.4</t>
  </si>
  <si>
    <t>Handling costs and profit in respect of item C2.1.2.3 above (Capped at 7.5%)</t>
  </si>
  <si>
    <t>C2.1.2.5</t>
  </si>
  <si>
    <t>Using hand excavation to locate, expose and verify services</t>
  </si>
  <si>
    <t>m³</t>
  </si>
  <si>
    <t xml:space="preserve">Increase in quantity </t>
  </si>
  <si>
    <t>C2.1.3</t>
  </si>
  <si>
    <t>Obtaining construction or work permits</t>
  </si>
  <si>
    <t>PSC2.1.28 (a)</t>
  </si>
  <si>
    <t xml:space="preserve">Hydro Jetting of service pipe lines and clearing siltation </t>
  </si>
  <si>
    <t>PSC2.1.28 (b)</t>
  </si>
  <si>
    <t>Handling costs and profit in respect of sub-item PSC 2.1.28 (a) b above (Capped at 7.5%)</t>
  </si>
  <si>
    <t>PSC2.1.29</t>
  </si>
  <si>
    <t xml:space="preserve">Mandrel testing of all electrical sleeves as directed by the Engineer including flushing of the sleeves as required. </t>
  </si>
  <si>
    <t>m</t>
  </si>
  <si>
    <t>C20.1</t>
  </si>
  <si>
    <t>TESTING MATERIALS AND JUDGEMENT OF WORKMANSHIP</t>
  </si>
  <si>
    <t>PSC20.01.6 (a)</t>
  </si>
  <si>
    <t>a) Provision for testing materials and judgement of workmanship</t>
  </si>
  <si>
    <t>PSC20.01.6 (b)</t>
  </si>
  <si>
    <t>Handling costs and profit in respect of item PSC20.01.6(a) (Capped at 7.5%)</t>
  </si>
  <si>
    <t>PROCUREMENT OF A CIDB GRADE 9 CE CONTRACTOR THE COMPLETION OF BRAVO TAXIWAY EXTENSION AT KING SHAKA INTERNAIONAL AIRPORT FOR A PERIOD OF 12 MONTHS AT KING SHAKA INTERNATIONAL AIRPORT</t>
  </si>
  <si>
    <t xml:space="preserve">SCHEDULE A: PRELIMINARY AND GENERAL  - SUMMARY </t>
  </si>
  <si>
    <t>CHAPTER</t>
  </si>
  <si>
    <t>FROM PAGE</t>
  </si>
  <si>
    <t>C2-8</t>
  </si>
  <si>
    <t>C2-9</t>
  </si>
  <si>
    <t>C2-11</t>
  </si>
  <si>
    <t>C2-14</t>
  </si>
  <si>
    <t>C2-15</t>
  </si>
  <si>
    <t>C2-16</t>
  </si>
  <si>
    <t>TOTAL SCHEDULE A: PRELIMINARY AND GENERAL</t>
  </si>
  <si>
    <t xml:space="preserve">                                         </t>
  </si>
  <si>
    <t>SCHEDULE B: BRAVO TAXIWAY</t>
  </si>
  <si>
    <t>C1.6</t>
  </si>
  <si>
    <t>CLEARING AND GRUBBING</t>
  </si>
  <si>
    <t>C1.6.1</t>
  </si>
  <si>
    <t>Clearing</t>
  </si>
  <si>
    <t>C1.6.1.1</t>
  </si>
  <si>
    <t>Clearing with machines and some hand labour where necessary</t>
  </si>
  <si>
    <t>ha</t>
  </si>
  <si>
    <t>C1.6.1.2</t>
  </si>
  <si>
    <t>Clearing with hand labour only when labour enhanced work is specified</t>
  </si>
  <si>
    <t>C1.6.2</t>
  </si>
  <si>
    <t>Grubbing</t>
  </si>
  <si>
    <t>C1.6.2.1</t>
  </si>
  <si>
    <t>Grubbing with machines and some hand labour where necessary</t>
  </si>
  <si>
    <t>C1.7</t>
  </si>
  <si>
    <t>LOADING AND HAULING</t>
  </si>
  <si>
    <t>C1.7.1</t>
  </si>
  <si>
    <t>Loading</t>
  </si>
  <si>
    <t>C1.7.1.1</t>
  </si>
  <si>
    <t>Loading from stockpile using machines and some hand labour where necessary</t>
  </si>
  <si>
    <r>
      <t>m</t>
    </r>
    <r>
      <rPr>
        <vertAlign val="superscript"/>
        <sz val="10"/>
        <rFont val="Arial"/>
        <family val="2"/>
      </rPr>
      <t>3</t>
    </r>
  </si>
  <si>
    <t>C1.7.1.2</t>
  </si>
  <si>
    <t>Loading from heaps or windrows using machines and/some hand labour where necessary</t>
  </si>
  <si>
    <t>C1.7.1.3</t>
  </si>
  <si>
    <t>Loading by hand only from stockpile or heaps when labour enhancement work is specified or is not possible to use machines</t>
  </si>
  <si>
    <t>C1.7.2</t>
  </si>
  <si>
    <t>Hauling</t>
  </si>
  <si>
    <t>C1.7.2.1</t>
  </si>
  <si>
    <t>Hauling material for use in the Works and off-loading it on the site of the Works:</t>
  </si>
  <si>
    <t>Soil, gravel, crushed stone and pavement layer material</t>
  </si>
  <si>
    <r>
      <t>m</t>
    </r>
    <r>
      <rPr>
        <vertAlign val="superscript"/>
        <sz val="10"/>
        <rFont val="Arial"/>
        <family val="2"/>
      </rPr>
      <t>3</t>
    </r>
    <r>
      <rPr>
        <sz val="10"/>
        <rFont val="Arial"/>
        <family val="2"/>
      </rPr>
      <t xml:space="preserve"> - km</t>
    </r>
  </si>
  <si>
    <t>C1.7.2.2</t>
  </si>
  <si>
    <t>Hauling material to spoil and off-loading it at a designated spoil or stockpile are:</t>
  </si>
  <si>
    <t>Soil and gravel material</t>
  </si>
  <si>
    <t>Increase in quantity</t>
  </si>
  <si>
    <t>Boulders, hard material and concrete</t>
  </si>
  <si>
    <t>C3.1</t>
  </si>
  <si>
    <t>DRAINS</t>
  </si>
  <si>
    <t>C3.1.1</t>
  </si>
  <si>
    <t>Excavation for open drains:</t>
  </si>
  <si>
    <t>C3.1.1.1</t>
  </si>
  <si>
    <t xml:space="preserve">Excavating all material situated within the following depth ranges below the surface level using conventional methods : </t>
  </si>
  <si>
    <t>0m to 1.5m</t>
  </si>
  <si>
    <t>Exceeding 1.5m and up to 3.0m</t>
  </si>
  <si>
    <t>C3.1.1.2</t>
  </si>
  <si>
    <t>Extra over sub-item C3.1.1.1 for excavation in hard and boulder material , irrespective of depth</t>
  </si>
  <si>
    <t>C3.1.3</t>
  </si>
  <si>
    <t>Excavation, clearing and disposal of accumulated sediment in existing  lined drains and drainage systems</t>
  </si>
  <si>
    <t>C3.1.3.3</t>
  </si>
  <si>
    <t>Using labour enhanced construction methods :</t>
  </si>
  <si>
    <t>Manholes and inlet and outlet structures</t>
  </si>
  <si>
    <t>Concrete and other lined side drains</t>
  </si>
  <si>
    <t>C3.1.4</t>
  </si>
  <si>
    <t>Excavation and disposal of material for subsoil drainage systems</t>
  </si>
  <si>
    <t>C3.1.4.1</t>
  </si>
  <si>
    <t>Excavating in all material situated within the following depth ranges below the surface :</t>
  </si>
  <si>
    <t>C3.1.4.2</t>
  </si>
  <si>
    <t>Excavating soft material situated within 0m to 1.5m below the surface level using labour enhanced construction methods</t>
  </si>
  <si>
    <t>C3.1.4.4</t>
  </si>
  <si>
    <t>Extra over sub-item C3.1.4.1 for excavation in hard and boulder material, irrespective of depth</t>
  </si>
  <si>
    <t>C3.1.7</t>
  </si>
  <si>
    <t>Natural permeable material in subsoil drainage system ( approved crushed stone ):</t>
  </si>
  <si>
    <t>C3.1.7.1</t>
  </si>
  <si>
    <t xml:space="preserve">Crushed stone obtained from approved sources on the site as per detailed drawing </t>
  </si>
  <si>
    <t>C3.1.8</t>
  </si>
  <si>
    <t>Natural permeable material in subsoil drainage system (approved natural sand)</t>
  </si>
  <si>
    <t>C3.1.8.2</t>
  </si>
  <si>
    <t>Natural sand from commercial sources ( fine )</t>
  </si>
  <si>
    <r>
      <t>m</t>
    </r>
    <r>
      <rPr>
        <vertAlign val="superscript"/>
        <sz val="10"/>
        <rFont val="Arial Narrow"/>
        <family val="2"/>
      </rPr>
      <t>3</t>
    </r>
  </si>
  <si>
    <t>C3.1.9</t>
  </si>
  <si>
    <t>Pipes in subsoil drainage systems :</t>
  </si>
  <si>
    <t>C3.1.9.1</t>
  </si>
  <si>
    <t>U-PVC pipes and fittings , normal duty, complete with coupling ( 160mm dia and perforated) as per detailed drawing  KSIA-CIV-DP-021 &amp; KSIA-CIV-DP-022</t>
  </si>
  <si>
    <t>C3.1.10</t>
  </si>
  <si>
    <t>Polymer film sheeting or similar approved material, for lining subsoil drainage systems:</t>
  </si>
  <si>
    <t>C3.1.10.1</t>
  </si>
  <si>
    <t xml:space="preserve">Bidim A2 Geotextile </t>
  </si>
  <si>
    <r>
      <t>m</t>
    </r>
    <r>
      <rPr>
        <vertAlign val="superscript"/>
        <sz val="10"/>
        <rFont val="Arial Narrow"/>
        <family val="2"/>
      </rPr>
      <t>2</t>
    </r>
  </si>
  <si>
    <t>C3.1.13</t>
  </si>
  <si>
    <t>Concrete outlet structures, manhole boxes, junction boxes and cleaning eyes for subsoil drainage systems:</t>
  </si>
  <si>
    <t>C3.1.13.2</t>
  </si>
  <si>
    <t>Inspection boxes</t>
  </si>
  <si>
    <t>C3.1.13.4</t>
  </si>
  <si>
    <t>Cleaning eyes as per detailed drawing  KSIA-CIV-DP-021 &amp; KSIA-CIV-DP-022 Complete</t>
  </si>
  <si>
    <t>C3.1.18</t>
  </si>
  <si>
    <t>Backfilling of drains with selected material compacted to 93 % of MDD prior to construction of concrete lining and/or stone pitched lining</t>
  </si>
  <si>
    <t>C3.1.22</t>
  </si>
  <si>
    <t>Test flushing of subsoil drain pipe systems</t>
  </si>
  <si>
    <t>C3.1.23</t>
  </si>
  <si>
    <t>Subsoil drain outlet marker</t>
  </si>
  <si>
    <t>SCHEDULE A: ROADWORKS</t>
  </si>
  <si>
    <t>C2.3</t>
  </si>
  <si>
    <t>WET SERVICES</t>
  </si>
  <si>
    <t>C2.3.1</t>
  </si>
  <si>
    <t>Supply, lay, joint and test sewers</t>
  </si>
  <si>
    <t>C2.3.1.1</t>
  </si>
  <si>
    <t>State for each sewer the pipe material type, class, joint type and the class of bedding etc.</t>
  </si>
  <si>
    <t>State diameter</t>
  </si>
  <si>
    <t>C2.3.1.2</t>
  </si>
  <si>
    <t>C2.3.1.3</t>
  </si>
  <si>
    <t>Etc, insert additional items as required</t>
  </si>
  <si>
    <t>C2.3.2</t>
  </si>
  <si>
    <t>Extra over item C2.3.1 for sewer specials</t>
  </si>
  <si>
    <t>C2.3.2.1</t>
  </si>
  <si>
    <t>State for each sewer special the type, class, etc.</t>
  </si>
  <si>
    <t>C2.3.2.2</t>
  </si>
  <si>
    <t>C2.3.2.3</t>
  </si>
  <si>
    <t>C2.3.3</t>
  </si>
  <si>
    <t>Bedding for sewers (Class B and C) and fill blanket compacted to 90 % of MDD (100 % for sand)</t>
  </si>
  <si>
    <t>C2.3.3.1</t>
  </si>
  <si>
    <t>Bedding using selected granular material</t>
  </si>
  <si>
    <t>From the excavated trench material</t>
  </si>
  <si>
    <r>
      <t>m</t>
    </r>
    <r>
      <rPr>
        <sz val="10"/>
        <rFont val="Calibri"/>
        <family val="2"/>
      </rPr>
      <t>³</t>
    </r>
  </si>
  <si>
    <t>From other excavations on site</t>
  </si>
  <si>
    <t>From approved borrow areas</t>
  </si>
  <si>
    <t>( d)</t>
  </si>
  <si>
    <t>From sources provided by the Contractor</t>
  </si>
  <si>
    <t>From commercial sources</t>
  </si>
  <si>
    <t>C2.3.3.2</t>
  </si>
  <si>
    <t>Selected fill blanket material</t>
  </si>
  <si>
    <t>( e)</t>
  </si>
  <si>
    <t>C2.3.3.3</t>
  </si>
  <si>
    <t>Extra over items C2.3.3.1(a) to C2.3.3.1(c) and C2.3.3.2(a) to C2.3.3.2(c) for screening material</t>
  </si>
  <si>
    <t>C2.3.4</t>
  </si>
  <si>
    <t>Concrete for bedding (Class A) and encasement for sewers</t>
  </si>
  <si>
    <t>C2.3.4.1</t>
  </si>
  <si>
    <t>Concrete (Class A) bedding (state class of concrete)</t>
  </si>
  <si>
    <t>C2.3.4.2</t>
  </si>
  <si>
    <t>Concrete encasement (state class of concrete)</t>
  </si>
  <si>
    <t>C2.3.5</t>
  </si>
  <si>
    <t>Manholes, inspection chambers and cleaning eyes for sewers</t>
  </si>
  <si>
    <t>C2.3.5.1</t>
  </si>
  <si>
    <t>Manholes (state type and drawing reference etc.)</t>
  </si>
  <si>
    <t>State pipe size and depth range</t>
  </si>
  <si>
    <t>C2.3.5.2</t>
  </si>
  <si>
    <t>Extra over item C2.3.5.1 for backdrops for manholes (state type and drawing reference etc.)</t>
  </si>
  <si>
    <t>C2.3.5.3</t>
  </si>
  <si>
    <t>Inspection chambers (state type and drawing reference etc.)</t>
  </si>
  <si>
    <t>C2.3.5.4</t>
  </si>
  <si>
    <t>Cleaning eyes (state type and drawing reference etc.)</t>
  </si>
  <si>
    <t>State depth range</t>
  </si>
  <si>
    <t>C2.3.5.5</t>
  </si>
  <si>
    <t>Other structures (state type and drawing reference etc.)</t>
  </si>
  <si>
    <t>C2.3.6</t>
  </si>
  <si>
    <t>Covers and frames for sewer manholes, inspection chambers and other structures</t>
  </si>
  <si>
    <t>C2.3.6.1</t>
  </si>
  <si>
    <t>State type, strength class and size of cover and frame</t>
  </si>
  <si>
    <t>C2.3.6.2</t>
  </si>
  <si>
    <t>C2.3.6.3</t>
  </si>
  <si>
    <t>C2.3.6.4</t>
  </si>
  <si>
    <t>Etc., insert additional items as required</t>
  </si>
  <si>
    <t>C2.3.7</t>
  </si>
  <si>
    <t>Sewer accessories (anchor blocks, marker posts, plug stoppers etc.)</t>
  </si>
  <si>
    <t>C2.3.7.1</t>
  </si>
  <si>
    <t>Anchor blocks (state type and drawing reference)</t>
  </si>
  <si>
    <t>C2.3.7.2</t>
  </si>
  <si>
    <t>C2.3.7.3</t>
  </si>
  <si>
    <t>Marker posts (state type and drawing reference)</t>
  </si>
  <si>
    <t>C2.3.7.4</t>
  </si>
  <si>
    <t>Plug stoppers (state type)</t>
  </si>
  <si>
    <t>C2.3.7.5</t>
  </si>
  <si>
    <t>Other accessories</t>
  </si>
  <si>
    <t>State type</t>
  </si>
  <si>
    <t>C2.3.8</t>
  </si>
  <si>
    <t>Sewer connections (erf and existing line connections)</t>
  </si>
  <si>
    <t>C2.3.8.1</t>
  </si>
  <si>
    <t>Erf connections (state type, depth range and drawing reference)</t>
  </si>
  <si>
    <t>Connection length (state length in metres)</t>
  </si>
  <si>
    <t>C2.3.8.2</t>
  </si>
  <si>
    <t>C2.3.8.3</t>
  </si>
  <si>
    <t>Erf connections to sewer manholes</t>
  </si>
  <si>
    <t>State type, depth range, etc.</t>
  </si>
  <si>
    <t>sum</t>
  </si>
  <si>
    <t>C2.3.8.4</t>
  </si>
  <si>
    <t>Connecting sewers to existing manholes</t>
  </si>
  <si>
    <t>State position, specification and drawing reference etc.</t>
  </si>
  <si>
    <t>Sum</t>
  </si>
  <si>
    <t>(c )</t>
  </si>
  <si>
    <t>Etc. insert additional items as required</t>
  </si>
  <si>
    <t>C2.3.8.5</t>
  </si>
  <si>
    <t>Breaking into an existing sewer and building a new manhole</t>
  </si>
  <si>
    <t>C2.3.9</t>
  </si>
  <si>
    <t>Raising and lowering existing sewer manholes</t>
  </si>
  <si>
    <t>C2.3.9.1</t>
  </si>
  <si>
    <t>Raising manholes</t>
  </si>
  <si>
    <t>State manhole type and drawing reference and height raised</t>
  </si>
  <si>
    <t>C2.3.9.2</t>
  </si>
  <si>
    <t>Lowering manholes</t>
  </si>
  <si>
    <t>State manhole type and drawing reference and height lowered</t>
  </si>
  <si>
    <t>C2.3.10</t>
  </si>
  <si>
    <t>Testing of sewer manholes</t>
  </si>
  <si>
    <t>C2.3.11</t>
  </si>
  <si>
    <t>CCTV camera inspections</t>
  </si>
  <si>
    <t>C2.3.11.1</t>
  </si>
  <si>
    <t>State pipe diameter</t>
  </si>
  <si>
    <t>C2.3.11.2</t>
  </si>
  <si>
    <t>C2.3.21</t>
  </si>
  <si>
    <t>Supply and lay water mains complete with couplings</t>
  </si>
  <si>
    <t>C2.3.21.1</t>
  </si>
  <si>
    <t>State for each water main the pipe material type, class, coupling type and the class of bedding etc.</t>
  </si>
  <si>
    <t>C2.1.22.2</t>
  </si>
  <si>
    <t>C2.3.21.3</t>
  </si>
  <si>
    <t>C2.3.22</t>
  </si>
  <si>
    <t>Extra over item C2.3.21 for supplying and fixing water main fittings or specials complete with couplings</t>
  </si>
  <si>
    <t>C2.3.22.1</t>
  </si>
  <si>
    <t>State for each water main fitting or special the type, class etc.</t>
  </si>
  <si>
    <t>C2.3.22.2</t>
  </si>
  <si>
    <t>C2.3.22.3</t>
  </si>
  <si>
    <t>C2.3.23</t>
  </si>
  <si>
    <t>Extra over item C2.3.21 for supplying and fixing water main valves</t>
  </si>
  <si>
    <t>C2.3.23.1</t>
  </si>
  <si>
    <t>State for each water main valve the type, class etc.</t>
  </si>
  <si>
    <t>C2.3.23.2</t>
  </si>
  <si>
    <t>( a)</t>
  </si>
  <si>
    <t>C2.3.23.3</t>
  </si>
  <si>
    <t>C2.3.24</t>
  </si>
  <si>
    <t>Extra over item C2.3.21 for cutting of pipes and the supplying and fixing of extra couplings</t>
  </si>
  <si>
    <t>C2.3.24.1</t>
  </si>
  <si>
    <t>State for each water main the pipe material type and coupling type</t>
  </si>
  <si>
    <t>C2.3.24.3</t>
  </si>
  <si>
    <t>C2.3.25</t>
  </si>
  <si>
    <t>Extra over items C2.3.21, C2.3.22 and C2.3.23 for supplying and installing joints with machined collars and special couplings</t>
  </si>
  <si>
    <t>C2.3.25.1</t>
  </si>
  <si>
    <t>State for each water main the pipe collar and special coupling type</t>
  </si>
  <si>
    <t>C2.1.25.2</t>
  </si>
  <si>
    <t>C2.3.25.3</t>
  </si>
  <si>
    <t>C2.3.26</t>
  </si>
  <si>
    <t>Supplying and installing pipes, specials and valves on short pipe runs</t>
  </si>
  <si>
    <t>C2.3.26.1</t>
  </si>
  <si>
    <t>State for each short run water main the pipe material type, class and class of bedding etc.</t>
  </si>
  <si>
    <t>State pipe diameter and length</t>
  </si>
  <si>
    <t>C2.3.26.2</t>
  </si>
  <si>
    <t>State for each short run water main the fitting, bend or special type, class etc.</t>
  </si>
  <si>
    <t xml:space="preserve">State diameter </t>
  </si>
  <si>
    <t xml:space="preserve">State  diameter </t>
  </si>
  <si>
    <t>C2.3.26.3</t>
  </si>
  <si>
    <t>C2.3.27</t>
  </si>
  <si>
    <t>Extra over item C2.3.21 for encasing (wrapping) joints</t>
  </si>
  <si>
    <t>C2.3.27.1</t>
  </si>
  <si>
    <t>State for each water main the number of joints to be encased (wrapped)</t>
  </si>
  <si>
    <t>C2.3.28</t>
  </si>
  <si>
    <t>Installation of hydrants and water meters</t>
  </si>
  <si>
    <t>C2.3.28.1</t>
  </si>
  <si>
    <t>Describe hydrant type</t>
  </si>
  <si>
    <t>C2.3.28.2</t>
  </si>
  <si>
    <t>Describe water meter type</t>
  </si>
  <si>
    <t>C2.3.28.3</t>
  </si>
  <si>
    <t>C2.3.29</t>
  </si>
  <si>
    <t>Bedding for water mains (Class B and C) and fill blanket compacted to 90 % of MDD (100 % for sand)</t>
  </si>
  <si>
    <t>C2.3.29.1</t>
  </si>
  <si>
    <t>(e )</t>
  </si>
  <si>
    <t>C2.3.29.2</t>
  </si>
  <si>
    <t>C2.3.29.3</t>
  </si>
  <si>
    <t>Extra over items C2.3.29.1(a) to C2.3.29.1(c) and C2.3.29.2(a) to C2.3.29.2(c) for screening material</t>
  </si>
  <si>
    <t>C2.3.30</t>
  </si>
  <si>
    <t>Concrete for bedding (Class A) and encasement for water mains</t>
  </si>
  <si>
    <t>C2.3.30.1</t>
  </si>
  <si>
    <t>C2.3.30.2</t>
  </si>
  <si>
    <t>C2.3.31</t>
  </si>
  <si>
    <t>Manholes, valve and hydrant chambers etc. for water mains</t>
  </si>
  <si>
    <t>C2.3.31.1</t>
  </si>
  <si>
    <t>Manholes (state type and drawing references etc.)</t>
  </si>
  <si>
    <t>C2.3.31.2</t>
  </si>
  <si>
    <t>Valve chambers (state valve type (gate valve, single or double air valve etc.) and drawing references etc.)</t>
  </si>
  <si>
    <t>C2.3.31.3</t>
  </si>
  <si>
    <t>Hydrant chambers (state type etc. and drawing references etc.)</t>
  </si>
  <si>
    <t>C2.3.31.4</t>
  </si>
  <si>
    <t>Other structures (state type etc. and drawing reference etc.)</t>
  </si>
  <si>
    <t>C2.3.32</t>
  </si>
  <si>
    <t>Covers and frames for water main manholes, valve and hydrant chambers and other structures</t>
  </si>
  <si>
    <t>C2.3.32.1</t>
  </si>
  <si>
    <t>Describe manhole or chamber and state type of cover and frame</t>
  </si>
  <si>
    <t>C2.3.32.2</t>
  </si>
  <si>
    <t>C2.3.32.3</t>
  </si>
  <si>
    <t>C2.3.32.4</t>
  </si>
  <si>
    <t>C2.3.33</t>
  </si>
  <si>
    <t>Water main accessories (anchor or thrust blocks, pedestals or marker posts etc.)</t>
  </si>
  <si>
    <t>C2.3.33.1</t>
  </si>
  <si>
    <t>Anchor or thrust blocks (state type and drawing reference)</t>
  </si>
  <si>
    <t>C2.3.33.2</t>
  </si>
  <si>
    <t>C2.3.33.3</t>
  </si>
  <si>
    <t>Pedestals (state type and drawing reference)</t>
  </si>
  <si>
    <t>C2.3.33.4</t>
  </si>
  <si>
    <t>C2.3.33.5</t>
  </si>
  <si>
    <t>Marker posts or blocks (state type and drawing reference)</t>
  </si>
  <si>
    <t>C2.3.33.6</t>
  </si>
  <si>
    <t>C2.3.34</t>
  </si>
  <si>
    <t>Connections to existing water mains</t>
  </si>
  <si>
    <t>C2.3.34.1</t>
  </si>
  <si>
    <t>State connection details</t>
  </si>
  <si>
    <t>C2.3.34.2</t>
  </si>
  <si>
    <t>C2.3.34.3</t>
  </si>
  <si>
    <t>C2.3.34.4</t>
  </si>
  <si>
    <t>C2.3.35</t>
  </si>
  <si>
    <t>Raising and lowering existing manholes or valve or hydrant chambers</t>
  </si>
  <si>
    <t>C2.3.35.1</t>
  </si>
  <si>
    <t>Raising manholes or valve of hydrant chambers</t>
  </si>
  <si>
    <t>C2.3.36</t>
  </si>
  <si>
    <t>Disinfection of potable water pipelines</t>
  </si>
  <si>
    <t>C2.3.36.1</t>
  </si>
  <si>
    <t>State diameter of pipe disinfected</t>
  </si>
  <si>
    <t>C2.3.36.2</t>
  </si>
  <si>
    <t>C2.3.36.3</t>
  </si>
  <si>
    <t>C2.4</t>
  </si>
  <si>
    <t>ENERGY AND OTHER SERVICES</t>
  </si>
  <si>
    <t>C2.4.1</t>
  </si>
  <si>
    <t>Bedding for electric power cables using material:</t>
  </si>
  <si>
    <t>C2.2.1.1</t>
  </si>
  <si>
    <t>Selected from the excavated trench material</t>
  </si>
  <si>
    <t>C2.4.1.2</t>
  </si>
  <si>
    <t>Selected from other excavations on site</t>
  </si>
  <si>
    <t>C2.4.1.3</t>
  </si>
  <si>
    <t>Selected from approved borrow areas</t>
  </si>
  <si>
    <t>C2.4.1.4</t>
  </si>
  <si>
    <t>Selected from sources provided by the Contractor</t>
  </si>
  <si>
    <t>C2.4.1.5</t>
  </si>
  <si>
    <t>Uncrushed material (state material type)</t>
  </si>
  <si>
    <t>Crushed stone material (state material type)</t>
  </si>
  <si>
    <t>C2.4.2</t>
  </si>
  <si>
    <t>Concrete for bedding and encasement for electric power cables</t>
  </si>
  <si>
    <t>C2.4.2.1</t>
  </si>
  <si>
    <t>Concrete bedding (Class C16/20-20 concrete)</t>
  </si>
  <si>
    <t>C2.4.2.2</t>
  </si>
  <si>
    <t>Concrete encasement of cables (Class C16/20-20 concrete)</t>
  </si>
  <si>
    <t>C2.4.3</t>
  </si>
  <si>
    <t>Cable laying accessories (warning tape, protection slabs, markers etc.)</t>
  </si>
  <si>
    <t>C2.4.3.1</t>
  </si>
  <si>
    <t>Electrical warning tape (state type)</t>
  </si>
  <si>
    <t>C2.4.3.2</t>
  </si>
  <si>
    <t>Concrete slab protection (state type and dimensions etc)</t>
  </si>
  <si>
    <t>C2.4.3.3</t>
  </si>
  <si>
    <t>Cable markers (state type)</t>
  </si>
  <si>
    <t>C2.4.3.4</t>
  </si>
  <si>
    <t>C3.2</t>
  </si>
  <si>
    <t>CULVERTS</t>
  </si>
  <si>
    <t>C3.2.1</t>
  </si>
  <si>
    <t>Excavation for culvert structures:</t>
  </si>
  <si>
    <t>C3.2.1.1</t>
  </si>
  <si>
    <t>Excavating in all material situated within the following depth ranges below the surface level:</t>
  </si>
  <si>
    <t>C3.2.1.4</t>
  </si>
  <si>
    <t>Extra over sub-item C3.2.1.1 for excavation in hard or boulder material, irrespective of depth</t>
  </si>
  <si>
    <t>C3.2.2</t>
  </si>
  <si>
    <t>Backfilling:</t>
  </si>
  <si>
    <t>C3.2.2.1</t>
  </si>
  <si>
    <t>Using the excavated material</t>
  </si>
  <si>
    <t>C3.2.2.2</t>
  </si>
  <si>
    <t>Using imported selected material:</t>
  </si>
  <si>
    <t>From commercial sources (G7)</t>
  </si>
  <si>
    <t>C3.2.3</t>
  </si>
  <si>
    <t>Concrete pipe culverts:</t>
  </si>
  <si>
    <t>C3.2.3.3</t>
  </si>
  <si>
    <t>On Class C bedding (100D 600mm Dia.)</t>
  </si>
  <si>
    <t>On Class C bedding (100D 900mm Dia.)</t>
  </si>
  <si>
    <t>On Class C bedding (100D 12000mm Dia.)</t>
  </si>
  <si>
    <t>C3.2.12</t>
  </si>
  <si>
    <t>Demolition of concrete members or elements:</t>
  </si>
  <si>
    <t>C3.2.12.2</t>
  </si>
  <si>
    <t>Partial member or element (Bravo taxiway - existing stormwater manhole)</t>
  </si>
  <si>
    <t>m3</t>
  </si>
  <si>
    <t xml:space="preserve">New Item </t>
  </si>
  <si>
    <t>C3.2.19.2</t>
  </si>
  <si>
    <t xml:space="preserve">Inlet grids or covers (3 x heavy duty high strength concrete dog bone cover) </t>
  </si>
  <si>
    <t>C3.2.23</t>
  </si>
  <si>
    <t>Breaking into existing drainage structures and building in pipes or culverts of the following size (160mm diameter pipe)</t>
  </si>
  <si>
    <t>PSC3.2.28</t>
  </si>
  <si>
    <t>Manholes, catchpits, precast inlet and outlet structures complete:</t>
  </si>
  <si>
    <t>(a) Manhole drop inlet (Irrespective of depth)</t>
  </si>
  <si>
    <t xml:space="preserve"> No</t>
  </si>
  <si>
    <t>L.I</t>
  </si>
  <si>
    <t xml:space="preserve">(b) Grid inlet complete for 600mm dia. pipe (Irrespective of depth) </t>
  </si>
  <si>
    <t xml:space="preserve">(c) Grid inlet complete for 900mm dia. pipe (Irrespective of depth) </t>
  </si>
  <si>
    <t xml:space="preserve">(d) Grid inlet complete for 1200mm dia. pipe (Irrespective of depth) </t>
  </si>
  <si>
    <t xml:space="preserve">SCHEDULE B: BRAVO TAXIWAY - OPTION ONE </t>
  </si>
  <si>
    <t>C3.3</t>
  </si>
  <si>
    <t>CONCRETE KERBING AND CHANNELLING, ASPHALT BERMS, CHUTES, DOWNPIPES, AS WELL AS CONCRETE, STONE PITCHED AND GABION LININGS FOR OPEN DRAINS</t>
  </si>
  <si>
    <t>C3.3.6</t>
  </si>
  <si>
    <t>Concrete chutes:</t>
  </si>
  <si>
    <t>C3.3.8</t>
  </si>
  <si>
    <t>Linings for open drains:</t>
  </si>
  <si>
    <t>C3.3.8.1</t>
  </si>
  <si>
    <t>Cast in situ concrete lining</t>
  </si>
  <si>
    <t xml:space="preserve">No Concrete V - Drains Allowed </t>
  </si>
  <si>
    <t>C3.3.8.2</t>
  </si>
  <si>
    <t>ClassU2 surface finish to cast in situ concrete</t>
  </si>
  <si>
    <t>C3.3.9</t>
  </si>
  <si>
    <t>Formwork to cast in situ concrete lining for open drains (Class F2 surface finish):</t>
  </si>
  <si>
    <t>C3.3.9.1</t>
  </si>
  <si>
    <t xml:space="preserve"> To sides with formwork on the internal face only</t>
  </si>
  <si>
    <t>C3.3.9.2</t>
  </si>
  <si>
    <t>To sides with formwork on both internal and external faces (each face measured)</t>
  </si>
  <si>
    <t>C3.3.9.3</t>
  </si>
  <si>
    <t>To ends of slabs</t>
  </si>
  <si>
    <t>C3.3.10</t>
  </si>
  <si>
    <t xml:space="preserve">Sealed joints in concrete and stone pitched linings of open drains </t>
  </si>
  <si>
    <t>C3.3.12</t>
  </si>
  <si>
    <t>Reinforcement:</t>
  </si>
  <si>
    <t>C3.3.12.3</t>
  </si>
  <si>
    <t>Welded steel fabric (Ref 193)</t>
  </si>
  <si>
    <t>kg</t>
  </si>
  <si>
    <t>C4.2</t>
  </si>
  <si>
    <t>CUT MATERIALS</t>
  </si>
  <si>
    <t>C4.2.3</t>
  </si>
  <si>
    <t>Excavating of materials in cuttings, material obtained from</t>
  </si>
  <si>
    <t>C4.2.3.1</t>
  </si>
  <si>
    <t>Soft excavation</t>
  </si>
  <si>
    <t>C4.2.3.2</t>
  </si>
  <si>
    <t>Boulder excavation class A</t>
  </si>
  <si>
    <t>C4.2.3.3</t>
  </si>
  <si>
    <t>Boulder excavation class B</t>
  </si>
  <si>
    <t>C4.2.3.4</t>
  </si>
  <si>
    <t>Hard excavation (other than by blasting)</t>
  </si>
  <si>
    <t>C4.2.12</t>
  </si>
  <si>
    <t>Finishing the side slopes</t>
  </si>
  <si>
    <t>C4.2.12.1</t>
  </si>
  <si>
    <t>Cuttings:</t>
  </si>
  <si>
    <t>In soft material</t>
  </si>
  <si>
    <t>m2</t>
  </si>
  <si>
    <t>C4.3</t>
  </si>
  <si>
    <t>EXISTING ROAD MATERIALS</t>
  </si>
  <si>
    <t>C4.3.2</t>
  </si>
  <si>
    <t>Cleaning the existing road surface</t>
  </si>
  <si>
    <t>C4.3.2.1</t>
  </si>
  <si>
    <t xml:space="preserve">Cost to clean the road surface as instructed by the Engineer </t>
  </si>
  <si>
    <t>C4.3.2.2</t>
  </si>
  <si>
    <t>Handling costs and profit in respect of item C4.3.2.1 (Capped at 7.5%)</t>
  </si>
  <si>
    <t>C4.3.4</t>
  </si>
  <si>
    <t>Saw-cutting existing materials within the following average depth ranges</t>
  </si>
  <si>
    <t>C4.3.4.1</t>
  </si>
  <si>
    <t>Asphalt material:</t>
  </si>
  <si>
    <t xml:space="preserve">(a) </t>
  </si>
  <si>
    <t>Up to 50 mm</t>
  </si>
  <si>
    <t>Exceeding 50 mm and up to 100 mm</t>
  </si>
  <si>
    <t>C4.3.5</t>
  </si>
  <si>
    <t>Providing the milling machine on the site</t>
  </si>
  <si>
    <t>C4.3.5.2</t>
  </si>
  <si>
    <t>Large milling machine with a cutting width exceeding 1,2 m</t>
  </si>
  <si>
    <t>C4.3.6</t>
  </si>
  <si>
    <t>Milling and removal of existing asphalt layers with an average milling depth (Contractor takes ownership)</t>
  </si>
  <si>
    <t>C4.3.6.1</t>
  </si>
  <si>
    <t>Not exceeding 50 mm</t>
  </si>
  <si>
    <t>C4.3.6.2</t>
  </si>
  <si>
    <t>Exceeding 50 mm but not exceeding 100 mm</t>
  </si>
  <si>
    <t>C4.3.14</t>
  </si>
  <si>
    <t xml:space="preserve">Removing of existing road edging using construction equipment </t>
  </si>
  <si>
    <t>Kerbing and edge beams:</t>
  </si>
  <si>
    <t>Precast concrete kerbing (Figure 12)</t>
  </si>
  <si>
    <t>C4.5</t>
  </si>
  <si>
    <t>ALTERNATIVE MATERIALS</t>
  </si>
  <si>
    <t>C4.5.1</t>
  </si>
  <si>
    <t>Additional material investigations</t>
  </si>
  <si>
    <t>C4.5.1.1</t>
  </si>
  <si>
    <t>Cost of sampling and laboratory testing</t>
  </si>
  <si>
    <t>C4.5.1.2</t>
  </si>
  <si>
    <t>Handling cost and profit in respect of item C4.5.1.1</t>
  </si>
  <si>
    <t>C4.5.2</t>
  </si>
  <si>
    <t>Removing unwanted material from alternative materials identified by the Employer</t>
  </si>
  <si>
    <t>C4.5.2.1</t>
  </si>
  <si>
    <t>Contaminant material</t>
  </si>
  <si>
    <t>C4.5.2.2</t>
  </si>
  <si>
    <t>Handling cost and profit in respect of item C4.5.2.1</t>
  </si>
  <si>
    <t>C4.5.2.3</t>
  </si>
  <si>
    <t>Hazardous material</t>
  </si>
  <si>
    <t>C4.5.2.4</t>
  </si>
  <si>
    <t>Handling cost and profit in respect of item C4.5.2.3</t>
  </si>
  <si>
    <t>C4.5.3</t>
  </si>
  <si>
    <t>Cost to procure alternative materials identified by the Employer</t>
  </si>
  <si>
    <t>C4.5.3.1</t>
  </si>
  <si>
    <t>Cost of procuring</t>
  </si>
  <si>
    <t>C4.5.3.2</t>
  </si>
  <si>
    <t>Handling cost and profit in respect of item C4.5.3.1</t>
  </si>
  <si>
    <t>C4.4</t>
  </si>
  <si>
    <t>COMMERCIAL MATERIALS</t>
  </si>
  <si>
    <t>C4.4.2</t>
  </si>
  <si>
    <t>Commercial materials identified by the Contractor from commercial, private or other non-commercial suppliers</t>
  </si>
  <si>
    <t>C4.4.2.1</t>
  </si>
  <si>
    <t>Pavement layer material:</t>
  </si>
  <si>
    <t>(h)</t>
  </si>
  <si>
    <t xml:space="preserve">Type G7 material   (for shoulder make up) </t>
  </si>
  <si>
    <t>C4.4.2.5</t>
  </si>
  <si>
    <t>Fill material in the earthworks:</t>
  </si>
  <si>
    <t>Normal or coarse fill</t>
  </si>
  <si>
    <t xml:space="preserve">Item to fill the trench </t>
  </si>
  <si>
    <t>C4.4.7</t>
  </si>
  <si>
    <t>Sampling and material testing by a commercial laboratory for the stabilisation designs</t>
  </si>
  <si>
    <t>C4.4.7.1</t>
  </si>
  <si>
    <t>Cost of sampling and material testing</t>
  </si>
  <si>
    <t>C4.4.7.2</t>
  </si>
  <si>
    <t>Handling cost and profit in respect of item C4.4.7.1 (Capped at 7.5%)</t>
  </si>
  <si>
    <t>C5.1</t>
  </si>
  <si>
    <t>ROADBED</t>
  </si>
  <si>
    <t>C5.1.1</t>
  </si>
  <si>
    <t>Roadbed construction and compaction</t>
  </si>
  <si>
    <t>C5.1.1.4</t>
  </si>
  <si>
    <t>Compaction of imported material to 93% of MDD</t>
  </si>
  <si>
    <t>CHAPTER C5.1</t>
  </si>
  <si>
    <t>C5.1.4</t>
  </si>
  <si>
    <t>Removal of unsuitable material to spoil</t>
  </si>
  <si>
    <t>C5.1.4.1</t>
  </si>
  <si>
    <t>In layer thicknesses of 200mm and less</t>
  </si>
  <si>
    <t>Stable material</t>
  </si>
  <si>
    <t>In layer thicknesses exceeding 200mm</t>
  </si>
  <si>
    <t>C5.2</t>
  </si>
  <si>
    <t>FILL</t>
  </si>
  <si>
    <t>C5.2.2</t>
  </si>
  <si>
    <t>Fill construction</t>
  </si>
  <si>
    <t>C5.2.2.1</t>
  </si>
  <si>
    <t>Normal fill material in compacted layer thicknesses of 200 mm and less:</t>
  </si>
  <si>
    <t>Compacted to 90% MDD</t>
  </si>
  <si>
    <t>C5.2.5.2</t>
  </si>
  <si>
    <t>Fill material in sidewalk &amp; shoulders  compacted to 93% of MDD using labour enhanced methods of construction and light hand equipment</t>
  </si>
  <si>
    <t>C5.2.11</t>
  </si>
  <si>
    <t>Finishing off fill slopes, medians and interchange areas</t>
  </si>
  <si>
    <t>C5.2.11.1</t>
  </si>
  <si>
    <t>Fill slopes</t>
  </si>
  <si>
    <t>C5.3</t>
  </si>
  <si>
    <t>ROAD PAVEMENT LAYERS</t>
  </si>
  <si>
    <t>C5.3.2</t>
  </si>
  <si>
    <t>Construction of pavement layers</t>
  </si>
  <si>
    <t>C5.3.2.1</t>
  </si>
  <si>
    <t>Upper selected subgrade layer (300mm) compacted to 95% of MDD</t>
  </si>
  <si>
    <r>
      <t>m</t>
    </r>
    <r>
      <rPr>
        <vertAlign val="superscript"/>
        <sz val="10"/>
        <rFont val="Arial Narrow"/>
        <family val="2"/>
      </rPr>
      <t>3</t>
    </r>
    <r>
      <rPr>
        <sz val="11"/>
        <color theme="1"/>
        <rFont val="Calibri"/>
        <family val="2"/>
        <scheme val="minor"/>
      </rPr>
      <t/>
    </r>
  </si>
  <si>
    <t>200mm G7</t>
  </si>
  <si>
    <t>C5.4</t>
  </si>
  <si>
    <t>STABILISATION</t>
  </si>
  <si>
    <t>C5.4.2</t>
  </si>
  <si>
    <t>Chemical stabilisation</t>
  </si>
  <si>
    <t>C5.4.2.1 (a)</t>
  </si>
  <si>
    <t xml:space="preserve">Chemical stabilisation (200mm) of pavement layers - BSM1 Pavement Layer </t>
  </si>
  <si>
    <t>C5.4.7</t>
  </si>
  <si>
    <t>Bituminous stabilisation of pavement layers</t>
  </si>
  <si>
    <t>C5.4.7.1</t>
  </si>
  <si>
    <t>Bituminous stabilisation (200mm) of pavement layers (BSM 1)</t>
  </si>
  <si>
    <t>ℓ</t>
  </si>
  <si>
    <t>C5.4.9</t>
  </si>
  <si>
    <t>Filler for bituminous stabilisation</t>
  </si>
  <si>
    <t>C5.4.9.1</t>
  </si>
  <si>
    <t>Cement (for BSM1 Stabilisation)</t>
  </si>
  <si>
    <t>t</t>
  </si>
  <si>
    <t>C5.4.10</t>
  </si>
  <si>
    <t>Provision and application of water for curing</t>
  </si>
  <si>
    <t>kℓ</t>
  </si>
  <si>
    <t>C5.5</t>
  </si>
  <si>
    <t>RECONSTRUCTION OF PAVEMENT LAYERS</t>
  </si>
  <si>
    <t>C5.5.1</t>
  </si>
  <si>
    <t>Compiling and implementing M&amp; U plans for the reconstruction of an existing road pavement</t>
  </si>
  <si>
    <t>C5.5.2</t>
  </si>
  <si>
    <t>Reconstruction preparatory work</t>
  </si>
  <si>
    <t>C5.5.2.1</t>
  </si>
  <si>
    <t>Undivided carraigeway:</t>
  </si>
  <si>
    <t>Uniform section from km 10,00 TO KM 30,00</t>
  </si>
  <si>
    <t>C5.5.5</t>
  </si>
  <si>
    <t>Construction of a trial section using a recycler</t>
  </si>
  <si>
    <t>C5.5.7</t>
  </si>
  <si>
    <t>Pre-milling existing wearing course material</t>
  </si>
  <si>
    <t>psC5.5.7.1</t>
  </si>
  <si>
    <t>Pre-milling an asphalt wearing course (depth of pre-milling varies between 10 mm and 120mm maximum)</t>
  </si>
  <si>
    <t>C5.5.10</t>
  </si>
  <si>
    <t>Roller-pass compaction of an exposed pavement layer</t>
  </si>
  <si>
    <t>C5.5.10.1</t>
  </si>
  <si>
    <t>Smooth drum vibratory rollers</t>
  </si>
  <si>
    <t>C5.5.11</t>
  </si>
  <si>
    <t>Watering the exposed pavement layer</t>
  </si>
  <si>
    <t>C5.5.16</t>
  </si>
  <si>
    <t>In-situ reconstruction of a pavement layer using a recycler to construct a stabilised base layer</t>
  </si>
  <si>
    <t>C5.5.16.1</t>
  </si>
  <si>
    <t>Chemically stabilised base layer compacted to 100% of MDD:</t>
  </si>
  <si>
    <t>Using a combination of non-cemented and cemented material compcated to 200 mm thick. (Including replacement of all cutting tools and holders)(Insitu + imported materials)</t>
  </si>
  <si>
    <t>C6.1</t>
  </si>
  <si>
    <t>PAVER LAID CONCRETE LAYERS</t>
  </si>
  <si>
    <t>C6.1.2</t>
  </si>
  <si>
    <t>Construction of jointed concrete pavement (JCP) (Excluding texturing and curing)</t>
  </si>
  <si>
    <t>C6.1.2.1</t>
  </si>
  <si>
    <t>JCP without dowels:</t>
  </si>
  <si>
    <t>Labour enhanced construction (50mm - C16/20 concrete)</t>
  </si>
  <si>
    <t>C6.1.4</t>
  </si>
  <si>
    <t>Texturing and curing the concrete pavement</t>
  </si>
  <si>
    <t>C6.1.4.2</t>
  </si>
  <si>
    <t>Burlap-dragged and broom finish only</t>
  </si>
  <si>
    <t>C6.1.4.3</t>
  </si>
  <si>
    <t>Curing:</t>
  </si>
  <si>
    <t>Labour enhanced construction</t>
  </si>
  <si>
    <t>C6.1.6</t>
  </si>
  <si>
    <t>Joints</t>
  </si>
  <si>
    <t xml:space="preserve">3,3km </t>
  </si>
  <si>
    <t xml:space="preserve">   C6.1.6.1</t>
  </si>
  <si>
    <t>Expansion joints complete (excluding dowels)</t>
  </si>
  <si>
    <t>C6.1.7</t>
  </si>
  <si>
    <t>Steel reinforcement in concrete pavements</t>
  </si>
  <si>
    <t>C6.1.7.3</t>
  </si>
  <si>
    <t>Welded steel fabric (REF193)</t>
  </si>
  <si>
    <t>Concrete Access Scoops as per standard detail</t>
  </si>
  <si>
    <t>C6.2</t>
  </si>
  <si>
    <t>SEGMENTAL BLOCK PAVING LAYERS</t>
  </si>
  <si>
    <t>C6.2.1</t>
  </si>
  <si>
    <t>Segmental block paving</t>
  </si>
  <si>
    <t>C6.2.1.1</t>
  </si>
  <si>
    <t>Concrete block paving (indicate class, type and thickness of blocks)</t>
  </si>
  <si>
    <r>
      <t>m</t>
    </r>
    <r>
      <rPr>
        <vertAlign val="superscript"/>
        <sz val="10"/>
        <rFont val="Calibri"/>
        <family val="2"/>
      </rPr>
      <t>2</t>
    </r>
  </si>
  <si>
    <t>C6.2.2</t>
  </si>
  <si>
    <t>Cast in-situ concrete edge and intermediate beams</t>
  </si>
  <si>
    <t>C6.2.3.1</t>
  </si>
  <si>
    <t>Provision of materials</t>
  </si>
  <si>
    <t>PC sum</t>
  </si>
  <si>
    <t>C6.2.3.2</t>
  </si>
  <si>
    <t>Contractor’s charges and profit added to the prime cost sum</t>
  </si>
  <si>
    <t>C6.2.4</t>
  </si>
  <si>
    <t>Re-sanding of joints in segmental block paving</t>
  </si>
  <si>
    <t>C6.2.4.1</t>
  </si>
  <si>
    <t>C7.1</t>
  </si>
  <si>
    <t>REPLACEMENT OF EXISTING JOINT SEALANT</t>
  </si>
  <si>
    <t>C7.1.1</t>
  </si>
  <si>
    <t>Replacing of joint sealant in existing concrete pavement as follows:</t>
  </si>
  <si>
    <t>C7.1.1.1</t>
  </si>
  <si>
    <t>Removal of existing seal and backing material</t>
  </si>
  <si>
    <t>C7.1.1.2</t>
  </si>
  <si>
    <t>Reaming of existing joints (indicate width and depth)</t>
  </si>
  <si>
    <t>C7.1.1.3</t>
  </si>
  <si>
    <t>Bevelling of one side of the joint to a dimension of 10 mm X 10 mm</t>
  </si>
  <si>
    <t>C7.1.1.4</t>
  </si>
  <si>
    <t>Bevelling of both sides of the joint to a dimension of 10 mm X 10 mm</t>
  </si>
  <si>
    <t>C7.1.1.5</t>
  </si>
  <si>
    <t>Installation of backing material in saw cut joints (to fit saw cut dimensions)</t>
  </si>
  <si>
    <t>C7.1.1.6</t>
  </si>
  <si>
    <t>Installation of cold pour sealant</t>
  </si>
  <si>
    <t>C7.1.2</t>
  </si>
  <si>
    <t>Costs incurred due to repair and monitoring in terms of Product Performance Guarantee System (PPGS)</t>
  </si>
  <si>
    <t>Lump sum</t>
  </si>
  <si>
    <t>C7.2</t>
  </si>
  <si>
    <t>REPAIR TO EXISTING JOINTS AND UNCONTROLLED CRACKS INTO CONCRETE PAVEMENTS</t>
  </si>
  <si>
    <t>C7.2.1</t>
  </si>
  <si>
    <t>Transverse and longitudinal crack and joint repairs incorporating the following treatments</t>
  </si>
  <si>
    <t>C7.2.1.1</t>
  </si>
  <si>
    <t>Routing of active cracks (indicate width and depth)</t>
  </si>
  <si>
    <t>C7.2.1.2</t>
  </si>
  <si>
    <t>Routing of non-active cracks (indicate width and depth)</t>
  </si>
  <si>
    <t>C7.2.1.3</t>
  </si>
  <si>
    <t>Bevelling of one side of the crack (indicate dimension)</t>
  </si>
  <si>
    <t>C7.2.1.4</t>
  </si>
  <si>
    <t>Bevelling of both sides of the crack (indicate dimension)</t>
  </si>
  <si>
    <t>C7.2.1.5</t>
  </si>
  <si>
    <t>Saw cutting of cracks and joints in one operation (indicate depth and width)</t>
  </si>
  <si>
    <t>C7.2.1.6</t>
  </si>
  <si>
    <t>Filling joint reservoir with cementitious non-shrink grout</t>
  </si>
  <si>
    <t>C7.2.1.7</t>
  </si>
  <si>
    <t>C7.2.1.8</t>
  </si>
  <si>
    <t>C7.2.2</t>
  </si>
  <si>
    <t>Grouting of cracks</t>
  </si>
  <si>
    <t>C7.2.3</t>
  </si>
  <si>
    <t>Cross-stitching of longitudinal and transverse joints and cracks</t>
  </si>
  <si>
    <t>C7.2.3.1</t>
  </si>
  <si>
    <t>Saw cutting of slots in concrete pavement (indicate dimensions)</t>
  </si>
  <si>
    <t>C7.2.3.2</t>
  </si>
  <si>
    <t>Application of wet-to-dry epoxy to vertical faces and top of existing concrete</t>
  </si>
  <si>
    <t>C7.2.3.3</t>
  </si>
  <si>
    <t>Installation of 16 mm diameter deformed tie-bar (indicate length) including application of self-levelling pourable epoxy grout and 7,1 mm aggregate.</t>
  </si>
  <si>
    <t>C7.2.3.4</t>
  </si>
  <si>
    <t>Filling of slot with high strength concrete Class 50/7,1 mm</t>
  </si>
  <si>
    <t>C7.2.4</t>
  </si>
  <si>
    <t>Restoration of load transfer at transverse contraction joints</t>
  </si>
  <si>
    <t>C7.2.4.1</t>
  </si>
  <si>
    <t>Saw cutting and preparation of slots in concrete pavement (indicate dimensions)</t>
  </si>
  <si>
    <t>C7.2.4.2</t>
  </si>
  <si>
    <t>Installation of new dowel bars as specified (indicate length and diameter) including application of bond breaker on free end, end caps.</t>
  </si>
  <si>
    <t>C7.2.4.3</t>
  </si>
  <si>
    <t>C7.2.5</t>
  </si>
  <si>
    <t>Pre-treating existing dowels</t>
  </si>
  <si>
    <t>C7.2.5.1</t>
  </si>
  <si>
    <t>Free ends in existing concrete</t>
  </si>
  <si>
    <t>C7.2.5.2</t>
  </si>
  <si>
    <t>Free ends in new concrete</t>
  </si>
  <si>
    <t>C7.2.6</t>
  </si>
  <si>
    <t>C7.2.6.1</t>
  </si>
  <si>
    <t>Burlap-dragged and grooved texture:</t>
  </si>
  <si>
    <t>C7.2.6.2</t>
  </si>
  <si>
    <t>Curing</t>
  </si>
  <si>
    <t>Paving train constructed</t>
  </si>
  <si>
    <t>C7.2.7</t>
  </si>
  <si>
    <t>Variation in the rate of application of the curing compound</t>
  </si>
  <si>
    <t>C7.2.8</t>
  </si>
  <si>
    <t>C7.2.8.1</t>
  </si>
  <si>
    <t>Mild steel bars</t>
  </si>
  <si>
    <t>C7.2.8.2</t>
  </si>
  <si>
    <t>High tensile steel bars</t>
  </si>
  <si>
    <t>C7.2.8.3</t>
  </si>
  <si>
    <t>Welded steel fabric</t>
  </si>
  <si>
    <t>C7.3</t>
  </si>
  <si>
    <t>REMOVAL AND REINSTATEMENT OF EXISTING CONCRETE LAYERS</t>
  </si>
  <si>
    <t>C7.3.1</t>
  </si>
  <si>
    <t>Removal of concrete in rehabilitation work</t>
  </si>
  <si>
    <t>C7.3.1.1</t>
  </si>
  <si>
    <t>Concrete without reinforcing</t>
  </si>
  <si>
    <t>C7.3.1.2</t>
  </si>
  <si>
    <t>Reinforced concrete</t>
  </si>
  <si>
    <t>C7.3.1.3</t>
  </si>
  <si>
    <t>Underlying layers</t>
  </si>
  <si>
    <t>C7.3.3</t>
  </si>
  <si>
    <t>Partial Depth Repairs using hand placed fine concrete</t>
  </si>
  <si>
    <t>C7.3.4</t>
  </si>
  <si>
    <t>Tie-bars and dowels for full depth repairs</t>
  </si>
  <si>
    <t>C7.3.4.1</t>
  </si>
  <si>
    <t>Tie bars (indicate diameter and length)</t>
  </si>
  <si>
    <t>C7.3.4.2</t>
  </si>
  <si>
    <t>Dowel bars (indicate diameter and length)</t>
  </si>
  <si>
    <t>C7.3.5</t>
  </si>
  <si>
    <t>Partial Depth Repairs using hand placed acrylic resin grout</t>
  </si>
  <si>
    <t>C7.3.6</t>
  </si>
  <si>
    <t>Reinstating the subbase with lean mix concrete</t>
  </si>
  <si>
    <t>C7.3.7</t>
  </si>
  <si>
    <t>Removal of exposed stitches in concrete pavement</t>
  </si>
  <si>
    <t>C7.3.8</t>
  </si>
  <si>
    <t>Sawing of concrete in rehabilitation works to different depths</t>
  </si>
  <si>
    <t>C7.3.8.1</t>
  </si>
  <si>
    <t>State depth in mm</t>
  </si>
  <si>
    <t>C7.3.9</t>
  </si>
  <si>
    <t>Removal of existing supporting layers in rehabilitation work</t>
  </si>
  <si>
    <t>C7.3.9.1</t>
  </si>
  <si>
    <t>Granular material</t>
  </si>
  <si>
    <t>C7.3.9.2</t>
  </si>
  <si>
    <t>Cemented material</t>
  </si>
  <si>
    <t>C7.3.9.3</t>
  </si>
  <si>
    <t>Asphalt material</t>
  </si>
  <si>
    <t>C7.3.10</t>
  </si>
  <si>
    <t>Preparing the underlying layers after the concrete has been removed</t>
  </si>
  <si>
    <t>C7.3.10.1</t>
  </si>
  <si>
    <t>Re-compaction of remaining underlying layers</t>
  </si>
  <si>
    <t>C7.3.10.2</t>
  </si>
  <si>
    <t>Replacement of granular layers (material class and thickness indicated)</t>
  </si>
  <si>
    <t>C7.3.10.3</t>
  </si>
  <si>
    <t>Replacement of stabilised layers (material class and thickness indicated)</t>
  </si>
  <si>
    <t>C7.3.10.4</t>
  </si>
  <si>
    <t>Replacement of supporting layers with 10 MPa lean mix concrete (material class and thickness indicated)</t>
  </si>
  <si>
    <t>C7.3.10.5</t>
  </si>
  <si>
    <t>Replacement of subbase with hot mix asphalt (thickness indicated)</t>
  </si>
  <si>
    <t>C7.3.10.6</t>
  </si>
  <si>
    <t>Levelling the surface with coarse slurry (micro surfacing)</t>
  </si>
  <si>
    <t>C7.3.11</t>
  </si>
  <si>
    <t>Reinstatement of concrete layers (Excluding texturing and curing)</t>
  </si>
  <si>
    <t>C7.3.11.1</t>
  </si>
  <si>
    <t>Replacement of concrete in JCP pavements (thickness indicated)</t>
  </si>
  <si>
    <t>C7.3.11.2</t>
  </si>
  <si>
    <t>Replacement concrete in CRCP pavements (thickness indicated)</t>
  </si>
  <si>
    <t>C7.3.12</t>
  </si>
  <si>
    <t>C7.3.12.1</t>
  </si>
  <si>
    <t>C7.3.12.2</t>
  </si>
  <si>
    <t>C7.3.13</t>
  </si>
  <si>
    <t>C7.3.13.1</t>
  </si>
  <si>
    <t>Burlap-dragged and texture (indicate groove or broom finish)</t>
  </si>
  <si>
    <t>C7.3.13.2</t>
  </si>
  <si>
    <t>C7.3.14</t>
  </si>
  <si>
    <t>C7.3.15</t>
  </si>
  <si>
    <t>C7.3.15.1</t>
  </si>
  <si>
    <t>C7.3.15.2</t>
  </si>
  <si>
    <t>C7.3.16</t>
  </si>
  <si>
    <t>Temporary Partial Depth Repairs using Asphalt Materials</t>
  </si>
  <si>
    <t>C7.4</t>
  </si>
  <si>
    <t>REINSTATEMENT OF SLAB SUPPORT BY GROUT INJECTION</t>
  </si>
  <si>
    <t>C7.4.1</t>
  </si>
  <si>
    <t>Sub-sealing of the concrete pavement</t>
  </si>
  <si>
    <t>number of 50 kg cement pockets</t>
  </si>
  <si>
    <t>C7.5</t>
  </si>
  <si>
    <t>REINSTATEMENT OF RIDING QUALITY</t>
  </si>
  <si>
    <t>C7.5.1</t>
  </si>
  <si>
    <t>Grinding of existing concrete pavement surfaces</t>
  </si>
  <si>
    <t>C7.6</t>
  </si>
  <si>
    <t>REINSTATEMENT OF SURFACE TEXTURE</t>
  </si>
  <si>
    <t>C7.6.1</t>
  </si>
  <si>
    <t>Retexturing of concrete surfaces (transverse or longitudinal)</t>
  </si>
  <si>
    <t>C8.1</t>
  </si>
  <si>
    <t>PRIME COAT</t>
  </si>
  <si>
    <t>C8.1.1</t>
  </si>
  <si>
    <t>Prime coat:</t>
  </si>
  <si>
    <t>C8.1.1.2</t>
  </si>
  <si>
    <t>MC - 30 cut-back bitumen</t>
  </si>
  <si>
    <t>C8.1.3</t>
  </si>
  <si>
    <t>Extra over item C8.1.1 for applying the prime coat accessible only to hand-held or light equipment</t>
  </si>
  <si>
    <t>C8.2</t>
  </si>
  <si>
    <t>COVER SPRAYS, FOG SPRAYS AND REJUVENATION SPRAYS</t>
  </si>
  <si>
    <t>C8.2.1</t>
  </si>
  <si>
    <t>Cover sprays, fog sprays and rejuvenation sprays</t>
  </si>
  <si>
    <t>C8.2.1.1</t>
  </si>
  <si>
    <t>65% Cationic spray grade emulsion</t>
  </si>
  <si>
    <t>Indicate dilution (Diluted ….% Emulsion/ ….% Water)</t>
  </si>
  <si>
    <t>C8.2.1.2</t>
  </si>
  <si>
    <t>60% Anionic stable grade emulsion</t>
  </si>
  <si>
    <t>C8.2.1.3</t>
  </si>
  <si>
    <t>Cutback Inverted bitumen emulsion</t>
  </si>
  <si>
    <t>C8.2.1.4</t>
  </si>
  <si>
    <t>Certified rejuvenator (State type and certification)</t>
  </si>
  <si>
    <t>C8.2.2</t>
  </si>
  <si>
    <t>Extra over item C8.2.1 for labour enhanced applications</t>
  </si>
  <si>
    <t>C8.2.2.1</t>
  </si>
  <si>
    <t>C8.2.2.2</t>
  </si>
  <si>
    <t>C8.2.2.3</t>
  </si>
  <si>
    <t>C8.2.2.4</t>
  </si>
  <si>
    <t>C8.3</t>
  </si>
  <si>
    <t>TEXTURE TREATMENT</t>
  </si>
  <si>
    <t>C8.3.1</t>
  </si>
  <si>
    <t>Texture treatment</t>
  </si>
  <si>
    <t>C8.3.1.1</t>
  </si>
  <si>
    <t>Application of slurry for texture improvement, applied by hand (indicate aggregate grade, type of emulsion, filler type)</t>
  </si>
  <si>
    <t>C8.3.1.2</t>
  </si>
  <si>
    <t>Application of slurry for texture improvement, applied by spreader box (indicate aggregate grade, type of emulsion, filler type)</t>
  </si>
  <si>
    <t>C8.3.1.3</t>
  </si>
  <si>
    <t>Application of microsurfacing for texture improvement, applied by spreade box (indicate aggregate grade, type of emulsion, filler type)</t>
  </si>
  <si>
    <t>C8.4</t>
  </si>
  <si>
    <t>RUT AND/OR DEPRESSION CORRECTION</t>
  </si>
  <si>
    <t>C8.4.1</t>
  </si>
  <si>
    <t>Rut and/or Depression correction (screeding)</t>
  </si>
  <si>
    <t>C8.4.1.1</t>
  </si>
  <si>
    <t>Bond coat using 50% diluted stable grade bitumen emulsion</t>
  </si>
  <si>
    <t>C8.4.1.2</t>
  </si>
  <si>
    <t>Correction material</t>
  </si>
  <si>
    <t>Continuously-graded asphalt (state nominal maximum aggregate size and binder type)</t>
  </si>
  <si>
    <t>Semi-gap graded asphalt (state nominal maximum aggregate size and binder type)</t>
  </si>
  <si>
    <t>Cold applied asphalt (Agrèment SA Certified for specific class as specified))</t>
  </si>
  <si>
    <t>Coarse slurry (state aggregate grade and emulsion type)</t>
  </si>
  <si>
    <t>Microsurfacing (state aggregate grade and binder type)</t>
  </si>
  <si>
    <t>Contract No. KSIA7068/2023/RFP</t>
  </si>
  <si>
    <t>MC - 30 cut-back bitumen (Application Rate 0,7l/m2)</t>
  </si>
  <si>
    <t>C8.5</t>
  </si>
  <si>
    <t>STANDARD CRACK SEALING</t>
  </si>
  <si>
    <t>C8.5.1</t>
  </si>
  <si>
    <t>Standard crack sealing</t>
  </si>
  <si>
    <t>C8.5.1.1</t>
  </si>
  <si>
    <t>Cleaning cracks</t>
  </si>
  <si>
    <t>Cleaning cracks with cold compressed air</t>
  </si>
  <si>
    <t>C8.5.1.2</t>
  </si>
  <si>
    <t>Applying herbicides for sealing cracks</t>
  </si>
  <si>
    <t>C8.5.1.3</t>
  </si>
  <si>
    <t xml:space="preserve">Priming </t>
  </si>
  <si>
    <t>C8.5.1.4</t>
  </si>
  <si>
    <t>Sealing the cracks</t>
  </si>
  <si>
    <t>Sealing using (polymer modified bitumen)</t>
  </si>
  <si>
    <t>C8.5.1.5</t>
  </si>
  <si>
    <t>Heating of surface before rolling</t>
  </si>
  <si>
    <t>C8.5.1.6</t>
  </si>
  <si>
    <t>Rolling the cracks</t>
  </si>
  <si>
    <t>C8.6</t>
  </si>
  <si>
    <t>GEOSYNTHETIC CRACK SEALING</t>
  </si>
  <si>
    <t>C8.6.1</t>
  </si>
  <si>
    <t>Geosynthetic crack sealing</t>
  </si>
  <si>
    <t>C8.6.1.1</t>
  </si>
  <si>
    <t>Sealing cacks with 200 mm wide geosynthetic (specify type of emulsion)</t>
  </si>
  <si>
    <t>C8.6.1.2</t>
  </si>
  <si>
    <t>Sealing cacks with geosynthetic over areas (specify type of emulsion)</t>
  </si>
  <si>
    <t>C8.7</t>
  </si>
  <si>
    <t>PLANING</t>
  </si>
  <si>
    <t>C8.7.1</t>
  </si>
  <si>
    <t>Planing</t>
  </si>
  <si>
    <t>C8.7.1.1</t>
  </si>
  <si>
    <t>Planing of road surface (indicate thickness in mm)</t>
  </si>
  <si>
    <t>C8.7.1.2</t>
  </si>
  <si>
    <t>Fog spraying on planned surfaces</t>
  </si>
  <si>
    <t>C8.7.1.3</t>
  </si>
  <si>
    <t>Hand spraying</t>
  </si>
  <si>
    <t>C8.7.1.4</t>
  </si>
  <si>
    <t>Spraying with mechanical equipment</t>
  </si>
  <si>
    <t>C8.7.1.5</t>
  </si>
  <si>
    <t>Rolling the planed surface</t>
  </si>
  <si>
    <r>
      <t>m</t>
    </r>
    <r>
      <rPr>
        <vertAlign val="superscript"/>
        <sz val="10"/>
        <rFont val="Arial"/>
        <family val="2"/>
      </rPr>
      <t>2</t>
    </r>
    <r>
      <rPr>
        <sz val="10"/>
        <rFont val="Arial"/>
        <family val="2"/>
      </rPr>
      <t>-pass</t>
    </r>
  </si>
  <si>
    <t>C8.8</t>
  </si>
  <si>
    <t>PATCHING AND EDGE BREAK REPAIR</t>
  </si>
  <si>
    <t>C8.8.1</t>
  </si>
  <si>
    <t>Saw cutting pavement layers for patching</t>
  </si>
  <si>
    <t>C8.8.1.1</t>
  </si>
  <si>
    <t>Asphalt or bituminous surfacing to an average depth</t>
  </si>
  <si>
    <t>PSC8.8.7</t>
  </si>
  <si>
    <t xml:space="preserve">Reconstructing edges as per Engineers Detail Drawing (KSIA-CIV-TX-004) complete </t>
  </si>
  <si>
    <t>PSC8.8.8</t>
  </si>
  <si>
    <t xml:space="preserve">Supply and install 150mm x 150mm x10mm steel plate epoxied over existing lighting core holes on Bravo Taxiway. The rate is to include GPS logging of the existing lighting core holes before the steel plate is installed. </t>
  </si>
  <si>
    <t xml:space="preserve">No </t>
  </si>
  <si>
    <t>C9.1</t>
  </si>
  <si>
    <t>ASPHALT LAYERS</t>
  </si>
  <si>
    <t>C9.1.1</t>
  </si>
  <si>
    <t>Asphalt mix designs</t>
  </si>
  <si>
    <t xml:space="preserve">level crossing </t>
  </si>
  <si>
    <t>C9.9.1.2</t>
  </si>
  <si>
    <t>Sand skeletal mixes:</t>
  </si>
  <si>
    <t>Continuously graded base or surfacing (A-E2 modified binder and level 1 design)</t>
  </si>
  <si>
    <t>C9.1.2</t>
  </si>
  <si>
    <t>Construction of trial sections</t>
  </si>
  <si>
    <t>C9.1.2.1</t>
  </si>
  <si>
    <t>Asphalt layers (Sand Skeletal, 40mm thickness and placing technique (paver))</t>
  </si>
  <si>
    <t>C9.1.2.2</t>
  </si>
  <si>
    <t>Removal of trial section where so instructed by the Engineer</t>
  </si>
  <si>
    <t>C9.1.5</t>
  </si>
  <si>
    <t>Asphalt surfacing</t>
  </si>
  <si>
    <t>C9.1.5.1</t>
  </si>
  <si>
    <t>New construction</t>
  </si>
  <si>
    <t>Sand skeletal mix - continuously graded as defined (40mm thick, A-E2 modified binder , design level 1 and placing technique (paver))</t>
  </si>
  <si>
    <t>C9.1.7</t>
  </si>
  <si>
    <t>Placing and compacting asphalt in restricted areas</t>
  </si>
  <si>
    <t>C9.1.7.2</t>
  </si>
  <si>
    <t>Extra over payment item C9.1.4.2 and C9.1.5.2 (40mm layer thickness, sand skeletal mix, A-E2 modified binder, nominal maximum particle size 14mm and placing technique (paver))</t>
  </si>
  <si>
    <t>C9.1.13</t>
  </si>
  <si>
    <t>Coring of asphalt layers</t>
  </si>
  <si>
    <t>C9.1.13.1</t>
  </si>
  <si>
    <t>100 mm diameter</t>
  </si>
  <si>
    <t>PSC9.1.17</t>
  </si>
  <si>
    <t>Additional rotary brooming as directed by the Engineer only</t>
  </si>
  <si>
    <t>CHAPTER C9.1</t>
  </si>
  <si>
    <t>(a)(i)</t>
  </si>
  <si>
    <t>Continuously Graded Surfacing (SA-E14 - A-P1 Modified Binder (PG64E-16) Level 3 Design)(NMPS 14mm)</t>
  </si>
  <si>
    <t xml:space="preserve">Surfacing </t>
  </si>
  <si>
    <t>(a)(ii)</t>
  </si>
  <si>
    <t>Continuously Graded Base (A-E2 Modified Binder and Level 3 design)(NMPS 14mm)</t>
  </si>
  <si>
    <t xml:space="preserve">BTB </t>
  </si>
  <si>
    <t>High Modulus Asphalt (Class II EME) (10-20 Penetration Grade Bitumen Binder)(SABITA Manual 33)(NMPS 14mm)</t>
  </si>
  <si>
    <t>C9.1.2.1 (a)</t>
  </si>
  <si>
    <t>Asphalt layers (Continuously graded base, layer thickness (varies) and placing technique (paver))</t>
  </si>
  <si>
    <t>BTB</t>
  </si>
  <si>
    <t>C9.1.2.1 (b)</t>
  </si>
  <si>
    <t>Asphalt layers (High Modulus Asphalt (Class II EME), layer thickness (70mm) and placing technique (paver))</t>
  </si>
  <si>
    <t>EME</t>
  </si>
  <si>
    <t>C9.1.2.1 (c)</t>
  </si>
  <si>
    <t>Asphalt layers (High Modulus Asphalt (Class II EME), layer thickness (90mm) and placing technique (paver))</t>
  </si>
  <si>
    <t>C9.1.2.1 (d)</t>
  </si>
  <si>
    <t>Asphalt layers (Continuously graded surfacing, layer thickness (50mm) and placing technique (paver))</t>
  </si>
  <si>
    <t>Wearing Course</t>
  </si>
  <si>
    <t>C9.1.3</t>
  </si>
  <si>
    <t>Application of bond coat</t>
  </si>
  <si>
    <t>C9.1.3.1</t>
  </si>
  <si>
    <t>Stable grade 60% net bitumen emulsion as specified. Applied with a calibrated distributer</t>
  </si>
  <si>
    <t>0,7l/,2</t>
  </si>
  <si>
    <t>C9.1.3.1(ii)</t>
  </si>
  <si>
    <t>E36 Cationic bitumen emulsion 60% with the addition of organo functional silanes, 3% SBR latex and trackless properties. Applied with a calibrated distributer</t>
  </si>
  <si>
    <t>C9.1.3.2</t>
  </si>
  <si>
    <t>Applied in restricted areas using a portable pressure sprayer</t>
  </si>
  <si>
    <t>C9.1.3.3</t>
  </si>
  <si>
    <t>Applied by hand using brushes on all exposed transverse and longitudinal construction joints</t>
  </si>
  <si>
    <t>C9.1.4</t>
  </si>
  <si>
    <t>Asphalt base</t>
  </si>
  <si>
    <t>C9.1.4.2</t>
  </si>
  <si>
    <t>Rehabilitation</t>
  </si>
  <si>
    <t>(b)(i)</t>
  </si>
  <si>
    <t>Sand skeletal mix - high modulus asphalt (Class II EME) (70mm layer thickness, 10-20 Penetration Grade Bitumen, design class (Sabita Manual 33) and placing technique paver)(NMPS 14mm)</t>
  </si>
  <si>
    <t xml:space="preserve">Increase in Quantity </t>
  </si>
  <si>
    <t xml:space="preserve">Original Cross Sections Excluding Tie-In Below </t>
  </si>
  <si>
    <t>(b)(ii)</t>
  </si>
  <si>
    <t>Sand skeletal mix - high modulus asphalt (Class II EME) (90mm layer thickness, 10-20 Penetration Grade Bitumen, design class  (Sabita Manual 33) and placing technique paver)(NMPS 14mm)</t>
  </si>
  <si>
    <t>New Cross Section for tie-in November, Alpha 1 and Alpha 2</t>
  </si>
  <si>
    <t>Sand skeletal mix - continuously graded asphalt as defined (variable layer thickness, AE-2 Modified binder , design class/level III and placing technique Paver)(NMPS 14mm)</t>
  </si>
  <si>
    <t xml:space="preserve">BTB Remains the same </t>
  </si>
  <si>
    <t>C9.1.5.2</t>
  </si>
  <si>
    <t>(e)(i)</t>
  </si>
  <si>
    <t>Sand skeletal mix - continuously graded as defined (50mm layer thickness, SA-E14 - A-P1 Modified Binder (PG64E-16), design class/level III and placing technique paver)(NMPS 14mm)</t>
  </si>
  <si>
    <t>(e)(ii)</t>
  </si>
  <si>
    <t>Sand skeletal mix - continuously graded as defined (30mm layer thickness, SA-E14 - A-P1 Modified Binder (PG64E-16), design class/level III and placing technique paver)(NMPS 14mm)</t>
  </si>
  <si>
    <t>C9.1.7.1 (a)</t>
  </si>
  <si>
    <t>Extra over payment item C9.1.4.1 and C9.1.5.1 (Sand skeletal mix - continuously graded as defined (variable layer thickness, AE-2 Modified binder type, design class/level III and placing technique Paver)(NMPS 14mm)</t>
  </si>
  <si>
    <t xml:space="preserve">New item </t>
  </si>
  <si>
    <t>C9.1.7.1 (b)</t>
  </si>
  <si>
    <t>Extra over payment item C9.1.4.1 and C9.1.5.1 (Sand skeletal mix - high modulus asphalt (EME II) (70mm layer thickness, 10-20 Penetration Grade Bitumen, design class (Sabita Manual 33) and placing technique paver)(NMPS 14mm))</t>
  </si>
  <si>
    <t>Extra over payment item C9.1.4.1 and C9.1.5.1 (Sand skeletal mix - high modulus asphalt (EME II) (90mm layer thickness, 10-20 Penetration Grade Bitumen , design class (Sabita Manual 33) and placing technique paver)(NMPS 14mm))</t>
  </si>
  <si>
    <t>C9.1.7.1 (c)</t>
  </si>
  <si>
    <t>Extra over payment item C9.1.4.1 and C9.1.5.1 (Sand skeletal mix - continuously graded as defined (50mm layer thickness, Sa-E14 - A-P1 Modified Binder (PG64E-16) and design class/level III and placing technique paver)(NMPS 14mm))</t>
  </si>
  <si>
    <t>Extra over payment item C9.1.4.1 and C9.1.5.1 (Sand skeletal mix - continuously graded as defined (30mm layer thickness, Sa-E14 - A-P1 Modified Binder (PG64E-16) and design class/level III and placing technique paver)(NMPS 14mm))</t>
  </si>
  <si>
    <t>C9.1.10</t>
  </si>
  <si>
    <t>Variation rates</t>
  </si>
  <si>
    <t>C9.1.10.1 (a)</t>
  </si>
  <si>
    <t>Bitumen (10-20 penetration grade bitumen )</t>
  </si>
  <si>
    <t>C9.1.10.1 (b)</t>
  </si>
  <si>
    <t>Bitumen (A-P1 Modified Binder )</t>
  </si>
  <si>
    <t>Bitumen (AE-2 Modified Binder )</t>
  </si>
  <si>
    <t>C9.1.13.2</t>
  </si>
  <si>
    <t>150 mm diameter</t>
  </si>
  <si>
    <t>C9.1.13.3</t>
  </si>
  <si>
    <t xml:space="preserve">100 mm diameter cores through GPS logged lighting positions </t>
  </si>
  <si>
    <t>C9.1.14</t>
  </si>
  <si>
    <t>Surface regularity testing as described in Clause A9.1.8.4</t>
  </si>
  <si>
    <t>C9.1.14.1</t>
  </si>
  <si>
    <t>Establishment of equipment: (Inertial laser profilometer)</t>
  </si>
  <si>
    <t>C9.1.14.2</t>
  </si>
  <si>
    <t>Profiler Surveys utilising equipment as specified - Base layers and surfacing layers</t>
  </si>
  <si>
    <t xml:space="preserve">Test EME and Wearing Course </t>
  </si>
  <si>
    <t xml:space="preserve">44km lanes </t>
  </si>
  <si>
    <t xml:space="preserve">Contractor must do initial IRI testing when commencing with paving as a baseline. </t>
  </si>
  <si>
    <t>C11.1</t>
  </si>
  <si>
    <t>PITCHING, STONEWORK, CAST IN SITU CONCRETE FOR PROTECTION AGAINST EROSION</t>
  </si>
  <si>
    <t>C11.1.2</t>
  </si>
  <si>
    <t>Stone pitching</t>
  </si>
  <si>
    <t>C11.1.2.2</t>
  </si>
  <si>
    <t>Grouted stone pitching with mortar</t>
  </si>
  <si>
    <t>C11.3</t>
  </si>
  <si>
    <t>GUIDE BLOCKS AND KILOMETRE MARKERS</t>
  </si>
  <si>
    <t>C11.3.2</t>
  </si>
  <si>
    <t>Kilometre markers</t>
  </si>
  <si>
    <t>350000</t>
  </si>
  <si>
    <t>C11.2</t>
  </si>
  <si>
    <t>NON-STRUCTURAL GABIONS</t>
  </si>
  <si>
    <t>C11.2.1</t>
  </si>
  <si>
    <t>Foundation trench excavation:</t>
  </si>
  <si>
    <t>C11.2.1.1</t>
  </si>
  <si>
    <t>Excavating all material situated within the following depth ranges below the surface level</t>
  </si>
  <si>
    <t>0 - 1,5m</t>
  </si>
  <si>
    <t>Exceeding 1,5 m and up to 3,0 m</t>
  </si>
  <si>
    <t>C11.2.1.2</t>
  </si>
  <si>
    <t>Extra over sub-item C11.2.1.1 for excavation in hard material, irrespective of depth</t>
  </si>
  <si>
    <t>C11.2.2</t>
  </si>
  <si>
    <t>Surface preparation for bedding the gabion boxes and mattresses</t>
  </si>
  <si>
    <t>C11.2.3</t>
  </si>
  <si>
    <t>Gabion boxes and mattresses:</t>
  </si>
  <si>
    <t>C11.2.3.1</t>
  </si>
  <si>
    <t>Galvanized gabion boxes (1,5m x 1m x 1m)</t>
  </si>
  <si>
    <t>C11.2.3.3</t>
  </si>
  <si>
    <t>Galvanized gabion mattresses  (Length 6m, depth 0.17m, width 2m )</t>
  </si>
  <si>
    <t>C11.2.4</t>
  </si>
  <si>
    <t>Geotextile</t>
  </si>
  <si>
    <t>C11.4</t>
  </si>
  <si>
    <t>ROAD RESTRAINT SYSTEMS</t>
  </si>
  <si>
    <t>C11.4.1</t>
  </si>
  <si>
    <t>Erecting of guardrails at 3,81 m spacing</t>
  </si>
  <si>
    <t>C11.4.1.1</t>
  </si>
  <si>
    <t>Complete galvanized system compliant to SANS 1350:</t>
  </si>
  <si>
    <t>On timber posts (SD0801)</t>
  </si>
  <si>
    <t>C11.4.1.2</t>
  </si>
  <si>
    <t>Terminal sections for 3,81 guardrails comprising of:</t>
  </si>
  <si>
    <t>End wings to SANS 1350</t>
  </si>
  <si>
    <t>Bullnoses to SANS 1350</t>
  </si>
  <si>
    <t>C11.4.5</t>
  </si>
  <si>
    <t>Additional guardrail posts for 3,81 m systems:</t>
  </si>
  <si>
    <t>C11.4.5.1</t>
  </si>
  <si>
    <t>Timber</t>
  </si>
  <si>
    <t>C11.4.6.1</t>
  </si>
  <si>
    <t>Steel plates</t>
  </si>
  <si>
    <t>C11.4.14</t>
  </si>
  <si>
    <t>Nailing of gang nail plates on top of timber guardrail posts</t>
  </si>
  <si>
    <t>C11.5</t>
  </si>
  <si>
    <t>FENCING</t>
  </si>
  <si>
    <t>C11.5.1</t>
  </si>
  <si>
    <t>Supply and erect new fencing material for new fences and for supplementing material in existing fences which are being repaired or removed:</t>
  </si>
  <si>
    <t>C11.5.1.1</t>
  </si>
  <si>
    <t>Zinc-coated barbed wire (grade, and size indicated)</t>
  </si>
  <si>
    <t>C11.5.1.2</t>
  </si>
  <si>
    <t>Zinc-coated smooth wire (grade and size Indicated)</t>
  </si>
  <si>
    <t>C11.5.1.3</t>
  </si>
  <si>
    <t>Diamond mesh</t>
  </si>
  <si>
    <r>
      <t>m</t>
    </r>
    <r>
      <rPr>
        <sz val="10"/>
        <rFont val="Calibri"/>
        <family val="2"/>
      </rPr>
      <t>²</t>
    </r>
  </si>
  <si>
    <t>C11.5.1.4</t>
  </si>
  <si>
    <t>Wire netting</t>
  </si>
  <si>
    <t>C11.5.1.5</t>
  </si>
  <si>
    <t>Barbed-tape security barrier</t>
  </si>
  <si>
    <t>C11.5.1.6</t>
  </si>
  <si>
    <t>Hinge joint mesh square</t>
  </si>
  <si>
    <t>C11.5.1.7</t>
  </si>
  <si>
    <t>Standards (material, protection, length, diameter and type indicated)</t>
  </si>
  <si>
    <t>C11.5.1.8</t>
  </si>
  <si>
    <t>Droppers (material, protection, length, diameter and type indicated)</t>
  </si>
  <si>
    <t>C11.5.1.9</t>
  </si>
  <si>
    <t>Straining posts, stays and anchors:</t>
  </si>
  <si>
    <t>vertical</t>
  </si>
  <si>
    <t>Steel straining posts (type, size and length and whether galvanized or painted indicated)</t>
  </si>
  <si>
    <t>Timber straining posts (protection, length and diameter indicated)</t>
  </si>
  <si>
    <t>Inclined</t>
  </si>
  <si>
    <t>Steel stays and anchors (protection, length, diameter and wall thickness indicated)</t>
  </si>
  <si>
    <t>Timber stays and anchors (protection, length and diameter indicated)</t>
  </si>
  <si>
    <t>(iii)</t>
  </si>
  <si>
    <t>Wire stays and anchors (diameter and type indicated)</t>
  </si>
  <si>
    <t>Horizontal</t>
  </si>
  <si>
    <t>C11.5.1.10</t>
  </si>
  <si>
    <t>Extra over items C11.5.1.3; C11.5.1.4 and C11.5.1.6 for stone packing</t>
  </si>
  <si>
    <t>C11.5.1.11</t>
  </si>
  <si>
    <t>Extra over items C11.5.1.3; C11.5.1.4 and C11.5.1.6 for trenching</t>
  </si>
  <si>
    <t>C11.5.2</t>
  </si>
  <si>
    <t>New gates (size and type indicated)</t>
  </si>
  <si>
    <t>C11.5.3</t>
  </si>
  <si>
    <t>Moving existing fences and gates:</t>
  </si>
  <si>
    <t>C11.5.3.1</t>
  </si>
  <si>
    <t>Fences:</t>
  </si>
  <si>
    <t>Stock-proof fences</t>
  </si>
  <si>
    <t>Vermin-proof fences</t>
  </si>
  <si>
    <t>Pedestrian fences</t>
  </si>
  <si>
    <t>Security fences</t>
  </si>
  <si>
    <t>Game fences</t>
  </si>
  <si>
    <t>C11.5.3.2</t>
  </si>
  <si>
    <t>Gates</t>
  </si>
  <si>
    <t>C11.5.4</t>
  </si>
  <si>
    <t>Dismantling existing fences and gates:</t>
  </si>
  <si>
    <t>C11.5.4.1</t>
  </si>
  <si>
    <t>C11.5.4.2</t>
  </si>
  <si>
    <t>Gates (type and size indicated)</t>
  </si>
  <si>
    <t>C11.5.5</t>
  </si>
  <si>
    <t>Providing temporary fences and gates:</t>
  </si>
  <si>
    <t>C11.5.5.1</t>
  </si>
  <si>
    <t>Stock-proof fence</t>
  </si>
  <si>
    <t>C11.5.5.2</t>
  </si>
  <si>
    <t>Vermin-proof fence</t>
  </si>
  <si>
    <t>C11.5.5.3</t>
  </si>
  <si>
    <t>Pedestrian fence</t>
  </si>
  <si>
    <t>C11.5.5.4</t>
  </si>
  <si>
    <t>C11.5.5.5</t>
  </si>
  <si>
    <t>Temporary gates (type and size indicated)</t>
  </si>
  <si>
    <t>no</t>
  </si>
  <si>
    <t>C11.5.6</t>
  </si>
  <si>
    <t>Ringbolts for anchoring fencing to structures</t>
  </si>
  <si>
    <t>C11.5.7</t>
  </si>
  <si>
    <t>Drilling and blasting holes for posts and anchors</t>
  </si>
  <si>
    <t>C11.5.8</t>
  </si>
  <si>
    <t>Posts fixed horizontally to the bottom of wire mesh for the closing of openings under fences:</t>
  </si>
  <si>
    <t>C11.5.8.1</t>
  </si>
  <si>
    <t>Timber posts (diameter indicated)</t>
  </si>
  <si>
    <t>C11.5.8.2</t>
  </si>
  <si>
    <t>Mild steel pipes (diameter and wall thickness indicated)</t>
  </si>
  <si>
    <t>C11.5.9</t>
  </si>
  <si>
    <t>Repairing existing fences (Type indicated)</t>
  </si>
  <si>
    <t>C11.5.10</t>
  </si>
  <si>
    <t>Disposal of existing fencing materials</t>
  </si>
  <si>
    <t>C11.5.10.1</t>
  </si>
  <si>
    <t>Type indicated</t>
  </si>
  <si>
    <t>C11.5.10.2</t>
  </si>
  <si>
    <t>Etc Type indicated</t>
  </si>
  <si>
    <t>C11.5.10.3</t>
  </si>
  <si>
    <t>C11.5.10.4</t>
  </si>
  <si>
    <t>C11.5.10.5</t>
  </si>
  <si>
    <t>C11.5.10.6</t>
  </si>
  <si>
    <t>Gates (type indicated)</t>
  </si>
  <si>
    <t>C11.6</t>
  </si>
  <si>
    <t>ROAD SIGNS</t>
  </si>
  <si>
    <t>C11.6.1</t>
  </si>
  <si>
    <t>Road signboards with painted or coloured semi-matt background. Symbols, lettering and borders in semi- matt black or in Class I retro-reflective material, where the sign board is constructed from:</t>
  </si>
  <si>
    <t>C11.6.1.1</t>
  </si>
  <si>
    <t>Aluminium sheet (2,0 mm thick):</t>
  </si>
  <si>
    <t>Area exceeding 0,5 m2 but not 2,0 m²</t>
  </si>
  <si>
    <t xml:space="preserve">   </t>
  </si>
  <si>
    <t>Regulatory signs, temporary</t>
  </si>
  <si>
    <t xml:space="preserve">900 mm diameter </t>
  </si>
  <si>
    <t>1200 mm diameter</t>
  </si>
  <si>
    <t>Warning signs, temporary</t>
  </si>
  <si>
    <t xml:space="preserve">600 mm size </t>
  </si>
  <si>
    <t>900 mm size</t>
  </si>
  <si>
    <t>1200 mm size</t>
  </si>
  <si>
    <t>C11.6.2</t>
  </si>
  <si>
    <t>Extra over on item C11.6.1 for using:</t>
  </si>
  <si>
    <t>C11.6.2.1</t>
  </si>
  <si>
    <t>Background of retro-reflective material:</t>
  </si>
  <si>
    <t>Class I</t>
  </si>
  <si>
    <t>Class III</t>
  </si>
  <si>
    <t>C11.6.2.2</t>
  </si>
  <si>
    <t>Lettering, symbols, numbers, arrows, emblems and borders of retro-reflective material:</t>
  </si>
  <si>
    <t>C11.6.3</t>
  </si>
  <si>
    <t>Road sign supports (overhead road sign structures excluded):</t>
  </si>
  <si>
    <t>C11.6.3.2</t>
  </si>
  <si>
    <t>Timber (creosoted support poles - 110 diameter).</t>
  </si>
  <si>
    <t>C11.6.5</t>
  </si>
  <si>
    <t>Excavation and backfilling for road sign supports (not applicable to kilometre posts)</t>
  </si>
  <si>
    <t>C11.6.5.1</t>
  </si>
  <si>
    <t>Excavating soft material and backfilling</t>
  </si>
  <si>
    <t>C11.6.5.3</t>
  </si>
  <si>
    <t>Extra over item C11.6.5.1 and 2 for cement-treated soil backfill</t>
  </si>
  <si>
    <t>C11.6.5.4</t>
  </si>
  <si>
    <t>Extra over item C11.6.5.1 for hard material excavation</t>
  </si>
  <si>
    <t>C11.6.8</t>
  </si>
  <si>
    <t>Danger plates at culverts/structures</t>
  </si>
  <si>
    <t>C11.6.8.1</t>
  </si>
  <si>
    <t>Size 150 x 600 mm</t>
  </si>
  <si>
    <t>C11.7</t>
  </si>
  <si>
    <t>MARKINGS AND ROAD STUDS</t>
  </si>
  <si>
    <t>Bravo Taxiway</t>
  </si>
  <si>
    <t>C11.7.2</t>
  </si>
  <si>
    <t>Retro-reflective road marking:</t>
  </si>
  <si>
    <t>C11.7.2.1</t>
  </si>
  <si>
    <t>White lines broken or unbroken (300mm wide  water-bourne paint or similar approved)</t>
  </si>
  <si>
    <t>C11.7.2.2 (i)</t>
  </si>
  <si>
    <t>Yellow lines broken or unbroken (300mm wide  water-bourne paint or similar approved)</t>
  </si>
  <si>
    <t>C11.7.2.2 (ii)</t>
  </si>
  <si>
    <t>Yellow lines broken or unbroken (700mm wide  water-bourne paint or similar approved)</t>
  </si>
  <si>
    <t>C11.7.2.4</t>
  </si>
  <si>
    <t>White lettering and symbols (water-bourne paint or similar approved)</t>
  </si>
  <si>
    <r>
      <t>m</t>
    </r>
    <r>
      <rPr>
        <sz val="9"/>
        <rFont val="Calibri"/>
        <family val="2"/>
      </rPr>
      <t>²</t>
    </r>
  </si>
  <si>
    <t>C11.7.2.5</t>
  </si>
  <si>
    <t>Yellow lettering and symbols (water-bourne paint or similar approved)</t>
  </si>
  <si>
    <t>C11.7.2.6</t>
  </si>
  <si>
    <t>Red lettering and symbols (water-bourne paint or similar approved)</t>
  </si>
  <si>
    <t>C11.7.2.7</t>
  </si>
  <si>
    <t>Transverse lines, painted island and arrestor bed markings (any colour as specified) (water-bourne paint)</t>
  </si>
  <si>
    <t>C11.7.5</t>
  </si>
  <si>
    <t>Variations in rate of application:</t>
  </si>
  <si>
    <t>C11.7.5.1</t>
  </si>
  <si>
    <t>White paint</t>
  </si>
  <si>
    <t>l</t>
  </si>
  <si>
    <t>C11.7.5.2</t>
  </si>
  <si>
    <t>Yellow paint</t>
  </si>
  <si>
    <t>C11.7.5.4</t>
  </si>
  <si>
    <t>Retro-reflective beads</t>
  </si>
  <si>
    <t>C11.7.8</t>
  </si>
  <si>
    <t>Setting out and premarking the lines (excluding traffic island markings, lettering and symbols)</t>
  </si>
  <si>
    <t>C11.7.9</t>
  </si>
  <si>
    <t>Re-establishing the painting unit during the defects notification period and at other instances on instruction of the Engineer</t>
  </si>
  <si>
    <t>C11.8</t>
  </si>
  <si>
    <t>LANDSCAPING AND PLANTING PLANTS</t>
  </si>
  <si>
    <t>C11.8.3</t>
  </si>
  <si>
    <t>Preparing the areas for grassing:</t>
  </si>
  <si>
    <t>C11.8.3.2</t>
  </si>
  <si>
    <t>Scarifying for loosening topsoil</t>
  </si>
  <si>
    <t>C11.8.3.3</t>
  </si>
  <si>
    <t>Topsoiling within the road reserve where the following materials are used:</t>
  </si>
  <si>
    <t>Topsoil obtained from within the road reserve or borrow areas</t>
  </si>
  <si>
    <t>C11.8.3.5</t>
  </si>
  <si>
    <t>Providing and applying chemical fertilisers and/or soil-improvement material:</t>
  </si>
  <si>
    <t>Superphosphate</t>
  </si>
  <si>
    <t>2:3:2 (22)</t>
  </si>
  <si>
    <t>C11.8.4</t>
  </si>
  <si>
    <t>Grassing</t>
  </si>
  <si>
    <t>C11.8.4.3</t>
  </si>
  <si>
    <t>Hydroseeding:</t>
  </si>
  <si>
    <t>Providing an approved seed mixture for hydroseeding</t>
  </si>
  <si>
    <t>Hydroseeding</t>
  </si>
  <si>
    <t>C11.8.5</t>
  </si>
  <si>
    <t>Watering the grass when established by topsoiling only</t>
  </si>
  <si>
    <t>C11.9</t>
  </si>
  <si>
    <t>FINISHING THE ROAD AND ROAD RESERVE AND TREATING OLD ROADS</t>
  </si>
  <si>
    <t>C11.9.1</t>
  </si>
  <si>
    <t>Finishing the road and road reserve:</t>
  </si>
  <si>
    <t>C11.9.1.2</t>
  </si>
  <si>
    <t>Single carriageway road</t>
  </si>
  <si>
    <t>C11.9.2</t>
  </si>
  <si>
    <t>Treatment of old roads and temporary deviations:</t>
  </si>
  <si>
    <t>C11.9.2.1</t>
  </si>
  <si>
    <t>Conventional construction methods</t>
  </si>
  <si>
    <t>C12.1</t>
  </si>
  <si>
    <t>PILING</t>
  </si>
  <si>
    <t>C12.1.1</t>
  </si>
  <si>
    <t>Additional foundation investigations</t>
  </si>
  <si>
    <t>C12.1.2</t>
  </si>
  <si>
    <t>Access and drainage:</t>
  </si>
  <si>
    <t>C12.1.2.1</t>
  </si>
  <si>
    <t>Access</t>
  </si>
  <si>
    <t>lump sum</t>
  </si>
  <si>
    <t>C12.1.2.2</t>
  </si>
  <si>
    <t>Drainage by pumping or other means</t>
  </si>
  <si>
    <t>C12.1.3</t>
  </si>
  <si>
    <t>Establishment on site for piling (piling locations indicated (type indicated)</t>
  </si>
  <si>
    <t>C12.1.4</t>
  </si>
  <si>
    <t>Moving to, and setting up equipment at each position for installing piles (pile type indicated)</t>
  </si>
  <si>
    <t>C12.1.5</t>
  </si>
  <si>
    <t>Augered or bored holes (type specified) for piles with a diameter of (diameter indicated) through material situated within the following successive depth ranges</t>
  </si>
  <si>
    <t>C12.1.5.1</t>
  </si>
  <si>
    <t>Augered holes</t>
  </si>
  <si>
    <t>0 m up to 10 m provided for in pay item C12.1.6</t>
  </si>
  <si>
    <t>Exceeding 10 m and up to 15 m</t>
  </si>
  <si>
    <t>Etc in increments of 5,0 m depths</t>
  </si>
  <si>
    <t>C12.1.5.2</t>
  </si>
  <si>
    <t>Bored piles</t>
  </si>
  <si>
    <t>C12.1.6</t>
  </si>
  <si>
    <t>Extra over item C12.1.5 irrespective of the depth, to form augered and bored pile holes through identified materials consisting of:</t>
  </si>
  <si>
    <t>C12.1.6.1</t>
  </si>
  <si>
    <t>Coarse gravel with a matrix content of less than (max. percentage indicated)</t>
  </si>
  <si>
    <t>C12.1.6.2</t>
  </si>
  <si>
    <t>Boulders (description of and maximum size indicated)</t>
  </si>
  <si>
    <t>C12.1.6.3</t>
  </si>
  <si>
    <t>Rock formation (description and class of rock indicated)</t>
  </si>
  <si>
    <t>C12.1.7</t>
  </si>
  <si>
    <t>Driving temporary casing for driven displacement piling systems (system indicated) for forming holes for piles with a diameter of (diameter indicated) through material situated within the following successive depth ranges:</t>
  </si>
  <si>
    <t>C12.1.7.1</t>
  </si>
  <si>
    <t>0 m up to 10 m</t>
  </si>
  <si>
    <t>C12.1.7.2</t>
  </si>
  <si>
    <t>C12.1.7.3</t>
  </si>
  <si>
    <t>C12.1.8</t>
  </si>
  <si>
    <t>Forming augered or bored pile holes through unidentified materials</t>
  </si>
  <si>
    <t>C12.1.9</t>
  </si>
  <si>
    <t>Forming augered or bored pile holes through obstructions</t>
  </si>
  <si>
    <t>C12.1.10</t>
  </si>
  <si>
    <t>Provision for and maintenance of bentonite head for underslurry piles</t>
  </si>
  <si>
    <t>C12.1.11</t>
  </si>
  <si>
    <t>Installing and removing temporary casings in augered holes for piles of (diameter indicated)</t>
  </si>
  <si>
    <t>C12.1.12</t>
  </si>
  <si>
    <t>Installing permanent pile casing for piles of (diameter and pile type indicated)</t>
  </si>
  <si>
    <t>C12.1.13</t>
  </si>
  <si>
    <t>Extra over items C12.1.5 and v C12.1.7 for raking of piles:</t>
  </si>
  <si>
    <t>C12.1.13.1</t>
  </si>
  <si>
    <t>Holes for piles of (diameter and rake indicated)</t>
  </si>
  <si>
    <t>C12.1.13.2</t>
  </si>
  <si>
    <t>Temporary casing for driven displacement pile systems (diameter and rake indicated)</t>
  </si>
  <si>
    <t>C12.1.14</t>
  </si>
  <si>
    <t>Forming bulbous bases for piles of (diameter indicated)</t>
  </si>
  <si>
    <t>C12.1.15</t>
  </si>
  <si>
    <t>Steel reinforcement in cast in situ piles:</t>
  </si>
  <si>
    <t>C12.1.15.1</t>
  </si>
  <si>
    <t>Mild-steel bars (type indicated)</t>
  </si>
  <si>
    <t>C12.1.15.2</t>
  </si>
  <si>
    <t>High-yield-stress-steel bars (type indicated)</t>
  </si>
  <si>
    <t>C12.1.16</t>
  </si>
  <si>
    <t>Cast in situ concrete in piles, underreams, bulbous bases and sockets (class of concrete indicated)</t>
  </si>
  <si>
    <t>C12.1.17</t>
  </si>
  <si>
    <t>Extra over item C12.1.16 for concrete cast underwater</t>
  </si>
  <si>
    <t>C12.1.18</t>
  </si>
  <si>
    <t>Manufacturing, supplying and delivering prefabricated piles (type and size indicated)</t>
  </si>
  <si>
    <t>C12.1.19</t>
  </si>
  <si>
    <t>Installation of prefabricated piles (type and size indicated) through material situated within the following successive depth ranges:</t>
  </si>
  <si>
    <t>C12.1.19.1</t>
  </si>
  <si>
    <t>C12.1.19.2</t>
  </si>
  <si>
    <t>C12.1.19.3</t>
  </si>
  <si>
    <t>C12.1.20</t>
  </si>
  <si>
    <t>Installation of self-drilling micropiles (size indicated) through material situated within the following successive depth ranges:</t>
  </si>
  <si>
    <t>C12.1.20.1</t>
  </si>
  <si>
    <t>0 m up to 9,0 m</t>
  </si>
  <si>
    <t>C12.1.20.2</t>
  </si>
  <si>
    <t>Exceeding 9,0 m and up to 15 m</t>
  </si>
  <si>
    <t>C12.1.20.3</t>
  </si>
  <si>
    <t>Etc in increments of 3,0 m depths</t>
  </si>
  <si>
    <t>C12.1.21</t>
  </si>
  <si>
    <t>Driving temporary casings for driven displacement in piling systems or install prefabricated piles through identified or unidentified materials</t>
  </si>
  <si>
    <t>C12.1.22</t>
  </si>
  <si>
    <t>Extra over item C12.1.19 for raking of prefabricated piles (type, size and rake indicated)</t>
  </si>
  <si>
    <t>C12.1.23</t>
  </si>
  <si>
    <t>Splicing/coupling prefabricated piles for lengthening (size of pile indicated)</t>
  </si>
  <si>
    <t>C12.1.24</t>
  </si>
  <si>
    <t>Stripping/cutting the pile heads (type and diameter/size of pile indicated)</t>
  </si>
  <si>
    <t>C12.1.25</t>
  </si>
  <si>
    <t>Establishment on site for the load testing of piles</t>
  </si>
  <si>
    <t>C12.1.26</t>
  </si>
  <si>
    <t>Load tests on piles (compression/tension test, diameter/ size, specified, working load and pile type indicated)</t>
  </si>
  <si>
    <t>C12.1.27</t>
  </si>
  <si>
    <t>Establishment on site for core drilling</t>
  </si>
  <si>
    <t>C12.1.28</t>
  </si>
  <si>
    <t>Moving equipment to and assembling at each location where cores are to be drilled</t>
  </si>
  <si>
    <t>C12.1.29</t>
  </si>
  <si>
    <t>Drilling the cores (diameter indicated) in:</t>
  </si>
  <si>
    <t>C12.1.29.1</t>
  </si>
  <si>
    <t>Concrete</t>
  </si>
  <si>
    <t>C12.1.29.2</t>
  </si>
  <si>
    <t>Founding formation:</t>
  </si>
  <si>
    <t>(a) Irrespective of hardness</t>
  </si>
  <si>
    <t>C12.1.30</t>
  </si>
  <si>
    <t>Standing time for pile-installation frame</t>
  </si>
  <si>
    <t>hour (h)</t>
  </si>
  <si>
    <t>C12.1.31</t>
  </si>
  <si>
    <t>Pile Integrity Testing on augered/bored piles</t>
  </si>
  <si>
    <t>C12.1.31.1</t>
  </si>
  <si>
    <t>Providing and installing (diameter indicated) mild steel tubes for “Cross Hole Sonic Logging” in all designated piles</t>
  </si>
  <si>
    <t>C12.1.31.2</t>
  </si>
  <si>
    <t>Carrying out of Impact Frequency Response (IFR) measurements or Sonic Tapping tests and interpretation of results (per pile diameter)</t>
  </si>
  <si>
    <t>C12.1.31.3</t>
  </si>
  <si>
    <t>Cross-Hole Sonic Logging tests and interpreted results (per pile diameter)</t>
  </si>
  <si>
    <t>C12.1.31.4</t>
  </si>
  <si>
    <t>Base integrity tests (per designated pile)</t>
  </si>
  <si>
    <t>C12.1.32</t>
  </si>
  <si>
    <t>Lateral support to excavations</t>
  </si>
  <si>
    <t>C12.1.32.1</t>
  </si>
  <si>
    <t>At location (to be indicated):</t>
  </si>
  <si>
    <t>(a) 0 to 3,0 m depth</t>
  </si>
  <si>
    <t>(b) 3,0 to 6,0 m depth</t>
  </si>
  <si>
    <t>C12.1.32.2</t>
  </si>
  <si>
    <t>At other locations (As indicated)</t>
  </si>
  <si>
    <t>C12.2</t>
  </si>
  <si>
    <t>GROUND ANCHORS</t>
  </si>
  <si>
    <t>C12.2.1</t>
  </si>
  <si>
    <t>Establishment on site for anchoring</t>
  </si>
  <si>
    <t>C12.2.2</t>
  </si>
  <si>
    <t>Re-establishment on site for additional work (type indicated)</t>
  </si>
  <si>
    <t>C12.2.3</t>
  </si>
  <si>
    <t>Provision of access to anchor positions</t>
  </si>
  <si>
    <t>C12.2.4</t>
  </si>
  <si>
    <t>Moving to, and setting up the equipment for drilling the holes at each position</t>
  </si>
  <si>
    <t>C12.2.5</t>
  </si>
  <si>
    <t>Drill holes with a diameter of (diameter indicated) to the specified depths and inclinations</t>
  </si>
  <si>
    <t>C12.2.6</t>
  </si>
  <si>
    <t>Installation of permanent casing (size and length indicated)</t>
  </si>
  <si>
    <t>C12.2.7</t>
  </si>
  <si>
    <t>Water tests</t>
  </si>
  <si>
    <t>C12.2.8</t>
  </si>
  <si>
    <t>Grouting and re-drilling the holes</t>
  </si>
  <si>
    <t>C12.2.9</t>
  </si>
  <si>
    <t>Cable anchor tendons:</t>
  </si>
  <si>
    <t>C12.2.9.1</t>
  </si>
  <si>
    <t>Free anchor length</t>
  </si>
  <si>
    <t>MN-m</t>
  </si>
  <si>
    <t>C12.2.9.2</t>
  </si>
  <si>
    <t>Fixed anchor length</t>
  </si>
  <si>
    <t>C12.2.10</t>
  </si>
  <si>
    <t>Anchorages and couplers:</t>
  </si>
  <si>
    <t>C12.2.10.1</t>
  </si>
  <si>
    <t>Anchorage at jacking end</t>
  </si>
  <si>
    <t>MN</t>
  </si>
  <si>
    <t>C12.2.10.2</t>
  </si>
  <si>
    <t>Coupler at jacking end</t>
  </si>
  <si>
    <t>C12.2.11</t>
  </si>
  <si>
    <t>Encasing the anchorages at the jacking end in concrete</t>
  </si>
  <si>
    <t>C12.2.12</t>
  </si>
  <si>
    <t>Performance monitoring of anchors</t>
  </si>
  <si>
    <t>C12.2.12.1</t>
  </si>
  <si>
    <t>Establishment of lift-off testing team and equipment</t>
  </si>
  <si>
    <t>C12.2.12.2</t>
  </si>
  <si>
    <t>Lift-off tests</t>
  </si>
  <si>
    <t>C12.2.13</t>
  </si>
  <si>
    <t>Establishment on the site for drilling of rockbolts, dowels, soil nails or mechanical anchors (type indicated)</t>
  </si>
  <si>
    <t>C12.2.14</t>
  </si>
  <si>
    <t>Move to and set up at each rockbolt, dowel, soil nail or mechanical anchor position</t>
  </si>
  <si>
    <t>C12.2.15</t>
  </si>
  <si>
    <t>Install, grout and protect soil nails or rock bolts (lengths indicated)</t>
  </si>
  <si>
    <t>C12.2.16</t>
  </si>
  <si>
    <t>Extra over for tensioning soil nails or rockbolts</t>
  </si>
  <si>
    <t>C12.2.17</t>
  </si>
  <si>
    <t>Apply rock bolt protection and camouflage</t>
  </si>
  <si>
    <t>C12.2.18</t>
  </si>
  <si>
    <t>Move to and set up at each mechanical driven tipping anchor/ mechanical screw anchor position (type indicated)</t>
  </si>
  <si>
    <t>C12.2.19</t>
  </si>
  <si>
    <t>Install mechanically driven tipping anchors / mechanical screw anchors (type and lengths indicated)</t>
  </si>
  <si>
    <t>C12.3</t>
  </si>
  <si>
    <t>GROUND IMPROVEMENT</t>
  </si>
  <si>
    <t>C12.3.1</t>
  </si>
  <si>
    <t>Site Establishment</t>
  </si>
  <si>
    <t>C12.3.1.1</t>
  </si>
  <si>
    <t>Geotechnical Grouting</t>
  </si>
  <si>
    <t>C12.3.1.2</t>
  </si>
  <si>
    <t>Jet Grouting</t>
  </si>
  <si>
    <t>C12.3.1.3</t>
  </si>
  <si>
    <t>Compaction Grouting</t>
  </si>
  <si>
    <t>C12.3.1.4</t>
  </si>
  <si>
    <t>Dynamic compaction</t>
  </si>
  <si>
    <t>C12.3.1.5</t>
  </si>
  <si>
    <t>Rapid impact compaction</t>
  </si>
  <si>
    <t>C12.3.1.6</t>
  </si>
  <si>
    <t>Vibration compaction</t>
  </si>
  <si>
    <t>C12.3.1.7</t>
  </si>
  <si>
    <t>Underpinning</t>
  </si>
  <si>
    <t>C12.3.1.8</t>
  </si>
  <si>
    <t>Preloading</t>
  </si>
  <si>
    <t>C12.3.1.9</t>
  </si>
  <si>
    <t>Basal reinforcement</t>
  </si>
  <si>
    <t>C12.3.2</t>
  </si>
  <si>
    <t>Moving to and setting up equipment at each position for:</t>
  </si>
  <si>
    <t>C12.3.2.1</t>
  </si>
  <si>
    <t>C12.3.2.2</t>
  </si>
  <si>
    <t>C12.3.2.3</t>
  </si>
  <si>
    <t>C12.3.2.4</t>
  </si>
  <si>
    <t>C12.3.2.5</t>
  </si>
  <si>
    <t>C12.3.2.6</t>
  </si>
  <si>
    <t>C12.3.2.7</t>
  </si>
  <si>
    <t>C12.3.2.8</t>
  </si>
  <si>
    <t>C12.3.2.9</t>
  </si>
  <si>
    <t>Basal treatment</t>
  </si>
  <si>
    <t>C12.3.3</t>
  </si>
  <si>
    <t>Setting out of works at treatment positions</t>
  </si>
  <si>
    <t>C12.3.4</t>
  </si>
  <si>
    <t>Grouting (Cement)</t>
  </si>
  <si>
    <t>C12.3.4.1</t>
  </si>
  <si>
    <t>Geotechnical grouting</t>
  </si>
  <si>
    <t>C12.3.4.2</t>
  </si>
  <si>
    <t>Jet grouting</t>
  </si>
  <si>
    <t>C12.3.4.3</t>
  </si>
  <si>
    <t>Compaction grouting</t>
  </si>
  <si>
    <t>C12.3.5</t>
  </si>
  <si>
    <t>Grouting (Fillers and Additives)</t>
  </si>
  <si>
    <t>C12.3.5.1</t>
  </si>
  <si>
    <t>Sand</t>
  </si>
  <si>
    <t>C12.3.5.2</t>
  </si>
  <si>
    <t>Bentonite</t>
  </si>
  <si>
    <t>C12.3.5.3</t>
  </si>
  <si>
    <t>Other fillers (specify)</t>
  </si>
  <si>
    <t>C12.3.6</t>
  </si>
  <si>
    <t>Drilling of holes for geotechnical /compaction grouting (diameter and inclination indicated)</t>
  </si>
  <si>
    <t>C12.3.7</t>
  </si>
  <si>
    <t>Extra over for drilling through reinforced concrete</t>
  </si>
  <si>
    <t>C12.3.8</t>
  </si>
  <si>
    <t>Drilling holes for jet grouting to specified depths (depth ranges and inclinations to be specified)</t>
  </si>
  <si>
    <t>C12.3.9</t>
  </si>
  <si>
    <t>Installation of casing (diameter and inclination indicated)</t>
  </si>
  <si>
    <t>C12.3.10</t>
  </si>
  <si>
    <t>Installation of standpipes for geotechnical grouting</t>
  </si>
  <si>
    <t>C12.3.11</t>
  </si>
  <si>
    <t>Injection Grouting (type indicated)</t>
  </si>
  <si>
    <t>C12.3.12</t>
  </si>
  <si>
    <t>Extra-over items 12.3.4 and 12.3.5 for stage grouting (specify up-or downstage)</t>
  </si>
  <si>
    <t>C12.3.13</t>
  </si>
  <si>
    <t>Extra-over items 12.3.4 and 12.3.5 for jet grouting of widened sections or mushroom heads (position and width to be specified)</t>
  </si>
  <si>
    <t>C12.3.14</t>
  </si>
  <si>
    <t>Exposing test jet grouted columns</t>
  </si>
  <si>
    <t>C12.3.15</t>
  </si>
  <si>
    <t>Coring of jet grouted columns</t>
  </si>
  <si>
    <t>C12.3.15.1</t>
  </si>
  <si>
    <t>Setting up over completed jet grouted columns</t>
  </si>
  <si>
    <t>C12.3.15.2</t>
  </si>
  <si>
    <t>Drilling and core recovery (size indicated)</t>
  </si>
  <si>
    <t>C12.3.15.3</t>
  </si>
  <si>
    <t>Provision of core boxes</t>
  </si>
  <si>
    <t>C12.3.16</t>
  </si>
  <si>
    <t>Removal of jetting and drilling spoil</t>
  </si>
  <si>
    <r>
      <t>m</t>
    </r>
    <r>
      <rPr>
        <vertAlign val="superscript"/>
        <sz val="10"/>
        <rFont val="Arial"/>
        <family val="2"/>
      </rPr>
      <t>3</t>
    </r>
    <r>
      <rPr>
        <sz val="10"/>
        <rFont val="Arial"/>
        <family val="2"/>
      </rPr>
      <t>.km</t>
    </r>
  </si>
  <si>
    <t>C12.3.17</t>
  </si>
  <si>
    <t>Performing dynamic compaction over (specify distance) utilising a (indicate mass) tonne pounder</t>
  </si>
  <si>
    <t>C12.3.17.1</t>
  </si>
  <si>
    <t>Primary prints</t>
  </si>
  <si>
    <t>blows</t>
  </si>
  <si>
    <t>C12.3.17.2</t>
  </si>
  <si>
    <t>Secondary prints</t>
  </si>
  <si>
    <t>C12.3.17.3</t>
  </si>
  <si>
    <t>Ironing prints</t>
  </si>
  <si>
    <t>C12.3.18</t>
  </si>
  <si>
    <t>Variation in number of blows</t>
  </si>
  <si>
    <t>C12.3.18.1</t>
  </si>
  <si>
    <t>C12.3.18.2</t>
  </si>
  <si>
    <t>C12.3.18.3</t>
  </si>
  <si>
    <t>C12.3.19</t>
  </si>
  <si>
    <t>Importing G7quality material from approved sources</t>
  </si>
  <si>
    <t>C12.3.20</t>
  </si>
  <si>
    <t>Importing dump rock for forming stone columns by dynamic compaction from approved sources</t>
  </si>
  <si>
    <t>C12.3.21</t>
  </si>
  <si>
    <t>Importing crushed rock for vibratory replacement from approved sources</t>
  </si>
  <si>
    <t>C12.3.22</t>
  </si>
  <si>
    <t>Water acceptance testing (permeability tests as specified)</t>
  </si>
  <si>
    <t>C12.3.23</t>
  </si>
  <si>
    <t>Plate load tests</t>
  </si>
  <si>
    <t>C12.3.24</t>
  </si>
  <si>
    <t>Establishment on site for</t>
  </si>
  <si>
    <t>C12.3.24.1</t>
  </si>
  <si>
    <t>DCP testing (depth indicated)</t>
  </si>
  <si>
    <t>C12.3.24.2</t>
  </si>
  <si>
    <t>CPT testing (depth indicated)</t>
  </si>
  <si>
    <t>C12.3.24.3</t>
  </si>
  <si>
    <t>DPSH testing (depth indicated)</t>
  </si>
  <si>
    <t>C12.3.25</t>
  </si>
  <si>
    <t>DCP, CPT and DPSH testing</t>
  </si>
  <si>
    <t>C12.3.25.1</t>
  </si>
  <si>
    <t>C12.3.25.2</t>
  </si>
  <si>
    <t>C12.3.25.3</t>
  </si>
  <si>
    <t>C12.3.26</t>
  </si>
  <si>
    <t>Continuous surface wave testing (CSW)</t>
  </si>
  <si>
    <t>C12.3.27</t>
  </si>
  <si>
    <t>Monitoring of instruments and earthworks by survey</t>
  </si>
  <si>
    <t>C12.3.28</t>
  </si>
  <si>
    <t>Supply and install rod settlement gauges</t>
  </si>
  <si>
    <t>C12.3.29</t>
  </si>
  <si>
    <t>Supply and install standpipe piezometers</t>
  </si>
  <si>
    <t>C12.3.30</t>
  </si>
  <si>
    <t>Supply and install pneumatic piezometers (lengths indicated)</t>
  </si>
  <si>
    <t>C12.3.31</t>
  </si>
  <si>
    <t>Supply and install inclinometer monitoring systems (lengths indicated)</t>
  </si>
  <si>
    <t>C12.3.32</t>
  </si>
  <si>
    <t>Supply and install pressure measuring loadcells (type and make specified)</t>
  </si>
  <si>
    <t>C12.4</t>
  </si>
  <si>
    <t>LATERAL SUPPORT</t>
  </si>
  <si>
    <t>C12.4.1</t>
  </si>
  <si>
    <t>C12.4.1.1</t>
  </si>
  <si>
    <t>Sheet Piling</t>
  </si>
  <si>
    <t>C12.4.1.2</t>
  </si>
  <si>
    <t>Diaphragm Walls</t>
  </si>
  <si>
    <t>C12.4.2</t>
  </si>
  <si>
    <t>Moving to and setting up equipment at sections or sites to be defined</t>
  </si>
  <si>
    <t>C12.4.2.1</t>
  </si>
  <si>
    <t>C12.4.2.2</t>
  </si>
  <si>
    <t>C12.4.3</t>
  </si>
  <si>
    <t>Setting out of works at sheet piling or diaphragm panel positions</t>
  </si>
  <si>
    <t>C12.4.4</t>
  </si>
  <si>
    <t>Sheet pile driving (individual sheet pile type or sheet panel extent specified)</t>
  </si>
  <si>
    <t>C12.4.5</t>
  </si>
  <si>
    <t>Sheet pile extraction</t>
  </si>
  <si>
    <t>C12.4.6</t>
  </si>
  <si>
    <t>Sheet pile and diaphragm wall supports (as specified)</t>
  </si>
  <si>
    <t>C12.4.6.1</t>
  </si>
  <si>
    <t>Props</t>
  </si>
  <si>
    <t>C12.4.6.2</t>
  </si>
  <si>
    <t>Anchors</t>
  </si>
  <si>
    <t>C12.4.6.3</t>
  </si>
  <si>
    <t>Tie-bars</t>
  </si>
  <si>
    <t>C12.4.7</t>
  </si>
  <si>
    <t>Sheet pile grouting</t>
  </si>
  <si>
    <t>C12.4.7.1</t>
  </si>
  <si>
    <t>Chemical grouting</t>
  </si>
  <si>
    <t>C12.4.7.2</t>
  </si>
  <si>
    <t>C12.4.7.3</t>
  </si>
  <si>
    <t>C12.4.8</t>
  </si>
  <si>
    <t>Concrete placed by tremie under slurry in diaphragm walls (class of concrete indicated)</t>
  </si>
  <si>
    <t>C12.4.9</t>
  </si>
  <si>
    <t>Partial Excavation of Panels</t>
  </si>
  <si>
    <t>C12.4.10</t>
  </si>
  <si>
    <t>Cement, additives, bentonite, aggregate and fillers )</t>
  </si>
  <si>
    <t>C12.4.10.1</t>
  </si>
  <si>
    <t>Cement</t>
  </si>
  <si>
    <t>C12.4.10.2</t>
  </si>
  <si>
    <t>C12.4.10.3</t>
  </si>
  <si>
    <t>Fine/ coarse aggregate (specify)</t>
  </si>
  <si>
    <t>C12.4.10.4</t>
  </si>
  <si>
    <t>C12.4.11</t>
  </si>
  <si>
    <t>Bentonite slurry re-use</t>
  </si>
  <si>
    <t>C12.4.12</t>
  </si>
  <si>
    <t>Steel reinforcement</t>
  </si>
  <si>
    <t>C12.4.13</t>
  </si>
  <si>
    <t>Exposing tops of selected concrete panels</t>
  </si>
  <si>
    <t>C12.4.14</t>
  </si>
  <si>
    <t>Coring of concrete panels</t>
  </si>
  <si>
    <t>C12.4.14.1</t>
  </si>
  <si>
    <t>Setting up at completed panels</t>
  </si>
  <si>
    <t>C12.4.14.2</t>
  </si>
  <si>
    <t>C12.4.14.3</t>
  </si>
  <si>
    <t>C12.4.14.4</t>
  </si>
  <si>
    <t>Extra-over for inclined drilling</t>
  </si>
  <si>
    <t xml:space="preserve">C12.5 </t>
  </si>
  <si>
    <t>SHOTCRETE</t>
  </si>
  <si>
    <t>C12.5.1</t>
  </si>
  <si>
    <t>Establishment on site</t>
  </si>
  <si>
    <t>C12.5.2</t>
  </si>
  <si>
    <t>Surface preparation for shotcreting</t>
  </si>
  <si>
    <t>C12.5.3</t>
  </si>
  <si>
    <t>Supply and installation of reinforcement:</t>
  </si>
  <si>
    <t>C12.5.3.1</t>
  </si>
  <si>
    <t>Welded steel mesh fabric (Ref. 395)</t>
  </si>
  <si>
    <t>C12.5.3.2</t>
  </si>
  <si>
    <t>Fibre (type indicated</t>
  </si>
  <si>
    <t>C12.5.3.3</t>
  </si>
  <si>
    <t>Other special reinforcement systems as specified</t>
  </si>
  <si>
    <t>C12.5.4</t>
  </si>
  <si>
    <t>Shotcrete (of specified thickness or volume):</t>
  </si>
  <si>
    <t>C12.5.4.1</t>
  </si>
  <si>
    <t>Flash/base coat (unreinforced) (specify thickness)</t>
  </si>
  <si>
    <t>C12.5.4.2</t>
  </si>
  <si>
    <t>Intermediate coat/s (specify thickness and number of layers)</t>
  </si>
  <si>
    <t>C12.5.4.3</t>
  </si>
  <si>
    <t>Final coat (specify thickness, pigmentation and finish</t>
  </si>
  <si>
    <t>C12.5.4.4</t>
  </si>
  <si>
    <t>Dental shotcrete</t>
  </si>
  <si>
    <t>C12.5.5</t>
  </si>
  <si>
    <t>Removal to spoil of material trimmed from slope</t>
  </si>
  <si>
    <t>C12.5.6</t>
  </si>
  <si>
    <t>Edge finishing of shotcrete</t>
  </si>
  <si>
    <t>C12.5.7</t>
  </si>
  <si>
    <t>Geopipe collectors and weepholes:</t>
  </si>
  <si>
    <t>C12.5.7.1</t>
  </si>
  <si>
    <t>50 mm diameter U-PVC weephole piping (specify length and class)</t>
  </si>
  <si>
    <t>C12.5.7.2</t>
  </si>
  <si>
    <t>Geopipe collectors (specify type, diameter and class)</t>
  </si>
  <si>
    <t>C12.5.7.3</t>
  </si>
  <si>
    <t>Other piping (specify type, diameter and class</t>
  </si>
  <si>
    <t>C12.5.8</t>
  </si>
  <si>
    <t>Geocomposite/geosynthetic drain as specified</t>
  </si>
  <si>
    <t>C12.6</t>
  </si>
  <si>
    <t>MECHANICALLY STABILISED FILL AND GABIONS</t>
  </si>
  <si>
    <t>C12.6.1</t>
  </si>
  <si>
    <t>Establishment on site for MSE</t>
  </si>
  <si>
    <t>C12.6.1.1</t>
  </si>
  <si>
    <t>For reinforced concrete facing</t>
  </si>
  <si>
    <t>C12.6.1.2</t>
  </si>
  <si>
    <t>For concrete block wall facing</t>
  </si>
  <si>
    <t>C12.6.1.3</t>
  </si>
  <si>
    <t>For metallic facing</t>
  </si>
  <si>
    <t>C12.6.2</t>
  </si>
  <si>
    <t>Excavation for wall base foundation</t>
  </si>
  <si>
    <t>C12.6.3</t>
  </si>
  <si>
    <t>Concrete for wall base foundation</t>
  </si>
  <si>
    <t>C12.6.4</t>
  </si>
  <si>
    <t>Reinforcing steel in wall base foundation</t>
  </si>
  <si>
    <t>C12.6.4.1</t>
  </si>
  <si>
    <t>Mild steel</t>
  </si>
  <si>
    <t>C12.6.4.2</t>
  </si>
  <si>
    <t>High tensile steel</t>
  </si>
  <si>
    <t>C12.6.5</t>
  </si>
  <si>
    <t>Preparation of surface for laying metallic strips or geosynthetic</t>
  </si>
  <si>
    <t>C12.6.6</t>
  </si>
  <si>
    <t>Metallic reinforcing strips (section dimension indicated)</t>
  </si>
  <si>
    <t>C12.6.7</t>
  </si>
  <si>
    <t>Metallic reinforcing mesh (section dimension indicated)</t>
  </si>
  <si>
    <t>C12.6.8</t>
  </si>
  <si>
    <t>Polymer/ Geosynthetic reinforcing strips (section dimension indicated)</t>
  </si>
  <si>
    <t>C12.6.9</t>
  </si>
  <si>
    <t>Polymer/ Geosynthetic reinforcing sheet as specified</t>
  </si>
  <si>
    <t>C12.6.10</t>
  </si>
  <si>
    <t>Fixing mechanism to facings</t>
  </si>
  <si>
    <t>C12.6.10.1</t>
  </si>
  <si>
    <t>Strips</t>
  </si>
  <si>
    <t>C12.6.10.2</t>
  </si>
  <si>
    <t>Sheets</t>
  </si>
  <si>
    <t>C12.6.11</t>
  </si>
  <si>
    <t>Backfill (material type and compaction requirements indicated)</t>
  </si>
  <si>
    <t>C12.6.12</t>
  </si>
  <si>
    <t>Facings (type, size and thickness indicated)</t>
  </si>
  <si>
    <t>C12.6.12.1</t>
  </si>
  <si>
    <t>For reinforced concrete panel facing</t>
  </si>
  <si>
    <t>C12.6.12.2</t>
  </si>
  <si>
    <t>C12.6.12.3</t>
  </si>
  <si>
    <t>C12.6.13</t>
  </si>
  <si>
    <t>Drainage (type and size indicated)</t>
  </si>
  <si>
    <t>C12.6.14</t>
  </si>
  <si>
    <t>C12.6.14.1</t>
  </si>
  <si>
    <t>0 m to 1,5 m</t>
  </si>
  <si>
    <t>Etc, in increments of 1,5 m</t>
  </si>
  <si>
    <t>C12.6.14.2</t>
  </si>
  <si>
    <t>C12.6.14.3</t>
  </si>
  <si>
    <t>Excavating soft material within 1,5 m below the surface level using labour enhancement construction methods:</t>
  </si>
  <si>
    <t>C12.6.14.4</t>
  </si>
  <si>
    <t>Excavating intermediate material within 1,5 m below the surface level using labour enhancement construction methods:</t>
  </si>
  <si>
    <t>C12.6.15</t>
  </si>
  <si>
    <t>Surface preparation for bedding the gabions</t>
  </si>
  <si>
    <t>C12.6.16</t>
  </si>
  <si>
    <t>Gabions and mattresses:</t>
  </si>
  <si>
    <t>C12.6.16.1</t>
  </si>
  <si>
    <t>Galvanized gabion boxes (dimensions of box)</t>
  </si>
  <si>
    <t>C12.6.16.2</t>
  </si>
  <si>
    <t>Polymer coated gabion boxes (dimensions of box)</t>
  </si>
  <si>
    <t>C12.6.16.3</t>
  </si>
  <si>
    <t>Galvanized gabion mattresses (dimensions of mattress)</t>
  </si>
  <si>
    <t>C12.6.16.4</t>
  </si>
  <si>
    <t>Polymer coated gabion mattresses (dimensions of mattress)</t>
  </si>
  <si>
    <t>C12.6.17</t>
  </si>
  <si>
    <t>Geotextile (type indicated)</t>
  </si>
  <si>
    <t>C12.8</t>
  </si>
  <si>
    <t>GROUND DRAINAGE</t>
  </si>
  <si>
    <t>C12.8.1</t>
  </si>
  <si>
    <t>C12.8.1.1</t>
  </si>
  <si>
    <t>Well point construction</t>
  </si>
  <si>
    <t>C12.8.1.2</t>
  </si>
  <si>
    <t>Horizontal drains</t>
  </si>
  <si>
    <t>C12.8.1.3</t>
  </si>
  <si>
    <t>Vertical drains (all types)</t>
  </si>
  <si>
    <t>C12.8.1.4</t>
  </si>
  <si>
    <t>Geosynthetic/Blanket drains</t>
  </si>
  <si>
    <t>C12.8.2</t>
  </si>
  <si>
    <t>Provision of access to drain positions (type indicated)</t>
  </si>
  <si>
    <t>C12.8.3</t>
  </si>
  <si>
    <t>Moving to, and setting up the equipment for drilling the holes at each well /horizontal/ sand drain position (type indicated)</t>
  </si>
  <si>
    <t>C12.8.4</t>
  </si>
  <si>
    <t>Moving to, and setting up the equipment for installing vertical drains at each drain position (size and type of drain indicated)</t>
  </si>
  <si>
    <t>C12.8.5</t>
  </si>
  <si>
    <t>Drill holes for wells (diameter indicated) to the required depth</t>
  </si>
  <si>
    <t>C12.8.6</t>
  </si>
  <si>
    <t>Drill holes for horizontal drains (inclination and diameter indicated) to the required depth</t>
  </si>
  <si>
    <t>C12.8.7</t>
  </si>
  <si>
    <t>Drill holes for vertical sand drains (diameter indicated) to the required depth</t>
  </si>
  <si>
    <t>C12.8.8</t>
  </si>
  <si>
    <t>Pre- drilling of holes for vertical drains (diameter indicated) to the required depth</t>
  </si>
  <si>
    <t>C12.8.9</t>
  </si>
  <si>
    <t>Installation of slotted drainage pipes for wells (size indicated)</t>
  </si>
  <si>
    <t>C12.8.10</t>
  </si>
  <si>
    <t>Installation of slotted drainage pipes for horizontal drains (size indicated).</t>
  </si>
  <si>
    <t>C12.8.11</t>
  </si>
  <si>
    <t>Installation of vertical drains (type/ size indicated)</t>
  </si>
  <si>
    <t>C12.8.12</t>
  </si>
  <si>
    <t>Filter sand for wells (type/ size indicated)</t>
  </si>
  <si>
    <t>C12.8.13</t>
  </si>
  <si>
    <t>River sand for vertical drains (source indicated)</t>
  </si>
  <si>
    <t>C12.8.14</t>
  </si>
  <si>
    <t>Provision and installation of submersible borehole pumps in designated wells</t>
  </si>
  <si>
    <t>C12.8.15</t>
  </si>
  <si>
    <t>Construction of base station for wells</t>
  </si>
  <si>
    <t>C12.9</t>
  </si>
  <si>
    <t>SLOPE PROTECTION MEASURES</t>
  </si>
  <si>
    <t>C12.9.1</t>
  </si>
  <si>
    <t>Barring down of rock surfaces within vertical height intervals (intervals stated)</t>
  </si>
  <si>
    <t>C12.9.2</t>
  </si>
  <si>
    <t>Cleaning of rock surfaces by high pressure air and water jetting equipment within the vertical height intervals (categories stated)</t>
  </si>
  <si>
    <t>C12.9.3</t>
  </si>
  <si>
    <t>Disposal of barred down and accumulated debris</t>
  </si>
  <si>
    <t>C12.9.4</t>
  </si>
  <si>
    <t>Supply and install wire mesh rockfall netting within vertical height intervals (intervals stated), galvanic requirements, roll width, wire thickness, tensile strength, weave, aperture, PVC coating and/or colouring indicated)</t>
  </si>
  <si>
    <t>C12.9.5</t>
  </si>
  <si>
    <t>Supply and Installation/erection of catch fencing (galvanic requirements, type, height, length and energy rating in kJ and location of fences indicated)</t>
  </si>
  <si>
    <t>C12.9.6</t>
  </si>
  <si>
    <t>Supply and installation/erection of additional anchor lengths for catch fences (differentiate between threadbar and wire rope anchor for different diameters)</t>
  </si>
  <si>
    <t>C12.9.7</t>
  </si>
  <si>
    <t>Gap filling under the catch fences (energy class stated)</t>
  </si>
  <si>
    <t>C12.9.8</t>
  </si>
  <si>
    <t>Supply and installation/erection of shallow landslide fencing (galvanic requirements, type, height, length and rating and fence length class interval</t>
  </si>
  <si>
    <t>C12.9.9</t>
  </si>
  <si>
    <t>Supply and install additional anchor lengths for shallow landslide fences (differentiate between threadbar and wire rope anchor for different diameters</t>
  </si>
  <si>
    <t>C12.9.10</t>
  </si>
  <si>
    <t>Gap filling under the shallow landslide fences (fence rating indicated)</t>
  </si>
  <si>
    <t>C12.9.11</t>
  </si>
  <si>
    <t>Supply and installation/erection of debris flow fencing (galvanic requirements, type, rating and location for each numbered fence indicated)</t>
  </si>
  <si>
    <t>C12.9.12</t>
  </si>
  <si>
    <t>Supply and install additional anchor lengths for debris flow fences (differentiate between threadbar and wire rope anchor for different diameters)</t>
  </si>
  <si>
    <t>C12.10</t>
  </si>
  <si>
    <t>HARD EXCAVATION BY BLASTING</t>
  </si>
  <si>
    <t>C12.10.1</t>
  </si>
  <si>
    <t>Excavation in hard rock using controlled blasting techniques</t>
  </si>
  <si>
    <t>C12.10.2</t>
  </si>
  <si>
    <t>Pre-splitting - base rate for holes @ 750 mm c/c</t>
  </si>
  <si>
    <t>C12.10.3</t>
  </si>
  <si>
    <t>Pre-splitting - compensation for additional holes</t>
  </si>
  <si>
    <t>C12.10.4</t>
  </si>
  <si>
    <t>Smooth blasting - base rate for holes @ 1500 mm c/c</t>
  </si>
  <si>
    <t>C12.10.5</t>
  </si>
  <si>
    <t>Smooth Blasting - compensation for additional holes</t>
  </si>
  <si>
    <t>C12.10.6</t>
  </si>
  <si>
    <t>Line Drilling - base rate for holes @ 300 mm c/c</t>
  </si>
  <si>
    <t>C12.10.7</t>
  </si>
  <si>
    <t>Line Drilling – compensation for additional holes</t>
  </si>
  <si>
    <t>C12.12</t>
  </si>
  <si>
    <t>CONSTRUCTION DEWATERING</t>
  </si>
  <si>
    <t>C12.12.1</t>
  </si>
  <si>
    <t>Establishment on site for construction dewatering</t>
  </si>
  <si>
    <t>C12.12.2</t>
  </si>
  <si>
    <t>Installing and commissioning all requisite plant and equipment to undertake dewatering by well system offered (type of well system to be nominated by tenderer)</t>
  </si>
  <si>
    <t>C12.12.3</t>
  </si>
  <si>
    <t>Operate and maintain well system (type of well system to be nominated by tenderer)</t>
  </si>
  <si>
    <t>(pumped) hrs</t>
  </si>
  <si>
    <t>C12.12.4</t>
  </si>
  <si>
    <t>Supply Install and remove discharge pipeline to the required depth (diameter and class indicated)</t>
  </si>
  <si>
    <t>C12.12.5</t>
  </si>
  <si>
    <t>Install ground observation wells to the required depth (diameter and class indicated)</t>
  </si>
  <si>
    <t>C12.12.6</t>
  </si>
  <si>
    <t>Monitoring of lowering of ground water levels</t>
  </si>
  <si>
    <t>C12.12.7</t>
  </si>
  <si>
    <t>Monitoring of potential settlements</t>
  </si>
  <si>
    <t>C12.12.8</t>
  </si>
  <si>
    <t>Monitoring quality of groundwater</t>
  </si>
  <si>
    <t>C12.12.8.1</t>
  </si>
  <si>
    <t>Monitoring of silt and fine sand</t>
  </si>
  <si>
    <t>C12.12.8.2</t>
  </si>
  <si>
    <t>Monitoring of groundwater chemistry and quality</t>
  </si>
  <si>
    <t>C13.1</t>
  </si>
  <si>
    <t>FOUNDATIONS</t>
  </si>
  <si>
    <t>C13.1.1</t>
  </si>
  <si>
    <t>Provision of designs and drawings of temporary works by an ECSA-registered Professional Engineer or Technologist or Geotechnical Engineer (description of works to which applicable):</t>
  </si>
  <si>
    <t>C13.1.2</t>
  </si>
  <si>
    <t>Additional foundation investigations:</t>
  </si>
  <si>
    <t>C13.1.2.1</t>
  </si>
  <si>
    <t>Provisional sum allowed for additional foundation investigations</t>
  </si>
  <si>
    <t>C13.1.2.2</t>
  </si>
  <si>
    <t>Handling costs and profit in respect of item C13.1.2.1</t>
  </si>
  <si>
    <t>C13.1.3</t>
  </si>
  <si>
    <t>Excavation:</t>
  </si>
  <si>
    <t>C13.1.3.1</t>
  </si>
  <si>
    <t>Excavating soft material situated within the following successive depth ranges:</t>
  </si>
  <si>
    <t>0 m up to 1,5 m</t>
  </si>
  <si>
    <t>&gt; 1,5 m and &lt; 3,0 m</t>
  </si>
  <si>
    <t>Etc. in increments of 1,5 m</t>
  </si>
  <si>
    <t>C13.1.3.2</t>
  </si>
  <si>
    <t>Extra over subitem C13.1.3.1 for excavation in hard material irrespective of depth</t>
  </si>
  <si>
    <t>C13.1.3.3</t>
  </si>
  <si>
    <t>Extra over subitem C13.1.3.1 for additional excavation required by the Engineer after excavation is complete</t>
  </si>
  <si>
    <t>C13.1.3.4</t>
  </si>
  <si>
    <t>Extra over subitem C13.1.3.1 for excavation by hand</t>
  </si>
  <si>
    <t>C13.1.3.5</t>
  </si>
  <si>
    <t>Extra over subitem C13.1.3.1 for excavation in restricted areas</t>
  </si>
  <si>
    <t>C13.1.4</t>
  </si>
  <si>
    <t>Excavation by labour enhanced methods:</t>
  </si>
  <si>
    <t>C13.1.4.1</t>
  </si>
  <si>
    <t>Excavate in soft material situated within the following successive depth ranges:</t>
  </si>
  <si>
    <t>C13.1.4.2</t>
  </si>
  <si>
    <t>Extra over item C13.1.3.1(a) for excavation in intermediate material</t>
  </si>
  <si>
    <t>C13.1.4.3</t>
  </si>
  <si>
    <t>Extra over item C13.1.3.1(a) for additional excavation required by the Engineer after excavation is complete</t>
  </si>
  <si>
    <t>C13.1.5</t>
  </si>
  <si>
    <t>Mass excavation within a restricted area (extra over item C13.1.3)</t>
  </si>
  <si>
    <t>C13.1.6</t>
  </si>
  <si>
    <t>C13.1.6.1</t>
  </si>
  <si>
    <t>C13.1.6.2</t>
  </si>
  <si>
    <t>Drainage</t>
  </si>
  <si>
    <t>C13.1.7</t>
  </si>
  <si>
    <t>Backfill to excavations utilising:</t>
  </si>
  <si>
    <t>C13.1.7.1</t>
  </si>
  <si>
    <t>Material from excavation</t>
  </si>
  <si>
    <t>C13.1.7.2</t>
  </si>
  <si>
    <t>Imported material</t>
  </si>
  <si>
    <t>C13.1.7.3</t>
  </si>
  <si>
    <t>Soil cement</t>
  </si>
  <si>
    <t>C13.1.8</t>
  </si>
  <si>
    <t>Backfill to excavations utilising labour:</t>
  </si>
  <si>
    <t>C13.1.8.1</t>
  </si>
  <si>
    <t>C13.1.8.2</t>
  </si>
  <si>
    <t>C13.1.8.3</t>
  </si>
  <si>
    <t>C13.1.9</t>
  </si>
  <si>
    <t>Fill within a restricted area (extra over item C5.2.2)</t>
  </si>
  <si>
    <t>C13.1.10</t>
  </si>
  <si>
    <t>Haul in excess of 1,0 km on excavated material and on material imported for backfill, foundation fill and fill for caissons</t>
  </si>
  <si>
    <r>
      <t>m</t>
    </r>
    <r>
      <rPr>
        <vertAlign val="superscript"/>
        <sz val="10"/>
        <rFont val="Arial"/>
        <family val="2"/>
      </rPr>
      <t>3</t>
    </r>
    <r>
      <rPr>
        <sz val="10"/>
        <rFont val="Arial"/>
        <family val="2"/>
      </rPr>
      <t>-km</t>
    </r>
  </si>
  <si>
    <t>C13.1.11</t>
  </si>
  <si>
    <t>Haul in excess of 50 metres on excavated material and on foundation fill for labour enhanced construction</t>
  </si>
  <si>
    <t>C13.1.12</t>
  </si>
  <si>
    <t>Overbreak in excavation in hard material:</t>
  </si>
  <si>
    <t>C13.1.13</t>
  </si>
  <si>
    <t>Overbreak in excavation in hard material for labour enhanced construction:</t>
  </si>
  <si>
    <t>C13.1.14</t>
  </si>
  <si>
    <t>Foundation fill consisting of:</t>
  </si>
  <si>
    <t>C13.1.14.1</t>
  </si>
  <si>
    <t>Rock fill</t>
  </si>
  <si>
    <t>C13.1.14.2</t>
  </si>
  <si>
    <t>Crushed-stone fill</t>
  </si>
  <si>
    <t>C13.1.14.3</t>
  </si>
  <si>
    <t>Compacted granular material</t>
  </si>
  <si>
    <t>C13.1.14.4</t>
  </si>
  <si>
    <t>Mass concrete (class indicated)</t>
  </si>
  <si>
    <t>C13.1.14.5</t>
  </si>
  <si>
    <t>Concrete blinding (thickness and class of concrete indicated)</t>
  </si>
  <si>
    <t>C13.1.14.6</t>
  </si>
  <si>
    <t>Plum concrete (class indicated)</t>
  </si>
  <si>
    <t>C13.1.15</t>
  </si>
  <si>
    <t>Foundation fill placed by labour enhanced methods consisting of:</t>
  </si>
  <si>
    <t>C13.1.15.1</t>
  </si>
  <si>
    <t>C13.1.15.2</t>
  </si>
  <si>
    <t>C13.1.15.3</t>
  </si>
  <si>
    <t>C13.1.15.4</t>
  </si>
  <si>
    <t>C13.1.15.5</t>
  </si>
  <si>
    <t>C13.1.15.6</t>
  </si>
  <si>
    <t>C13.1.16</t>
  </si>
  <si>
    <t>Establishment on site for drilling of holes and grouting of rock fissures (type of drilling indicated):</t>
  </si>
  <si>
    <t>C13.1.17</t>
  </si>
  <si>
    <t>Moving to and setting up equipment at each hole to be drilled for grouting:</t>
  </si>
  <si>
    <t>C13.1.18</t>
  </si>
  <si>
    <t>Drilling of holes for grouting (diameter and type of drilling indicated):</t>
  </si>
  <si>
    <t>C13.1.19</t>
  </si>
  <si>
    <t>Grouting of rock fissures (type of grout and for which purpose it is required indicated):</t>
  </si>
  <si>
    <t>C13.1.20</t>
  </si>
  <si>
    <t>Dowel bars:</t>
  </si>
  <si>
    <t>C13.1.20.1</t>
  </si>
  <si>
    <t>Drilling and preparation of holes (diameter and length indicated)</t>
  </si>
  <si>
    <t>C13.1.20.2</t>
  </si>
  <si>
    <t>Supply and installation of dowel bars (type, diameter, length, corrosion protection, together with type of grout, indicated)</t>
  </si>
  <si>
    <t>C13.1.21</t>
  </si>
  <si>
    <t>Foundation lining (type of material and thickness indicated):</t>
  </si>
  <si>
    <t>C13.1.22</t>
  </si>
  <si>
    <t>Foundation lining (type of material and thickness indicated), using labour enhanced methods</t>
  </si>
  <si>
    <t>C13.1.23</t>
  </si>
  <si>
    <t>Lateral support for excavations:</t>
  </si>
  <si>
    <t>C13.1.23.1</t>
  </si>
  <si>
    <t>Excavation or fill at (indicate location)</t>
  </si>
  <si>
    <t>0 to 2,5 m depth</t>
  </si>
  <si>
    <t>2,5 to 5,0 m depth</t>
  </si>
  <si>
    <t>Etc. at other locations</t>
  </si>
  <si>
    <t>C13.1.24</t>
  </si>
  <si>
    <t>Establishment on site for constructing caissons</t>
  </si>
  <si>
    <t>C13.1.25</t>
  </si>
  <si>
    <t>Formwork for caissons (class of finish indicated)</t>
  </si>
  <si>
    <t>C13.1.26</t>
  </si>
  <si>
    <t>Steel reinforcement for caissons:</t>
  </si>
  <si>
    <t>C13.1.26.1</t>
  </si>
  <si>
    <t>Mild-steel bars</t>
  </si>
  <si>
    <t>C13.1.26.2</t>
  </si>
  <si>
    <t>C13.1.27</t>
  </si>
  <si>
    <t>Cast in situ concrete in caissons and concrete seals (class of concrete indicated)</t>
  </si>
  <si>
    <t>C13.1.28</t>
  </si>
  <si>
    <t>Cutting edge for (diameter/ size indicated) caissons</t>
  </si>
  <si>
    <t>C13.1.29</t>
  </si>
  <si>
    <t>Sinking (diameter/size indicated) caissons through material situated within the following successive depth ranges:</t>
  </si>
  <si>
    <t>C13.1.29.1</t>
  </si>
  <si>
    <t>0 m up to 5,0 m</t>
  </si>
  <si>
    <t>C13.1.29.2</t>
  </si>
  <si>
    <t>Exceeding 5,0 m and up to 10 m</t>
  </si>
  <si>
    <t>C13.1.29.3</t>
  </si>
  <si>
    <t>Etc.in increments of 5,0 m depths</t>
  </si>
  <si>
    <t>C13.1.30</t>
  </si>
  <si>
    <t>Excavation for caissons:</t>
  </si>
  <si>
    <t>C13.1.30.1</t>
  </si>
  <si>
    <t>0 m up to 2,0 m</t>
  </si>
  <si>
    <t>Exceeding 2,0 m and up to 4,0 m</t>
  </si>
  <si>
    <t>Etc in increments of 2,0 m depths</t>
  </si>
  <si>
    <t>C13.1.30.2</t>
  </si>
  <si>
    <t>Extra over subitem C13.1.24.1 for excavation in hard material irrespective of depth</t>
  </si>
  <si>
    <t>C13.1.31</t>
  </si>
  <si>
    <t>Filling the caissons</t>
  </si>
  <si>
    <t>C13.1.32</t>
  </si>
  <si>
    <t>Stripping (size of caisson indicated) caisson heads</t>
  </si>
  <si>
    <t>C13.2</t>
  </si>
  <si>
    <t>FALSEWORK, FORMWORK AND CONCRETE FINISH</t>
  </si>
  <si>
    <t>C13.2.1</t>
  </si>
  <si>
    <t>Formwork to provide (class of finish indicated as F1, F2, F3 or board) surface finish to (description of member to which applicable)</t>
  </si>
  <si>
    <t>C13.2.2</t>
  </si>
  <si>
    <t>Vertical formwork to provide (class of finish indicated as F1, F2, F3 or board) surface finish to (description of member to which applicable)</t>
  </si>
  <si>
    <t>C13.2.3</t>
  </si>
  <si>
    <t>Horizontal formwork to provide (class of finish Indicated as F1, F2, F3 or board) surface finish to (description of member to which applicable)</t>
  </si>
  <si>
    <t>C13.2.4</t>
  </si>
  <si>
    <t>Inclined formwork to provide (class of finish indicated as F1, F2, F3 or board) surface finish to (description of member to which applicable)</t>
  </si>
  <si>
    <t>C13.2.5</t>
  </si>
  <si>
    <t>Permanent formwork</t>
  </si>
  <si>
    <t>C13.2.5.1</t>
  </si>
  <si>
    <t>To form voids of (diameter/ size of void indicated) in (description of member to which applicable)</t>
  </si>
  <si>
    <t>C13.2.5.2</t>
  </si>
  <si>
    <t>Of (description of material and member to which applicable)</t>
  </si>
  <si>
    <t>C13.2.6</t>
  </si>
  <si>
    <t>Formwork to form open joints (description of member to which applicable, and location)</t>
  </si>
  <si>
    <t>C13.2.7</t>
  </si>
  <si>
    <t>Establishment on the site for sliding formwork operations</t>
  </si>
  <si>
    <t>C13.2.8</t>
  </si>
  <si>
    <t>Transporting to and setting up the sliding formwork assembly at (description of each structure)</t>
  </si>
  <si>
    <t>C13.2.9</t>
  </si>
  <si>
    <t>Forming the concrete by sliding formwork for (description of each structure and class of surface finish to exposed surfaces indicated)</t>
  </si>
  <si>
    <t>C13.2.10</t>
  </si>
  <si>
    <t>Provision of designs and drawings of falsework and formwork by an ECSA registered Professional Engineer or Technologist (description of member to which applicable)</t>
  </si>
  <si>
    <t>C13.3</t>
  </si>
  <si>
    <t>STEEL REINFORCEMENT</t>
  </si>
  <si>
    <t>C13.3.1</t>
  </si>
  <si>
    <t>Reinforcement for:</t>
  </si>
  <si>
    <t>C13.3.1.1</t>
  </si>
  <si>
    <t>(Description of portion of structure to which applicable):</t>
  </si>
  <si>
    <t>High-yield-stress-steel bars (type Y)</t>
  </si>
  <si>
    <t>Welded Steel Fabric</t>
  </si>
  <si>
    <t>Stainless steel bars (type indicated)</t>
  </si>
  <si>
    <t>Other Materials (specify material)</t>
  </si>
  <si>
    <t>C13.3.1.2</t>
  </si>
  <si>
    <t>Etc. for other structures or parts of structures</t>
  </si>
  <si>
    <t>C13.3.2</t>
  </si>
  <si>
    <t>Mechanical couplers (type of coupler and diameter of bar indicated)</t>
  </si>
  <si>
    <t>C13.3.3</t>
  </si>
  <si>
    <t>Spacer ladders for (description of part of structure to which applicable)</t>
  </si>
  <si>
    <t>C13.3.4</t>
  </si>
  <si>
    <t>Extra-over item C13.3.1 (a), (b), etc. for galvanising of reinforcement</t>
  </si>
  <si>
    <t>C13.4</t>
  </si>
  <si>
    <t>CONCRETE</t>
  </si>
  <si>
    <t>C13.4.1</t>
  </si>
  <si>
    <t>Cast in situ concrete (Class of concrete and use or position in structure stated):</t>
  </si>
  <si>
    <t>C13.4.1.1</t>
  </si>
  <si>
    <t>Strength concrete (class C):</t>
  </si>
  <si>
    <t xml:space="preserve"> (i) Foundations (Class 30/19)</t>
  </si>
  <si>
    <t xml:space="preserve"> (ii) Walls (Class 30/19)</t>
  </si>
  <si>
    <t xml:space="preserve"> (iii) Wing Walls (Class 30/19)</t>
  </si>
  <si>
    <t xml:space="preserve"> (iv) Apron Slab (Class 30/19)</t>
  </si>
  <si>
    <t xml:space="preserve"> (v) Roof Slab (Class 30/19)</t>
  </si>
  <si>
    <t xml:space="preserve"> (vi) Blinding Layer (Class 15/19)</t>
  </si>
  <si>
    <t>(vii) Side Walk  (Class 30/19)</t>
  </si>
  <si>
    <t>Indicate part of structure, class code and 28 day characteristic cylinder strength/characteristic compressive cube strength and nominal aggregate size e.g. Blinding C12/15-20</t>
  </si>
  <si>
    <t>Etc. For other parts of structure</t>
  </si>
  <si>
    <t>C13.4.1.2</t>
  </si>
  <si>
    <t>Durable concrete (class D):</t>
  </si>
  <si>
    <t>Indicate part of structure, class code and 28 day characteristic cylinder strength/characteristic compressive cube strength, environmental exposure and service life and nominal aggregate size e.g. Deck slab D35/45-XS1(100)-20</t>
  </si>
  <si>
    <t>C13.4.1.3</t>
  </si>
  <si>
    <t>Prescribed-composition concrete (class P):</t>
  </si>
  <si>
    <t>Indicate part of structure, class code and 28 day characteristic cylinder strength/characteristic compressive cube strength and nominal aggregate size e.g. Piers P32/40-20</t>
  </si>
  <si>
    <t>Etc. for other parts of structure</t>
  </si>
  <si>
    <t>C13.4.2</t>
  </si>
  <si>
    <t>Labour enhanced cast in situ concrete (class of concrete and use or position in structure stated)</t>
  </si>
  <si>
    <t>C13.4.2.1</t>
  </si>
  <si>
    <t>Commercially- Sourced concrete</t>
  </si>
  <si>
    <t>C13.4.2.3</t>
  </si>
  <si>
    <t>Contractor-mixed concrete on site</t>
  </si>
  <si>
    <t>C13.4.3</t>
  </si>
  <si>
    <t>Extra over item C13.4.1 for the protection of concrete from adverse environmental conditions, if required:</t>
  </si>
  <si>
    <t>C13.4.3.1</t>
  </si>
  <si>
    <t>Etc for other parts of structure</t>
  </si>
  <si>
    <t>C13.4.3.2</t>
  </si>
  <si>
    <t>C13.4.3.3</t>
  </si>
  <si>
    <t>C13.4.4</t>
  </si>
  <si>
    <t>Extra over item C13.4.2 for the protection of labour enhanced concrete from adverse environmental conditions</t>
  </si>
  <si>
    <t>C13.4.4.1</t>
  </si>
  <si>
    <t>(Class of concrete and use or position in structure stated):</t>
  </si>
  <si>
    <t>C13.4.5</t>
  </si>
  <si>
    <t>Curing and surface protection of cast in situ concrete, as and where specifically required:</t>
  </si>
  <si>
    <t>C13.4.5.1</t>
  </si>
  <si>
    <t>Indicate structural element and surface to be cured (Tenderer to specify method of curing):</t>
  </si>
  <si>
    <t>C13.4.5.2</t>
  </si>
  <si>
    <t>Etc for other parts of structure (Tenderer to specify method of curing)</t>
  </si>
  <si>
    <t>C13.4.6</t>
  </si>
  <si>
    <t>Curing and surface protection of labour enhanced cast in situ concrete</t>
  </si>
  <si>
    <t>C13.4.6.1</t>
  </si>
  <si>
    <t>Structural element and surface to be stated (Tenderer to specify method of curing)</t>
  </si>
  <si>
    <t>C13.4.7</t>
  </si>
  <si>
    <t>No-fines concrete (class NF):</t>
  </si>
  <si>
    <t>C13.4.7.1</t>
  </si>
  <si>
    <t>Cast in situ:</t>
  </si>
  <si>
    <t>Indicate class of no-fines concrete and portion of structure or use</t>
  </si>
  <si>
    <t>Etc for other classes of no-fines concrete and other portions of structures or uses</t>
  </si>
  <si>
    <t>C13.4.7.2</t>
  </si>
  <si>
    <t>Precast:</t>
  </si>
  <si>
    <t>Indicate class of no-fines concrete and describe unit with reference to drawing:</t>
  </si>
  <si>
    <t>Etc for other classes of no-fines concrete and units of other types and sizes</t>
  </si>
  <si>
    <t>C13.4.8</t>
  </si>
  <si>
    <t>Labour enhanced no fines concrete (Class NF)</t>
  </si>
  <si>
    <t>C13.4.8.1</t>
  </si>
  <si>
    <t>Cast in situ (class and portion of structure or use stated)</t>
  </si>
  <si>
    <t>C13.4.8.2</t>
  </si>
  <si>
    <t>Precast</t>
  </si>
  <si>
    <t>C13.4.9</t>
  </si>
  <si>
    <t>Manufacturing precast concrete members (description of member with reference to drawing)</t>
  </si>
  <si>
    <t>C13.4.10</t>
  </si>
  <si>
    <t>Labour enhanced manufacture of precast concrete members (Description of member with reference to drawing)</t>
  </si>
  <si>
    <t>C13.4.11</t>
  </si>
  <si>
    <t>Transporting and erecting precast concrete members (description of member and approximate mass to be given)</t>
  </si>
  <si>
    <t>C13.4.12</t>
  </si>
  <si>
    <t>Labour enhanced transporting and erecting precast concrete members (Description of member and approximate mass to be given)</t>
  </si>
  <si>
    <t>C13.4.13</t>
  </si>
  <si>
    <t>Complete demolition and disposal of existing structural concrete elements or parts existing structures:</t>
  </si>
  <si>
    <t>C13.4.13.1</t>
  </si>
  <si>
    <t xml:space="preserve"> (i) Existing low level bridge</t>
  </si>
  <si>
    <t>C13.4.13.2</t>
  </si>
  <si>
    <t>etc. for other members</t>
  </si>
  <si>
    <t>C13.4.14</t>
  </si>
  <si>
    <t>Controlled demolition of concrete from structural elements:</t>
  </si>
  <si>
    <t>C13.4.14.1</t>
  </si>
  <si>
    <t>(Member Indicated)</t>
  </si>
  <si>
    <t>C13.4.14.2</t>
  </si>
  <si>
    <t>C13.8</t>
  </si>
  <si>
    <t>ANCILLARY STRUCTURAL ELEMENTS</t>
  </si>
  <si>
    <t>C13.8.1</t>
  </si>
  <si>
    <t>Concrete barriers and parapets (refer to drawings)</t>
  </si>
  <si>
    <t>C13.8.1.1</t>
  </si>
  <si>
    <t>Barriers</t>
  </si>
  <si>
    <t>C13.8.1.2</t>
  </si>
  <si>
    <t>Parapets</t>
  </si>
  <si>
    <t>C13.8.2</t>
  </si>
  <si>
    <t>End blocks (length indicated)</t>
  </si>
  <si>
    <t>C13.8.3</t>
  </si>
  <si>
    <t>Concrete transition blocks (length indicated)</t>
  </si>
  <si>
    <t>C13.8.4</t>
  </si>
  <si>
    <t>Concrete pedestrian railings</t>
  </si>
  <si>
    <t>C13.8.5</t>
  </si>
  <si>
    <t>Steel railings (type described)</t>
  </si>
  <si>
    <t>C13.8.6</t>
  </si>
  <si>
    <t>Service ducts in structures</t>
  </si>
  <si>
    <t>C13.8.6.1</t>
  </si>
  <si>
    <t>Type and size (diameter)</t>
  </si>
  <si>
    <t>C13.8.6.2</t>
  </si>
  <si>
    <t>Joint in ducts at bridge deck expansion joints</t>
  </si>
  <si>
    <t>C13.8.7</t>
  </si>
  <si>
    <t>Numbers for structures: (refer to drawings)</t>
  </si>
  <si>
    <t>C13.8.7.1</t>
  </si>
  <si>
    <t>Number plates</t>
  </si>
  <si>
    <t>C13.8.7.2</t>
  </si>
  <si>
    <t>Painted numbers</t>
  </si>
  <si>
    <t>C13.8.7.3</t>
  </si>
  <si>
    <t>Numbers formed in concrete</t>
  </si>
  <si>
    <t>C13.8.7.4</t>
  </si>
  <si>
    <t>Numbers on concrete pedestals</t>
  </si>
  <si>
    <t>C13.8.8</t>
  </si>
  <si>
    <t>Cast in situ no-fines concrete (class of concrete indicated)</t>
  </si>
  <si>
    <t>C13.8.9</t>
  </si>
  <si>
    <t>Precast no-fines concrete units (class of concrete and description of unit)</t>
  </si>
  <si>
    <t>C13.8.10</t>
  </si>
  <si>
    <t>Drainage pipes and weep holes:</t>
  </si>
  <si>
    <t>C13.8.10.1</t>
  </si>
  <si>
    <t>Drainage pipes:</t>
  </si>
  <si>
    <t>Drainage system behind Wingwalls</t>
  </si>
  <si>
    <t xml:space="preserve">Drainage system on walls           </t>
  </si>
  <si>
    <t>C13.8.10.2</t>
  </si>
  <si>
    <t>Weep holes:</t>
  </si>
  <si>
    <t>(Type and size indicated)</t>
  </si>
  <si>
    <t>C13.8.11</t>
  </si>
  <si>
    <t>Drainage gulley’s (description of each type given)</t>
  </si>
  <si>
    <t>C13.8.12</t>
  </si>
  <si>
    <t>Synthetic-fibre filter fabric (type indicated and description)</t>
  </si>
  <si>
    <t>C13.8.13</t>
  </si>
  <si>
    <t>Concrete channels adjoining structural works (size indicated)</t>
  </si>
  <si>
    <t>C13.8.14</t>
  </si>
  <si>
    <t>Crushed stone in drainage strips (stone size indicated)</t>
  </si>
  <si>
    <t>C13.8.15</t>
  </si>
  <si>
    <t>Drainage strips (type, size and grade indicated)</t>
  </si>
  <si>
    <t>C13.8.16</t>
  </si>
  <si>
    <t>Perforated drainage pipes:</t>
  </si>
  <si>
    <t>C13.8.16.1</t>
  </si>
  <si>
    <t>Size (diameter) and type of pipe wrapped in synthetic – filter fabric as specified (describe type, grade etc.)</t>
  </si>
  <si>
    <t>C13.8.17</t>
  </si>
  <si>
    <t>Supplying and installing bolt groups complete with electrification brackets:</t>
  </si>
  <si>
    <t>C13.8.17.1</t>
  </si>
  <si>
    <t>Single-bolt groups</t>
  </si>
  <si>
    <t>C13.8.17.2</t>
  </si>
  <si>
    <t>Double-bolt groups</t>
  </si>
  <si>
    <t>C13.5</t>
  </si>
  <si>
    <t>PRESTRESSING</t>
  </si>
  <si>
    <t>C13.5.1</t>
  </si>
  <si>
    <t>Prestressing tendons:</t>
  </si>
  <si>
    <t>C13.5.1.1</t>
  </si>
  <si>
    <t>Longitudinal tendons</t>
  </si>
  <si>
    <t>C13.5.1.2</t>
  </si>
  <si>
    <t>Transverse tendons</t>
  </si>
  <si>
    <t>C13.5.1.3</t>
  </si>
  <si>
    <t>Vertical tendons</t>
  </si>
  <si>
    <t>C13.5.2</t>
  </si>
  <si>
    <t>C13.5.2.1</t>
  </si>
  <si>
    <t>C13.5.2.2</t>
  </si>
  <si>
    <t>Anchorage at dead end</t>
  </si>
  <si>
    <t>Mn</t>
  </si>
  <si>
    <t>C13.5.2.3</t>
  </si>
  <si>
    <t>C13.5.2.4</t>
  </si>
  <si>
    <t>Coupler at dead end</t>
  </si>
  <si>
    <t>C13.5.3</t>
  </si>
  <si>
    <t>Extra over item C13.5.2 for partially tensioning the tendons</t>
  </si>
  <si>
    <t>C13.9</t>
  </si>
  <si>
    <t>STRUCTURAL STEELWORK FOR MINOR STRUCTURES</t>
  </si>
  <si>
    <t>C13.9.1</t>
  </si>
  <si>
    <t>Structural steel:</t>
  </si>
  <si>
    <t>C13.9.1.1</t>
  </si>
  <si>
    <t>(Structure/article described)</t>
  </si>
  <si>
    <t>C13.9.1.2</t>
  </si>
  <si>
    <t>C13.9.1.3</t>
  </si>
  <si>
    <t>C13.9.2</t>
  </si>
  <si>
    <t>Anchor bolts:</t>
  </si>
  <si>
    <t>C13.9.2.1</t>
  </si>
  <si>
    <t>(Description of each assembly, and grade/type of steel, diameter and length indicated)</t>
  </si>
  <si>
    <t>C13.9.2.2</t>
  </si>
  <si>
    <t>C13.9.3</t>
  </si>
  <si>
    <t>Corrosion protection:</t>
  </si>
  <si>
    <t>C13.9.3.1</t>
  </si>
  <si>
    <t>Sprayed-on metal:</t>
  </si>
  <si>
    <t>(Type of metal and thickness or type symbol of coating indicated)</t>
  </si>
  <si>
    <t>C13.9.3.2</t>
  </si>
  <si>
    <t>Galvanising</t>
  </si>
  <si>
    <t>C13.10</t>
  </si>
  <si>
    <t>PAINTING OF MINOR STRUCTURES</t>
  </si>
  <si>
    <t>C13.10.1</t>
  </si>
  <si>
    <t>Painting:</t>
  </si>
  <si>
    <t>C13.10.1.1</t>
  </si>
  <si>
    <t>(Describe structure/article)</t>
  </si>
  <si>
    <t>C13.10.1.2</t>
  </si>
  <si>
    <t>C13.10.1.3</t>
  </si>
  <si>
    <t>C13.10.1.4</t>
  </si>
  <si>
    <t>C13.10.2</t>
  </si>
  <si>
    <t>Extra-over item C13.10.2, using non-toxic materials:</t>
  </si>
  <si>
    <t>C13.10.2.1</t>
  </si>
  <si>
    <t>C13.10.2.2</t>
  </si>
  <si>
    <t>C13.10.2.3</t>
  </si>
  <si>
    <t>C13.10.2.4</t>
  </si>
  <si>
    <t>C13.11</t>
  </si>
  <si>
    <t>STRUCTURAL STEELWORK FOR MAJOR STRUCTURES</t>
  </si>
  <si>
    <t>C13.11.1</t>
  </si>
  <si>
    <t>Supply, fabrication and erection of steelwork (location, member, grade and type identified)</t>
  </si>
  <si>
    <t>C13.11.2</t>
  </si>
  <si>
    <t>Miscellaneous metalwork (location and member to be specified)</t>
  </si>
  <si>
    <t>C13.12</t>
  </si>
  <si>
    <t>STRUCTURAL STEEL PROTECTIVE TREATMENT OF MAJOR STRUCTURES</t>
  </si>
  <si>
    <t>C13.12.1</t>
  </si>
  <si>
    <t>Steelwork protective system:</t>
  </si>
  <si>
    <t>C13.12.1.1</t>
  </si>
  <si>
    <t>(system and location to be specified)</t>
  </si>
  <si>
    <t>C13.12.1.2</t>
  </si>
  <si>
    <t>C13.13</t>
  </si>
  <si>
    <t>INCREMENTAL LAUNCHING OF BRIDGE DECKS</t>
  </si>
  <si>
    <t>C13.13.1</t>
  </si>
  <si>
    <t>Temporary bridge segment casting yard:</t>
  </si>
  <si>
    <t>C13.13.1.1</t>
  </si>
  <si>
    <t>Installation (Description of Structure)</t>
  </si>
  <si>
    <t>C13.13.2</t>
  </si>
  <si>
    <t>Cover to casting area:</t>
  </si>
  <si>
    <t>C13.13.2.1</t>
  </si>
  <si>
    <t>Provide cover (Description of Structure)</t>
  </si>
  <si>
    <t>C13.13.2.2</t>
  </si>
  <si>
    <t>Re-use (Description of Structure)</t>
  </si>
  <si>
    <t>C13.13.3</t>
  </si>
  <si>
    <t>Launching girder:</t>
  </si>
  <si>
    <t>C13.13.3.1</t>
  </si>
  <si>
    <t>Provide launching girder (Description of Structure)</t>
  </si>
  <si>
    <t>C13.13.3.2</t>
  </si>
  <si>
    <t>C13.13.4</t>
  </si>
  <si>
    <t>Formwork assembly:</t>
  </si>
  <si>
    <t>C13.13.4.1</t>
  </si>
  <si>
    <t>Supply formwork assembly (Description of Structure)</t>
  </si>
  <si>
    <t>C13.13.4.2</t>
  </si>
  <si>
    <t>C13.13.5</t>
  </si>
  <si>
    <t>Launching equipment:</t>
  </si>
  <si>
    <t>C13.13.5.1</t>
  </si>
  <si>
    <t>Supply launching equipment (Description of Structure)</t>
  </si>
  <si>
    <t>C13.13.5.2</t>
  </si>
  <si>
    <t>C13.13.6</t>
  </si>
  <si>
    <t>Temporary bearings, side guides and launching pads:</t>
  </si>
  <si>
    <t>C13.13.6.1</t>
  </si>
  <si>
    <t>Supply temporary bearings</t>
  </si>
  <si>
    <t>C13.13.6.2</t>
  </si>
  <si>
    <t>Supply side guides</t>
  </si>
  <si>
    <t>C13.13.6.3</t>
  </si>
  <si>
    <t>Re-use of temporary bearings</t>
  </si>
  <si>
    <t>C13.13.6.4</t>
  </si>
  <si>
    <t>Re-use of side guides</t>
  </si>
  <si>
    <t>C13.13.7</t>
  </si>
  <si>
    <t>Platforms:</t>
  </si>
  <si>
    <t>C13.13.7.1</t>
  </si>
  <si>
    <t>Supply platforms (Description of Structure)</t>
  </si>
  <si>
    <t>C13.13.7.2</t>
  </si>
  <si>
    <t>C13.13.8</t>
  </si>
  <si>
    <t>Stay system for piers:</t>
  </si>
  <si>
    <t>C13.13.8.1</t>
  </si>
  <si>
    <t>Pier (description)</t>
  </si>
  <si>
    <t>C13.13.9</t>
  </si>
  <si>
    <t>Launching of deck segments:</t>
  </si>
  <si>
    <t>C13.13.9.1</t>
  </si>
  <si>
    <t>Structure (description) deck segments</t>
  </si>
  <si>
    <t>C13.13.10</t>
  </si>
  <si>
    <t>Temporary piers including piles and pilecap:</t>
  </si>
  <si>
    <t>C13.13.10.1</t>
  </si>
  <si>
    <t>Temporary piers (description)</t>
  </si>
  <si>
    <t>C13.14</t>
  </si>
  <si>
    <t>SPECIALIST STRUCTURES</t>
  </si>
  <si>
    <t>C14.1</t>
  </si>
  <si>
    <t>ACCESS FOR BRIDGE REHABILITATION</t>
  </si>
  <si>
    <t>C14.1.1</t>
  </si>
  <si>
    <t>Temporary access structures and work platforms (by element)</t>
  </si>
  <si>
    <t>C14.1.1.1</t>
  </si>
  <si>
    <t>Access and platforms to locations as described as well as dismantling and removal at completion (heights assessed by contractor)</t>
  </si>
  <si>
    <t>(Description of bridge or structure give)</t>
  </si>
  <si>
    <t>(a.i)</t>
  </si>
  <si>
    <t>(Element of work requiring access described)</t>
  </si>
  <si>
    <t>(a.ii)</t>
  </si>
  <si>
    <t>(Etc. for other elements of work)</t>
  </si>
  <si>
    <t>Etc. for other bridges and structures</t>
  </si>
  <si>
    <t>(b.i)</t>
  </si>
  <si>
    <t>(b.ii)</t>
  </si>
  <si>
    <t>C14.1.2</t>
  </si>
  <si>
    <t>Mobile access units</t>
  </si>
  <si>
    <t>C14.1.2.1</t>
  </si>
  <si>
    <t>Establishment of mobile access unit on site (description of type of unit)</t>
  </si>
  <si>
    <t>C14.1.2.2</t>
  </si>
  <si>
    <t>Setting up of mobile access unit at each structure location and removal after completion</t>
  </si>
  <si>
    <t>C14.1.2.3</t>
  </si>
  <si>
    <t>Operation of mobile access unit during repair work at each location (structure)</t>
  </si>
  <si>
    <t>Days</t>
  </si>
  <si>
    <t>C14.1.2.4</t>
  </si>
  <si>
    <t>Operation of mobile access unit during inspections by the Engineer</t>
  </si>
  <si>
    <t>h</t>
  </si>
  <si>
    <t>C14.1.2.5</t>
  </si>
  <si>
    <t>De-establishment and removal of mobile access unit from site after completion of work</t>
  </si>
  <si>
    <t>C14.1.3</t>
  </si>
  <si>
    <t>Access at end of defects liability period (decription and location)</t>
  </si>
  <si>
    <t>C14.1.4</t>
  </si>
  <si>
    <t>Attendance by (relevant authority)</t>
  </si>
  <si>
    <t>C14.1.4.1</t>
  </si>
  <si>
    <t>Prime cost sum to allow for attendance by relevant authority to obtain access near electrified railway lines or other relevant authorities as required (gice description of bridge)</t>
  </si>
  <si>
    <t>Prime Cost</t>
  </si>
  <si>
    <t>C14.1.4.2</t>
  </si>
  <si>
    <t>Percentage on prime cost for charges and profit</t>
  </si>
  <si>
    <t>C14.1.5</t>
  </si>
  <si>
    <t>Provision of designs and drawings of access structures and platforms by an ECSA Registered Professional Engineer or Technologist (description of member to which is applicable)</t>
  </si>
  <si>
    <t>C14.1.6</t>
  </si>
  <si>
    <t>Provision of a safety gantry with warning system (description of type of gantry, size and location)</t>
  </si>
  <si>
    <t>C14.1.7</t>
  </si>
  <si>
    <t>Accommodation of Vehicular and Pedestrian Traffic at Access Structures</t>
  </si>
  <si>
    <t>C14.2</t>
  </si>
  <si>
    <t>CORROSION SURVEY METHODS AND TESTING OF NEAR SURFACE CONCRETE PROPERTIES</t>
  </si>
  <si>
    <t>C14.2.1</t>
  </si>
  <si>
    <t>Delamination Survey:</t>
  </si>
  <si>
    <t>C14.2.1.1</t>
  </si>
  <si>
    <t>using hammer tapping technique to (description)</t>
  </si>
  <si>
    <t>C14.2.1.2</t>
  </si>
  <si>
    <t>using chain drag technique to (description)</t>
  </si>
  <si>
    <t>C14.2.1.3</t>
  </si>
  <si>
    <t>using extracted core samples (description of location, core size and length)</t>
  </si>
  <si>
    <t>C14.2.1.4</t>
  </si>
  <si>
    <t>C14.2.2</t>
  </si>
  <si>
    <t>Concrete cover survey</t>
  </si>
  <si>
    <t>C14.2.2.1</t>
  </si>
  <si>
    <t>(description and location on structure)</t>
  </si>
  <si>
    <t>C14.2.3</t>
  </si>
  <si>
    <t>Concrete compressive strength</t>
  </si>
  <si>
    <t>C14.2.3.1</t>
  </si>
  <si>
    <t>C14.2.3.2</t>
  </si>
  <si>
    <t>C14.2.4</t>
  </si>
  <si>
    <t>Carbonation depth testing</t>
  </si>
  <si>
    <t>C14.2.4.1</t>
  </si>
  <si>
    <t>using extracted core samples or fragment removed for (description of location, core size and length)</t>
  </si>
  <si>
    <t>C14.2.5</t>
  </si>
  <si>
    <t>Chloride profile test</t>
  </si>
  <si>
    <t>C14.2.5.1</t>
  </si>
  <si>
    <t>C14.2.6</t>
  </si>
  <si>
    <t>Half-cell potential measurements</t>
  </si>
  <si>
    <t>C14.2.6.1</t>
  </si>
  <si>
    <t>C14.2.7</t>
  </si>
  <si>
    <t>Surface resistivity measurements</t>
  </si>
  <si>
    <t>C14.2.7.1</t>
  </si>
  <si>
    <t>C14.2.8</t>
  </si>
  <si>
    <t>Corrosion rate measurements</t>
  </si>
  <si>
    <t>C14.2.8.1</t>
  </si>
  <si>
    <t>C14.3</t>
  </si>
  <si>
    <t>DEMOLITION AND REMOVAL OF STRUCTURAL CONCRETE AND STEELWORK</t>
  </si>
  <si>
    <t>C14.3.1</t>
  </si>
  <si>
    <t>Demolition of concrete members or elements</t>
  </si>
  <si>
    <t>C14.3.1.1</t>
  </si>
  <si>
    <t>Full member or element (location and description)</t>
  </si>
  <si>
    <t>C14.3.1.2</t>
  </si>
  <si>
    <t>Partial member or element (location and description)</t>
  </si>
  <si>
    <t>C14.3.2</t>
  </si>
  <si>
    <t>Demolition of concrete members or elements by labour enhanced construction</t>
  </si>
  <si>
    <t>C14.3.2.1</t>
  </si>
  <si>
    <t>C14.3.2.2</t>
  </si>
  <si>
    <t>C14.3.3</t>
  </si>
  <si>
    <t>Demolition of structural steel structures, members or elements (location and description)</t>
  </si>
  <si>
    <t>C14.3.3.1</t>
  </si>
  <si>
    <t>C14.3.3.2</t>
  </si>
  <si>
    <t>C14.3.4</t>
  </si>
  <si>
    <t>Demolition of structural steel structures, members or elements by labour optimised construction (location and description)</t>
  </si>
  <si>
    <t>C14.3.4.1</t>
  </si>
  <si>
    <t>C14.3.4.2</t>
  </si>
  <si>
    <t>C14.3.5</t>
  </si>
  <si>
    <t>Removal of metal sections embedded in concrete (description)</t>
  </si>
  <si>
    <t>C14.3.6</t>
  </si>
  <si>
    <t>Establishment on site for hydro-demolition equipment</t>
  </si>
  <si>
    <t>C14.4</t>
  </si>
  <si>
    <t>SURFACE AND STRUCTURAL REPAIR OF CONCRETE MEMBERS</t>
  </si>
  <si>
    <t>C14.4.1</t>
  </si>
  <si>
    <t>Cementitious mortar or concrete (Class) to (description)</t>
  </si>
  <si>
    <t>C14.4.2</t>
  </si>
  <si>
    <t>Epoxy mortar</t>
  </si>
  <si>
    <t>C14.4.3</t>
  </si>
  <si>
    <t>Proprietary cementitious repari system (Class and generic description) in positions as indicated in accordance with Table A14.4.5-1.</t>
  </si>
  <si>
    <t>C14.4.3.1</t>
  </si>
  <si>
    <t>Class R4 - (Generic Description)</t>
  </si>
  <si>
    <t>(Position indicated)</t>
  </si>
  <si>
    <t>(Etc. for other positions)</t>
  </si>
  <si>
    <t>C14.4.3.2</t>
  </si>
  <si>
    <t>Class R3 - (Generic Description)</t>
  </si>
  <si>
    <t>C14.4.3.3</t>
  </si>
  <si>
    <t>Class R2 - (Generic Description)</t>
  </si>
  <si>
    <t>C14.4.3.4</t>
  </si>
  <si>
    <t>Class R1 - (Generic Description)</t>
  </si>
  <si>
    <t>C14.4.4</t>
  </si>
  <si>
    <t>Curing of repair surfaces</t>
  </si>
  <si>
    <t>C14.4.4.1</t>
  </si>
  <si>
    <t>By coating the surface with (type indicated) to (description)</t>
  </si>
  <si>
    <t>C14.4.4.2</t>
  </si>
  <si>
    <t>Curing by (method indicated) to (description)</t>
  </si>
  <si>
    <t>C14.4.5</t>
  </si>
  <si>
    <t>Sounding survey (Prior to repair of surface)</t>
  </si>
  <si>
    <t>C14.5</t>
  </si>
  <si>
    <t>ANCHORING OF REINFORCEMENT, GROUTING AND CRACK INJECTION</t>
  </si>
  <si>
    <t>C14.5.1</t>
  </si>
  <si>
    <t>Anchoring of reinforcing steel:</t>
  </si>
  <si>
    <t>C14.5.1.1</t>
  </si>
  <si>
    <t>Reinforcing (type, bar diameter) into formed holes (hole diameter and depth stated) in (description of member)</t>
  </si>
  <si>
    <t>C14.5.1.2</t>
  </si>
  <si>
    <t>Reinforcing (type, bar diameter) into pockets (pocket size and depth stated) in (description of member)</t>
  </si>
  <si>
    <t>C14.5.2</t>
  </si>
  <si>
    <t>Preparation of contact surfaces for grouting (type, position and size indicated)</t>
  </si>
  <si>
    <t>C14.5.3</t>
  </si>
  <si>
    <t>Grouting for:</t>
  </si>
  <si>
    <t>C14.5.3.1</t>
  </si>
  <si>
    <t>Bedding (type, thickness and size indicated) to (description)</t>
  </si>
  <si>
    <t>C14.5.3.2</t>
  </si>
  <si>
    <t>Gap filling (type, thickness and size indicated) to (description)</t>
  </si>
  <si>
    <t>C14.5.4</t>
  </si>
  <si>
    <t>Establishment on site for crack injection</t>
  </si>
  <si>
    <t>C14.5.5</t>
  </si>
  <si>
    <t>Surface preparation and surface sealing for crack injection to (location on structure)</t>
  </si>
  <si>
    <t>C14.5.6</t>
  </si>
  <si>
    <t>Crack injection adhesive to (location on structure)</t>
  </si>
  <si>
    <t>C14.5.7</t>
  </si>
  <si>
    <t>Crack filling</t>
  </si>
  <si>
    <t>C14.5.7.1</t>
  </si>
  <si>
    <t>Repair system to (location on structure)</t>
  </si>
  <si>
    <t>C14.5.8</t>
  </si>
  <si>
    <t>Site and core tests</t>
  </si>
  <si>
    <t>C14.5.8.1</t>
  </si>
  <si>
    <t>Drilling of cores (specify diameter of cores)</t>
  </si>
  <si>
    <t>C14.5.8.2</t>
  </si>
  <si>
    <t>Site testing and testing of cores</t>
  </si>
  <si>
    <t>C14.5.8.3</t>
  </si>
  <si>
    <t>Percentage on provisional sum for charges and profit</t>
  </si>
  <si>
    <t>C14.6</t>
  </si>
  <si>
    <t>SPRAYED CONCRETE FOR STRUCTURES</t>
  </si>
  <si>
    <t>C14.6.1</t>
  </si>
  <si>
    <t>Establishment on site for sprayed concrete work</t>
  </si>
  <si>
    <t>C14.6.2</t>
  </si>
  <si>
    <t>Preparation of concrete surface</t>
  </si>
  <si>
    <t>C14.6.3</t>
  </si>
  <si>
    <t>Sprayed concrete of specified strength class, thickness and finish applied in one or multiple layers as necessary:</t>
  </si>
  <si>
    <t>C14.6.3.1</t>
  </si>
  <si>
    <t>Indicate strength, thickness, finish of sprayed concrete to portion of structure or use</t>
  </si>
  <si>
    <t>C14.6.3.2</t>
  </si>
  <si>
    <t>Etc. for other strength, thickness, finish of sprayed concrete to other portions of structure or uses</t>
  </si>
  <si>
    <t>C14.6.4</t>
  </si>
  <si>
    <t>Curing of sprayed concrete surface</t>
  </si>
  <si>
    <t>C14.6.5</t>
  </si>
  <si>
    <t>Special tests ordered by the Engineer</t>
  </si>
  <si>
    <t>C14.7</t>
  </si>
  <si>
    <t>PROTECTIVE COATINGS AND TREATMENTS FOR CONCRETE</t>
  </si>
  <si>
    <t>C14.7.1</t>
  </si>
  <si>
    <t>Cleaning and preparation of concrete surface (method and surface finish indicated)</t>
  </si>
  <si>
    <t>C14.7.2</t>
  </si>
  <si>
    <t>Application of protective coatings and treatments (type and application rate indicated)</t>
  </si>
  <si>
    <t>C14.7.3</t>
  </si>
  <si>
    <t>On site monitoring and supply of written product performance guarantee</t>
  </si>
  <si>
    <t>C14.7.4</t>
  </si>
  <si>
    <t>Trial sample panels</t>
  </si>
  <si>
    <t>C14.8</t>
  </si>
  <si>
    <t>EXTERNAL BONDING OF STEEL AND CARBON FIBRE</t>
  </si>
  <si>
    <t>C14.8.1</t>
  </si>
  <si>
    <t>Moving to and setting up the equipment at each work site (description of location)</t>
  </si>
  <si>
    <t>C14.8.2</t>
  </si>
  <si>
    <t>Preparation of concrete surfaces</t>
  </si>
  <si>
    <t>C14.8.2.1</t>
  </si>
  <si>
    <t>Concrete surfaces for plate bonding (position, size and material indicated)</t>
  </si>
  <si>
    <t>C14.8.2.2</t>
  </si>
  <si>
    <t>Slots in concrete for steel or carbon fibre bonding (position, size and material indicated)</t>
  </si>
  <si>
    <t>C14.8.3</t>
  </si>
  <si>
    <t>Adhesive and saturant</t>
  </si>
  <si>
    <t>C14.8.3.1</t>
  </si>
  <si>
    <t>Adhesive (description or type to location)</t>
  </si>
  <si>
    <t>C14.8.3.2</t>
  </si>
  <si>
    <t>Saturant (description or type to location)</t>
  </si>
  <si>
    <t>C14.8.4</t>
  </si>
  <si>
    <t>Bonded plates, bars or sections</t>
  </si>
  <si>
    <t>C14.8.4.1</t>
  </si>
  <si>
    <t>Plates (description of material, unit, size and mass)</t>
  </si>
  <si>
    <t>C14.8.4.2</t>
  </si>
  <si>
    <t>Bars (material, type and size indicated)</t>
  </si>
  <si>
    <t>C14.8.4.3</t>
  </si>
  <si>
    <t>Sections (material, type and size indicated)</t>
  </si>
  <si>
    <t>C14.8.4.4</t>
  </si>
  <si>
    <t>Elements (material, description)</t>
  </si>
  <si>
    <t>C14.8.4.5</t>
  </si>
  <si>
    <t>Fibre fabric material (material and type indicated)</t>
  </si>
  <si>
    <t>C14.8.5</t>
  </si>
  <si>
    <t>Fixing studs and bolts (type and size indicated)</t>
  </si>
  <si>
    <t>C14.8.6</t>
  </si>
  <si>
    <t>Protective paint coatings (type and film thickness indicated)</t>
  </si>
  <si>
    <t>C14.9</t>
  </si>
  <si>
    <t>REPAIR AND REPLACEMENT OF ANCILLARY STRUCTURAL ELEMENTS</t>
  </si>
  <si>
    <t>C14.9.1</t>
  </si>
  <si>
    <t>Removal of debris from expansion gaps (description)</t>
  </si>
  <si>
    <t>C14.9.2</t>
  </si>
  <si>
    <t>Clear bridge drainage system (description of elements)</t>
  </si>
  <si>
    <t>C14.9.3</t>
  </si>
  <si>
    <t>Service and repair of existing joint system</t>
  </si>
  <si>
    <t>C14.9.3.1</t>
  </si>
  <si>
    <t>Service and repair of bridge joints (description)</t>
  </si>
  <si>
    <t>C14.9.4</t>
  </si>
  <si>
    <t>Joint terminations as specified on the drawings in:</t>
  </si>
  <si>
    <t>C14.9.4.1</t>
  </si>
  <si>
    <t>Barriers and Parapets (type of joint indicated)</t>
  </si>
  <si>
    <t>C14.9.4.2</t>
  </si>
  <si>
    <t>Sidewalks (type of joint indicated)</t>
  </si>
  <si>
    <t>C14.9.5</t>
  </si>
  <si>
    <t>Cover plates (nonmetallic) in barriers, parapets and sidewalks as specified on the drawings in:</t>
  </si>
  <si>
    <t>C14.9.5.1</t>
  </si>
  <si>
    <t>Barriers and parapets (type of joint indicated)</t>
  </si>
  <si>
    <t>C14.9.5.2</t>
  </si>
  <si>
    <t>C14.9.6</t>
  </si>
  <si>
    <t>Repair of handrails (description of work)</t>
  </si>
  <si>
    <t>C14.9.7</t>
  </si>
  <si>
    <t>Removal and reinstatement of brickwork on bridges (description and wall thickness)</t>
  </si>
  <si>
    <t>C14.9.8</t>
  </si>
  <si>
    <t>Drilling of drainage holes into void formers from deck soffit (size of hole indicated)</t>
  </si>
  <si>
    <t>C14.9.9</t>
  </si>
  <si>
    <t>Refurbishment of bearings (type and size described)</t>
  </si>
  <si>
    <t>C14.9.9.1</t>
  </si>
  <si>
    <t>Removal and inspection</t>
  </si>
  <si>
    <t>C14.9.9.2</t>
  </si>
  <si>
    <t>Refurbish and reinstall</t>
  </si>
  <si>
    <t>C14.9.10</t>
  </si>
  <si>
    <t>Replace PVC junctions in deck (type and size described)</t>
  </si>
  <si>
    <t>C14.9.11</t>
  </si>
  <si>
    <t>Reseal PVC junctions in deck drainage network (type and size described)</t>
  </si>
  <si>
    <t>C14.9.12</t>
  </si>
  <si>
    <t>Inlet gratings</t>
  </si>
  <si>
    <t>C14.9.12.1</t>
  </si>
  <si>
    <t>Inlet grating in kerb (size)</t>
  </si>
  <si>
    <t>C14.9.12.2</t>
  </si>
  <si>
    <t>Other types of gratings (indicate details)</t>
  </si>
  <si>
    <t>C14.9.13</t>
  </si>
  <si>
    <t>Seal deck drainage outlets at deck level (size)</t>
  </si>
  <si>
    <t>C14.9.14</t>
  </si>
  <si>
    <t>Bridge number plates</t>
  </si>
  <si>
    <t>C14.9.14.1</t>
  </si>
  <si>
    <t>Refurbishment of existing plates</t>
  </si>
  <si>
    <t>C14.9.14.2</t>
  </si>
  <si>
    <t>New number plate</t>
  </si>
  <si>
    <t>C14.9.15</t>
  </si>
  <si>
    <t>Fix or re-fix ancillary elements</t>
  </si>
  <si>
    <t>C14.9.15.1</t>
  </si>
  <si>
    <t>(Description of element)</t>
  </si>
  <si>
    <t>C14.9.15.2</t>
  </si>
  <si>
    <t>C14.9.15.3</t>
  </si>
  <si>
    <t>C14.9.16</t>
  </si>
  <si>
    <t>Supply new ancillary elements</t>
  </si>
  <si>
    <t>C14.9.16.1</t>
  </si>
  <si>
    <t>C14.9.16.2</t>
  </si>
  <si>
    <t>C14.9.17</t>
  </si>
  <si>
    <t>Light fittings (description of element)</t>
  </si>
  <si>
    <t>C14.10</t>
  </si>
  <si>
    <t>JACKING OF BRIDGE STRUCTURES</t>
  </si>
  <si>
    <t>C14.10.1</t>
  </si>
  <si>
    <t>Temporary support and foundations</t>
  </si>
  <si>
    <t>C14.10.1.2</t>
  </si>
  <si>
    <t>Design, construct and erect temporary supports for the jacking of (bridge deck)</t>
  </si>
  <si>
    <t>Dismantle and remove from site</t>
  </si>
  <si>
    <t>C14.10.2</t>
  </si>
  <si>
    <t>Jacking equipment</t>
  </si>
  <si>
    <t>C14.10.2.1</t>
  </si>
  <si>
    <t>Design, supply and install equipment for the jacking of (bridge deck)</t>
  </si>
  <si>
    <t>C14.10.2.2</t>
  </si>
  <si>
    <t>Dismantle and remove all jacking equipment from site</t>
  </si>
  <si>
    <t>C14.10.3</t>
  </si>
  <si>
    <t>Vertical jacking of the bridge deck (site details)</t>
  </si>
  <si>
    <t>C14.11</t>
  </si>
  <si>
    <t>REPAIR OF STEEL ELEMENTS</t>
  </si>
  <si>
    <t>C14.11.1</t>
  </si>
  <si>
    <t>Refurbishment of (describe item)</t>
  </si>
  <si>
    <t>C14.11.2</t>
  </si>
  <si>
    <t>Replacement of rivets or bolts with HSFG bolts (diameter and class indicated)</t>
  </si>
  <si>
    <t>SCHEDULE B: BRAVO TAXIWAY - SUMMARY</t>
  </si>
  <si>
    <t>C2-18</t>
  </si>
  <si>
    <t>C2-19</t>
  </si>
  <si>
    <t>C2-21</t>
  </si>
  <si>
    <t>C2-22</t>
  </si>
  <si>
    <t>C2-23</t>
  </si>
  <si>
    <t>C2-24</t>
  </si>
  <si>
    <t>C2-25</t>
  </si>
  <si>
    <t>C2-26</t>
  </si>
  <si>
    <t>C2-27</t>
  </si>
  <si>
    <t>C2-28</t>
  </si>
  <si>
    <t>C2-29</t>
  </si>
  <si>
    <t>C2-32</t>
  </si>
  <si>
    <t>C2-33</t>
  </si>
  <si>
    <t>C2-34</t>
  </si>
  <si>
    <t>TOTAL SCHEDULE B: ROADWORKS OPTION 1 BRAVO TAXIWAY REHAB - SUMMARY</t>
  </si>
  <si>
    <t>SCHEDULE C:  NEW TIE-IN QUEBEC</t>
  </si>
  <si>
    <t xml:space="preserve">When on site check dimensions of the stock pile to be removed. </t>
  </si>
  <si>
    <t>Cleared and grubbed material (organic matter and all other unsuitable or waste material)</t>
  </si>
  <si>
    <t xml:space="preserve">Increase Quantity </t>
  </si>
  <si>
    <t xml:space="preserve">New Section for Civil works for electrical installation. </t>
  </si>
  <si>
    <t>C2.1.6</t>
  </si>
  <si>
    <t>Trench excavation(in soft material)</t>
  </si>
  <si>
    <t>C2.1.6.1</t>
  </si>
  <si>
    <t xml:space="preserve">Trenches up to 1.0m wide : </t>
  </si>
  <si>
    <t>Up to 1.0m deep</t>
  </si>
  <si>
    <t>Over 1.0m and up to 2.0m deep</t>
  </si>
  <si>
    <t>C2.1.7</t>
  </si>
  <si>
    <t>Extra over items C2.1.6, C2.1.8and C2.1.16 for excavating in:</t>
  </si>
  <si>
    <t>C2.1.7.1</t>
  </si>
  <si>
    <t>Hard material irrespective of depth</t>
  </si>
  <si>
    <t>C2.1.7.2</t>
  </si>
  <si>
    <t>Stabilised material irrespective of depth</t>
  </si>
  <si>
    <t>C2.1.8</t>
  </si>
  <si>
    <t>Excavations outside the normal trench profile</t>
  </si>
  <si>
    <t>C2.1.11</t>
  </si>
  <si>
    <t>Backfilling of trenches</t>
  </si>
  <si>
    <t>C2.1.11.1</t>
  </si>
  <si>
    <t>Backfill compacted to 93% (100% for sand) of MDD (areas subject to traffic loads) using material:</t>
  </si>
  <si>
    <t>From commercial sources (G7 Material)</t>
  </si>
  <si>
    <t>C2.1.23</t>
  </si>
  <si>
    <t>Reinstatement of trenches in existing surfaced roads using:</t>
  </si>
  <si>
    <t>C2.1.23.1</t>
  </si>
  <si>
    <t>Selected material (state material type and source e.g. G7, commercia and 300mm layer thickness) compacted to (95% compaction) of MDD</t>
  </si>
  <si>
    <t>C2.1.23.3</t>
  </si>
  <si>
    <t>Stabilised subbase material ( C2 (Minimum G2 material), commercial and 400mm layer thickness) using (4% cement stabilising agent) compacted to (97% compaction) of MDD</t>
  </si>
  <si>
    <t>C2.1.23.5</t>
  </si>
  <si>
    <t>Prime coat (MC - 30 cut-back bitumen (Application Rate 0,7l/m2))</t>
  </si>
  <si>
    <t>C2.1.23.6</t>
  </si>
  <si>
    <t>Tack coat (Stable grade 60% net bitumen emulsion as specified)</t>
  </si>
  <si>
    <t>C2.1.23.7 (a)</t>
  </si>
  <si>
    <t>Asphalt material (Sand skeletal mix - continuously graded asphalt as defined (50mm layer thickness, Sa-E14 - A-P1 Modified Binder (PG64E-16), design class/level III and placing technique paver)(NMPS 14mm))</t>
  </si>
  <si>
    <t>C2.1.23.7 (b)</t>
  </si>
  <si>
    <t xml:space="preserve">Asphalt material (Sand skeletal mix - high modulus asphalt (Class II EME) (120mm layer thickness, 10-20 Penetration Grade Bitumen , design class (Sabita Manual 33) and placing technique paver)(NMPS 14mm)(Constructed in 2 lifts)) </t>
  </si>
  <si>
    <t>C2.1.24.3</t>
  </si>
  <si>
    <t>Saw-cutting materials (asphalt surfacing and base) to an average depth: to an average depth:</t>
  </si>
  <si>
    <t>( c)</t>
  </si>
  <si>
    <t>Exceeding 100 mm but not exceeding 150 mm</t>
  </si>
  <si>
    <t>C2.1.25</t>
  </si>
  <si>
    <t>Removal of existing services:</t>
  </si>
  <si>
    <t>C2.1.25.1</t>
  </si>
  <si>
    <t xml:space="preserve">Removal of existing 32mm duct on taxiway and shoulder </t>
  </si>
  <si>
    <t xml:space="preserve">Removal of existing 110mm duct on taxiway and shoulder </t>
  </si>
  <si>
    <t>C2.1.25.3</t>
  </si>
  <si>
    <t xml:space="preserve">Removal of existing taxiway and shoulder lighting </t>
  </si>
  <si>
    <t>C2.1.27</t>
  </si>
  <si>
    <t>Demolition of existing manholes, access chambers and other service structures consisting of:</t>
  </si>
  <si>
    <t>C2.1.27.1</t>
  </si>
  <si>
    <t>Unreinforced concrete</t>
  </si>
  <si>
    <t>C2.1.27.2</t>
  </si>
  <si>
    <t>C2.1.27.3</t>
  </si>
  <si>
    <t>Masonry</t>
  </si>
  <si>
    <t>C2.2</t>
  </si>
  <si>
    <t>DRY SERVICES</t>
  </si>
  <si>
    <t>Supply, lay and prove ducts</t>
  </si>
  <si>
    <t xml:space="preserve">110mm internal dia uPVC pipes </t>
  </si>
  <si>
    <t>State diameter (110 mm diameter (OD))</t>
  </si>
  <si>
    <t>State diameter (32 mm diameter (OD))</t>
  </si>
  <si>
    <t>C2.2.4</t>
  </si>
  <si>
    <t>Bedding for ducts compacted to 90 % of MDD (100 % for sand) using material:</t>
  </si>
  <si>
    <t>C2.2.4.1</t>
  </si>
  <si>
    <t>C2.2.4.5</t>
  </si>
  <si>
    <t>Non-cohesive material (G7 Type Material)</t>
  </si>
  <si>
    <t>Non-cohesive material (Sand)</t>
  </si>
  <si>
    <t>C2.2.6</t>
  </si>
  <si>
    <t>Duct accessories (markers, marking, draw wires and end caps etc.)</t>
  </si>
  <si>
    <t>C2.2.6.4</t>
  </si>
  <si>
    <t>End caps or plugs (Upvc)</t>
  </si>
  <si>
    <t>C2.2.7.2</t>
  </si>
  <si>
    <t>Manholes (Electrical Manholes and drawing reference KSIA-CIV-SD-031a.)</t>
  </si>
  <si>
    <t>0m - 1.5m</t>
  </si>
  <si>
    <t>C2.2.8</t>
  </si>
  <si>
    <t>Covers and frames for duct handholes, manholes and access chambers</t>
  </si>
  <si>
    <t>C2.2.8.1</t>
  </si>
  <si>
    <t>Electrical Manholes, strength class 25mpa  and 3m x 3m cover and frame - Type H Pit Cover - Drawing reference KSIA-CIV-SD-031a</t>
  </si>
  <si>
    <t>PSC2.2.10</t>
  </si>
  <si>
    <t>Raising and lowering existing electrical airport manholes - drawing reference KSIA-CIV-SD-031a</t>
  </si>
  <si>
    <t>C2.2/C13.2.1</t>
  </si>
  <si>
    <t>Formwork to provide (class  F3) surface finish to (light signage bases)</t>
  </si>
  <si>
    <t>C2.2/C13.3.1.1</t>
  </si>
  <si>
    <t>(Light signage bases):</t>
  </si>
  <si>
    <t>C2.2/C13.4.1.1</t>
  </si>
  <si>
    <t>Light signage bases C25/30-19</t>
  </si>
  <si>
    <t>PSC2.2.11</t>
  </si>
  <si>
    <t xml:space="preserve">Coring into existing concrete/masonry manholes </t>
  </si>
  <si>
    <t xml:space="preserve">110mm cores </t>
  </si>
  <si>
    <t xml:space="preserve">32mm cores </t>
  </si>
  <si>
    <t>U-PVC pipes and fittings , normal duty, complete with coupling ( 160mm dia and perforated) as per detailed drawing  KSIA-CIV-DP-023</t>
  </si>
  <si>
    <t>Cleaning eyes as per detailed drawing  KSIA-CIV-DP-021 &amp; KSIA-CIV-DP-023 Complete</t>
  </si>
  <si>
    <t>On Class C bedding (100D 450mm Dia.)</t>
  </si>
  <si>
    <t>C4.2.4</t>
  </si>
  <si>
    <t>Excavating of materials in box cuts, material obtained from</t>
  </si>
  <si>
    <t>C4.2.4.1</t>
  </si>
  <si>
    <t>C4.2.4.2</t>
  </si>
  <si>
    <t>C4.2.4.3</t>
  </si>
  <si>
    <t>C4.2.4.4</t>
  </si>
  <si>
    <t>C4.2.7</t>
  </si>
  <si>
    <t>Removal of unsuitable stable cut material to spoil</t>
  </si>
  <si>
    <t xml:space="preserve">                              </t>
  </si>
  <si>
    <t>C4.2.7.1</t>
  </si>
  <si>
    <t>In layer thicknesses of 200 mm and less</t>
  </si>
  <si>
    <t>C4.2.7.2</t>
  </si>
  <si>
    <t>In layer thicknesses exceeding 200 mm</t>
  </si>
  <si>
    <t xml:space="preserve">                                          </t>
  </si>
  <si>
    <t>PSC4.2.13</t>
  </si>
  <si>
    <t>Dewatering excavations throughout the earthworks and fill operations by means of pumping</t>
  </si>
  <si>
    <t xml:space="preserve">New Items </t>
  </si>
  <si>
    <t>Etc, in 50 mm increments</t>
  </si>
  <si>
    <r>
      <t>m</t>
    </r>
    <r>
      <rPr>
        <vertAlign val="superscript"/>
        <sz val="10"/>
        <color rgb="FFFF0000"/>
        <rFont val="Arial"/>
        <family val="2"/>
      </rPr>
      <t>3</t>
    </r>
  </si>
  <si>
    <t xml:space="preserve">                                                    </t>
  </si>
  <si>
    <t>C4.3.7.3</t>
  </si>
  <si>
    <t>Exceeding 100 mm</t>
  </si>
  <si>
    <t>C4.3.9</t>
  </si>
  <si>
    <t>Excavating material by using conventional road construction equipment</t>
  </si>
  <si>
    <t>C4.3.9.2</t>
  </si>
  <si>
    <t>Crushed stone and macadam materials</t>
  </si>
  <si>
    <t>C4.3.9.3</t>
  </si>
  <si>
    <t>C4.3.9.4</t>
  </si>
  <si>
    <t>Natural gravel and sand materials</t>
  </si>
  <si>
    <t>Type G2 material</t>
  </si>
  <si>
    <r>
      <t>m</t>
    </r>
    <r>
      <rPr>
        <vertAlign val="superscript"/>
        <sz val="9"/>
        <color rgb="FFFF0000"/>
        <rFont val="Arial"/>
        <family val="2"/>
      </rPr>
      <t>3</t>
    </r>
  </si>
  <si>
    <t>Type G5A material</t>
  </si>
  <si>
    <t>(j)(i)</t>
  </si>
  <si>
    <t>Type G7 material</t>
  </si>
  <si>
    <t>(j)(ii)</t>
  </si>
  <si>
    <t>Type G7 material  (Shoulders)</t>
  </si>
  <si>
    <t>(j)(iii)</t>
  </si>
  <si>
    <t xml:space="preserve">Type G7 Material (Restricted Works Areas) </t>
  </si>
  <si>
    <t>(k)</t>
  </si>
  <si>
    <t>Type G9 material</t>
  </si>
  <si>
    <t>(o)</t>
  </si>
  <si>
    <t>Sand for a selected layer</t>
  </si>
  <si>
    <r>
      <t>m</t>
    </r>
    <r>
      <rPr>
        <vertAlign val="superscript"/>
        <sz val="9"/>
        <color rgb="FFFF0000"/>
        <rFont val="Arial Narrow"/>
        <family val="2"/>
      </rPr>
      <t>3</t>
    </r>
  </si>
  <si>
    <t>Rock Fil</t>
  </si>
  <si>
    <t xml:space="preserve">Type G5A material </t>
  </si>
  <si>
    <t>C4.4.4</t>
  </si>
  <si>
    <t>Cementitious stabilising agents</t>
  </si>
  <si>
    <t>C4.4.4.1</t>
  </si>
  <si>
    <t>Handling cost and profit in respect of item C4.4.7.1</t>
  </si>
  <si>
    <t>PSC4.4.8</t>
  </si>
  <si>
    <t xml:space="preserve">Supply and lay Rock Grid 200/200 as per detailed drawings </t>
  </si>
  <si>
    <t>PSC4.4.9</t>
  </si>
  <si>
    <t xml:space="preserve">Supply and lay Bidim A4 Geotextile </t>
  </si>
  <si>
    <t xml:space="preserve">New item added </t>
  </si>
  <si>
    <t>PSC4.4.10</t>
  </si>
  <si>
    <t>Supply of penetrating moisture barrier (Nano-silane)</t>
  </si>
  <si>
    <t>C5.1.1.1</t>
  </si>
  <si>
    <t>Compaction of in-situ material to 90% of MDD</t>
  </si>
  <si>
    <r>
      <t>m</t>
    </r>
    <r>
      <rPr>
        <vertAlign val="superscript"/>
        <sz val="10"/>
        <color rgb="FFFF0000"/>
        <rFont val="Arial Narrow"/>
        <family val="2"/>
      </rPr>
      <t>3</t>
    </r>
  </si>
  <si>
    <t>C5.1.3.1</t>
  </si>
  <si>
    <t>Excavate material to spoil from roadbed construction, material obtained from:</t>
  </si>
  <si>
    <t>Boulder excavation Class A</t>
  </si>
  <si>
    <t>Boulder excavation Class B</t>
  </si>
  <si>
    <t>C5.2.1</t>
  </si>
  <si>
    <t>Compiling and implementing M&amp;U plans</t>
  </si>
  <si>
    <t>C5.2.1.1</t>
  </si>
  <si>
    <r>
      <t>For fills more than 10 000 m</t>
    </r>
    <r>
      <rPr>
        <vertAlign val="superscript"/>
        <sz val="10"/>
        <rFont val="Arial Narrow"/>
        <family val="2"/>
      </rPr>
      <t xml:space="preserve">3 </t>
    </r>
    <r>
      <rPr>
        <sz val="10"/>
        <rFont val="Arial Narrow"/>
        <family val="2"/>
      </rPr>
      <t>(list all fills separately)</t>
    </r>
  </si>
  <si>
    <t xml:space="preserve">Increase in qunatity </t>
  </si>
  <si>
    <t>PSC5.2.2.4</t>
  </si>
  <si>
    <t>Rock fill material all as per Clause A5.2.7.6</t>
  </si>
  <si>
    <t xml:space="preserve">Fill material in shoulders  compacted to 93% of MDD </t>
  </si>
  <si>
    <t>C5.3.1</t>
  </si>
  <si>
    <t>Compiling and implementing M&amp;U plans for the construction of all the pavement layers</t>
  </si>
  <si>
    <t>Lower selected subgrade layer (150mm) compacted to 93% of MDD</t>
  </si>
  <si>
    <t>G9</t>
  </si>
  <si>
    <t>Lower selected subgrade layer (220mm) compacted to 95% of MDD - (To be constructed in 2 layers of 110mm)</t>
  </si>
  <si>
    <t>G7</t>
  </si>
  <si>
    <t xml:space="preserve">Lower selected subgrade layer (180mm) compacted to 95% of MDD </t>
  </si>
  <si>
    <t>(c)(i)</t>
  </si>
  <si>
    <t xml:space="preserve">Upper selected subgrade layer (230mm) compacted to 95% of MDD (To be constructed in 2 layers of 115mm) </t>
  </si>
  <si>
    <r>
      <t>m</t>
    </r>
    <r>
      <rPr>
        <vertAlign val="superscript"/>
        <sz val="10"/>
        <color rgb="FFFF0000"/>
        <rFont val="Arial Narrow"/>
        <family val="2"/>
      </rPr>
      <t>3</t>
    </r>
    <r>
      <rPr>
        <sz val="11"/>
        <color theme="1"/>
        <rFont val="Calibri"/>
        <family val="2"/>
        <scheme val="minor"/>
      </rPr>
      <t/>
    </r>
  </si>
  <si>
    <t>C3</t>
  </si>
  <si>
    <t>(c)(ii)</t>
  </si>
  <si>
    <t>Upper selected subgrade layer (220mm) compacted to 95% of MDD</t>
  </si>
  <si>
    <t>C4</t>
  </si>
  <si>
    <t>Sand layer (layer thickness indicated) compacted to 97% of MDD</t>
  </si>
  <si>
    <r>
      <t>m</t>
    </r>
    <r>
      <rPr>
        <vertAlign val="superscript"/>
        <sz val="10"/>
        <color rgb="FFFF0000"/>
        <rFont val="Arial"/>
        <family val="2"/>
      </rPr>
      <t>3</t>
    </r>
    <r>
      <rPr>
        <sz val="11"/>
        <color theme="1"/>
        <rFont val="Calibri"/>
        <family val="2"/>
        <scheme val="minor"/>
      </rPr>
      <t/>
    </r>
  </si>
  <si>
    <t>(l)(i)</t>
  </si>
  <si>
    <t>Upper subbase gravel layer (chemically stabilised) (200mm) compacted to 90% of MDD (To be constructed in 2 layers of 100mm)</t>
  </si>
  <si>
    <t>(l)(ii)</t>
  </si>
  <si>
    <t>Upper subbase gravel layer (chemically stabilised) (200mm) compacted to 97% of MDD (To be constructed in 2 layers of 100mm)</t>
  </si>
  <si>
    <t>Upper subbase gravel layer (chemically stabilised) (230mm) compacted to 97% of MDD</t>
  </si>
  <si>
    <t>(m)</t>
  </si>
  <si>
    <t>Gravel base layer (unstabilised), (150mm) compacted to 88% AD</t>
  </si>
  <si>
    <t>G2</t>
  </si>
  <si>
    <t>C5.3.9.1</t>
  </si>
  <si>
    <t>Construction of a trial section using conventional methods of construction</t>
  </si>
  <si>
    <t>Crushed stone base layer (150mm) trial section</t>
  </si>
  <si>
    <t>PSC5.3.13</t>
  </si>
  <si>
    <t>Processing of layers for restrictive works, night works, keeping the area safe and full compliance with KSIA requirements in Buffer 01 for the excavations of the Quebec box cut</t>
  </si>
  <si>
    <t>PSC5.3.14</t>
  </si>
  <si>
    <t>Processing of layers for restrictive works, night works, keeping the area safe and full compliance with KSIA requirements in Buffer 02 for the excavations of the Quebec box cut</t>
  </si>
  <si>
    <t>C5.4.2.1 (i)</t>
  </si>
  <si>
    <t>Chemical stabilisation (200mm) of pavement layers (To be constructed in 2 layers of 100mm)</t>
  </si>
  <si>
    <t>C5.4.2.1 (ii)</t>
  </si>
  <si>
    <t>C5.4.2.1 (iii)</t>
  </si>
  <si>
    <t xml:space="preserve">Chemical stabilisation (230mm) of pavement layers </t>
  </si>
  <si>
    <t>C5.4.5</t>
  </si>
  <si>
    <t>Cementitious stabilisation agents for pavement layers</t>
  </si>
  <si>
    <t>C5.4.5.1</t>
  </si>
  <si>
    <t>Addition of cementitious stabilisation agents for pavement layers</t>
  </si>
  <si>
    <t>Cement (for pavement layer)</t>
  </si>
  <si>
    <t>C5.4.11</t>
  </si>
  <si>
    <t>Curing by covering with subsequent layer</t>
  </si>
  <si>
    <t>C5.4.14</t>
  </si>
  <si>
    <t>Trial section for a chemically stabilised layer</t>
  </si>
  <si>
    <t>PSC9.1.4</t>
  </si>
  <si>
    <t xml:space="preserve">Asphalt Base </t>
  </si>
  <si>
    <t>PSCC9.1.4.1</t>
  </si>
  <si>
    <t xml:space="preserve">Sand skeletal mix - high modulus asphalt (Class II EME) (120mm layer thickness, 10-20 Penetration Grade Bitumen , design class (Sabita Manual 33) and placing technique paver)(NMPS 14mm)(Constructed in 2 lifts) </t>
  </si>
  <si>
    <t>PSC9.1.5</t>
  </si>
  <si>
    <t>PSC9.1.5.1</t>
  </si>
  <si>
    <t>Sand skeletal mix - continuously graded asphalt as defined (50mm layer thickness, Sa-E14 - A-P1 Modified Binder (PG64E-16), design class/level III and placing technique paver)(NMPS 14mm)</t>
  </si>
  <si>
    <t xml:space="preserve">50mm New Asphalt (SA-E14) </t>
  </si>
  <si>
    <t>SCHEDULE C:  NEW TIE-IN</t>
  </si>
  <si>
    <t>Extra over payment item C9.1.4.1 and C9.1.5.1 (120mm layer thickness, high modulus asphalt (Class II EME), 10-20 Penetration Grade Bitumen Binder, design class (Sabita Manual 33), 14mm nominal maximum particle size and placing technique (hand))</t>
  </si>
  <si>
    <t>Extra over payment item C9.1.4.1 and C9.1.5.1 (50mm layer thickness, SA-E14 - A-P1 Modified Binder (PG64E-16), design class/level III, 14mm nominal maximum particle size and placing technique (hand))</t>
  </si>
  <si>
    <t xml:space="preserve">lanes </t>
  </si>
  <si>
    <t>ROAD MARKINGS AND ROAD STUDS</t>
  </si>
  <si>
    <t>C12.7</t>
  </si>
  <si>
    <t>TRENCHLESS METHODS</t>
  </si>
  <si>
    <t>C12.7.1</t>
  </si>
  <si>
    <t>Establishment on site for: (indicate type of operation: Horizontal directional drilling)</t>
  </si>
  <si>
    <t xml:space="preserve">New Item for Electrical cable installation </t>
  </si>
  <si>
    <t>C12.7.2</t>
  </si>
  <si>
    <t>Moving to and setting up equipment at each position for (Installation of electrical pipe ducts)</t>
  </si>
  <si>
    <t>C12.7.3</t>
  </si>
  <si>
    <t>Installing holes (110mm dia, Upvc indicated) to required length for (installation of electrical pipe ducts)</t>
  </si>
  <si>
    <t>SCHEDULE C:  NEW TIE-IN QUEBEC - SUMMARY</t>
  </si>
  <si>
    <t>C2-36</t>
  </si>
  <si>
    <t>C2-37</t>
  </si>
  <si>
    <t>C2-39</t>
  </si>
  <si>
    <t>C2-40</t>
  </si>
  <si>
    <t>C2-42</t>
  </si>
  <si>
    <t>C2-43</t>
  </si>
  <si>
    <t>C2-44</t>
  </si>
  <si>
    <t>C2-45</t>
  </si>
  <si>
    <t>C2-46</t>
  </si>
  <si>
    <t>C2-47</t>
  </si>
  <si>
    <t>C2-48</t>
  </si>
  <si>
    <t>C2-49</t>
  </si>
  <si>
    <t>C2-50</t>
  </si>
  <si>
    <t>C2-51</t>
  </si>
  <si>
    <t>C2-53</t>
  </si>
  <si>
    <t>MARKINGS AND  STUDS</t>
  </si>
  <si>
    <t>C2-54</t>
  </si>
  <si>
    <t>C2-55</t>
  </si>
  <si>
    <t>C2-56</t>
  </si>
  <si>
    <t>TOTAL SCHEDULE C: NEW TIE-IN</t>
  </si>
  <si>
    <t xml:space="preserve">SCHEDULE D: APRON STAND AND CHANNEL   </t>
  </si>
  <si>
    <t>Increase in Quantity</t>
  </si>
  <si>
    <t xml:space="preserve">New Section for Mechanical Civils works. </t>
  </si>
  <si>
    <t>C2.1.2</t>
  </si>
  <si>
    <t>Existing services, detention and verification</t>
  </si>
  <si>
    <t>Trench excavation(in soft material) for 16'' and 6'' Hydrant Fuel Pipelines</t>
  </si>
  <si>
    <t>Over 2.0m and up to 3.0m deep</t>
  </si>
  <si>
    <t>Over 3.0m and up to 4.0m deep</t>
  </si>
  <si>
    <t>From commercial sources (G7 Material Compacted to 95% MMD)</t>
  </si>
  <si>
    <t>From commercial sources (G5B Material Compacted to 95% MMD)</t>
  </si>
  <si>
    <t>C2.1.13.2</t>
  </si>
  <si>
    <t>Backfilling trenches using soil cement using (state type of material i.e.G5 ,G7 or G8) compacted to 93% of MDD</t>
  </si>
  <si>
    <t>C2.1.13.3 (a)</t>
  </si>
  <si>
    <t>Backfilling trenches using soil cement using (state type of material i.e.G7) compacted to 97% of MDD</t>
  </si>
  <si>
    <t>C2.1.13.4</t>
  </si>
  <si>
    <t xml:space="preserve">Cement (state class of cement) </t>
  </si>
  <si>
    <t>C2.1.19</t>
  </si>
  <si>
    <t>Dealing with water during services work</t>
  </si>
  <si>
    <t>C2.1.19.1</t>
  </si>
  <si>
    <t xml:space="preserve">Dealing with surface water </t>
  </si>
  <si>
    <t>C2.1.19.2</t>
  </si>
  <si>
    <t xml:space="preserve">Dealing with subsurface water </t>
  </si>
  <si>
    <t>C2.1.23.1 (a)</t>
  </si>
  <si>
    <t>Selected material (state material type and source e.g. G8, commercia and layer thickness 150mm) compacted to (state minimum compaction) 93% of MDD</t>
  </si>
  <si>
    <t>C2.1.23.1 (b)</t>
  </si>
  <si>
    <t>Selected material (state material type and source e.g. G7, commercia and layer thickness 150mm) compacted to (state minimum compaction) 95% of MDD</t>
  </si>
  <si>
    <t xml:space="preserve">New Structures </t>
  </si>
  <si>
    <t>Stabilised subbase material (C3 commercial sources and 150mm layer thickness) using (4% percentage cement stabilising agent) compacted to (state minimum compaction) 97% of MDD</t>
  </si>
  <si>
    <t xml:space="preserve"> </t>
  </si>
  <si>
    <t>C2.1.23.4</t>
  </si>
  <si>
    <t>Base material ( G2, commercial and 150mm layer thickness) compacted to (Minimum compaction  102 % for G2 ) % of MDD</t>
  </si>
  <si>
    <t xml:space="preserve">LP7 - Tie in Point 1 </t>
  </si>
  <si>
    <t xml:space="preserve">Tie in Point 2 - No civil structure represented </t>
  </si>
  <si>
    <t xml:space="preserve">HP6 </t>
  </si>
  <si>
    <t>VC13</t>
  </si>
  <si>
    <t>LP11</t>
  </si>
  <si>
    <t>PV1</t>
  </si>
  <si>
    <t>PV2</t>
  </si>
  <si>
    <t>PV3</t>
  </si>
  <si>
    <t>PV4</t>
  </si>
  <si>
    <t>Manholes, valve and hydrant chambers etc. for fuel lines</t>
  </si>
  <si>
    <t>PV5</t>
  </si>
  <si>
    <t>PSC2.3.31.3</t>
  </si>
  <si>
    <t xml:space="preserve">Decommissioning of existing pipeline section </t>
  </si>
  <si>
    <t xml:space="preserve">Bentonite-cement grouting of existing pipeline </t>
  </si>
  <si>
    <t>PSC2.3.32</t>
  </si>
  <si>
    <t>DEMOLITION OF PIPEWORK AND ANCILLARIES - FUEL LINES</t>
  </si>
  <si>
    <t>PSC2.3.32.1</t>
  </si>
  <si>
    <t>Demolition of Piping and Equipment (Night Works)</t>
  </si>
  <si>
    <t>All of the works covered in this section are to be carried out as night works (22:00 to 04:00)</t>
  </si>
  <si>
    <t xml:space="preserve">Rate to include all additional costs including, but not limited to, lighting costs, power supply/generators etc.  </t>
  </si>
  <si>
    <t>Rate to include all materials, plant and labour costs for the removal of piping and equipment at existing stations i.e. cold-cutting of existing pipeline, lifting out of existing valve assemblies and associated piping, transport and delivery to the Employer’s storage premises</t>
  </si>
  <si>
    <t>Draining and purging of Existing Pipeline : VC6 to VC7, including all fittings (Ø16", 600m)</t>
  </si>
  <si>
    <t>Cut pipe at 50m intervals or less to facilitate Bentonite-cement grouting of Existing Pipeline : Tie-in point #1 to Tie-in point #2</t>
  </si>
  <si>
    <t>No.</t>
  </si>
  <si>
    <t>Removal of 16" Pipe incl. labour, materials, etc. required to cold-cut and lift out piping, transport and delivery to the Employer’s storage premises</t>
  </si>
  <si>
    <t>Lengths measured through fittings</t>
  </si>
  <si>
    <t>Demolition of Stations</t>
  </si>
  <si>
    <t>(d)(i)</t>
  </si>
  <si>
    <t>Demolition of Existing LP 7</t>
  </si>
  <si>
    <t>(d)(ii)</t>
  </si>
  <si>
    <t>Demolition of Existing HP 6</t>
  </si>
  <si>
    <t>(d)(iii)</t>
  </si>
  <si>
    <t>Demolition of Partially Constructed HP 6</t>
  </si>
  <si>
    <t>d(iv)</t>
  </si>
  <si>
    <t>Demolition of VC 13</t>
  </si>
  <si>
    <t>PSC2.3.32.2</t>
  </si>
  <si>
    <t>Demolition of Pipeline and Equipment (Normal Hours)</t>
  </si>
  <si>
    <t>All of the works in this section are to be carried out during normal working hours.</t>
  </si>
  <si>
    <t>Demolition of LP 11</t>
  </si>
  <si>
    <t>Demolition of Pit Valve 1</t>
  </si>
  <si>
    <t>Demolition of Pit Valve 2</t>
  </si>
  <si>
    <t>Demolition of Pit Valve 3</t>
  </si>
  <si>
    <t>Demolition of Pit Valve 4</t>
  </si>
  <si>
    <t>Demolition of Pit Valve 5</t>
  </si>
  <si>
    <t>Demolition of Pit Valve 6</t>
  </si>
  <si>
    <t>Demolition of Pit Valve 7</t>
  </si>
  <si>
    <t>Demolition of Pit Valve 8</t>
  </si>
  <si>
    <t>Removal of 16" Pipe sections incl. labour, materials, etc. required to cold-cut and lift out piping, transport and delivery to the Employer’s storage premises</t>
  </si>
  <si>
    <t>Length measured through fittings</t>
  </si>
  <si>
    <t xml:space="preserve">New Section for Electrical Civils works. </t>
  </si>
  <si>
    <t>Electrical Chambers, strength class 25mpa  and 3m x 3m cover and frame - Type H Pit Cover</t>
  </si>
  <si>
    <t>C2.2.8.2</t>
  </si>
  <si>
    <t>Electrical Chambers, strength class 25mpa  and 2.14m x 2.14m cover and frame - Type H Pit Cover</t>
  </si>
  <si>
    <t>C2.2.8.3</t>
  </si>
  <si>
    <t>Electrical Chambers, strength class 25mpa  and 6m x 3m cover and frame - Type H Pit Cover</t>
  </si>
  <si>
    <t>C2.2.8.4</t>
  </si>
  <si>
    <t>Mechanical Chambers - covers and frames as per detailed drawings</t>
  </si>
  <si>
    <t>C2.2.9.4</t>
  </si>
  <si>
    <t xml:space="preserve">Rasing of masonry walls of existing manholes </t>
  </si>
  <si>
    <t>C2.2/C3.2.16</t>
  </si>
  <si>
    <t>Brickwork (Engineering bricks):</t>
  </si>
  <si>
    <t>C2.2/C3.2.16.1</t>
  </si>
  <si>
    <t>115 mm thick</t>
  </si>
  <si>
    <t>C2.2/C3.2.16.2</t>
  </si>
  <si>
    <t>230 mm thick</t>
  </si>
  <si>
    <t>C2.2/C2.17</t>
  </si>
  <si>
    <t xml:space="preserve">Plaster </t>
  </si>
  <si>
    <t>Formwork to provide (class  F1) surface finish to (Chambers, outlet structures, skewed ends, catchpits, manholes, thrust and anchor blocks)</t>
  </si>
  <si>
    <t xml:space="preserve">Vertical formwork for F1 surface finish </t>
  </si>
  <si>
    <t xml:space="preserve">Horizontal formwork for f1 surface finish </t>
  </si>
  <si>
    <t>Chambers, outlet structures, skewed ends, catchpits, manholes, thrust and anchor blocks</t>
  </si>
  <si>
    <t xml:space="preserve">High-yield-stress-steel bars </t>
  </si>
  <si>
    <t>Chambers, outlet structures, skewed ends, catchpits, manholes, thrust and anchor blocks - C25/30-19</t>
  </si>
  <si>
    <t>In class A bedding, screeds, cradle and the encasing for pipes, including formwork - C20/25-19</t>
  </si>
  <si>
    <t>PSC2.2.12</t>
  </si>
  <si>
    <t>Waterproofing of Chambers, outlet structures, skewed ends, catchpits, manholes, thrust and anchor blocks as per detailing drawing KSIA-MECH-GA-008</t>
  </si>
  <si>
    <t>PSC2.2.13</t>
  </si>
  <si>
    <t>Supply and install stainless steel gratings as per detail drawing KSIA-MECH-GA-008</t>
  </si>
  <si>
    <t xml:space="preserve">Original quantities allowed </t>
  </si>
  <si>
    <t xml:space="preserve">Survey quantituies </t>
  </si>
  <si>
    <t xml:space="preserve">cut </t>
  </si>
  <si>
    <t>Increase in Quantity for stockpile area</t>
  </si>
  <si>
    <t xml:space="preserve">8000 fill </t>
  </si>
  <si>
    <t>SCHEDULE D: APRON STAND AND CHANNEL   - SUMMARY</t>
  </si>
  <si>
    <t>C2-58</t>
  </si>
  <si>
    <t>C2-59</t>
  </si>
  <si>
    <t>C2-63</t>
  </si>
  <si>
    <t>C2-64</t>
  </si>
  <si>
    <t>C2-65</t>
  </si>
  <si>
    <t>C2-66</t>
  </si>
  <si>
    <t>C2-67</t>
  </si>
  <si>
    <t>SUMMARY OF BILL OF QUANTITIES</t>
  </si>
  <si>
    <t>SCHEDULE</t>
  </si>
  <si>
    <t>SCHEDULE A: PRELIMINARY AND GENERAL</t>
  </si>
  <si>
    <t>C2-17</t>
  </si>
  <si>
    <t xml:space="preserve">SCHEDULE B: ROADWORKS  BRAVO TAXIWAY </t>
  </si>
  <si>
    <t>C2-35</t>
  </si>
  <si>
    <t>C2-57</t>
  </si>
  <si>
    <t>SCHEDULE D:  APRON STAND AND CHANNEL</t>
  </si>
  <si>
    <t>C2-68</t>
  </si>
  <si>
    <t>TOTAL CARRIED FORWARD TO FINAL TENDER SUMMARY</t>
  </si>
  <si>
    <t>e</t>
  </si>
  <si>
    <t xml:space="preserve">C2.2.2 PART B: TENDER NO. KSIA7806/2025/RFP – ELECTRICAL ENGINEERING </t>
  </si>
  <si>
    <t>COMMENTS/DEVIATIONS</t>
  </si>
  <si>
    <t>P&amp;G</t>
  </si>
  <si>
    <t>PRELIMINARY AND GENERAL</t>
  </si>
  <si>
    <t>FIXED CHARGE ITEMS</t>
  </si>
  <si>
    <t>TIME RELATED ITEMS</t>
  </si>
  <si>
    <t>Monthths</t>
  </si>
  <si>
    <t>SECTION</t>
  </si>
  <si>
    <t>P &amp; G</t>
  </si>
  <si>
    <t>PRELIMINARIES AND GENERAL</t>
  </si>
  <si>
    <t xml:space="preserve">SECTION ONE </t>
  </si>
  <si>
    <t xml:space="preserve">BRAVO TAXIWAY </t>
  </si>
  <si>
    <t>LOW VOLTAGE AND MEDIUM VOLTAGE CABLE</t>
  </si>
  <si>
    <t>2.1.1</t>
  </si>
  <si>
    <t>Supply and install of PILC, SWA, PVC, table 26, 11 kV cable with copper conductors:</t>
  </si>
  <si>
    <t>2.1.1.1</t>
  </si>
  <si>
    <r>
      <t>150mm</t>
    </r>
    <r>
      <rPr>
        <sz val="11"/>
        <color theme="1"/>
        <rFont val="Calibri"/>
        <family val="2"/>
      </rPr>
      <t>²</t>
    </r>
    <r>
      <rPr>
        <sz val="10"/>
        <rFont val="Arial"/>
        <family val="2"/>
      </rPr>
      <t>, 3-core</t>
    </r>
  </si>
  <si>
    <t>2.1.1.2</t>
  </si>
  <si>
    <r>
      <t>185mm</t>
    </r>
    <r>
      <rPr>
        <sz val="11"/>
        <color theme="1"/>
        <rFont val="Calibri"/>
        <family val="2"/>
      </rPr>
      <t>²</t>
    </r>
    <r>
      <rPr>
        <sz val="10"/>
        <rFont val="Arial"/>
        <family val="2"/>
      </rPr>
      <t xml:space="preserve">, 3-core </t>
    </r>
  </si>
  <si>
    <t>2.1.1.3</t>
  </si>
  <si>
    <t>Terminate PILC, SWA, PVC, table 26, 11 kV cable with copper conductors</t>
  </si>
  <si>
    <t>2.1.1.4</t>
  </si>
  <si>
    <r>
      <t>150mm</t>
    </r>
    <r>
      <rPr>
        <sz val="11"/>
        <color theme="1"/>
        <rFont val="Calibri"/>
        <family val="2"/>
      </rPr>
      <t>²</t>
    </r>
    <r>
      <rPr>
        <sz val="10"/>
        <rFont val="Arial"/>
        <family val="2"/>
      </rPr>
      <t xml:space="preserve">, 3-core </t>
    </r>
  </si>
  <si>
    <t>2.1.1.5</t>
  </si>
  <si>
    <t>2.1.1.6</t>
  </si>
  <si>
    <t>Joint PILC, SWA, PVC, table 26, 11 kV cable with copper conductors</t>
  </si>
  <si>
    <t>2.1.1.7</t>
  </si>
  <si>
    <t xml:space="preserve">150mm2, 3-core </t>
  </si>
  <si>
    <t>2.1.1.8</t>
  </si>
  <si>
    <t xml:space="preserve">185mm2, 3-core </t>
  </si>
  <si>
    <t>2.1.2</t>
  </si>
  <si>
    <t xml:space="preserve">
Supply and install of PVC, PVC, SWA, PVC low voltage cable with copper conductors:</t>
  </si>
  <si>
    <t>2.1.2.1</t>
  </si>
  <si>
    <r>
      <t>10mm</t>
    </r>
    <r>
      <rPr>
        <sz val="11"/>
        <color theme="1"/>
        <rFont val="Calibri"/>
        <family val="2"/>
      </rPr>
      <t>²</t>
    </r>
    <r>
      <rPr>
        <sz val="10"/>
        <rFont val="Arial"/>
        <family val="2"/>
      </rPr>
      <t xml:space="preserve">, 3-core </t>
    </r>
  </si>
  <si>
    <t>2.1.2.2</t>
  </si>
  <si>
    <r>
      <t>35mm</t>
    </r>
    <r>
      <rPr>
        <sz val="11"/>
        <color theme="1"/>
        <rFont val="Calibri"/>
        <family val="2"/>
      </rPr>
      <t>²</t>
    </r>
    <r>
      <rPr>
        <sz val="10"/>
        <rFont val="Arial"/>
        <family val="2"/>
      </rPr>
      <t xml:space="preserve">, 4-core </t>
    </r>
  </si>
  <si>
    <t>2.1.2.3</t>
  </si>
  <si>
    <r>
      <t>50mm</t>
    </r>
    <r>
      <rPr>
        <sz val="11"/>
        <color theme="1"/>
        <rFont val="Calibri"/>
        <family val="2"/>
      </rPr>
      <t>²</t>
    </r>
    <r>
      <rPr>
        <sz val="10"/>
        <rFont val="Arial"/>
        <family val="2"/>
      </rPr>
      <t xml:space="preserve">, 4-core </t>
    </r>
  </si>
  <si>
    <t>2.1.2.4</t>
  </si>
  <si>
    <r>
      <t>70mm</t>
    </r>
    <r>
      <rPr>
        <sz val="11"/>
        <color theme="1"/>
        <rFont val="Calibri"/>
        <family val="2"/>
      </rPr>
      <t>²</t>
    </r>
    <r>
      <rPr>
        <sz val="10"/>
        <rFont val="Arial"/>
        <family val="2"/>
      </rPr>
      <t xml:space="preserve">, 4-core </t>
    </r>
  </si>
  <si>
    <t>2.1.2.5</t>
  </si>
  <si>
    <r>
      <t>185mm</t>
    </r>
    <r>
      <rPr>
        <sz val="11"/>
        <color theme="1"/>
        <rFont val="Calibri"/>
        <family val="2"/>
      </rPr>
      <t>²</t>
    </r>
    <r>
      <rPr>
        <sz val="10"/>
        <rFont val="Arial"/>
        <family val="2"/>
      </rPr>
      <t xml:space="preserve">, 4-core </t>
    </r>
  </si>
  <si>
    <t>2.1.2.6</t>
  </si>
  <si>
    <t>Supply and install the following:</t>
  </si>
  <si>
    <t>2.1.2.7</t>
  </si>
  <si>
    <t>12 Core Single Mode Fibre Optic Cable, Tower to CCR Room</t>
  </si>
  <si>
    <t>2.1.2.8</t>
  </si>
  <si>
    <t xml:space="preserve">Splice &amp; terminate Fibre Optic Cable for fibre from Tower to CCR Room </t>
  </si>
  <si>
    <t>2.1.2.9</t>
  </si>
  <si>
    <t>Terminate PVC, PVC, SWA, PVC low voltage cable with copper conductors:</t>
  </si>
  <si>
    <t>2.1.2.10</t>
  </si>
  <si>
    <t>2.1.2.11</t>
  </si>
  <si>
    <t xml:space="preserve">35mm², 4-core </t>
  </si>
  <si>
    <t>2.1.2.12</t>
  </si>
  <si>
    <t xml:space="preserve">50mm², 4-core </t>
  </si>
  <si>
    <t>2.1.2.13</t>
  </si>
  <si>
    <t>2.1.2.14</t>
  </si>
  <si>
    <t>2.1.2.15</t>
  </si>
  <si>
    <t>Supply and install earth continuity conductor:</t>
  </si>
  <si>
    <t>2.1.2.16</t>
  </si>
  <si>
    <t>2.1.2.17</t>
  </si>
  <si>
    <t>2.1.2.18</t>
  </si>
  <si>
    <t>2.1.2.19</t>
  </si>
  <si>
    <t xml:space="preserve">95mm2, 4-core </t>
  </si>
  <si>
    <t>2.1.2.20</t>
  </si>
  <si>
    <t>Terminate complete with Lugs</t>
  </si>
  <si>
    <t>2.1.2.21</t>
  </si>
  <si>
    <t>2.1.2.22</t>
  </si>
  <si>
    <t>2.1.2.23</t>
  </si>
  <si>
    <t>2.1.2.24</t>
  </si>
  <si>
    <r>
      <t>95mm</t>
    </r>
    <r>
      <rPr>
        <sz val="11"/>
        <color theme="1"/>
        <rFont val="Calibri"/>
        <family val="2"/>
      </rPr>
      <t>²</t>
    </r>
    <r>
      <rPr>
        <sz val="10"/>
        <rFont val="Arial"/>
        <family val="2"/>
      </rPr>
      <t xml:space="preserve">, 4-core </t>
    </r>
  </si>
  <si>
    <t>2.1.2.25</t>
  </si>
  <si>
    <t>Allow for labelling of all LV and MV cables thorough out the installation</t>
  </si>
  <si>
    <t xml:space="preserve">SECTION TWO </t>
  </si>
  <si>
    <t>MINIATURE SUBSTATIONS AND EARTHING</t>
  </si>
  <si>
    <t>2.1.3</t>
  </si>
  <si>
    <t>Supply 11000/420/240 Volt miniature substations with SF6RMU: 
Test and Commission installed 500KVA Miniature Substations</t>
  </si>
  <si>
    <t>2.1.3.1</t>
  </si>
  <si>
    <t>Install, test and commission miniature substations:</t>
  </si>
  <si>
    <t>2.1.3.1.1</t>
  </si>
  <si>
    <t xml:space="preserve">500 kVA </t>
  </si>
  <si>
    <t>2.1.3.2</t>
  </si>
  <si>
    <t xml:space="preserve"> Supply miniature substation plinths</t>
  </si>
  <si>
    <t>2.1.3.2.1</t>
  </si>
  <si>
    <t>500 kVA</t>
  </si>
  <si>
    <t>2.1.3.3</t>
  </si>
  <si>
    <t xml:space="preserve"> Install miniature substation plinths </t>
  </si>
  <si>
    <t>2.1.3.3.1</t>
  </si>
  <si>
    <t>2.1.3.4</t>
  </si>
  <si>
    <t>Supply and install Earthing of miniature substations</t>
  </si>
  <si>
    <t>2.1.3.5</t>
  </si>
  <si>
    <t xml:space="preserve">Extra over for the supply and installation of additional 1,8 m earth spikes includingclamps for the connection of earth conductor </t>
  </si>
  <si>
    <t>2.1.3.6</t>
  </si>
  <si>
    <t xml:space="preserve">Earthing tests </t>
  </si>
  <si>
    <t xml:space="preserve">SECTION THREE </t>
  </si>
  <si>
    <t>SECTION THREE</t>
  </si>
  <si>
    <t>AIRFIELD GROUND LIGHTING SYSTEM TAXIWAYS BRAVO LUMINAIRES</t>
  </si>
  <si>
    <t>4.1</t>
  </si>
  <si>
    <t>TAXIWAY LUMINAIRES</t>
  </si>
  <si>
    <t>4.1.1</t>
  </si>
  <si>
    <t>Supply and install 8" Bi-directional low intensity LED (L-861 T)Taxiway Edge luminaires complete with Blue lens, transformers, primary connector kits, secondaryconnector kits, terminations</t>
  </si>
  <si>
    <t>4.1.2</t>
  </si>
  <si>
    <t>Elevated (Complete with shallow base can and base plate)</t>
  </si>
  <si>
    <t>4.1.3</t>
  </si>
  <si>
    <t xml:space="preserve"> Inset (Complete with shallow base can )</t>
  </si>
  <si>
    <t>Rate Only</t>
  </si>
  <si>
    <t>4.1.4</t>
  </si>
  <si>
    <t>Disconnect and remove existing Taxiway Edge luminaires including base plate, transformers, primary connector kits,secondary connector kits and re-joint the primary cables in themanhole to complete the circuit and submit to client's storage facility</t>
  </si>
  <si>
    <t>4.1.5</t>
  </si>
  <si>
    <t xml:space="preserve"> Elevated</t>
  </si>
  <si>
    <t>4.1.6</t>
  </si>
  <si>
    <t>Inset</t>
  </si>
  <si>
    <t>4.1.7</t>
  </si>
  <si>
    <t>Supply and install constant current regulator as per the current Denel manufactured units, complete with   earth and lamp fault detection's, series circuit plug in, valvetrabs, dualinterface connections and control cabling connections</t>
  </si>
  <si>
    <t>4.1.8</t>
  </si>
  <si>
    <t>15kW</t>
  </si>
  <si>
    <t>4.1.9</t>
  </si>
  <si>
    <t>80A 2 pole circuit breaker complete with all accessories</t>
  </si>
  <si>
    <t>MCB added in for supply to CCRs</t>
  </si>
  <si>
    <t>4.1.10</t>
  </si>
  <si>
    <t>Inspection and test certificates for all the luminaire installed as listed in this BoQ</t>
  </si>
  <si>
    <t>4.1.11</t>
  </si>
  <si>
    <t xml:space="preserve">Supply and install 8" deep can type L867 for housing series transformers complete with cover plate
and 800 X 800 X 200 Thk concrete plinth/slab
</t>
  </si>
  <si>
    <t>4.1.12</t>
  </si>
  <si>
    <t xml:space="preserve">Supply and install 8" deep can type L868 for housing series transformers complete with
800 X 800 X 200 Thk concrete plinth/slab
</t>
  </si>
  <si>
    <t>4.1.13</t>
  </si>
  <si>
    <t>Supply and install 800X800X200 Thk concrete plinth/slab for 8" shallow base can</t>
  </si>
  <si>
    <t>4.2</t>
  </si>
  <si>
    <r>
      <t xml:space="preserve">RUNWAY EDGE LUMINAIRES </t>
    </r>
    <r>
      <rPr>
        <b/>
        <i/>
        <sz val="10"/>
        <color rgb="FFFF0000"/>
        <rFont val="Arial"/>
        <family val="2"/>
      </rPr>
      <t>(NIGHT WORKS)</t>
    </r>
  </si>
  <si>
    <t>4.2.1</t>
  </si>
  <si>
    <t>Disconnect and remove existing Runway Edge luminaires including   transformers, primary connector kits, secondary connector kits and base can and submit to client's storage facility</t>
  </si>
  <si>
    <t>4.2.1.1</t>
  </si>
  <si>
    <t>Elevated</t>
  </si>
  <si>
    <t>4.2.1.2</t>
  </si>
  <si>
    <t>4.2.2</t>
  </si>
  <si>
    <t>Supply and install 8" Bi-directional high intensity LED Runway Edge luminaires complete with Clear/Clear lens, transformers, complete with Clear/Clear lens, transformers, primary connector kits, secondary connector kits, terminations</t>
  </si>
  <si>
    <t>4.2.2.1</t>
  </si>
  <si>
    <t xml:space="preserve">Elevated (Complete with shallow base can and base plate) </t>
  </si>
  <si>
    <t>4.2.2.2</t>
  </si>
  <si>
    <t>NOTE:All CCR's must have the ability to control both Halogen and LED type fixtures to ensure that futurenupgrades on the AGL from halogen to LED will not impact on the substation hardware or require new transformers.</t>
  </si>
  <si>
    <t xml:space="preserve">SECTION FOUR </t>
  </si>
  <si>
    <t>SECTION FOUR</t>
  </si>
  <si>
    <t>ILLUMINATED SIGNS</t>
  </si>
  <si>
    <t>4.9</t>
  </si>
  <si>
    <t xml:space="preserve">Supply and install illuminated LED signs complete with transformers, primary connector kits, secondary
connector kits and concrete base/plinth: </t>
  </si>
  <si>
    <t>4.9.1</t>
  </si>
  <si>
    <t xml:space="preserve">a) 700 x 1150mm </t>
  </si>
  <si>
    <t>4.9.2</t>
  </si>
  <si>
    <t>b) 700 x 1600mm</t>
  </si>
  <si>
    <t>4.9.3</t>
  </si>
  <si>
    <t xml:space="preserve">c) 700 x 2100mm  </t>
  </si>
  <si>
    <t>4.9.4</t>
  </si>
  <si>
    <t>d) 700 x 2500mm</t>
  </si>
  <si>
    <t>4.9.5</t>
  </si>
  <si>
    <t xml:space="preserve">e) 700 x 2650mm </t>
  </si>
  <si>
    <t>4.9.6</t>
  </si>
  <si>
    <t xml:space="preserve">f) 900 x 3000mm </t>
  </si>
  <si>
    <t>4.9.7</t>
  </si>
  <si>
    <t xml:space="preserve">g) 900 x 2100mm </t>
  </si>
  <si>
    <t>4.9.8</t>
  </si>
  <si>
    <t xml:space="preserve">h) 900 x 1150mm </t>
  </si>
  <si>
    <t>4.9.9</t>
  </si>
  <si>
    <t>Supply and install illuminated LED signs for stands complete with concrete base/plinth and steel 
pole structure:</t>
  </si>
  <si>
    <t xml:space="preserve">SECTION FIVE </t>
  </si>
  <si>
    <t>SECTION FIVE</t>
  </si>
  <si>
    <t>APRON LIGHTING</t>
  </si>
  <si>
    <t>4.10.2.1</t>
  </si>
  <si>
    <t>Reduce Height of 1 existing 30 meter High Mast Pole and redesign top end to house platform and floodlights</t>
  </si>
  <si>
    <t>4.10.2.2</t>
  </si>
  <si>
    <t>Supply and install luminaires to the TITAN 720 type as required by ACSA on each High Mast</t>
  </si>
  <si>
    <t>4.10.2.3</t>
  </si>
  <si>
    <t>Supply and install 3CR12 powder coated LV Kiosks as specified at the base of each of the high masts, complete with the lighting control gear installed.</t>
  </si>
  <si>
    <t>4.10.2.4</t>
  </si>
  <si>
    <t>Supply and install low intensity, omni-directional obstruction lights, complying with FAA: L-810 AC 150/5345-46 43 or FAA: L-810 AC 150/5345-43, mounted on a bracket at thetop of the mast.</t>
  </si>
  <si>
    <t xml:space="preserve">SECTION SIX </t>
  </si>
  <si>
    <t>SECTION SIX</t>
  </si>
  <si>
    <t>AIRFIELD LIGHTING CONTROL AND MONITORING EQUIPMENT</t>
  </si>
  <si>
    <t>4.11.2.1</t>
  </si>
  <si>
    <t>Upgrade(re-programme) and commission the complete control and monitoring system including all the Hardware and Software associated with the CCR</t>
  </si>
  <si>
    <t xml:space="preserve">Sum </t>
  </si>
  <si>
    <t>4.11.2.2</t>
  </si>
  <si>
    <t>Terminate (splicing) of optical fibre cable</t>
  </si>
  <si>
    <t>4.11.2.3</t>
  </si>
  <si>
    <t xml:space="preserve"> Training courses (including manuals) complete with attendance certificates </t>
  </si>
  <si>
    <t>4.11.2.4</t>
  </si>
  <si>
    <t xml:space="preserve">Test and commissioning of system complete with certificates </t>
  </si>
  <si>
    <t xml:space="preserve">SECTION SEVEN </t>
  </si>
  <si>
    <t>AIRFIELD CABLE</t>
  </si>
  <si>
    <t>4.12.2.1</t>
  </si>
  <si>
    <t>Supply and install 6 mm² Tinned Stranded CU conductor,XLPE, CU taped screened, HDPE,
2800/5000 Volts, series primary airfield cable (VariousColours)</t>
  </si>
  <si>
    <t xml:space="preserve">
Primary &amp; Secondary Cables can be airfreight but the lead times for these are not excessive</t>
  </si>
  <si>
    <t>4.12.2.2</t>
  </si>
  <si>
    <t xml:space="preserve">Supply and install 6 mm² Tinned Flexible CU conductor, PE,tinned CU braid, FRPVC,
5000 Volt, series primary airfield cable: </t>
  </si>
  <si>
    <t>4.12.2.2.1</t>
  </si>
  <si>
    <t xml:space="preserve">Terminate 6 mm² primary cable complete with connector kits </t>
  </si>
  <si>
    <t>4.12.2.2.2</t>
  </si>
  <si>
    <t>Supply and install 4mm2 rubber/neopreme secondary airfield cable:</t>
  </si>
  <si>
    <t>Primary &amp; Secondary Cables can be airfreight but the lead times for these are not excessive</t>
  </si>
  <si>
    <t>4.12.4</t>
  </si>
  <si>
    <t>Terminate 4 mm² secondary cable complete with connectorkits</t>
  </si>
  <si>
    <t>4.12.4.1</t>
  </si>
  <si>
    <t>Test and issue primary cable and secondary cable testcertificate for installation</t>
  </si>
  <si>
    <t>4.18</t>
  </si>
  <si>
    <t>Supply and install cable sleeves:</t>
  </si>
  <si>
    <t>4.18.1</t>
  </si>
  <si>
    <t xml:space="preserve">25 mm O.D (including couplers) </t>
  </si>
  <si>
    <t>4.18.2</t>
  </si>
  <si>
    <t xml:space="preserve">32 mm O.D (including couplers) </t>
  </si>
  <si>
    <t>4.18.3</t>
  </si>
  <si>
    <t xml:space="preserve">110 mm O.D (including couplers) </t>
  </si>
  <si>
    <t>4.18.4</t>
  </si>
  <si>
    <t xml:space="preserve">90 Degree T pieces for 110 mm O.D Sleeve with caps to house 25mm O.D Sleeve </t>
  </si>
  <si>
    <t>4.18.5</t>
  </si>
  <si>
    <t xml:space="preserve">Auger drilling </t>
  </si>
  <si>
    <t>4.18.6</t>
  </si>
  <si>
    <t>Excavate in all materials for trenches, backfill, compact and dispose of surplus material</t>
  </si>
  <si>
    <r>
      <t>m</t>
    </r>
    <r>
      <rPr>
        <sz val="11"/>
        <color theme="1"/>
        <rFont val="Calibri"/>
        <family val="2"/>
      </rPr>
      <t>³</t>
    </r>
  </si>
  <si>
    <t>4.18.7</t>
  </si>
  <si>
    <t xml:space="preserve">Extra over for excavating in hard materials </t>
  </si>
  <si>
    <t>4.18.8</t>
  </si>
  <si>
    <t xml:space="preserve">Extra over for excavating by hand in all materials </t>
  </si>
  <si>
    <t>4.18.9</t>
  </si>
  <si>
    <t>Extra over for using backfill material obtained from:</t>
  </si>
  <si>
    <t>4.18.10</t>
  </si>
  <si>
    <t xml:space="preserve">Borrow areas </t>
  </si>
  <si>
    <t>4.18.11</t>
  </si>
  <si>
    <t xml:space="preserve">Source provided by the contractor </t>
  </si>
  <si>
    <t>4.18.12</t>
  </si>
  <si>
    <t>Allow for labelling of all primary and secondary cables through out the installation</t>
  </si>
  <si>
    <t>4.18.13</t>
  </si>
  <si>
    <t>Cut Slots into existing Asphalt for secondary cables installation and reinstate Asphalt</t>
  </si>
  <si>
    <r>
      <t>m</t>
    </r>
    <r>
      <rPr>
        <sz val="11"/>
        <color theme="1"/>
        <rFont val="Calibri"/>
        <family val="2"/>
      </rPr>
      <t>²</t>
    </r>
  </si>
  <si>
    <t>4.18.14</t>
  </si>
  <si>
    <t xml:space="preserve">Concrete Manhole as per detail drawing </t>
  </si>
  <si>
    <t xml:space="preserve">SECTION EIGHT </t>
  </si>
  <si>
    <t>SECTION EIGHT</t>
  </si>
  <si>
    <t>EARTHING</t>
  </si>
  <si>
    <t>4.19.1</t>
  </si>
  <si>
    <t>Provide an instrument earthing system for the CCR 's</t>
  </si>
  <si>
    <t>4.19.2</t>
  </si>
  <si>
    <t xml:space="preserve">Carry out Earth resistivity testing through the site prior to commencement of installation </t>
  </si>
  <si>
    <t>4.19.3</t>
  </si>
  <si>
    <t xml:space="preserve">Earth testing of complete system complete with certificates </t>
  </si>
  <si>
    <t>4.19.4</t>
  </si>
  <si>
    <t>Supply and install 1 200mm earth rods:</t>
  </si>
  <si>
    <t>4.19.5</t>
  </si>
  <si>
    <t>Supply and install (earth counterpoise) continuity conductor: 16mm2 BCEW</t>
  </si>
  <si>
    <t>4.19.6</t>
  </si>
  <si>
    <t xml:space="preserve">Terminate and connect earth continuity conductor to earth rods complete with lugs: </t>
  </si>
  <si>
    <t xml:space="preserve">SECTION NINE </t>
  </si>
  <si>
    <t>SECTION NINE</t>
  </si>
  <si>
    <t>GENERATORS</t>
  </si>
  <si>
    <t>9.1</t>
  </si>
  <si>
    <t>Supply, deliver, install and commission diesel generator sets in weather proof enclosure complete, as specified including changeover panels, tools etc. (refer to generator spec in electrical specifications)</t>
  </si>
  <si>
    <t>9.1.1</t>
  </si>
  <si>
    <t xml:space="preserve">500 kVA, 420V Prime rated diesel generator set with Day tank
</t>
  </si>
  <si>
    <t>9.1.2</t>
  </si>
  <si>
    <t>All applicable warning signs and labeling in accordance with the latest edition of SANS 1186</t>
  </si>
  <si>
    <t>9.2</t>
  </si>
  <si>
    <t>Test, Major Service, Install batteries and commission system together with the issuing of reports and certificates</t>
  </si>
  <si>
    <t>9.3</t>
  </si>
  <si>
    <t>Supply, deliver, install and commission the Control and Change Over Kiosk complete, as specified  including changeover panels, Cicuit Breakers, supply cables from Generator and Miniature substation etc. as required on site</t>
  </si>
  <si>
    <t>9.4</t>
  </si>
  <si>
    <t xml:space="preserve">3 Year Service Plan for the existing 2 x 500KVA Diesel Generators on site. Service to include 3 x Minor/Quarterly checks per set per year and 1 x Major Service/Annual service per set per year including replacement of all fuel, oil and water filters, oil sample analysis, battery testing. 50/50 premix water additive, lube oil, cleaning of generator consumable and all travel and labour </t>
  </si>
  <si>
    <t xml:space="preserve">SECTION TEN </t>
  </si>
  <si>
    <t>SECTION TEN</t>
  </si>
  <si>
    <t>GENERAL</t>
  </si>
  <si>
    <t>10.1</t>
  </si>
  <si>
    <t>Disconnection and removal of existing equipment</t>
  </si>
  <si>
    <t>10.2</t>
  </si>
  <si>
    <t>Supply airfield radio’s for communication</t>
  </si>
  <si>
    <t>10.3</t>
  </si>
  <si>
    <t>Supply and installation of 20mm I.D. flexible conduit (connect signs to PVC)</t>
  </si>
  <si>
    <t>10.4</t>
  </si>
  <si>
    <t>Supply two sets of tools required to maintain the installation</t>
  </si>
  <si>
    <t>NOTE: All communication protocols between standalone systems and products supplied must be open and have the ability to integrate into alternative systems and products. This includes communication between Control Systems, Substation Equipment (CCR's) and AGL equipment.</t>
  </si>
  <si>
    <t>10.5</t>
  </si>
  <si>
    <t>SPARES</t>
  </si>
  <si>
    <t>10.6</t>
  </si>
  <si>
    <t xml:space="preserve"> Supply and deliver the following recommended spares: (Tenderer to list and price) </t>
  </si>
  <si>
    <t>11</t>
  </si>
  <si>
    <t>Cable Trays, Ladders, Racks and Associated Fixing Materials</t>
  </si>
  <si>
    <t>11.1</t>
  </si>
  <si>
    <t>(i) Cable Racking for manholes</t>
  </si>
  <si>
    <t>11.1.1</t>
  </si>
  <si>
    <t>Supply and Install Galvanised, 300mm Heavy Duty Cable Tray  Including Support Brackets, Bends, T-pieces and Accessories. Price Shall Include For Joints, M8 Galvanized Treaded Rod, Nutsm Locknuts, Washer, Long Wedge Anchors, Drilling Into Concrete and Other Materials Required to Complete The Installation.(300mm x 75mm)</t>
  </si>
  <si>
    <t xml:space="preserve">SECTION 1 </t>
  </si>
  <si>
    <t>LOW VOLTAGE &amp; MEDIUM VOLTAGE CABLES</t>
  </si>
  <si>
    <t>C2-74</t>
  </si>
  <si>
    <t>SECTION 2</t>
  </si>
  <si>
    <t>C2-75</t>
  </si>
  <si>
    <t>SECTION 3</t>
  </si>
  <si>
    <t>AIRFIELD GROUND LIGHITNG SYSTEM</t>
  </si>
  <si>
    <t>C2-77</t>
  </si>
  <si>
    <t>SECTION 4</t>
  </si>
  <si>
    <t>C2-78</t>
  </si>
  <si>
    <t>SECTION 5</t>
  </si>
  <si>
    <t>C2-79</t>
  </si>
  <si>
    <t>SECTION 6</t>
  </si>
  <si>
    <t>C2-80</t>
  </si>
  <si>
    <t>SECTION 7</t>
  </si>
  <si>
    <t>C2-82</t>
  </si>
  <si>
    <t>SECTION 8</t>
  </si>
  <si>
    <t>C2-83</t>
  </si>
  <si>
    <t>SECTION 9</t>
  </si>
  <si>
    <t>C2-84</t>
  </si>
  <si>
    <t>SECTION 10</t>
  </si>
  <si>
    <t xml:space="preserve">GENERAL </t>
  </si>
  <si>
    <t>C2-85</t>
  </si>
  <si>
    <t xml:space="preserve">QUEBEC TAXIWAY </t>
  </si>
  <si>
    <r>
      <t xml:space="preserve">AIRFIELD GROUND LIGHTING SYSTEM QUEBEC LINK LUMINAIRES </t>
    </r>
    <r>
      <rPr>
        <b/>
        <sz val="10"/>
        <color rgb="FFFF0000"/>
        <rFont val="Arial"/>
        <family val="2"/>
      </rPr>
      <t>(NIGHT WORKS)</t>
    </r>
  </si>
  <si>
    <t xml:space="preserve">Please check the heading. This section should be for Quebec </t>
  </si>
  <si>
    <t>4.3</t>
  </si>
  <si>
    <t>STOPBAR LUMINAIRES</t>
  </si>
  <si>
    <t>4.3.1</t>
  </si>
  <si>
    <t xml:space="preserve">Supply and install 8" Uni-directional high intensity LED Stobar luminaires complete with Red lens, transformers, primary connector kits, secondary connector kits, terminations </t>
  </si>
  <si>
    <t>4.3.2</t>
  </si>
  <si>
    <t xml:space="preserve"> Elevated (Complete with shallow base can and base plate)</t>
  </si>
  <si>
    <t>4.3.3</t>
  </si>
  <si>
    <t>Inset (Complete with shallow base can )</t>
  </si>
  <si>
    <t>4.3.4</t>
  </si>
  <si>
    <t>4.3.5</t>
  </si>
  <si>
    <t xml:space="preserve"> 4kW </t>
  </si>
  <si>
    <t>4.3.6</t>
  </si>
  <si>
    <t>40A 2 pole circuit breaker complete with all accessories</t>
  </si>
  <si>
    <t xml:space="preserve">Core drilling into asphalt for luminaire shallow bases </t>
  </si>
  <si>
    <t>4.6</t>
  </si>
  <si>
    <t>LEAD ON LUMINAIRES</t>
  </si>
  <si>
    <t>4.6.1</t>
  </si>
  <si>
    <t>Supply and install 8" Uni-directional medium intensity LED Lead On luminaires complete with Green lens, transformers, primary connector kits,secondary connector kits, terminations</t>
  </si>
  <si>
    <t>4.6.3</t>
  </si>
  <si>
    <t>4.6.4</t>
  </si>
  <si>
    <t>4.6.5</t>
  </si>
  <si>
    <t>4kW</t>
  </si>
  <si>
    <t>4.6.6</t>
  </si>
  <si>
    <t>4.5</t>
  </si>
  <si>
    <t>RUNWAY GUARD LUMINAIRES</t>
  </si>
  <si>
    <t>4.5.1</t>
  </si>
  <si>
    <t>Supply and install   with high intensity LED Runway Guard lights complete with transformers, primary connector kits, secondary connectorkits, terminations</t>
  </si>
  <si>
    <t>4.5.2</t>
  </si>
  <si>
    <t>4.5.3</t>
  </si>
  <si>
    <t>4.5.4</t>
  </si>
  <si>
    <t>4.5.5</t>
  </si>
  <si>
    <t>4.5.6</t>
  </si>
  <si>
    <t>4.5.7</t>
  </si>
  <si>
    <t xml:space="preserve">Supply and install 800X800X200 Thk concrete plinth/slab for 8" shallow base can </t>
  </si>
  <si>
    <t>NOTE:All CCR's must have the ability to control both Halogen and LED type fixtures to ensure that future upgrades on the AGL from halogen to LED will not impact on the substation hardware or require new transformers.</t>
  </si>
  <si>
    <r>
      <t xml:space="preserve">ILLUMINATED SIGNAGE </t>
    </r>
    <r>
      <rPr>
        <b/>
        <sz val="10"/>
        <color rgb="FFFF0000"/>
        <rFont val="Arial"/>
        <family val="2"/>
      </rPr>
      <t>(NIGHT WORKS)</t>
    </r>
  </si>
  <si>
    <t>Supply and install illuminated LED signs for stands complete with concrete base/plinth and steel pole structure</t>
  </si>
  <si>
    <t xml:space="preserve">a) 700 x 2100mm </t>
  </si>
  <si>
    <t>b) 700 x 2500mm</t>
  </si>
  <si>
    <t xml:space="preserve">c) 900 x 2100mm  </t>
  </si>
  <si>
    <t>d) 900 x 3000mm</t>
  </si>
  <si>
    <r>
      <t xml:space="preserve">AIRFIELD CABLE </t>
    </r>
    <r>
      <rPr>
        <b/>
        <sz val="10"/>
        <color rgb="FFFF0000"/>
        <rFont val="Arial"/>
        <family val="2"/>
      </rPr>
      <t>(NIGHT WORKS)</t>
    </r>
  </si>
  <si>
    <t>4.12</t>
  </si>
  <si>
    <t>4.12.1</t>
  </si>
  <si>
    <t>4.12.2</t>
  </si>
  <si>
    <r>
      <t xml:space="preserve">EARTHING </t>
    </r>
    <r>
      <rPr>
        <b/>
        <sz val="10"/>
        <color rgb="FFFF0000"/>
        <rFont val="Arial"/>
        <family val="2"/>
      </rPr>
      <t>(NIGHT WORKS)</t>
    </r>
  </si>
  <si>
    <t xml:space="preserve">  Supply and install (earth counterpoise) continuity conductor: 16mm2 BCEW</t>
  </si>
  <si>
    <t xml:space="preserve"> Terminate and connect earth continuity conductor to earth rods complete with lugs: </t>
  </si>
  <si>
    <r>
      <t>GENERAL</t>
    </r>
    <r>
      <rPr>
        <b/>
        <sz val="10"/>
        <color rgb="FFFF0000"/>
        <rFont val="Arial"/>
        <family val="2"/>
      </rPr>
      <t xml:space="preserve"> (NIGHT WORKS)</t>
    </r>
  </si>
  <si>
    <t>AIRFIELD GROUND LIGHTING SYSTEM</t>
  </si>
  <si>
    <t>C2-88</t>
  </si>
  <si>
    <t>ILLUMINATED SIGNAGE</t>
  </si>
  <si>
    <t>C2-89</t>
  </si>
  <si>
    <t>C2-90</t>
  </si>
  <si>
    <t>C2-91</t>
  </si>
  <si>
    <t>C2-92</t>
  </si>
  <si>
    <t>r</t>
  </si>
  <si>
    <t>PRELIMINARY AND GENERAL: MECHANICAL</t>
  </si>
  <si>
    <t>C2-72</t>
  </si>
  <si>
    <t>C2-86</t>
  </si>
  <si>
    <t xml:space="preserve">QUEBEC TAXI WAY </t>
  </si>
  <si>
    <t>C2-93</t>
  </si>
  <si>
    <t>TOTAL</t>
  </si>
  <si>
    <t>C2.2.3 PART C: TENDER NO. KSIA7806/2025/RFP – MECHANICAL ENGINEERING</t>
  </si>
  <si>
    <t xml:space="preserve">Break up 15% PnG into the items. </t>
  </si>
  <si>
    <t>SAFETY</t>
  </si>
  <si>
    <t>Provision of Fire watchers for duration of project as required</t>
  </si>
  <si>
    <t>Months</t>
  </si>
  <si>
    <t>Provision of Gas Testers and Manhole watch as required</t>
  </si>
  <si>
    <t>Specialist Construction Permits (Hot works, Confirned Spaces, Cranage, etc.)</t>
  </si>
  <si>
    <t>NOTES FOR KAMO</t>
  </si>
  <si>
    <t>PSS1</t>
  </si>
  <si>
    <t>SUPPLY, INSTALLATION, AND TESTING OF PIPEWORK AND ANCILLARIES</t>
  </si>
  <si>
    <t>Rate to include procurement, delivery, stockpiling, handling, and transportation</t>
  </si>
  <si>
    <t>PSS 1.11.3</t>
  </si>
  <si>
    <t>Pipe and Bends</t>
  </si>
  <si>
    <t>Pipe to be supplied in 6m lengths</t>
  </si>
  <si>
    <t>Piping</t>
  </si>
  <si>
    <t>16” API 5L Grade B Pipe, 9.5mm Wall Thickness</t>
  </si>
  <si>
    <t>Stage 3 Estimate only accounted for Tie Ins at Tie In Points #1 and #2. Stage 4 Estimate accounts for worst-case scenario of tying in at VC6 and VC7 i.e. additional piping and ancillaries</t>
  </si>
  <si>
    <t>External Denso Wrapping</t>
  </si>
  <si>
    <t xml:space="preserve">16" </t>
  </si>
  <si>
    <t>Internal Coating</t>
  </si>
  <si>
    <t>16"</t>
  </si>
  <si>
    <t>(iv)</t>
  </si>
  <si>
    <t xml:space="preserve">90 Degree Elbows </t>
  </si>
  <si>
    <t>16" Long Radius Sched 40, ASTM A234 Gr WPB</t>
  </si>
  <si>
    <t>(v)</t>
  </si>
  <si>
    <t>45 Degree Elbows</t>
  </si>
  <si>
    <t>(vi)</t>
  </si>
  <si>
    <t xml:space="preserve">Welding </t>
  </si>
  <si>
    <t>Works to be carried out during normal working hours.</t>
  </si>
  <si>
    <t>Weld the following diameter pipe, inclusive of cutting and preparation of the ends, and all consumables</t>
  </si>
  <si>
    <t>(vii)</t>
  </si>
  <si>
    <t>Welding (Night Works)</t>
  </si>
  <si>
    <t>Stage 3 Estimate only accounted for normal working hours. Stage 4 Estimate now includes rate adjustment for Night Works</t>
  </si>
  <si>
    <r>
      <rPr>
        <sz val="10"/>
        <color rgb="FF000000"/>
        <rFont val="Arial"/>
        <family val="2"/>
      </rPr>
      <t>All of the works covered in this section are to be carried out as night works</t>
    </r>
    <r>
      <rPr>
        <sz val="10"/>
        <color rgb="FFFF0000"/>
        <rFont val="Arial"/>
        <family val="2"/>
      </rPr>
      <t xml:space="preserve"> (22:00 to 04:00)</t>
    </r>
  </si>
  <si>
    <t xml:space="preserve">Rate to include lighting costs, power supply/generators etc.  </t>
  </si>
  <si>
    <t>(viii)</t>
  </si>
  <si>
    <t>Tie-in Works (Night Works)</t>
  </si>
  <si>
    <t>Provide labour, tools, and equipment to complete the following tie-in works.</t>
  </si>
  <si>
    <t>Tie-in Point 1</t>
  </si>
  <si>
    <t xml:space="preserve">Rate to include cold-cutting of existing pipe, lowering of new 16" pipe, welding, etc. </t>
  </si>
  <si>
    <t>PSS 1.11.4</t>
  </si>
  <si>
    <t>Pressure Testing, Cleaning, and Drying of New Line Pipe (Night Works)</t>
  </si>
  <si>
    <t>Stage 3 Estimate only accounted for Day Works. Stage 4 Estimate now includes rate adjustment for Night Works</t>
  </si>
  <si>
    <r>
      <t>All of the works covered in this section are to be carried out as night works</t>
    </r>
    <r>
      <rPr>
        <sz val="10"/>
        <color rgb="FFFF0000"/>
        <rFont val="Arial"/>
        <family val="2"/>
      </rPr>
      <t xml:space="preserve"> (22:00 to 04:00)</t>
    </r>
  </si>
  <si>
    <t>Refer PSS 1.7 Fig 1</t>
  </si>
  <si>
    <t xml:space="preserve">Section 1 </t>
  </si>
  <si>
    <t>Section 2</t>
  </si>
  <si>
    <t>PSS 1.11.5</t>
  </si>
  <si>
    <t xml:space="preserve">Commissioning Works </t>
  </si>
  <si>
    <t>Provide labour, tools, and equipment to complete the following works.</t>
  </si>
  <si>
    <t>Nitrogen purging of new pipelines (Night Works, Ø16", 220m)</t>
  </si>
  <si>
    <t>Work to be carried out as night works.</t>
  </si>
  <si>
    <t>Appointment of AIA, as nominated by Employer</t>
  </si>
  <si>
    <t>Mark-Up in respect of above Item, capped at 7.5%</t>
  </si>
  <si>
    <t>Provide assistance with filling and flushing of new pipelines</t>
  </si>
  <si>
    <t>Provide assistance with soak testing of new pipelines : VC6 to VC13, VC13 to VC7, VC13 to LP11 (802m)</t>
  </si>
  <si>
    <t>Pigging of 16" pipeline (Nightworks, 220m)</t>
  </si>
  <si>
    <t>Rate to include pig launcher, foam pig, etc.</t>
  </si>
  <si>
    <t>Pigging of 16" pipeline (Normal Hours, 582m)</t>
  </si>
  <si>
    <t>Nitrogen purging of new pipelines (Normal Hours, Ø16", 582m)</t>
  </si>
  <si>
    <t>PSS2</t>
  </si>
  <si>
    <t>SUPPLY, FABRICATION, INSTALLATION, AND TESTING OF VALVES AND ANCILLARIES</t>
  </si>
  <si>
    <t>PSS 2.10.1</t>
  </si>
  <si>
    <t>Isolation Valves and Associated Installations</t>
  </si>
  <si>
    <t>16" 150# Expanded Plug, Reduced Bore, Double Block and Bleed Type, including actuator</t>
  </si>
  <si>
    <t>1/2" Ball Valve : Fire Safe</t>
  </si>
  <si>
    <t xml:space="preserve">No. </t>
  </si>
  <si>
    <t>1-1/2” Ball Valve : Fire Safe</t>
  </si>
  <si>
    <t>1-1/2 “ Ball Valve : Stainless Steel</t>
  </si>
  <si>
    <t>3" Ball valve : Fire Safe</t>
  </si>
  <si>
    <t>Valve Manhole Covers, Ladders and Hydrant Pit Boxes</t>
  </si>
  <si>
    <t>Isolation Valve Cover, including ladders (Dabico)</t>
  </si>
  <si>
    <t>Cost (Seafreight Delivery)</t>
  </si>
  <si>
    <t>extra over above for Airfreight</t>
  </si>
  <si>
    <t>extra over above for Contractor forward cover to fix exchange rate</t>
  </si>
  <si>
    <t>Low Point Valve Box Cover (Norinco)</t>
  </si>
  <si>
    <t>High Point Valve Box Cover (Norinco)</t>
  </si>
  <si>
    <t>Hydrant Valve Box (including valve, Lay Flat Type : JIG Operations Bulletin 90)</t>
  </si>
  <si>
    <t>Associated Piping</t>
  </si>
  <si>
    <t>1/2” Sched.STD Stainless Steel</t>
  </si>
  <si>
    <t>1 1/2“ Sched.STD Stainless Steel</t>
  </si>
  <si>
    <t>6” Sched.STD C/S</t>
  </si>
  <si>
    <t>Tee-Pieces</t>
  </si>
  <si>
    <t>Reducing Tee 16" x 6" Sched.40</t>
  </si>
  <si>
    <t>Equal Tee 16" Sched.40</t>
  </si>
  <si>
    <t>Reducers</t>
  </si>
  <si>
    <t>Concentric 1”x1/2” Sched.40 Stainless Steel</t>
  </si>
  <si>
    <t>Concentric 6” x 4” Sched.40</t>
  </si>
  <si>
    <t>Concentric 10"x6" Sched.40</t>
  </si>
  <si>
    <t>Concentric 16” x 10” Sched.40</t>
  </si>
  <si>
    <t>Flanges</t>
  </si>
  <si>
    <t>Blank Flange 1/2" - 150# WNRF, Stainless Steel</t>
  </si>
  <si>
    <t>Slip On Flange 1/2" 150# RF</t>
  </si>
  <si>
    <t>Flange 1 1/2" - 150# WNRF</t>
  </si>
  <si>
    <t>Flange 1 1/2" - 150# WNRF Long Neck</t>
  </si>
  <si>
    <t>Flange 1 1/2"- 150# WNRF Stainless Steel</t>
  </si>
  <si>
    <t>Blank Flange 1+1/2" - 150# RF</t>
  </si>
  <si>
    <t>Slip On Flange 1+1/2" - 150#</t>
  </si>
  <si>
    <t>Slip On Flange 4" - 150# Flat Face</t>
  </si>
  <si>
    <t>(ix)</t>
  </si>
  <si>
    <t>Flange 6" - 150# WNRF</t>
  </si>
  <si>
    <t>(x)</t>
  </si>
  <si>
    <t>Flange 6" - 300# WNRF</t>
  </si>
  <si>
    <t>(xi)</t>
  </si>
  <si>
    <t>Blank Flange S/S 6" - 150# RF</t>
  </si>
  <si>
    <t>(xii)</t>
  </si>
  <si>
    <t>Slip On Flange 6" - 300# WNRF</t>
  </si>
  <si>
    <t>(xiii)</t>
  </si>
  <si>
    <t>Flange 16" - 150# WNRF</t>
  </si>
  <si>
    <t>(xiv)</t>
  </si>
  <si>
    <t>Blank Flange 16" - 150# RF</t>
  </si>
  <si>
    <t>(xv)</t>
  </si>
  <si>
    <t>Flange 3" - 150# WNRF</t>
  </si>
  <si>
    <t>(xvi)</t>
  </si>
  <si>
    <t>Blank Flange 3" - 150# RF</t>
  </si>
  <si>
    <t>Elbows</t>
  </si>
  <si>
    <t>Elbow 1+1/2" - 45 degree BW Sched.40</t>
  </si>
  <si>
    <t>Elbow 16" - 90 degree BW Sched.40</t>
  </si>
  <si>
    <t>Elbow 16" - 22.5 degree BW Sched.40</t>
  </si>
  <si>
    <t>End Caps</t>
  </si>
  <si>
    <t>16" Sched.40</t>
  </si>
  <si>
    <t>Spacers</t>
  </si>
  <si>
    <t>16" - 25 mm Sched.40</t>
  </si>
  <si>
    <t>Weldolets</t>
  </si>
  <si>
    <t>1+1/2" Weldolets - 150# Sched.40</t>
  </si>
  <si>
    <t>6" Weldolet - 150# Sched.40</t>
  </si>
  <si>
    <t xml:space="preserve"> 3" Weldolet - 150# Sched.40</t>
  </si>
  <si>
    <t>Nipple</t>
  </si>
  <si>
    <t>1" Nipple S/S</t>
  </si>
  <si>
    <t>Camlock and Dustcap</t>
  </si>
  <si>
    <t>25 mm Camlock and Dustcap</t>
  </si>
  <si>
    <t>Gasket</t>
  </si>
  <si>
    <t>1/2" Spiral Wound Gaskets</t>
  </si>
  <si>
    <t>1-1/2" Spiral Wound Gasket</t>
  </si>
  <si>
    <t>3” Spiral Wound Gasket</t>
  </si>
  <si>
    <t>4" Klinger Topchem 2000 Gaskets</t>
  </si>
  <si>
    <t>6” Spiral Wound Gasket</t>
  </si>
  <si>
    <t>16" Klingersil C4430 Gaskets</t>
  </si>
  <si>
    <t>Studs</t>
  </si>
  <si>
    <t>1/2" UNC Stud 60mm long Stainless Steel</t>
  </si>
  <si>
    <t>1/2" UNC Stud 75mm long</t>
  </si>
  <si>
    <t>1/2" UNC Stud 75mm long Stainless Steel</t>
  </si>
  <si>
    <t>1/2" UNC Stud 85mm long Stainless Steel</t>
  </si>
  <si>
    <t>5/8" UNC Stud 90mm long</t>
  </si>
  <si>
    <t>5/8" UNC Stud 100mm long</t>
  </si>
  <si>
    <t>3/4" UNC Stud 110mm long Stainless Steel</t>
  </si>
  <si>
    <t>7/8" UNC Stepped Stud 110 mm long</t>
  </si>
  <si>
    <t>7/8" UNC Stepped Stud 140mm long</t>
  </si>
  <si>
    <t>7/8" UNC Stud 155mm long Galvanized</t>
  </si>
  <si>
    <t>7/8" UNC Stud 175mm long</t>
  </si>
  <si>
    <t>7/8" UNC Stud 180mm long</t>
  </si>
  <si>
    <t>Nuts</t>
  </si>
  <si>
    <t>1/2" 2H =Nuts</t>
  </si>
  <si>
    <t>1/2" 2H Nuts S/S</t>
  </si>
  <si>
    <t>5/8" 2H Nuts</t>
  </si>
  <si>
    <t>3/4" 2H Nuts S/S</t>
  </si>
  <si>
    <t>7/8" 2H Nuts</t>
  </si>
  <si>
    <t>7/8" 2H Nuts Galvanized</t>
  </si>
  <si>
    <t>Washers</t>
  </si>
  <si>
    <t>Washers for 1/2"</t>
  </si>
  <si>
    <t>Washers 1/2" Stainless Steel</t>
  </si>
  <si>
    <t>Washers 5/8"</t>
  </si>
  <si>
    <t>Washers 3/4" Stainless Steel</t>
  </si>
  <si>
    <t>Washers 7/8"</t>
  </si>
  <si>
    <t>insulating Washers 7/8"</t>
  </si>
  <si>
    <t>Washers 7/8" Galvanized</t>
  </si>
  <si>
    <t>PSS 2.10.2</t>
  </si>
  <si>
    <t>Fabrication, Testing and Installation of Valve Assemblies (Night Works)</t>
  </si>
  <si>
    <t>Provide labour, tools, and equipment for fabrication, testing, and installation of the following items</t>
  </si>
  <si>
    <t>Isolation Valve Assembly VC13 (Night Works)</t>
  </si>
  <si>
    <t>New Low Point 7 (Night Works)</t>
  </si>
  <si>
    <t>New High Point 6 (Night Works)</t>
  </si>
  <si>
    <t>PSS 2.10.3</t>
  </si>
  <si>
    <t>Fabrication, Testing and Installation of Valve Assemblies (Normal Hours)</t>
  </si>
  <si>
    <t>New Low Point 11</t>
  </si>
  <si>
    <t>Hydrant Valve Assemblies</t>
  </si>
  <si>
    <t>Cathodic Protection Installation (Night Works)</t>
  </si>
  <si>
    <t>Reference Electrodes and Cabling at VC13</t>
  </si>
  <si>
    <t>Cross-bonds and cabling</t>
  </si>
  <si>
    <t>Spark Gaps</t>
  </si>
  <si>
    <t>*Estimated as 15% total costs</t>
  </si>
  <si>
    <t xml:space="preserve">Item to be broken up into PnG </t>
  </si>
  <si>
    <t xml:space="preserve">QS advised that the PnGs are to be dropped to 15 % </t>
  </si>
  <si>
    <t>f</t>
  </si>
  <si>
    <t>KING SHAKA INTERNATIONAL AIRPORT</t>
  </si>
  <si>
    <t>TENDER NO:  KSIA7806/2025/RFP</t>
  </si>
  <si>
    <t>SUMMARY OF FINAL SCHEDULE OF QUANTITIES</t>
  </si>
  <si>
    <t>TOTALS OF BILL OF QUANTITIES BROUGHT FORWARD:</t>
  </si>
  <si>
    <t>C2.2.1 PART  A: TENDER NO. KSIA7806/2025/RFP – CIVIL ENGINEERING B/F FROM PAGE C2-69</t>
  </si>
  <si>
    <t>C2.2.2 PART B: TENDER NO. KSIA7806/2025/RFP – ELECTRICAL ENGINEERING B/F FROM PAGE C2-94</t>
  </si>
  <si>
    <t>C2.2.3 PART C: TENDER NO. KSIA7806/2025/RFP – MECHANICAL ENGINEERING B/F FROM PAGE C2-107</t>
  </si>
  <si>
    <t>SUBTOTAL 1</t>
  </si>
  <si>
    <t xml:space="preserve">Add: CONTRACT SKILLS DEVELOPMENT GOALS – CSDG (0.25% of SUBTOTAL 1) </t>
  </si>
  <si>
    <t>SUBTOTAL 2 = (SUBTOTAL 1 + CSDG)</t>
  </si>
  <si>
    <t>Add:  Contract Price Adjustment - CPA (10% of SUBTOTAL 2)</t>
  </si>
  <si>
    <t xml:space="preserve">SUBTOTAL 3 = (SUBTOTAL 2 + CPA) </t>
  </si>
  <si>
    <t>Add:  Contingencies (10% of SUBTOTAL 3)</t>
  </si>
  <si>
    <t>SUBTOTAL 4 = (SUBTOTAL 3 + CONTINGENCIES)</t>
  </si>
  <si>
    <t>Add:  VAT (15% of SUBTOTAL 4)</t>
  </si>
  <si>
    <t xml:space="preserve">TOTAL CARRIED FORWARD TO FORM OF OFFER </t>
  </si>
  <si>
    <t>CONTRACT NO: KSIA7806/2025/RFP</t>
  </si>
  <si>
    <t>for</t>
  </si>
  <si>
    <t xml:space="preserve">CPG SUMMARY </t>
  </si>
  <si>
    <t>SUMMARY OF SECTIONS</t>
  </si>
  <si>
    <t xml:space="preserve">Chapter </t>
  </si>
  <si>
    <t xml:space="preserve">Description </t>
  </si>
  <si>
    <t xml:space="preserve">Amount </t>
  </si>
  <si>
    <t xml:space="preserve">TOTAL CPG VALUE </t>
  </si>
  <si>
    <t xml:space="preserve">TOTAL CPG  PERCENTAGE ACHIEVED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</si>
</sst>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quot;R&quot;#,##0;\-&quot;R&quot;#,##0"/>
    <numFmt numFmtId="165" formatCode="&quot;R&quot;#,##0;[Red]\-&quot;R&quot;#,##0"/>
    <numFmt numFmtId="166" formatCode="_-&quot;R&quot;* #,##0.00_-;\-&quot;R&quot;* #,##0.00_-;_-&quot;R&quot;* &quot;-&quot;??_-;_-@_-"/>
    <numFmt numFmtId="167" formatCode="_-* #,##0.00_-;\-* #,##0.00_-;_-* &quot;-&quot;??_-;_-@_-"/>
    <numFmt numFmtId="168" formatCode="_ &quot;R&quot;\ * #,##0.00_ ;_ &quot;R&quot;\ * \-#,##0.00_ ;_ &quot;R&quot;\ * &quot;-&quot;??_ ;_ @_ "/>
    <numFmt numFmtId="169" formatCode="_ * #,##0.00_ ;_ * \-#,##0.00_ ;_ * &quot;-&quot;??_ ;_ @_ "/>
    <numFmt numFmtId="170" formatCode="&quot;R&quot;\ #,##0.00"/>
    <numFmt numFmtId="171" formatCode="0.0%"/>
    <numFmt numFmtId="172" formatCode="[$R-1C09]\ #\ ###\ ##0.00;[Red][$R-1C09]\-#\ ###\ ##0.00"/>
    <numFmt numFmtId="173" formatCode="_-* #.##0.00_-;\-* #.##0.00_-;_-* &quot;-&quot;??_-;_-@_-"/>
    <numFmt numFmtId="174" formatCode="&quot;R&quot;#,##0.00"/>
    <numFmt numFmtId="175" formatCode="_-* #,##0.0000000_-;\-* #,##0.0000000_-;_-* &quot;-&quot;??_-;_-@_-"/>
    <numFmt numFmtId="176" formatCode="_-* #,##0.0000000_-;\-* #,##0.0000000_-;_-* &quot;-&quot;???????_-;_-@_-"/>
    <numFmt numFmtId="177" formatCode="_-* #,##0.00_-;\-* #,##0.00_-;_-* &quot;-&quot;???????_-;_-@_-"/>
    <numFmt numFmtId="178" formatCode="#,##0.000"/>
    <numFmt numFmtId="179" formatCode="_-[$R-1C09]* #,##0.00_-;\-[$R-1C09]* #,##0.00_-;_-[$R-1C09]* &quot;-&quot;??_-;_-@_-"/>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Times New Roman"/>
      <family val="1"/>
    </font>
    <font>
      <sz val="10"/>
      <name val="Arial"/>
      <family val="2"/>
    </font>
    <font>
      <i/>
      <u/>
      <sz val="10"/>
      <name val="Times New Roman"/>
      <family val="1"/>
    </font>
    <font>
      <sz val="12"/>
      <name val="Arial"/>
      <family val="2"/>
    </font>
    <font>
      <sz val="10"/>
      <name val="Times New Roman"/>
      <family val="1"/>
    </font>
    <font>
      <sz val="11"/>
      <name val="Arial"/>
      <family val="2"/>
    </font>
    <font>
      <sz val="8"/>
      <name val="Arial"/>
      <family val="2"/>
    </font>
    <font>
      <vertAlign val="superscript"/>
      <sz val="10"/>
      <name val="Arial"/>
      <family val="2"/>
    </font>
    <font>
      <sz val="10"/>
      <name val="Calibri"/>
      <family val="2"/>
    </font>
    <font>
      <vertAlign val="superscript"/>
      <sz val="10"/>
      <name val="Calibri"/>
      <family val="2"/>
    </font>
    <font>
      <sz val="11"/>
      <name val="Calibri"/>
      <family val="2"/>
      <scheme val="minor"/>
    </font>
    <font>
      <sz val="9"/>
      <name val="Arial"/>
      <family val="2"/>
    </font>
    <font>
      <b/>
      <sz val="9"/>
      <name val="Arial"/>
      <family val="2"/>
    </font>
    <font>
      <sz val="10"/>
      <name val="Calibri"/>
      <family val="2"/>
      <scheme val="minor"/>
    </font>
    <font>
      <sz val="10"/>
      <color theme="1"/>
      <name val="Arial"/>
      <family val="2"/>
    </font>
    <font>
      <sz val="10"/>
      <name val="Arial Narrow"/>
      <family val="2"/>
    </font>
    <font>
      <b/>
      <sz val="10"/>
      <name val="Arial Narrow"/>
      <family val="2"/>
    </font>
    <font>
      <sz val="10"/>
      <color theme="1"/>
      <name val="Arial Narrow"/>
      <family val="2"/>
    </font>
    <font>
      <vertAlign val="superscript"/>
      <sz val="10"/>
      <name val="Arial Narrow"/>
      <family val="2"/>
    </font>
    <font>
      <sz val="10"/>
      <color theme="0"/>
      <name val="Arial"/>
      <family val="2"/>
    </font>
    <font>
      <sz val="9"/>
      <name val="Calibri"/>
      <family val="2"/>
    </font>
    <font>
      <i/>
      <sz val="9"/>
      <name val="Arial"/>
      <family val="2"/>
    </font>
    <font>
      <sz val="10"/>
      <color rgb="FFFF0000"/>
      <name val="Arial"/>
      <family val="2"/>
    </font>
    <font>
      <b/>
      <sz val="24"/>
      <name val="Arial"/>
      <family val="2"/>
    </font>
    <font>
      <b/>
      <sz val="10"/>
      <color rgb="FF000000"/>
      <name val="Arial"/>
      <family val="2"/>
    </font>
    <font>
      <u/>
      <sz val="10"/>
      <name val="Arial"/>
      <family val="2"/>
    </font>
    <font>
      <b/>
      <sz val="10"/>
      <color rgb="FFFF0000"/>
      <name val="Arial"/>
      <family val="2"/>
    </font>
    <font>
      <sz val="11"/>
      <color theme="1"/>
      <name val="Calibri"/>
      <family val="2"/>
    </font>
    <font>
      <b/>
      <i/>
      <sz val="10"/>
      <color rgb="FFFF0000"/>
      <name val="Arial"/>
      <family val="2"/>
    </font>
    <font>
      <sz val="10"/>
      <color rgb="FF000000"/>
      <name val="Arial"/>
      <family val="2"/>
    </font>
    <font>
      <sz val="10"/>
      <color rgb="FF000000"/>
      <name val="Times New Roman"/>
      <family val="1"/>
    </font>
    <font>
      <vertAlign val="superscript"/>
      <sz val="10"/>
      <color rgb="FFFF0000"/>
      <name val="Arial"/>
      <family val="2"/>
    </font>
    <font>
      <sz val="9"/>
      <color rgb="FFFF0000"/>
      <name val="Arial"/>
      <family val="2"/>
    </font>
    <font>
      <vertAlign val="superscript"/>
      <sz val="9"/>
      <color rgb="FFFF0000"/>
      <name val="Arial"/>
      <family val="2"/>
    </font>
    <font>
      <vertAlign val="superscript"/>
      <sz val="9"/>
      <color rgb="FFFF0000"/>
      <name val="Arial Narrow"/>
      <family val="2"/>
    </font>
    <font>
      <sz val="10"/>
      <color rgb="FFFF0000"/>
      <name val="Arial Narrow"/>
      <family val="2"/>
    </font>
    <font>
      <vertAlign val="superscript"/>
      <sz val="10"/>
      <color rgb="FFFF0000"/>
      <name val="Arial Narrow"/>
      <family val="2"/>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
      <patternFill patternType="solid">
        <fgColor theme="1" tint="4.9989318521683403E-2"/>
        <bgColor indexed="64"/>
      </patternFill>
    </fill>
  </fills>
  <borders count="23">
    <border>
      <left/>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ck">
        <color auto="1"/>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auto="1"/>
      </right>
      <top style="thin">
        <color indexed="64"/>
      </top>
      <bottom/>
      <diagonal/>
    </border>
    <border>
      <left/>
      <right style="thin">
        <color auto="1"/>
      </right>
      <top/>
      <bottom style="thin">
        <color auto="1"/>
      </bottom>
      <diagonal/>
    </border>
    <border>
      <left/>
      <right style="thin">
        <color indexed="64"/>
      </right>
      <top/>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indexed="64"/>
      </left>
      <right style="thin">
        <color indexed="64"/>
      </right>
      <top style="thick">
        <color indexed="64"/>
      </top>
      <bottom style="thick">
        <color indexed="64"/>
      </bottom>
      <diagonal/>
    </border>
  </borders>
  <cellStyleXfs count="66">
    <xf numFmtId="0" fontId="0" fillId="0" borderId="0"/>
    <xf numFmtId="43" fontId="9" fillId="0" borderId="0" applyFont="0" applyFill="0" applyBorder="0" applyAlignment="0" applyProtection="0"/>
    <xf numFmtId="3" fontId="9" fillId="0" borderId="0" applyFont="0" applyFill="0" applyBorder="0" applyAlignment="0" applyProtection="0"/>
    <xf numFmtId="44" fontId="9" fillId="0" borderId="0" applyFont="0" applyFill="0" applyBorder="0" applyAlignment="0" applyProtection="0"/>
    <xf numFmtId="44" fontId="12" fillId="0" borderId="0" applyFont="0" applyFill="0" applyBorder="0" applyAlignment="0" applyProtection="0"/>
    <xf numFmtId="0" fontId="12" fillId="0" borderId="0"/>
    <xf numFmtId="0" fontId="11" fillId="0" borderId="0"/>
    <xf numFmtId="9" fontId="9" fillId="0" borderId="0" applyFont="0" applyFill="0" applyBorder="0" applyAlignment="0" applyProtection="0"/>
    <xf numFmtId="0" fontId="8" fillId="0" borderId="0"/>
    <xf numFmtId="0" fontId="13" fillId="0" borderId="8"/>
    <xf numFmtId="0" fontId="14" fillId="0" borderId="0"/>
    <xf numFmtId="172" fontId="9" fillId="0" borderId="9" applyFill="0" applyProtection="0"/>
    <xf numFmtId="0" fontId="9" fillId="0" borderId="0"/>
    <xf numFmtId="0" fontId="7" fillId="0" borderId="0"/>
    <xf numFmtId="167" fontId="7"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0" fontId="9" fillId="0" borderId="0"/>
    <xf numFmtId="4" fontId="14" fillId="0" borderId="0" applyProtection="0"/>
    <xf numFmtId="164" fontId="15" fillId="0" borderId="0" applyFont="0" applyFill="0" applyBorder="0" applyAlignment="0" applyProtection="0"/>
    <xf numFmtId="0" fontId="6" fillId="0" borderId="0"/>
    <xf numFmtId="173" fontId="6" fillId="0" borderId="0" applyFont="0" applyFill="0" applyBorder="0" applyAlignment="0" applyProtection="0"/>
    <xf numFmtId="0" fontId="16" fillId="0" borderId="0"/>
    <xf numFmtId="44" fontId="9" fillId="0" borderId="0" applyFont="0" applyFill="0" applyBorder="0" applyAlignment="0" applyProtection="0"/>
    <xf numFmtId="0" fontId="5" fillId="0" borderId="0"/>
    <xf numFmtId="167" fontId="9" fillId="0" borderId="0" applyFont="0" applyFill="0" applyBorder="0" applyAlignment="0" applyProtection="0"/>
    <xf numFmtId="0" fontId="4" fillId="0" borderId="0"/>
    <xf numFmtId="0" fontId="4" fillId="0" borderId="0"/>
    <xf numFmtId="167" fontId="4" fillId="0" borderId="0" applyFont="0" applyFill="0" applyBorder="0" applyAlignment="0" applyProtection="0"/>
    <xf numFmtId="167" fontId="9" fillId="0" borderId="0" applyFont="0" applyFill="0" applyBorder="0" applyAlignment="0" applyProtection="0"/>
    <xf numFmtId="164" fontId="15" fillId="0" borderId="0" applyFont="0" applyFill="0" applyBorder="0" applyAlignment="0" applyProtection="0"/>
    <xf numFmtId="0" fontId="4" fillId="0" borderId="0"/>
    <xf numFmtId="173" fontId="4" fillId="0" borderId="0" applyFont="0" applyFill="0" applyBorder="0" applyAlignment="0" applyProtection="0"/>
    <xf numFmtId="0" fontId="4" fillId="0" borderId="0"/>
    <xf numFmtId="0" fontId="3" fillId="0" borderId="0"/>
    <xf numFmtId="0" fontId="3" fillId="0" borderId="0"/>
    <xf numFmtId="167" fontId="3" fillId="0" borderId="0" applyFont="0" applyFill="0" applyBorder="0" applyAlignment="0" applyProtection="0"/>
    <xf numFmtId="164" fontId="15"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2" fillId="0" borderId="0"/>
    <xf numFmtId="0" fontId="2" fillId="0" borderId="0"/>
    <xf numFmtId="167" fontId="2" fillId="0" borderId="0" applyFont="0" applyFill="0" applyBorder="0" applyAlignment="0" applyProtection="0"/>
    <xf numFmtId="164" fontId="15" fillId="0" borderId="0" applyFont="0" applyFill="0" applyBorder="0" applyAlignment="0" applyProtection="0"/>
    <xf numFmtId="0" fontId="2" fillId="0" borderId="0"/>
    <xf numFmtId="173" fontId="2" fillId="0" borderId="0" applyFont="0" applyFill="0" applyBorder="0" applyAlignment="0" applyProtection="0"/>
    <xf numFmtId="0" fontId="2" fillId="0" borderId="0"/>
    <xf numFmtId="167" fontId="9"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167" fontId="9" fillId="0" borderId="0" applyFont="0" applyFill="0" applyBorder="0" applyAlignment="0" applyProtection="0"/>
    <xf numFmtId="164" fontId="15" fillId="0" borderId="0" applyFont="0" applyFill="0" applyBorder="0" applyAlignment="0" applyProtection="0"/>
    <xf numFmtId="0" fontId="2" fillId="0" borderId="0"/>
    <xf numFmtId="173" fontId="2" fillId="0" borderId="0" applyFont="0" applyFill="0" applyBorder="0" applyAlignment="0" applyProtection="0"/>
    <xf numFmtId="0" fontId="2" fillId="0" borderId="0"/>
    <xf numFmtId="0" fontId="2" fillId="0" borderId="0"/>
    <xf numFmtId="0" fontId="2" fillId="0" borderId="0"/>
    <xf numFmtId="167" fontId="2" fillId="0" borderId="0" applyFont="0" applyFill="0" applyBorder="0" applyAlignment="0" applyProtection="0"/>
    <xf numFmtId="164" fontId="15" fillId="0" borderId="0" applyFont="0" applyFill="0" applyBorder="0" applyAlignment="0" applyProtection="0"/>
    <xf numFmtId="0" fontId="2" fillId="0" borderId="0"/>
    <xf numFmtId="173" fontId="2" fillId="0" borderId="0" applyFont="0" applyFill="0" applyBorder="0" applyAlignment="0" applyProtection="0"/>
    <xf numFmtId="0" fontId="2" fillId="0" borderId="0"/>
    <xf numFmtId="0" fontId="41" fillId="0" borderId="0"/>
    <xf numFmtId="9" fontId="9" fillId="0" borderId="0" applyFont="0" applyFill="0" applyBorder="0" applyAlignment="0" applyProtection="0"/>
  </cellStyleXfs>
  <cellXfs count="881">
    <xf numFmtId="0" fontId="0" fillId="0" borderId="0" xfId="0"/>
    <xf numFmtId="0" fontId="9" fillId="0" borderId="0" xfId="17" applyAlignment="1">
      <alignment vertical="center"/>
    </xf>
    <xf numFmtId="0" fontId="10" fillId="0" borderId="0" xfId="17" applyFont="1" applyAlignment="1">
      <alignment horizontal="left" vertical="center"/>
    </xf>
    <xf numFmtId="0" fontId="9" fillId="0" borderId="0" xfId="17" applyAlignment="1">
      <alignment horizontal="left" vertical="center"/>
    </xf>
    <xf numFmtId="0" fontId="9" fillId="0" borderId="0" xfId="17" applyAlignment="1">
      <alignment horizontal="center" vertical="center"/>
    </xf>
    <xf numFmtId="0" fontId="9" fillId="0" borderId="0" xfId="17" applyAlignment="1">
      <alignment horizontal="right" vertical="center"/>
    </xf>
    <xf numFmtId="0" fontId="10" fillId="0" borderId="0" xfId="17" applyFont="1" applyAlignment="1">
      <alignment horizontal="right" vertical="center"/>
    </xf>
    <xf numFmtId="0" fontId="10" fillId="0" borderId="0" xfId="17" applyFont="1" applyAlignment="1">
      <alignment horizontal="left" vertical="center" wrapText="1"/>
    </xf>
    <xf numFmtId="49" fontId="10" fillId="0" borderId="0" xfId="17" applyNumberFormat="1" applyFont="1" applyAlignment="1">
      <alignment horizontal="left" vertical="center" wrapText="1"/>
    </xf>
    <xf numFmtId="0" fontId="10" fillId="0" borderId="0" xfId="17" applyFont="1" applyAlignment="1">
      <alignment horizontal="center" vertical="center"/>
    </xf>
    <xf numFmtId="49" fontId="10" fillId="0" borderId="10" xfId="17" applyNumberFormat="1" applyFont="1" applyBorder="1" applyAlignment="1">
      <alignment horizontal="center" vertical="center" wrapText="1"/>
    </xf>
    <xf numFmtId="0" fontId="10" fillId="0" borderId="10" xfId="17" applyFont="1" applyBorder="1" applyAlignment="1">
      <alignment horizontal="center" vertical="center" wrapText="1"/>
    </xf>
    <xf numFmtId="0" fontId="10" fillId="0" borderId="0" xfId="17" applyFont="1" applyAlignment="1">
      <alignment horizontal="center" vertical="center" wrapText="1"/>
    </xf>
    <xf numFmtId="49" fontId="9" fillId="0" borderId="1" xfId="17" applyNumberFormat="1" applyBorder="1" applyAlignment="1">
      <alignment horizontal="left" vertical="center" wrapText="1"/>
    </xf>
    <xf numFmtId="0" fontId="9" fillId="0" borderId="1" xfId="17" applyBorder="1" applyAlignment="1">
      <alignment horizontal="left" vertical="center" wrapText="1"/>
    </xf>
    <xf numFmtId="0" fontId="9" fillId="0" borderId="1" xfId="17" applyBorder="1" applyAlignment="1">
      <alignment horizontal="center" wrapText="1"/>
    </xf>
    <xf numFmtId="0" fontId="9" fillId="0" borderId="1" xfId="17" applyBorder="1" applyAlignment="1">
      <alignment wrapText="1"/>
    </xf>
    <xf numFmtId="170" fontId="9" fillId="0" borderId="1" xfId="3" applyNumberFormat="1" applyFont="1" applyBorder="1" applyAlignment="1">
      <alignment horizontal="right" wrapText="1"/>
    </xf>
    <xf numFmtId="170" fontId="9" fillId="0" borderId="0" xfId="3" applyNumberFormat="1" applyFont="1" applyBorder="1" applyAlignment="1">
      <alignment horizontal="right" wrapText="1"/>
    </xf>
    <xf numFmtId="49" fontId="10" fillId="0" borderId="1" xfId="17" applyNumberFormat="1" applyFont="1" applyBorder="1" applyAlignment="1">
      <alignment horizontal="left" vertical="center" wrapText="1"/>
    </xf>
    <xf numFmtId="0" fontId="10" fillId="0" borderId="1" xfId="17" applyFont="1" applyBorder="1" applyAlignment="1">
      <alignment horizontal="left" vertical="center" wrapText="1"/>
    </xf>
    <xf numFmtId="49" fontId="9" fillId="0" borderId="1" xfId="17" applyNumberFormat="1" applyBorder="1" applyAlignment="1">
      <alignment horizontal="center" vertical="center" wrapText="1"/>
    </xf>
    <xf numFmtId="0" fontId="9" fillId="0" borderId="1" xfId="17" applyBorder="1" applyAlignment="1">
      <alignment horizontal="center" vertical="center" wrapText="1"/>
    </xf>
    <xf numFmtId="3" fontId="9" fillId="0" borderId="1" xfId="1" applyNumberFormat="1" applyFont="1" applyBorder="1" applyAlignment="1">
      <alignment horizontal="center" vertical="center" wrapText="1"/>
    </xf>
    <xf numFmtId="43" fontId="9" fillId="0" borderId="1" xfId="1" applyFont="1" applyBorder="1" applyAlignment="1">
      <alignment horizontal="center" vertical="center" wrapText="1"/>
    </xf>
    <xf numFmtId="170" fontId="9" fillId="0" borderId="1" xfId="3" applyNumberFormat="1" applyFont="1" applyBorder="1" applyAlignment="1">
      <alignment horizontal="right" vertical="center" wrapText="1"/>
    </xf>
    <xf numFmtId="3" fontId="9" fillId="0" borderId="1" xfId="1" applyNumberFormat="1" applyFont="1" applyBorder="1" applyAlignment="1">
      <alignment horizontal="center" wrapText="1"/>
    </xf>
    <xf numFmtId="171" fontId="9" fillId="0" borderId="1" xfId="17" applyNumberFormat="1" applyBorder="1" applyAlignment="1">
      <alignment wrapText="1"/>
    </xf>
    <xf numFmtId="0" fontId="10" fillId="0" borderId="0" xfId="17" applyFont="1" applyAlignment="1">
      <alignment vertical="center"/>
    </xf>
    <xf numFmtId="0" fontId="10" fillId="0" borderId="12" xfId="17" applyFont="1" applyBorder="1" applyAlignment="1">
      <alignment vertical="center"/>
    </xf>
    <xf numFmtId="49" fontId="10" fillId="0" borderId="12" xfId="17" applyNumberFormat="1" applyFont="1" applyBorder="1" applyAlignment="1">
      <alignment vertical="center"/>
    </xf>
    <xf numFmtId="49" fontId="10" fillId="0" borderId="12" xfId="17" applyNumberFormat="1" applyFont="1" applyBorder="1" applyAlignment="1">
      <alignment horizontal="center" vertical="center"/>
    </xf>
    <xf numFmtId="170" fontId="10" fillId="0" borderId="10" xfId="1" applyNumberFormat="1" applyFont="1" applyBorder="1" applyAlignment="1">
      <alignment horizontal="right" vertical="center" wrapText="1"/>
    </xf>
    <xf numFmtId="170" fontId="10" fillId="0" borderId="0" xfId="1" applyNumberFormat="1" applyFont="1" applyBorder="1" applyAlignment="1">
      <alignment horizontal="right" vertical="center" wrapText="1"/>
    </xf>
    <xf numFmtId="49" fontId="9" fillId="0" borderId="0" xfId="17" applyNumberFormat="1" applyAlignment="1">
      <alignment horizontal="left" vertical="center"/>
    </xf>
    <xf numFmtId="0" fontId="9" fillId="0" borderId="0" xfId="17"/>
    <xf numFmtId="0" fontId="9" fillId="0" borderId="1" xfId="17" applyBorder="1" applyAlignment="1">
      <alignment horizontal="center" vertical="center"/>
    </xf>
    <xf numFmtId="43" fontId="9" fillId="0" borderId="1" xfId="1" applyFont="1" applyBorder="1" applyAlignment="1">
      <alignment vertical="center" wrapText="1"/>
    </xf>
    <xf numFmtId="0" fontId="9" fillId="0" borderId="1" xfId="17" applyBorder="1" applyAlignment="1">
      <alignment horizontal="left" wrapText="1"/>
    </xf>
    <xf numFmtId="0" fontId="9" fillId="0" borderId="1" xfId="17" applyBorder="1" applyAlignment="1">
      <alignment vertical="center" wrapText="1"/>
    </xf>
    <xf numFmtId="170" fontId="9" fillId="0" borderId="0" xfId="3" applyNumberFormat="1" applyFont="1" applyBorder="1" applyAlignment="1">
      <alignment horizontal="right" vertical="center" wrapText="1"/>
    </xf>
    <xf numFmtId="170" fontId="9" fillId="0" borderId="0" xfId="1" applyNumberFormat="1" applyFont="1" applyBorder="1" applyAlignment="1">
      <alignment horizontal="right" vertical="center" wrapText="1"/>
    </xf>
    <xf numFmtId="171" fontId="9" fillId="0" borderId="1" xfId="7" applyNumberFormat="1" applyFont="1" applyBorder="1" applyAlignment="1">
      <alignment vertical="center" wrapText="1"/>
    </xf>
    <xf numFmtId="170" fontId="9" fillId="0" borderId="0" xfId="3" applyNumberFormat="1" applyFont="1" applyBorder="1" applyAlignment="1">
      <alignment vertical="center" wrapText="1"/>
    </xf>
    <xf numFmtId="0" fontId="9" fillId="0" borderId="1" xfId="17" applyBorder="1" applyAlignment="1">
      <alignment vertical="center"/>
    </xf>
    <xf numFmtId="171" fontId="9" fillId="0" borderId="1" xfId="17" applyNumberFormat="1" applyBorder="1" applyAlignment="1">
      <alignment vertical="center" wrapText="1"/>
    </xf>
    <xf numFmtId="43" fontId="9" fillId="0" borderId="1" xfId="1" applyFont="1" applyFill="1" applyBorder="1" applyAlignment="1">
      <alignment vertical="center" wrapText="1"/>
    </xf>
    <xf numFmtId="43" fontId="9" fillId="0" borderId="0" xfId="17" applyNumberFormat="1" applyAlignment="1">
      <alignment horizontal="right" vertical="center"/>
    </xf>
    <xf numFmtId="49" fontId="9" fillId="0" borderId="1" xfId="17" applyNumberFormat="1" applyBorder="1" applyAlignment="1">
      <alignment horizontal="right" vertical="center" wrapText="1"/>
    </xf>
    <xf numFmtId="0" fontId="10" fillId="0" borderId="1" xfId="17" applyFont="1" applyBorder="1" applyAlignment="1">
      <alignment horizontal="center" vertical="center" wrapText="1"/>
    </xf>
    <xf numFmtId="0" fontId="9" fillId="0" borderId="1" xfId="17" applyBorder="1" applyAlignment="1">
      <alignment horizontal="left" vertical="center"/>
    </xf>
    <xf numFmtId="0" fontId="9" fillId="0" borderId="0" xfId="17" applyAlignment="1">
      <alignment vertical="center" wrapText="1"/>
    </xf>
    <xf numFmtId="0" fontId="9" fillId="0" borderId="0" xfId="17" applyAlignment="1">
      <alignment horizontal="left" vertical="center" wrapText="1"/>
    </xf>
    <xf numFmtId="49" fontId="9" fillId="0" borderId="0" xfId="17" applyNumberFormat="1" applyAlignment="1">
      <alignment horizontal="left" vertical="center" wrapText="1"/>
    </xf>
    <xf numFmtId="0" fontId="9" fillId="0" borderId="0" xfId="17" applyAlignment="1">
      <alignment horizontal="center" vertical="center" wrapText="1"/>
    </xf>
    <xf numFmtId="0" fontId="9" fillId="0" borderId="0" xfId="17" applyAlignment="1">
      <alignment wrapText="1"/>
    </xf>
    <xf numFmtId="0" fontId="10" fillId="0" borderId="0" xfId="17" applyFont="1" applyAlignment="1">
      <alignment vertical="center" wrapText="1"/>
    </xf>
    <xf numFmtId="49" fontId="9" fillId="0" borderId="1" xfId="17" applyNumberFormat="1" applyBorder="1" applyAlignment="1">
      <alignment horizontal="left" vertical="top" wrapText="1"/>
    </xf>
    <xf numFmtId="170" fontId="9" fillId="0" borderId="0" xfId="1" applyNumberFormat="1" applyFont="1" applyBorder="1" applyAlignment="1">
      <alignment horizontal="right" wrapText="1"/>
    </xf>
    <xf numFmtId="49" fontId="9" fillId="0" borderId="1" xfId="17" applyNumberFormat="1" applyBorder="1" applyAlignment="1">
      <alignment horizontal="right" vertical="top" wrapText="1"/>
    </xf>
    <xf numFmtId="171" fontId="9" fillId="0" borderId="1" xfId="7" applyNumberFormat="1" applyFont="1" applyBorder="1" applyAlignment="1">
      <alignment wrapText="1"/>
    </xf>
    <xf numFmtId="170" fontId="9" fillId="0" borderId="0" xfId="3" applyNumberFormat="1" applyFont="1" applyBorder="1" applyAlignment="1">
      <alignment wrapText="1"/>
    </xf>
    <xf numFmtId="0" fontId="9" fillId="0" borderId="1" xfId="17" applyBorder="1" applyAlignment="1">
      <alignment horizontal="center"/>
    </xf>
    <xf numFmtId="0" fontId="9" fillId="0" borderId="1" xfId="17" applyBorder="1"/>
    <xf numFmtId="0" fontId="9" fillId="0" borderId="0" xfId="17" applyAlignment="1">
      <alignment horizontal="right"/>
    </xf>
    <xf numFmtId="43" fontId="9" fillId="0" borderId="1" xfId="1" applyFont="1" applyBorder="1" applyAlignment="1">
      <alignment wrapText="1"/>
    </xf>
    <xf numFmtId="43" fontId="9" fillId="0" borderId="1" xfId="1" applyFont="1" applyFill="1" applyBorder="1" applyAlignment="1">
      <alignment wrapText="1"/>
    </xf>
    <xf numFmtId="43" fontId="9" fillId="0" borderId="0" xfId="17" applyNumberFormat="1" applyAlignment="1">
      <alignment horizontal="right"/>
    </xf>
    <xf numFmtId="0" fontId="10" fillId="0" borderId="1" xfId="17" applyFont="1" applyBorder="1" applyAlignment="1">
      <alignment horizontal="center" wrapText="1"/>
    </xf>
    <xf numFmtId="49" fontId="10" fillId="0" borderId="1" xfId="17" applyNumberFormat="1" applyFont="1" applyBorder="1" applyAlignment="1">
      <alignment horizontal="right" vertical="center" wrapText="1"/>
    </xf>
    <xf numFmtId="49" fontId="10" fillId="0" borderId="10" xfId="17" applyNumberFormat="1" applyFont="1" applyBorder="1" applyAlignment="1">
      <alignment vertical="center" wrapText="1"/>
    </xf>
    <xf numFmtId="0" fontId="9" fillId="0" borderId="3" xfId="17" applyBorder="1" applyAlignment="1">
      <alignment horizontal="left" vertical="center"/>
    </xf>
    <xf numFmtId="0" fontId="9" fillId="0" borderId="3" xfId="17" applyBorder="1" applyAlignment="1">
      <alignment horizontal="center" vertical="center"/>
    </xf>
    <xf numFmtId="0" fontId="9" fillId="0" borderId="3" xfId="17" applyBorder="1" applyAlignment="1">
      <alignment vertical="center"/>
    </xf>
    <xf numFmtId="49" fontId="10" fillId="0" borderId="10" xfId="17" applyNumberFormat="1" applyFont="1" applyBorder="1" applyAlignment="1">
      <alignment vertical="center"/>
    </xf>
    <xf numFmtId="0" fontId="9" fillId="0" borderId="13" xfId="17" applyBorder="1" applyAlignment="1">
      <alignment horizontal="center" vertical="center" wrapText="1"/>
    </xf>
    <xf numFmtId="0" fontId="10" fillId="0" borderId="0" xfId="17" applyFont="1"/>
    <xf numFmtId="0" fontId="10" fillId="0" borderId="1" xfId="17" applyFont="1" applyBorder="1"/>
    <xf numFmtId="0" fontId="9" fillId="0" borderId="14" xfId="17" applyBorder="1" applyAlignment="1">
      <alignment horizontal="center" wrapText="1"/>
    </xf>
    <xf numFmtId="49" fontId="9" fillId="0" borderId="14" xfId="17" applyNumberFormat="1" applyBorder="1" applyAlignment="1">
      <alignment horizontal="left" vertical="center" wrapText="1"/>
    </xf>
    <xf numFmtId="49" fontId="10" fillId="0" borderId="10" xfId="17" applyNumberFormat="1" applyFont="1" applyBorder="1" applyAlignment="1">
      <alignment horizontal="right" vertical="center" wrapText="1"/>
    </xf>
    <xf numFmtId="0" fontId="9" fillId="0" borderId="1" xfId="17" applyBorder="1" applyAlignment="1">
      <alignment horizontal="right" vertical="center" wrapText="1"/>
    </xf>
    <xf numFmtId="49" fontId="10" fillId="0" borderId="11" xfId="17" applyNumberFormat="1" applyFont="1" applyBorder="1" applyAlignment="1">
      <alignment horizontal="right" vertical="center"/>
    </xf>
    <xf numFmtId="49" fontId="9" fillId="0" borderId="0" xfId="17" applyNumberFormat="1" applyAlignment="1">
      <alignment horizontal="right" vertical="center"/>
    </xf>
    <xf numFmtId="49" fontId="9" fillId="0" borderId="1" xfId="17" applyNumberFormat="1" applyBorder="1" applyAlignment="1">
      <alignment horizontal="right" wrapText="1"/>
    </xf>
    <xf numFmtId="0" fontId="10" fillId="0" borderId="14" xfId="17" applyFont="1" applyBorder="1" applyAlignment="1">
      <alignment horizontal="center" vertical="center" wrapText="1"/>
    </xf>
    <xf numFmtId="49" fontId="10" fillId="0" borderId="14" xfId="17" applyNumberFormat="1" applyFont="1" applyBorder="1" applyAlignment="1">
      <alignment horizontal="center" vertical="center" wrapText="1"/>
    </xf>
    <xf numFmtId="0" fontId="10" fillId="0" borderId="6" xfId="17" applyFont="1" applyBorder="1" applyAlignment="1">
      <alignment horizontal="left" vertical="center" wrapText="1"/>
    </xf>
    <xf numFmtId="49" fontId="10" fillId="0" borderId="10" xfId="17" applyNumberFormat="1" applyFont="1" applyBorder="1" applyAlignment="1">
      <alignment horizontal="center" vertical="center"/>
    </xf>
    <xf numFmtId="49" fontId="9" fillId="0" borderId="1" xfId="17" applyNumberFormat="1" applyBorder="1" applyAlignment="1">
      <alignment horizontal="center" vertical="center"/>
    </xf>
    <xf numFmtId="0" fontId="10" fillId="0" borderId="0" xfId="17" applyFont="1" applyAlignment="1">
      <alignment horizontal="left" vertical="top"/>
    </xf>
    <xf numFmtId="0" fontId="9" fillId="0" borderId="3" xfId="17" applyBorder="1" applyAlignment="1">
      <alignment horizontal="right" vertical="center"/>
    </xf>
    <xf numFmtId="0" fontId="9" fillId="0" borderId="3" xfId="17" applyBorder="1" applyAlignment="1">
      <alignment horizontal="left" vertical="center" wrapText="1"/>
    </xf>
    <xf numFmtId="0" fontId="10" fillId="0" borderId="0" xfId="17" applyFont="1" applyAlignment="1">
      <alignment horizontal="right" vertical="top"/>
    </xf>
    <xf numFmtId="0" fontId="9" fillId="0" borderId="0" xfId="0" applyFont="1"/>
    <xf numFmtId="0" fontId="9" fillId="0" borderId="14" xfId="17" applyBorder="1" applyAlignment="1">
      <alignment horizontal="center" vertical="center" wrapText="1"/>
    </xf>
    <xf numFmtId="174" fontId="9" fillId="0" borderId="1" xfId="3" applyNumberFormat="1" applyFont="1" applyBorder="1" applyAlignment="1">
      <alignment horizontal="right" wrapText="1"/>
    </xf>
    <xf numFmtId="49" fontId="22" fillId="0" borderId="1" xfId="17" applyNumberFormat="1" applyFont="1" applyBorder="1" applyAlignment="1">
      <alignment horizontal="right" vertical="center" wrapText="1"/>
    </xf>
    <xf numFmtId="49" fontId="22" fillId="0" borderId="1" xfId="17" applyNumberFormat="1" applyFont="1" applyBorder="1" applyAlignment="1">
      <alignment horizontal="right" vertical="top" wrapText="1"/>
    </xf>
    <xf numFmtId="0" fontId="9" fillId="0" borderId="0" xfId="17" applyAlignment="1">
      <alignment horizontal="right" vertical="center" wrapText="1"/>
    </xf>
    <xf numFmtId="0" fontId="9" fillId="0" borderId="16" xfId="17" applyBorder="1" applyAlignment="1">
      <alignment horizontal="left" vertical="center" wrapText="1"/>
    </xf>
    <xf numFmtId="49" fontId="10" fillId="0" borderId="10" xfId="17" applyNumberFormat="1" applyFont="1" applyBorder="1" applyAlignment="1">
      <alignment horizontal="right" vertical="center"/>
    </xf>
    <xf numFmtId="49" fontId="9" fillId="0" borderId="1" xfId="17" applyNumberFormat="1" applyBorder="1" applyAlignment="1">
      <alignment horizontal="right" vertical="center"/>
    </xf>
    <xf numFmtId="0" fontId="9" fillId="0" borderId="1" xfId="17" applyBorder="1" applyAlignment="1">
      <alignment horizontal="right"/>
    </xf>
    <xf numFmtId="49" fontId="10" fillId="0" borderId="1" xfId="17" applyNumberFormat="1" applyFont="1" applyBorder="1" applyAlignment="1">
      <alignment horizontal="right" vertical="center"/>
    </xf>
    <xf numFmtId="49" fontId="9" fillId="0" borderId="14" xfId="17" applyNumberFormat="1" applyBorder="1" applyAlignment="1">
      <alignment horizontal="right" vertical="center" wrapText="1"/>
    </xf>
    <xf numFmtId="0" fontId="9" fillId="0" borderId="1" xfId="17" applyBorder="1" applyAlignment="1">
      <alignment horizontal="right" vertical="center"/>
    </xf>
    <xf numFmtId="0" fontId="10" fillId="0" borderId="1" xfId="17" applyFont="1" applyBorder="1" applyAlignment="1">
      <alignment horizontal="right"/>
    </xf>
    <xf numFmtId="49" fontId="10" fillId="0" borderId="14" xfId="17" applyNumberFormat="1" applyFont="1" applyBorder="1" applyAlignment="1">
      <alignment horizontal="right" vertical="center" wrapText="1"/>
    </xf>
    <xf numFmtId="0" fontId="10" fillId="0" borderId="0" xfId="17" applyFont="1" applyAlignment="1">
      <alignment horizontal="left"/>
    </xf>
    <xf numFmtId="0" fontId="9" fillId="0" borderId="3" xfId="17" applyBorder="1" applyAlignment="1">
      <alignment horizontal="left"/>
    </xf>
    <xf numFmtId="49" fontId="10" fillId="0" borderId="10" xfId="17" applyNumberFormat="1" applyFont="1" applyBorder="1" applyAlignment="1">
      <alignment horizontal="center" wrapText="1"/>
    </xf>
    <xf numFmtId="49" fontId="9" fillId="0" borderId="1" xfId="17" applyNumberFormat="1" applyBorder="1" applyAlignment="1">
      <alignment horizontal="left" wrapText="1"/>
    </xf>
    <xf numFmtId="49" fontId="9" fillId="0" borderId="1" xfId="17" applyNumberFormat="1" applyBorder="1" applyAlignment="1">
      <alignment horizontal="center" wrapText="1"/>
    </xf>
    <xf numFmtId="49" fontId="9" fillId="0" borderId="0" xfId="17" applyNumberFormat="1" applyAlignment="1">
      <alignment horizontal="left"/>
    </xf>
    <xf numFmtId="49" fontId="10" fillId="0" borderId="1" xfId="17" applyNumberFormat="1" applyFont="1" applyBorder="1" applyAlignment="1">
      <alignment horizontal="right" wrapText="1"/>
    </xf>
    <xf numFmtId="0" fontId="21" fillId="0" borderId="1" xfId="17" applyFont="1" applyBorder="1" applyAlignment="1">
      <alignment horizontal="right"/>
    </xf>
    <xf numFmtId="49" fontId="9" fillId="0" borderId="13" xfId="17" applyNumberFormat="1" applyBorder="1" applyAlignment="1">
      <alignment horizontal="right" vertical="center" wrapText="1"/>
    </xf>
    <xf numFmtId="49" fontId="10" fillId="0" borderId="0" xfId="17" applyNumberFormat="1" applyFont="1" applyAlignment="1">
      <alignment horizontal="left" vertical="center"/>
    </xf>
    <xf numFmtId="0" fontId="10" fillId="0" borderId="11" xfId="17" applyFont="1" applyBorder="1" applyAlignment="1">
      <alignment horizontal="right" vertical="center"/>
    </xf>
    <xf numFmtId="0" fontId="10" fillId="0" borderId="14" xfId="17" applyFont="1" applyBorder="1" applyAlignment="1">
      <alignment horizontal="right"/>
    </xf>
    <xf numFmtId="0" fontId="9" fillId="0" borderId="14" xfId="17" applyBorder="1" applyAlignment="1">
      <alignment horizontal="right"/>
    </xf>
    <xf numFmtId="49" fontId="9" fillId="0" borderId="0" xfId="17" applyNumberFormat="1" applyAlignment="1">
      <alignment horizontal="left" wrapText="1"/>
    </xf>
    <xf numFmtId="0" fontId="10" fillId="0" borderId="7" xfId="17" applyFont="1" applyBorder="1" applyAlignment="1">
      <alignment wrapText="1"/>
    </xf>
    <xf numFmtId="0" fontId="10" fillId="0" borderId="2" xfId="17" applyFont="1" applyBorder="1" applyAlignment="1">
      <alignment wrapText="1"/>
    </xf>
    <xf numFmtId="0" fontId="9" fillId="0" borderId="2" xfId="17" applyBorder="1" applyAlignment="1">
      <alignment wrapText="1"/>
    </xf>
    <xf numFmtId="49" fontId="9" fillId="0" borderId="2" xfId="17" applyNumberFormat="1" applyBorder="1" applyAlignment="1">
      <alignment horizontal="left" vertical="center" wrapText="1"/>
    </xf>
    <xf numFmtId="0" fontId="9" fillId="0" borderId="2" xfId="17" applyBorder="1" applyAlignment="1">
      <alignment vertical="center" wrapText="1"/>
    </xf>
    <xf numFmtId="0" fontId="9" fillId="0" borderId="1" xfId="17" applyBorder="1" applyAlignment="1">
      <alignment horizontal="right" wrapText="1"/>
    </xf>
    <xf numFmtId="0" fontId="24" fillId="0" borderId="1" xfId="17" applyFont="1" applyBorder="1" applyAlignment="1">
      <alignment horizontal="right"/>
    </xf>
    <xf numFmtId="0" fontId="9" fillId="3" borderId="1" xfId="17" applyFill="1" applyBorder="1" applyAlignment="1">
      <alignment horizontal="left" vertical="center" wrapText="1"/>
    </xf>
    <xf numFmtId="0" fontId="9" fillId="3" borderId="1" xfId="17" applyFill="1" applyBorder="1" applyAlignment="1">
      <alignment horizontal="center" wrapText="1"/>
    </xf>
    <xf numFmtId="3" fontId="9" fillId="3" borderId="1" xfId="1" applyNumberFormat="1" applyFont="1" applyFill="1" applyBorder="1" applyAlignment="1">
      <alignment horizontal="center" wrapText="1"/>
    </xf>
    <xf numFmtId="171" fontId="9" fillId="3" borderId="1" xfId="17" applyNumberFormat="1" applyFill="1" applyBorder="1" applyAlignment="1">
      <alignment wrapText="1"/>
    </xf>
    <xf numFmtId="49" fontId="9" fillId="3" borderId="1" xfId="17" applyNumberFormat="1" applyFill="1" applyBorder="1" applyAlignment="1">
      <alignment horizontal="right" vertical="center" wrapText="1"/>
    </xf>
    <xf numFmtId="0" fontId="9" fillId="3" borderId="1" xfId="17" applyFill="1" applyBorder="1" applyAlignment="1">
      <alignment horizontal="center" vertical="center" wrapText="1"/>
    </xf>
    <xf numFmtId="3" fontId="9" fillId="3" borderId="1" xfId="1" applyNumberFormat="1" applyFont="1" applyFill="1" applyBorder="1" applyAlignment="1">
      <alignment horizontal="center" vertical="center" wrapText="1"/>
    </xf>
    <xf numFmtId="43" fontId="9" fillId="3" borderId="1" xfId="1" applyFont="1" applyFill="1" applyBorder="1" applyAlignment="1">
      <alignment horizontal="center" vertical="center" wrapText="1"/>
    </xf>
    <xf numFmtId="43" fontId="9" fillId="3" borderId="1" xfId="1" applyFont="1" applyFill="1" applyBorder="1" applyAlignment="1">
      <alignment vertical="center" wrapText="1"/>
    </xf>
    <xf numFmtId="170" fontId="9" fillId="3" borderId="1" xfId="3" applyNumberFormat="1" applyFont="1" applyFill="1" applyBorder="1" applyAlignment="1">
      <alignment horizontal="right" wrapText="1"/>
    </xf>
    <xf numFmtId="170" fontId="9" fillId="3" borderId="0" xfId="3" applyNumberFormat="1" applyFont="1" applyFill="1" applyBorder="1" applyAlignment="1">
      <alignment horizontal="right" vertical="center" wrapText="1"/>
    </xf>
    <xf numFmtId="0" fontId="9" fillId="3" borderId="1" xfId="17" applyFill="1" applyBorder="1" applyAlignment="1">
      <alignment horizontal="center" vertical="center"/>
    </xf>
    <xf numFmtId="0" fontId="9" fillId="3" borderId="1" xfId="17" applyFill="1" applyBorder="1" applyAlignment="1">
      <alignment vertical="center" wrapText="1"/>
    </xf>
    <xf numFmtId="170" fontId="9" fillId="3" borderId="0" xfId="1" applyNumberFormat="1" applyFont="1" applyFill="1" applyBorder="1" applyAlignment="1">
      <alignment horizontal="right" vertical="center" wrapText="1"/>
    </xf>
    <xf numFmtId="171" fontId="9" fillId="3" borderId="1" xfId="7" applyNumberFormat="1" applyFont="1" applyFill="1" applyBorder="1" applyAlignment="1">
      <alignment vertical="center" wrapText="1"/>
    </xf>
    <xf numFmtId="170" fontId="9" fillId="3" borderId="0" xfId="3" applyNumberFormat="1" applyFont="1" applyFill="1" applyBorder="1" applyAlignment="1">
      <alignment horizontal="right" wrapText="1"/>
    </xf>
    <xf numFmtId="0" fontId="9" fillId="3" borderId="0" xfId="17" applyFill="1" applyAlignment="1">
      <alignment vertical="center"/>
    </xf>
    <xf numFmtId="0" fontId="9" fillId="3" borderId="1" xfId="17" applyFill="1" applyBorder="1" applyAlignment="1">
      <alignment vertical="center"/>
    </xf>
    <xf numFmtId="0" fontId="9" fillId="3" borderId="0" xfId="17" applyFill="1" applyAlignment="1">
      <alignment horizontal="right" vertical="center"/>
    </xf>
    <xf numFmtId="0" fontId="9" fillId="3" borderId="0" xfId="17" applyFill="1"/>
    <xf numFmtId="171" fontId="9" fillId="3" borderId="1" xfId="17" applyNumberFormat="1" applyFill="1" applyBorder="1" applyAlignment="1">
      <alignment vertical="center" wrapText="1"/>
    </xf>
    <xf numFmtId="43" fontId="9" fillId="3" borderId="0" xfId="17" applyNumberFormat="1" applyFill="1" applyAlignment="1">
      <alignment horizontal="right" vertical="center"/>
    </xf>
    <xf numFmtId="2" fontId="9" fillId="0" borderId="1" xfId="7" applyNumberFormat="1" applyFont="1" applyBorder="1" applyAlignment="1">
      <alignment vertical="center" wrapText="1"/>
    </xf>
    <xf numFmtId="0" fontId="9" fillId="3" borderId="0" xfId="17" applyFill="1" applyAlignment="1">
      <alignment horizontal="right"/>
    </xf>
    <xf numFmtId="1" fontId="25" fillId="0" borderId="1" xfId="0" applyNumberFormat="1" applyFont="1" applyBorder="1" applyAlignment="1">
      <alignment horizontal="center" vertical="center" wrapText="1"/>
    </xf>
    <xf numFmtId="43" fontId="9" fillId="0" borderId="1" xfId="1" applyFont="1" applyFill="1" applyBorder="1" applyAlignment="1">
      <alignment horizontal="center" vertical="center" wrapText="1"/>
    </xf>
    <xf numFmtId="0" fontId="25" fillId="0" borderId="1" xfId="0" applyFont="1" applyBorder="1" applyAlignment="1">
      <alignment horizontal="left" vertical="center" wrapText="1"/>
    </xf>
    <xf numFmtId="1" fontId="25" fillId="0" borderId="1" xfId="14" applyNumberFormat="1" applyFont="1" applyBorder="1" applyAlignment="1">
      <alignment horizontal="center" vertical="center" wrapText="1"/>
    </xf>
    <xf numFmtId="4" fontId="25" fillId="0" borderId="1" xfId="0" applyNumberFormat="1" applyFont="1" applyBorder="1" applyAlignment="1">
      <alignment vertical="center" wrapText="1"/>
    </xf>
    <xf numFmtId="2" fontId="9" fillId="0" borderId="0" xfId="17" applyNumberFormat="1" applyAlignment="1">
      <alignment vertical="center"/>
    </xf>
    <xf numFmtId="2" fontId="9" fillId="0" borderId="3" xfId="17" applyNumberFormat="1" applyBorder="1" applyAlignment="1">
      <alignment vertical="center"/>
    </xf>
    <xf numFmtId="2" fontId="10" fillId="0" borderId="10" xfId="17" applyNumberFormat="1" applyFont="1" applyBorder="1" applyAlignment="1">
      <alignment horizontal="center" vertical="center" wrapText="1"/>
    </xf>
    <xf numFmtId="2" fontId="9" fillId="0" borderId="1" xfId="17" applyNumberFormat="1" applyBorder="1" applyAlignment="1">
      <alignment wrapText="1"/>
    </xf>
    <xf numFmtId="2" fontId="9" fillId="0" borderId="1" xfId="17" applyNumberFormat="1" applyBorder="1" applyAlignment="1">
      <alignment vertical="center" wrapText="1"/>
    </xf>
    <xf numFmtId="2" fontId="9" fillId="0" borderId="1" xfId="1" applyNumberFormat="1" applyFont="1" applyBorder="1" applyAlignment="1">
      <alignment horizontal="center" vertical="center" wrapText="1"/>
    </xf>
    <xf numFmtId="2" fontId="9" fillId="0" borderId="1" xfId="17" applyNumberFormat="1" applyBorder="1" applyAlignment="1">
      <alignment vertical="center"/>
    </xf>
    <xf numFmtId="2" fontId="9" fillId="0" borderId="1" xfId="1" applyNumberFormat="1" applyFont="1" applyBorder="1" applyAlignment="1">
      <alignment vertical="center" wrapText="1"/>
    </xf>
    <xf numFmtId="2" fontId="25" fillId="0" borderId="1" xfId="0" applyNumberFormat="1" applyFont="1" applyBorder="1" applyAlignment="1">
      <alignment vertical="center" wrapText="1"/>
    </xf>
    <xf numFmtId="2" fontId="9" fillId="0" borderId="1" xfId="1" applyNumberFormat="1" applyFont="1" applyFill="1" applyBorder="1" applyAlignment="1">
      <alignment vertical="center" wrapText="1"/>
    </xf>
    <xf numFmtId="2" fontId="10" fillId="0" borderId="12" xfId="17" applyNumberFormat="1" applyFont="1" applyBorder="1" applyAlignment="1">
      <alignment vertical="center"/>
    </xf>
    <xf numFmtId="0" fontId="25" fillId="0" borderId="1" xfId="0" applyFont="1" applyBorder="1" applyAlignment="1">
      <alignment horizontal="center" vertical="center" wrapText="1"/>
    </xf>
    <xf numFmtId="1" fontId="25" fillId="0" borderId="1" xfId="0" applyNumberFormat="1" applyFont="1" applyBorder="1" applyAlignment="1">
      <alignment horizontal="right" vertical="center" wrapText="1"/>
    </xf>
    <xf numFmtId="0" fontId="9" fillId="0" borderId="1" xfId="12" applyBorder="1" applyAlignment="1">
      <alignment vertical="center" wrapText="1"/>
    </xf>
    <xf numFmtId="0" fontId="9" fillId="0" borderId="1" xfId="12" applyBorder="1" applyAlignment="1">
      <alignment horizontal="center" vertical="center"/>
    </xf>
    <xf numFmtId="1" fontId="9" fillId="0" borderId="1" xfId="12" applyNumberFormat="1" applyBorder="1" applyAlignment="1">
      <alignment horizontal="center" vertical="center"/>
    </xf>
    <xf numFmtId="0" fontId="26" fillId="0" borderId="1" xfId="17" applyFont="1" applyBorder="1" applyAlignment="1">
      <alignment horizontal="left" vertical="center" wrapText="1"/>
    </xf>
    <xf numFmtId="0" fontId="26" fillId="0" borderId="0" xfId="17" applyFont="1" applyAlignment="1">
      <alignment horizontal="left" vertical="center"/>
    </xf>
    <xf numFmtId="0" fontId="26" fillId="0" borderId="0" xfId="17" applyFont="1" applyAlignment="1">
      <alignment horizontal="left" vertical="center" wrapText="1"/>
    </xf>
    <xf numFmtId="0" fontId="26" fillId="0" borderId="0" xfId="17" applyFont="1" applyAlignment="1">
      <alignment horizontal="right" vertical="center"/>
    </xf>
    <xf numFmtId="0" fontId="26" fillId="0" borderId="0" xfId="17" applyFont="1" applyAlignment="1">
      <alignment vertical="center"/>
    </xf>
    <xf numFmtId="49" fontId="27" fillId="0" borderId="0" xfId="17" applyNumberFormat="1" applyFont="1" applyAlignment="1">
      <alignment horizontal="left" vertical="center" wrapText="1"/>
    </xf>
    <xf numFmtId="0" fontId="27" fillId="0" borderId="10" xfId="17" applyFont="1" applyBorder="1" applyAlignment="1">
      <alignment horizontal="center" vertical="center" wrapText="1"/>
    </xf>
    <xf numFmtId="0" fontId="27" fillId="0" borderId="0" xfId="17" applyFont="1" applyAlignment="1">
      <alignment horizontal="center" vertical="center" wrapText="1"/>
    </xf>
    <xf numFmtId="0" fontId="27" fillId="0" borderId="0" xfId="17" applyFont="1" applyAlignment="1">
      <alignment horizontal="center" vertical="center"/>
    </xf>
    <xf numFmtId="170" fontId="26" fillId="0" borderId="1" xfId="3" applyNumberFormat="1" applyFont="1" applyFill="1" applyBorder="1" applyAlignment="1">
      <alignment horizontal="right" vertical="center" wrapText="1"/>
    </xf>
    <xf numFmtId="0" fontId="27" fillId="0" borderId="1" xfId="17" applyFont="1" applyBorder="1" applyAlignment="1">
      <alignment horizontal="left" vertical="center" wrapText="1"/>
    </xf>
    <xf numFmtId="0" fontId="26" fillId="0" borderId="1" xfId="17" applyFont="1" applyBorder="1" applyAlignment="1">
      <alignment horizontal="center" vertical="center" wrapText="1"/>
    </xf>
    <xf numFmtId="170" fontId="26" fillId="0" borderId="0" xfId="3" applyNumberFormat="1" applyFont="1" applyFill="1" applyBorder="1" applyAlignment="1">
      <alignment horizontal="right" vertical="center" wrapText="1"/>
    </xf>
    <xf numFmtId="3" fontId="26" fillId="0" borderId="1" xfId="1" applyNumberFormat="1" applyFont="1" applyFill="1" applyBorder="1" applyAlignment="1">
      <alignment horizontal="center" vertical="center" wrapText="1"/>
    </xf>
    <xf numFmtId="43" fontId="26" fillId="0" borderId="1" xfId="1" applyFont="1" applyFill="1" applyBorder="1" applyAlignment="1">
      <alignment horizontal="center" vertical="center" wrapText="1"/>
    </xf>
    <xf numFmtId="170" fontId="26" fillId="0" borderId="0" xfId="1" applyNumberFormat="1" applyFont="1" applyFill="1" applyBorder="1" applyAlignment="1">
      <alignment horizontal="right" vertical="center" wrapText="1"/>
    </xf>
    <xf numFmtId="0" fontId="26" fillId="0" borderId="16" xfId="17" applyFont="1" applyBorder="1" applyAlignment="1">
      <alignment horizontal="left" vertical="center" wrapText="1"/>
    </xf>
    <xf numFmtId="0" fontId="26" fillId="0" borderId="1" xfId="17" applyFont="1" applyBorder="1" applyAlignment="1">
      <alignment horizontal="center" vertical="center"/>
    </xf>
    <xf numFmtId="170" fontId="26" fillId="0" borderId="0" xfId="3" applyNumberFormat="1" applyFont="1" applyFill="1" applyBorder="1" applyAlignment="1">
      <alignment vertical="center" wrapText="1"/>
    </xf>
    <xf numFmtId="0" fontId="27" fillId="0" borderId="12" xfId="17" applyFont="1" applyBorder="1" applyAlignment="1">
      <alignment vertical="center"/>
    </xf>
    <xf numFmtId="49" fontId="27" fillId="0" borderId="12" xfId="17" applyNumberFormat="1" applyFont="1" applyBorder="1" applyAlignment="1">
      <alignment vertical="center"/>
    </xf>
    <xf numFmtId="49" fontId="27" fillId="0" borderId="12" xfId="17" applyNumberFormat="1" applyFont="1" applyBorder="1" applyAlignment="1">
      <alignment horizontal="center" vertical="center"/>
    </xf>
    <xf numFmtId="170" fontId="27" fillId="0" borderId="10" xfId="1" applyNumberFormat="1" applyFont="1" applyFill="1" applyBorder="1" applyAlignment="1">
      <alignment horizontal="right" vertical="center" wrapText="1"/>
    </xf>
    <xf numFmtId="170" fontId="27" fillId="0" borderId="0" xfId="1" applyNumberFormat="1" applyFont="1" applyFill="1" applyBorder="1" applyAlignment="1">
      <alignment horizontal="right" vertical="center" wrapText="1"/>
    </xf>
    <xf numFmtId="0" fontId="27" fillId="0" borderId="0" xfId="17" applyFont="1" applyAlignment="1">
      <alignment vertical="center"/>
    </xf>
    <xf numFmtId="0" fontId="26" fillId="0" borderId="0" xfId="17" applyFont="1" applyAlignment="1">
      <alignment horizontal="center" vertical="center"/>
    </xf>
    <xf numFmtId="0" fontId="26" fillId="0" borderId="3" xfId="17" applyFont="1" applyBorder="1" applyAlignment="1">
      <alignment horizontal="left" vertical="center"/>
    </xf>
    <xf numFmtId="0" fontId="26" fillId="0" borderId="3" xfId="17" applyFont="1" applyBorder="1" applyAlignment="1">
      <alignment horizontal="right" vertical="center"/>
    </xf>
    <xf numFmtId="49" fontId="27" fillId="0" borderId="10" xfId="17" applyNumberFormat="1" applyFont="1" applyBorder="1" applyAlignment="1">
      <alignment horizontal="center" vertical="center" wrapText="1"/>
    </xf>
    <xf numFmtId="2" fontId="26" fillId="0" borderId="0" xfId="17" applyNumberFormat="1" applyFont="1" applyAlignment="1">
      <alignment horizontal="center" vertical="center"/>
    </xf>
    <xf numFmtId="2" fontId="27" fillId="0" borderId="10" xfId="17" applyNumberFormat="1" applyFont="1" applyBorder="1" applyAlignment="1">
      <alignment horizontal="center" vertical="center" wrapText="1"/>
    </xf>
    <xf numFmtId="2" fontId="26" fillId="0" borderId="1" xfId="1" applyNumberFormat="1" applyFont="1" applyFill="1" applyBorder="1" applyAlignment="1">
      <alignment horizontal="center" vertical="center" wrapText="1"/>
    </xf>
    <xf numFmtId="49" fontId="26" fillId="0" borderId="1" xfId="17" applyNumberFormat="1" applyFont="1" applyBorder="1" applyAlignment="1">
      <alignment horizontal="center" vertical="center" wrapText="1"/>
    </xf>
    <xf numFmtId="2" fontId="27" fillId="0" borderId="12" xfId="17" applyNumberFormat="1" applyFont="1" applyBorder="1" applyAlignment="1">
      <alignment horizontal="center" vertical="center"/>
    </xf>
    <xf numFmtId="49" fontId="26" fillId="0" borderId="0" xfId="17" applyNumberFormat="1" applyFont="1" applyAlignment="1">
      <alignment horizontal="center" vertical="center"/>
    </xf>
    <xf numFmtId="43" fontId="26" fillId="0" borderId="0" xfId="17" applyNumberFormat="1" applyFont="1" applyAlignment="1">
      <alignment horizontal="right" vertical="center"/>
    </xf>
    <xf numFmtId="0" fontId="26" fillId="0" borderId="3" xfId="17" applyFont="1" applyBorder="1" applyAlignment="1">
      <alignment horizontal="left" vertical="center" wrapText="1"/>
    </xf>
    <xf numFmtId="0" fontId="26" fillId="0" borderId="0" xfId="17" applyFont="1" applyAlignment="1">
      <alignment horizontal="center" vertical="center" wrapText="1"/>
    </xf>
    <xf numFmtId="0" fontId="26" fillId="0" borderId="0" xfId="17" applyFont="1" applyAlignment="1">
      <alignment horizontal="right" vertical="center" wrapText="1"/>
    </xf>
    <xf numFmtId="0" fontId="26" fillId="0" borderId="0" xfId="17" applyFont="1" applyAlignment="1">
      <alignment vertical="center" wrapText="1"/>
    </xf>
    <xf numFmtId="0" fontId="26" fillId="0" borderId="3" xfId="17" applyFont="1" applyBorder="1" applyAlignment="1">
      <alignment horizontal="center" vertical="center" wrapText="1"/>
    </xf>
    <xf numFmtId="0" fontId="26" fillId="0" borderId="3" xfId="17" applyFont="1" applyBorder="1" applyAlignment="1">
      <alignment horizontal="right" vertical="center" wrapText="1"/>
    </xf>
    <xf numFmtId="0" fontId="27" fillId="0" borderId="0" xfId="17" applyFont="1" applyAlignment="1">
      <alignment horizontal="right" vertical="center" wrapText="1"/>
    </xf>
    <xf numFmtId="49" fontId="27" fillId="0" borderId="1" xfId="17" applyNumberFormat="1" applyFont="1" applyBorder="1" applyAlignment="1">
      <alignment horizontal="center" vertical="center" wrapText="1"/>
    </xf>
    <xf numFmtId="0" fontId="27" fillId="0" borderId="1" xfId="17" applyFont="1" applyBorder="1" applyAlignment="1">
      <alignment horizontal="center" vertical="center" wrapText="1"/>
    </xf>
    <xf numFmtId="2" fontId="26" fillId="0" borderId="1" xfId="17" applyNumberFormat="1" applyFont="1" applyBorder="1" applyAlignment="1">
      <alignment horizontal="center" vertical="center" wrapText="1"/>
    </xf>
    <xf numFmtId="2" fontId="26" fillId="0" borderId="1" xfId="7" applyNumberFormat="1" applyFont="1" applyFill="1" applyBorder="1" applyAlignment="1">
      <alignment horizontal="center" vertical="center" wrapText="1"/>
    </xf>
    <xf numFmtId="2" fontId="26" fillId="0" borderId="1" xfId="17" applyNumberFormat="1" applyFont="1" applyBorder="1" applyAlignment="1">
      <alignment horizontal="center" vertical="center"/>
    </xf>
    <xf numFmtId="171" fontId="26" fillId="0" borderId="1" xfId="17"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171" fontId="26" fillId="0" borderId="1" xfId="7" applyNumberFormat="1" applyFont="1" applyFill="1" applyBorder="1" applyAlignment="1">
      <alignment horizontal="center" vertical="center" wrapText="1"/>
    </xf>
    <xf numFmtId="2" fontId="26" fillId="0" borderId="0" xfId="17" applyNumberFormat="1" applyFont="1" applyAlignment="1">
      <alignment horizontal="center" vertical="center" wrapText="1"/>
    </xf>
    <xf numFmtId="49" fontId="27" fillId="0" borderId="10" xfId="17" applyNumberFormat="1" applyFont="1" applyBorder="1" applyAlignment="1">
      <alignment horizontal="center" vertical="center"/>
    </xf>
    <xf numFmtId="49" fontId="27" fillId="0" borderId="11" xfId="17" applyNumberFormat="1" applyFont="1" applyBorder="1" applyAlignment="1">
      <alignment horizontal="center" vertical="center"/>
    </xf>
    <xf numFmtId="49" fontId="26" fillId="0" borderId="0" xfId="17" applyNumberFormat="1" applyFont="1" applyAlignment="1">
      <alignment horizontal="center" vertical="center" wrapText="1"/>
    </xf>
    <xf numFmtId="1" fontId="26" fillId="0" borderId="0" xfId="1" applyNumberFormat="1" applyFont="1" applyFill="1" applyAlignment="1">
      <alignment horizontal="center" vertical="center"/>
    </xf>
    <xf numFmtId="1" fontId="26" fillId="0" borderId="0" xfId="1" applyNumberFormat="1" applyFont="1" applyFill="1" applyAlignment="1">
      <alignment horizontal="center" vertical="center" wrapText="1"/>
    </xf>
    <xf numFmtId="0" fontId="27" fillId="0" borderId="0" xfId="17" applyFont="1" applyAlignment="1">
      <alignment horizontal="left" vertical="center"/>
    </xf>
    <xf numFmtId="0" fontId="26" fillId="0" borderId="3" xfId="17" applyFont="1" applyBorder="1" applyAlignment="1">
      <alignment horizontal="center" vertical="center"/>
    </xf>
    <xf numFmtId="0" fontId="27" fillId="0" borderId="0" xfId="17" applyFont="1" applyAlignment="1">
      <alignment horizontal="right" vertical="center"/>
    </xf>
    <xf numFmtId="166" fontId="9" fillId="0" borderId="0" xfId="17" applyNumberFormat="1" applyAlignment="1">
      <alignment vertical="center" wrapText="1"/>
    </xf>
    <xf numFmtId="170" fontId="10" fillId="0" borderId="0" xfId="1" applyNumberFormat="1" applyFont="1" applyFill="1" applyBorder="1" applyAlignment="1">
      <alignment horizontal="right" vertical="center" wrapText="1"/>
    </xf>
    <xf numFmtId="168" fontId="0" fillId="0" borderId="0" xfId="3" applyNumberFormat="1" applyFont="1" applyFill="1" applyAlignment="1">
      <alignment vertical="center" wrapText="1"/>
    </xf>
    <xf numFmtId="170" fontId="9" fillId="0" borderId="1" xfId="3" applyNumberFormat="1" applyFont="1" applyFill="1" applyBorder="1" applyAlignment="1">
      <alignment horizontal="right" wrapText="1"/>
    </xf>
    <xf numFmtId="170" fontId="9" fillId="0" borderId="0" xfId="3" applyNumberFormat="1" applyFont="1" applyFill="1" applyBorder="1" applyAlignment="1">
      <alignment horizontal="right" wrapText="1"/>
    </xf>
    <xf numFmtId="3" fontId="9" fillId="0" borderId="1" xfId="1" applyNumberFormat="1" applyFont="1" applyFill="1" applyBorder="1" applyAlignment="1">
      <alignment horizontal="center" vertical="center" wrapText="1"/>
    </xf>
    <xf numFmtId="3" fontId="9" fillId="0" borderId="1" xfId="29" applyNumberFormat="1" applyFont="1" applyFill="1" applyBorder="1" applyAlignment="1">
      <alignment horizontal="center" vertical="center" wrapText="1"/>
    </xf>
    <xf numFmtId="0" fontId="26" fillId="0" borderId="1" xfId="17" applyFont="1" applyBorder="1" applyAlignment="1">
      <alignment horizontal="left" vertical="center"/>
    </xf>
    <xf numFmtId="0" fontId="26" fillId="0" borderId="1" xfId="17" applyFont="1" applyBorder="1" applyAlignment="1">
      <alignment horizontal="right" vertical="center" wrapText="1"/>
    </xf>
    <xf numFmtId="49" fontId="27" fillId="0" borderId="1" xfId="17" applyNumberFormat="1" applyFont="1" applyBorder="1" applyAlignment="1">
      <alignment horizontal="center" vertical="center"/>
    </xf>
    <xf numFmtId="174" fontId="10" fillId="0" borderId="0" xfId="17" applyNumberFormat="1" applyFont="1" applyAlignment="1">
      <alignment vertical="center"/>
    </xf>
    <xf numFmtId="4" fontId="26" fillId="0" borderId="1" xfId="1" applyNumberFormat="1" applyFont="1" applyFill="1" applyBorder="1" applyAlignment="1">
      <alignment horizontal="center" vertical="center" wrapText="1"/>
    </xf>
    <xf numFmtId="170" fontId="9" fillId="0" borderId="1" xfId="3" applyNumberFormat="1" applyFont="1" applyFill="1" applyBorder="1" applyAlignment="1">
      <alignment horizontal="right" vertical="center" wrapText="1"/>
    </xf>
    <xf numFmtId="170" fontId="9" fillId="0" borderId="0" xfId="1" applyNumberFormat="1" applyFont="1" applyFill="1" applyBorder="1" applyAlignment="1">
      <alignment horizontal="right" wrapText="1"/>
    </xf>
    <xf numFmtId="3" fontId="9" fillId="0" borderId="1" xfId="1" applyNumberFormat="1" applyFont="1" applyFill="1" applyBorder="1" applyAlignment="1">
      <alignment horizontal="center" wrapText="1"/>
    </xf>
    <xf numFmtId="0" fontId="9" fillId="0" borderId="1" xfId="7" applyNumberFormat="1" applyFont="1" applyFill="1" applyBorder="1" applyAlignment="1">
      <alignment horizontal="center" vertical="center" wrapText="1"/>
    </xf>
    <xf numFmtId="170" fontId="9" fillId="0" borderId="0" xfId="3" applyNumberFormat="1" applyFont="1" applyFill="1" applyBorder="1" applyAlignment="1">
      <alignment wrapText="1"/>
    </xf>
    <xf numFmtId="0" fontId="9" fillId="0" borderId="16" xfId="17" applyBorder="1" applyAlignment="1">
      <alignment horizontal="left" vertical="center"/>
    </xf>
    <xf numFmtId="0" fontId="9" fillId="0" borderId="1" xfId="29" applyNumberFormat="1" applyFont="1" applyFill="1" applyBorder="1" applyAlignment="1">
      <alignment horizontal="center" vertical="center" wrapText="1"/>
    </xf>
    <xf numFmtId="170" fontId="10" fillId="0" borderId="10" xfId="17" applyNumberFormat="1" applyFont="1" applyBorder="1" applyAlignment="1">
      <alignment vertical="center"/>
    </xf>
    <xf numFmtId="3" fontId="9" fillId="0" borderId="1" xfId="29" applyNumberFormat="1" applyFont="1" applyFill="1" applyBorder="1" applyAlignment="1">
      <alignment horizontal="right" vertical="center" wrapText="1"/>
    </xf>
    <xf numFmtId="167" fontId="9" fillId="0" borderId="1" xfId="29" applyFont="1" applyFill="1" applyBorder="1" applyAlignment="1">
      <alignment horizontal="right" vertical="center" wrapText="1"/>
    </xf>
    <xf numFmtId="171" fontId="9" fillId="0" borderId="1" xfId="17" applyNumberFormat="1" applyBorder="1" applyAlignment="1">
      <alignment horizontal="right" vertical="center" wrapText="1"/>
    </xf>
    <xf numFmtId="170" fontId="26" fillId="4" borderId="1" xfId="3" applyNumberFormat="1" applyFont="1" applyFill="1" applyBorder="1" applyAlignment="1">
      <alignment horizontal="right" vertical="center" wrapText="1"/>
    </xf>
    <xf numFmtId="174" fontId="9" fillId="0" borderId="0" xfId="17" applyNumberFormat="1" applyAlignment="1">
      <alignment vertical="center" wrapText="1"/>
    </xf>
    <xf numFmtId="174" fontId="26" fillId="0" borderId="0" xfId="17" applyNumberFormat="1" applyFont="1" applyAlignment="1">
      <alignment vertical="center"/>
    </xf>
    <xf numFmtId="174" fontId="27" fillId="0" borderId="0" xfId="17" applyNumberFormat="1" applyFont="1" applyAlignment="1">
      <alignment horizontal="center" vertical="center"/>
    </xf>
    <xf numFmtId="174" fontId="27" fillId="0" borderId="0" xfId="17" applyNumberFormat="1" applyFont="1" applyAlignment="1">
      <alignment vertical="center"/>
    </xf>
    <xf numFmtId="170" fontId="26" fillId="0" borderId="0" xfId="17" applyNumberFormat="1" applyFont="1" applyAlignment="1">
      <alignment vertical="center" wrapText="1"/>
    </xf>
    <xf numFmtId="174" fontId="26" fillId="0" borderId="0" xfId="17" applyNumberFormat="1" applyFont="1" applyAlignment="1">
      <alignment vertical="center" wrapText="1"/>
    </xf>
    <xf numFmtId="170" fontId="27" fillId="0" borderId="0" xfId="17" applyNumberFormat="1" applyFont="1" applyAlignment="1">
      <alignment vertical="center"/>
    </xf>
    <xf numFmtId="170" fontId="26" fillId="0" borderId="0" xfId="17" applyNumberFormat="1" applyFont="1" applyAlignment="1">
      <alignment vertical="center"/>
    </xf>
    <xf numFmtId="0" fontId="9" fillId="2" borderId="1" xfId="7" applyNumberFormat="1" applyFont="1" applyFill="1" applyBorder="1" applyAlignment="1">
      <alignment horizontal="center" vertical="center" wrapText="1"/>
    </xf>
    <xf numFmtId="43" fontId="26" fillId="0" borderId="0" xfId="1" applyFont="1" applyFill="1" applyAlignment="1">
      <alignment horizontal="center" vertical="center"/>
    </xf>
    <xf numFmtId="43" fontId="27" fillId="0" borderId="10" xfId="1" applyFont="1" applyFill="1" applyBorder="1" applyAlignment="1">
      <alignment horizontal="center" vertical="center" wrapText="1"/>
    </xf>
    <xf numFmtId="43" fontId="28" fillId="0" borderId="1" xfId="1" applyFont="1" applyFill="1" applyBorder="1" applyAlignment="1">
      <alignment horizontal="center" vertical="center" wrapText="1"/>
    </xf>
    <xf numFmtId="43" fontId="26" fillId="0" borderId="1" xfId="1" applyFont="1" applyFill="1" applyBorder="1" applyAlignment="1">
      <alignment horizontal="center" vertical="center"/>
    </xf>
    <xf numFmtId="43" fontId="27" fillId="0" borderId="12" xfId="1" applyFont="1" applyFill="1" applyBorder="1" applyAlignment="1">
      <alignment horizontal="center" vertical="center"/>
    </xf>
    <xf numFmtId="3" fontId="26" fillId="0" borderId="0" xfId="17" applyNumberFormat="1" applyFont="1" applyAlignment="1">
      <alignment horizontal="center" vertical="center"/>
    </xf>
    <xf numFmtId="174" fontId="9" fillId="0" borderId="0" xfId="17" applyNumberFormat="1" applyAlignment="1">
      <alignment horizontal="left" vertical="center" wrapText="1" indent="1"/>
    </xf>
    <xf numFmtId="0" fontId="9" fillId="0" borderId="2" xfId="17" applyBorder="1" applyAlignment="1">
      <alignment horizontal="left" vertical="center" wrapText="1"/>
    </xf>
    <xf numFmtId="0" fontId="10" fillId="0" borderId="12" xfId="17" applyFont="1" applyBorder="1" applyAlignment="1">
      <alignment horizontal="left" vertical="center"/>
    </xf>
    <xf numFmtId="170" fontId="9" fillId="0" borderId="0" xfId="3" applyNumberFormat="1" applyFont="1" applyFill="1" applyBorder="1" applyAlignment="1">
      <alignment horizontal="right" vertical="center" wrapText="1"/>
    </xf>
    <xf numFmtId="170" fontId="9" fillId="0" borderId="0" xfId="1" applyNumberFormat="1" applyFont="1" applyFill="1" applyBorder="1" applyAlignment="1">
      <alignment horizontal="right" vertical="center" wrapText="1"/>
    </xf>
    <xf numFmtId="170" fontId="9" fillId="0" borderId="0" xfId="3" applyNumberFormat="1" applyFont="1" applyFill="1" applyBorder="1" applyAlignment="1">
      <alignment vertical="center" wrapText="1"/>
    </xf>
    <xf numFmtId="0" fontId="10" fillId="0" borderId="10" xfId="17" applyFont="1" applyBorder="1" applyAlignment="1">
      <alignment horizontal="left" vertical="center" wrapText="1"/>
    </xf>
    <xf numFmtId="0" fontId="9" fillId="0" borderId="0" xfId="0" applyFont="1" applyAlignment="1">
      <alignment horizontal="left" vertical="center"/>
    </xf>
    <xf numFmtId="49" fontId="10" fillId="0" borderId="10" xfId="17" applyNumberFormat="1" applyFont="1" applyBorder="1" applyAlignment="1">
      <alignment horizontal="left" vertical="center" wrapText="1"/>
    </xf>
    <xf numFmtId="170" fontId="9" fillId="0" borderId="1" xfId="3" applyNumberFormat="1" applyFont="1" applyFill="1" applyBorder="1" applyAlignment="1">
      <alignment horizontal="left" vertical="center" wrapText="1"/>
    </xf>
    <xf numFmtId="170" fontId="9" fillId="0" borderId="0" xfId="3" applyNumberFormat="1" applyFont="1" applyFill="1" applyBorder="1" applyAlignment="1">
      <alignment horizontal="left" vertical="center" wrapText="1"/>
    </xf>
    <xf numFmtId="170" fontId="9" fillId="0" borderId="0" xfId="1" applyNumberFormat="1" applyFont="1" applyFill="1" applyBorder="1" applyAlignment="1">
      <alignment horizontal="left" vertical="center" wrapText="1"/>
    </xf>
    <xf numFmtId="43" fontId="9" fillId="0" borderId="1" xfId="1" applyFont="1" applyFill="1" applyBorder="1" applyAlignment="1">
      <alignment horizontal="left" vertical="center" wrapText="1"/>
    </xf>
    <xf numFmtId="49" fontId="10" fillId="0" borderId="12" xfId="17" applyNumberFormat="1" applyFont="1" applyBorder="1" applyAlignment="1">
      <alignment horizontal="left" vertical="center"/>
    </xf>
    <xf numFmtId="170" fontId="10" fillId="0" borderId="10" xfId="1" applyNumberFormat="1" applyFont="1" applyFill="1" applyBorder="1" applyAlignment="1">
      <alignment horizontal="left" vertical="center" wrapText="1"/>
    </xf>
    <xf numFmtId="170" fontId="10" fillId="0" borderId="0" xfId="1" applyNumberFormat="1" applyFont="1" applyFill="1" applyBorder="1" applyAlignment="1">
      <alignment horizontal="left" vertical="center" wrapText="1"/>
    </xf>
    <xf numFmtId="49" fontId="10" fillId="0" borderId="11" xfId="17" applyNumberFormat="1" applyFont="1" applyBorder="1" applyAlignment="1">
      <alignment horizontal="left" vertical="center"/>
    </xf>
    <xf numFmtId="168" fontId="9" fillId="0" borderId="0" xfId="3" applyNumberFormat="1" applyFont="1" applyFill="1" applyAlignment="1">
      <alignment horizontal="left" vertical="center" wrapText="1"/>
    </xf>
    <xf numFmtId="2" fontId="9" fillId="0" borderId="1" xfId="1" applyNumberFormat="1" applyFont="1" applyFill="1" applyBorder="1" applyAlignment="1">
      <alignment horizontal="left" vertical="center" wrapText="1"/>
    </xf>
    <xf numFmtId="1" fontId="9" fillId="0" borderId="0" xfId="1" applyNumberFormat="1" applyFont="1" applyFill="1" applyAlignment="1">
      <alignment horizontal="left" vertical="center"/>
    </xf>
    <xf numFmtId="49" fontId="9" fillId="0" borderId="1" xfId="17" applyNumberFormat="1" applyBorder="1" applyAlignment="1">
      <alignment vertical="center" wrapText="1"/>
    </xf>
    <xf numFmtId="49" fontId="10" fillId="0" borderId="1" xfId="17" applyNumberFormat="1" applyFont="1" applyBorder="1" applyAlignment="1">
      <alignment vertical="center" wrapText="1"/>
    </xf>
    <xf numFmtId="3" fontId="9" fillId="0" borderId="1" xfId="29" applyNumberFormat="1" applyFont="1" applyFill="1" applyBorder="1" applyAlignment="1">
      <alignment horizontal="left" vertical="center" wrapText="1"/>
    </xf>
    <xf numFmtId="43" fontId="9" fillId="0" borderId="0" xfId="1" applyFont="1" applyFill="1" applyAlignment="1">
      <alignment horizontal="left" vertical="center"/>
    </xf>
    <xf numFmtId="43" fontId="10" fillId="0" borderId="0" xfId="1" applyFont="1" applyFill="1" applyAlignment="1">
      <alignment horizontal="left" vertical="center"/>
    </xf>
    <xf numFmtId="170" fontId="9" fillId="0" borderId="0" xfId="3" applyNumberFormat="1" applyFont="1" applyFill="1" applyBorder="1" applyAlignment="1">
      <alignment horizontal="left" wrapText="1"/>
    </xf>
    <xf numFmtId="0" fontId="9" fillId="0" borderId="0" xfId="17" applyAlignment="1">
      <alignment horizontal="left"/>
    </xf>
    <xf numFmtId="170" fontId="26" fillId="0" borderId="0" xfId="3" applyNumberFormat="1" applyFont="1" applyFill="1" applyBorder="1" applyAlignment="1">
      <alignment horizontal="left" vertical="center" wrapText="1"/>
    </xf>
    <xf numFmtId="170" fontId="26" fillId="0" borderId="0" xfId="1" applyNumberFormat="1" applyFont="1" applyFill="1" applyBorder="1" applyAlignment="1">
      <alignment horizontal="left" vertical="center" wrapText="1"/>
    </xf>
    <xf numFmtId="170" fontId="27" fillId="0" borderId="0" xfId="1" applyNumberFormat="1" applyFont="1" applyFill="1" applyBorder="1" applyAlignment="1">
      <alignment horizontal="left" vertical="center" wrapText="1"/>
    </xf>
    <xf numFmtId="0" fontId="9" fillId="0" borderId="16" xfId="17" applyBorder="1" applyAlignment="1">
      <alignment vertical="center" wrapText="1"/>
    </xf>
    <xf numFmtId="174" fontId="9" fillId="0" borderId="0" xfId="7" applyNumberFormat="1" applyFont="1" applyFill="1" applyAlignment="1">
      <alignment vertical="center" wrapText="1"/>
    </xf>
    <xf numFmtId="174" fontId="9" fillId="0" borderId="0" xfId="17" applyNumberFormat="1" applyAlignment="1">
      <alignment vertical="center"/>
    </xf>
    <xf numFmtId="49" fontId="9" fillId="7" borderId="0" xfId="0" applyNumberFormat="1" applyFont="1" applyFill="1" applyAlignment="1">
      <alignment horizontal="left" vertical="top"/>
    </xf>
    <xf numFmtId="49" fontId="30" fillId="8" borderId="0" xfId="0" applyNumberFormat="1" applyFont="1" applyFill="1" applyAlignment="1">
      <alignment horizontal="left" vertical="center"/>
    </xf>
    <xf numFmtId="0" fontId="9" fillId="0" borderId="1" xfId="17" applyBorder="1" applyAlignment="1">
      <alignment horizontal="left"/>
    </xf>
    <xf numFmtId="49" fontId="9" fillId="4" borderId="1" xfId="17" applyNumberFormat="1" applyFill="1" applyBorder="1" applyAlignment="1">
      <alignment horizontal="left" vertical="center" wrapText="1"/>
    </xf>
    <xf numFmtId="0" fontId="9" fillId="4" borderId="1" xfId="17" applyFill="1" applyBorder="1" applyAlignment="1">
      <alignment horizontal="left" vertical="center" wrapText="1"/>
    </xf>
    <xf numFmtId="170" fontId="9" fillId="4" borderId="1" xfId="3" applyNumberFormat="1" applyFont="1" applyFill="1" applyBorder="1" applyAlignment="1">
      <alignment horizontal="left" vertical="center" wrapText="1"/>
    </xf>
    <xf numFmtId="2" fontId="9" fillId="4" borderId="1" xfId="1" applyNumberFormat="1" applyFont="1" applyFill="1" applyBorder="1" applyAlignment="1">
      <alignment horizontal="left" vertical="center" wrapText="1"/>
    </xf>
    <xf numFmtId="3" fontId="22" fillId="0" borderId="1" xfId="1" applyNumberFormat="1" applyFont="1" applyFill="1" applyBorder="1" applyAlignment="1">
      <alignment horizontal="center" vertical="center" wrapText="1"/>
    </xf>
    <xf numFmtId="3" fontId="22" fillId="0" borderId="1" xfId="1" applyNumberFormat="1" applyFont="1" applyFill="1" applyBorder="1" applyAlignment="1">
      <alignment horizontal="center" wrapText="1"/>
    </xf>
    <xf numFmtId="4" fontId="22" fillId="0" borderId="1" xfId="1" applyNumberFormat="1" applyFont="1" applyFill="1" applyBorder="1" applyAlignment="1">
      <alignment horizontal="center" wrapText="1"/>
    </xf>
    <xf numFmtId="0" fontId="22" fillId="0" borderId="0" xfId="17" applyFont="1" applyAlignment="1">
      <alignment vertical="center"/>
    </xf>
    <xf numFmtId="0" fontId="23" fillId="0" borderId="0" xfId="17" applyFont="1" applyAlignment="1">
      <alignment horizontal="center" vertical="center"/>
    </xf>
    <xf numFmtId="0" fontId="23" fillId="0" borderId="0" xfId="17" applyFont="1" applyAlignment="1">
      <alignment vertical="center"/>
    </xf>
    <xf numFmtId="4" fontId="22" fillId="0" borderId="1" xfId="1" applyNumberFormat="1" applyFont="1" applyFill="1" applyBorder="1" applyAlignment="1">
      <alignment horizontal="center" vertical="center" wrapText="1"/>
    </xf>
    <xf numFmtId="49" fontId="33" fillId="5" borderId="0" xfId="0" applyNumberFormat="1" applyFont="1" applyFill="1" applyAlignment="1">
      <alignment horizontal="left" vertical="top"/>
    </xf>
    <xf numFmtId="49" fontId="33" fillId="6" borderId="0" xfId="0" applyNumberFormat="1" applyFont="1" applyFill="1" applyAlignment="1">
      <alignment horizontal="left" vertical="top" wrapText="1"/>
    </xf>
    <xf numFmtId="2" fontId="9" fillId="0" borderId="1" xfId="1" applyNumberFormat="1" applyFont="1" applyFill="1" applyBorder="1" applyAlignment="1">
      <alignment horizontal="center" vertical="center" wrapText="1"/>
    </xf>
    <xf numFmtId="2" fontId="9" fillId="0" borderId="1" xfId="17" applyNumberFormat="1" applyBorder="1" applyAlignment="1">
      <alignment horizontal="center" vertical="center" wrapText="1"/>
    </xf>
    <xf numFmtId="166" fontId="9" fillId="0" borderId="0" xfId="17" applyNumberFormat="1" applyAlignment="1">
      <alignment vertical="center"/>
    </xf>
    <xf numFmtId="10" fontId="9" fillId="0" borderId="0" xfId="17" applyNumberFormat="1" applyAlignment="1">
      <alignment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right" vertical="center" wrapText="1"/>
    </xf>
    <xf numFmtId="0" fontId="9" fillId="0" borderId="0" xfId="0" applyFont="1" applyAlignment="1">
      <alignment horizontal="right" vertical="center" wrapText="1"/>
    </xf>
    <xf numFmtId="170" fontId="9" fillId="0" borderId="0" xfId="3" applyNumberFormat="1" applyFont="1" applyFill="1" applyBorder="1" applyAlignment="1">
      <alignment horizontal="center" vertical="center" wrapText="1"/>
    </xf>
    <xf numFmtId="170" fontId="9" fillId="0" borderId="0" xfId="1" applyNumberFormat="1" applyFont="1" applyFill="1" applyBorder="1" applyAlignment="1">
      <alignment horizontal="center" vertical="center" wrapText="1"/>
    </xf>
    <xf numFmtId="170" fontId="10" fillId="0" borderId="0" xfId="1" applyNumberFormat="1" applyFont="1" applyFill="1" applyBorder="1" applyAlignment="1">
      <alignment horizontal="center" vertical="center" wrapText="1"/>
    </xf>
    <xf numFmtId="170" fontId="22" fillId="0" borderId="0" xfId="3" applyNumberFormat="1" applyFont="1" applyFill="1" applyBorder="1" applyAlignment="1">
      <alignment horizontal="center" wrapText="1"/>
    </xf>
    <xf numFmtId="170" fontId="22" fillId="0" borderId="0" xfId="3" applyNumberFormat="1" applyFont="1" applyFill="1" applyBorder="1" applyAlignment="1">
      <alignment horizontal="center" vertical="center" wrapText="1"/>
    </xf>
    <xf numFmtId="170" fontId="22" fillId="0" borderId="0" xfId="1" applyNumberFormat="1" applyFont="1" applyFill="1" applyBorder="1" applyAlignment="1">
      <alignment horizontal="center" vertical="center" wrapText="1"/>
    </xf>
    <xf numFmtId="170" fontId="23" fillId="0" borderId="0" xfId="1" applyNumberFormat="1" applyFont="1" applyFill="1" applyBorder="1" applyAlignment="1">
      <alignment horizontal="center" vertical="center" wrapText="1"/>
    </xf>
    <xf numFmtId="174" fontId="9" fillId="0" borderId="0" xfId="17" applyNumberFormat="1" applyAlignment="1">
      <alignment horizontal="center" vertical="center"/>
    </xf>
    <xf numFmtId="0" fontId="9" fillId="0" borderId="1" xfId="17" applyBorder="1" applyAlignment="1">
      <alignment horizontal="right" vertical="top"/>
    </xf>
    <xf numFmtId="49" fontId="9" fillId="0" borderId="1" xfId="17" applyNumberFormat="1" applyBorder="1" applyAlignment="1">
      <alignment horizontal="right" vertical="top"/>
    </xf>
    <xf numFmtId="0" fontId="9" fillId="0" borderId="16" xfId="17" applyBorder="1" applyAlignment="1">
      <alignment vertical="center"/>
    </xf>
    <xf numFmtId="0" fontId="9" fillId="0" borderId="16" xfId="17" applyBorder="1"/>
    <xf numFmtId="49" fontId="9" fillId="0" borderId="16" xfId="17" applyNumberFormat="1" applyBorder="1" applyAlignment="1">
      <alignment horizontal="left" vertical="center"/>
    </xf>
    <xf numFmtId="49" fontId="9" fillId="0" borderId="16" xfId="17" applyNumberFormat="1" applyBorder="1" applyAlignment="1">
      <alignment horizontal="left" vertical="center" wrapText="1"/>
    </xf>
    <xf numFmtId="0" fontId="26" fillId="0" borderId="16" xfId="17" applyFont="1" applyBorder="1" applyAlignment="1">
      <alignment horizontal="left" vertical="center"/>
    </xf>
    <xf numFmtId="0" fontId="27" fillId="0" borderId="16" xfId="17" applyFont="1" applyBorder="1" applyAlignment="1">
      <alignment horizontal="left" vertical="center" wrapText="1"/>
    </xf>
    <xf numFmtId="0" fontId="0" fillId="0" borderId="0" xfId="0" applyAlignment="1">
      <alignment horizontal="center"/>
    </xf>
    <xf numFmtId="174" fontId="9" fillId="0" borderId="1" xfId="17" applyNumberFormat="1" applyBorder="1" applyAlignment="1">
      <alignment horizontal="center" vertical="center" wrapText="1"/>
    </xf>
    <xf numFmtId="1" fontId="9" fillId="0" borderId="1" xfId="3" applyNumberFormat="1" applyFont="1" applyFill="1" applyBorder="1" applyAlignment="1">
      <alignment horizontal="center" vertical="center" wrapText="1"/>
    </xf>
    <xf numFmtId="1" fontId="9" fillId="0" borderId="1" xfId="29"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1" fontId="9" fillId="0" borderId="0" xfId="1" applyNumberFormat="1" applyFont="1" applyFill="1" applyAlignment="1">
      <alignment horizontal="center" vertical="center"/>
    </xf>
    <xf numFmtId="174" fontId="10" fillId="0" borderId="10" xfId="17" applyNumberFormat="1" applyFont="1" applyBorder="1" applyAlignment="1">
      <alignment horizontal="center" vertical="center" wrapText="1"/>
    </xf>
    <xf numFmtId="0" fontId="9" fillId="0" borderId="1" xfId="1" applyNumberFormat="1" applyFont="1" applyFill="1" applyBorder="1" applyAlignment="1">
      <alignment horizontal="center" vertical="center" wrapText="1"/>
    </xf>
    <xf numFmtId="3" fontId="9" fillId="0" borderId="13" xfId="1" applyNumberFormat="1"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178" fontId="9" fillId="0" borderId="1" xfId="1" applyNumberFormat="1" applyFont="1" applyFill="1" applyBorder="1" applyAlignment="1">
      <alignment horizontal="center" vertical="center" wrapText="1"/>
    </xf>
    <xf numFmtId="174" fontId="10" fillId="0" borderId="6" xfId="17" applyNumberFormat="1" applyFont="1" applyBorder="1" applyAlignment="1">
      <alignment horizontal="center" vertical="center" wrapText="1"/>
    </xf>
    <xf numFmtId="170" fontId="10" fillId="0" borderId="10" xfId="1" applyNumberFormat="1" applyFont="1" applyFill="1" applyBorder="1" applyAlignment="1">
      <alignment horizontal="center" vertical="center" wrapText="1"/>
    </xf>
    <xf numFmtId="1" fontId="10" fillId="0" borderId="12" xfId="1" applyNumberFormat="1" applyFont="1" applyFill="1" applyBorder="1" applyAlignment="1">
      <alignment horizontal="center" vertical="center"/>
    </xf>
    <xf numFmtId="1" fontId="10" fillId="0" borderId="0" xfId="1" applyNumberFormat="1" applyFont="1" applyFill="1" applyBorder="1" applyAlignment="1">
      <alignment horizontal="center" vertical="center"/>
    </xf>
    <xf numFmtId="0" fontId="9" fillId="0" borderId="0" xfId="0" applyFont="1" applyAlignment="1">
      <alignment horizontal="center"/>
    </xf>
    <xf numFmtId="179" fontId="9" fillId="0" borderId="1" xfId="3" applyNumberFormat="1" applyFont="1" applyFill="1" applyBorder="1" applyAlignment="1">
      <alignment horizontal="center" vertical="center" wrapText="1"/>
    </xf>
    <xf numFmtId="179" fontId="10" fillId="0" borderId="10" xfId="3" applyNumberFormat="1" applyFont="1" applyFill="1" applyBorder="1" applyAlignment="1">
      <alignment horizontal="center" vertical="center" wrapText="1"/>
    </xf>
    <xf numFmtId="179" fontId="9" fillId="0" borderId="13" xfId="3" applyNumberFormat="1" applyFont="1" applyFill="1" applyBorder="1" applyAlignment="1">
      <alignment horizontal="center" vertical="center" wrapText="1"/>
    </xf>
    <xf numFmtId="179" fontId="10" fillId="0" borderId="13" xfId="3" applyNumberFormat="1" applyFont="1" applyFill="1" applyBorder="1" applyAlignment="1">
      <alignment horizontal="center" vertical="center" wrapText="1"/>
    </xf>
    <xf numFmtId="179" fontId="9" fillId="0" borderId="1" xfId="3" applyNumberFormat="1" applyFont="1" applyFill="1" applyBorder="1" applyAlignment="1">
      <alignment horizontal="center" wrapText="1"/>
    </xf>
    <xf numFmtId="179" fontId="10" fillId="0" borderId="1" xfId="3" applyNumberFormat="1" applyFont="1" applyFill="1" applyBorder="1" applyAlignment="1">
      <alignment horizontal="center" vertical="center" wrapText="1"/>
    </xf>
    <xf numFmtId="179" fontId="26" fillId="0" borderId="1" xfId="3" applyNumberFormat="1" applyFont="1" applyFill="1" applyBorder="1" applyAlignment="1">
      <alignment horizontal="center" vertical="center" wrapText="1"/>
    </xf>
    <xf numFmtId="179" fontId="27" fillId="0" borderId="10" xfId="3" applyNumberFormat="1" applyFont="1" applyFill="1" applyBorder="1" applyAlignment="1">
      <alignment horizontal="center" vertical="center" wrapText="1"/>
    </xf>
    <xf numFmtId="179" fontId="22" fillId="0" borderId="1" xfId="3" applyNumberFormat="1" applyFont="1" applyFill="1" applyBorder="1" applyAlignment="1">
      <alignment horizontal="center" vertical="center" wrapText="1"/>
    </xf>
    <xf numFmtId="179" fontId="22" fillId="0" borderId="1" xfId="3" applyNumberFormat="1" applyFont="1" applyFill="1" applyBorder="1" applyAlignment="1">
      <alignment horizontal="center" wrapText="1"/>
    </xf>
    <xf numFmtId="179" fontId="23" fillId="0" borderId="10" xfId="3" applyNumberFormat="1" applyFont="1" applyFill="1" applyBorder="1" applyAlignment="1">
      <alignment horizontal="center" vertical="center" wrapText="1"/>
    </xf>
    <xf numFmtId="179" fontId="10" fillId="0" borderId="0" xfId="3" applyNumberFormat="1" applyFont="1" applyFill="1" applyBorder="1" applyAlignment="1">
      <alignment horizontal="center" vertical="center" wrapText="1"/>
    </xf>
    <xf numFmtId="179" fontId="0" fillId="0" borderId="0" xfId="3" applyNumberFormat="1" applyFont="1" applyAlignment="1">
      <alignment horizontal="center"/>
    </xf>
    <xf numFmtId="1" fontId="9" fillId="0" borderId="13" xfId="1" applyNumberFormat="1" applyFont="1" applyFill="1" applyBorder="1" applyAlignment="1">
      <alignment horizontal="center" vertical="center" wrapText="1"/>
    </xf>
    <xf numFmtId="1" fontId="9" fillId="0" borderId="1" xfId="7" applyNumberFormat="1" applyFont="1" applyFill="1" applyBorder="1" applyAlignment="1">
      <alignment horizontal="center" wrapText="1"/>
    </xf>
    <xf numFmtId="1" fontId="9" fillId="0" borderId="1" xfId="1" applyNumberFormat="1" applyFont="1" applyFill="1" applyBorder="1" applyAlignment="1">
      <alignment horizontal="center" wrapText="1"/>
    </xf>
    <xf numFmtId="1" fontId="9" fillId="0" borderId="1" xfId="7" applyNumberFormat="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1" fontId="26" fillId="0" borderId="1" xfId="1" applyNumberFormat="1" applyFont="1" applyFill="1" applyBorder="1" applyAlignment="1">
      <alignment horizontal="center" vertical="center" wrapText="1"/>
    </xf>
    <xf numFmtId="1" fontId="26" fillId="0" borderId="1" xfId="7" applyNumberFormat="1" applyFont="1" applyFill="1" applyBorder="1" applyAlignment="1">
      <alignment horizontal="center" vertical="center" wrapText="1"/>
    </xf>
    <xf numFmtId="1" fontId="22" fillId="0" borderId="1" xfId="1" applyNumberFormat="1" applyFont="1" applyFill="1" applyBorder="1" applyAlignment="1">
      <alignment horizontal="center" vertical="center" wrapText="1"/>
    </xf>
    <xf numFmtId="1" fontId="0" fillId="0" borderId="0" xfId="0" applyNumberFormat="1" applyAlignment="1">
      <alignment horizontal="center"/>
    </xf>
    <xf numFmtId="1" fontId="9" fillId="0" borderId="0" xfId="0" applyNumberFormat="1" applyFont="1" applyAlignment="1">
      <alignment horizontal="center"/>
    </xf>
    <xf numFmtId="0" fontId="10" fillId="0" borderId="3" xfId="17" applyFont="1" applyBorder="1" applyAlignment="1">
      <alignment horizontal="center" vertical="center"/>
    </xf>
    <xf numFmtId="0" fontId="10" fillId="0" borderId="2" xfId="17" applyFont="1" applyBorder="1" applyAlignment="1">
      <alignment horizontal="left" vertical="center" wrapText="1"/>
    </xf>
    <xf numFmtId="0" fontId="10" fillId="0" borderId="4" xfId="17" applyFont="1" applyBorder="1" applyAlignment="1">
      <alignment horizontal="left" vertical="center" wrapText="1"/>
    </xf>
    <xf numFmtId="0" fontId="10" fillId="0" borderId="3" xfId="17" applyFont="1" applyBorder="1" applyAlignment="1">
      <alignment horizontal="left" vertical="center" wrapText="1"/>
    </xf>
    <xf numFmtId="0" fontId="10" fillId="0" borderId="7" xfId="17" applyFont="1" applyBorder="1" applyAlignment="1">
      <alignment horizontal="left" vertical="center"/>
    </xf>
    <xf numFmtId="0" fontId="10" fillId="0" borderId="5" xfId="17" applyFont="1" applyBorder="1" applyAlignment="1">
      <alignment horizontal="left" vertical="center"/>
    </xf>
    <xf numFmtId="0" fontId="10" fillId="0" borderId="3" xfId="17" applyFont="1" applyBorder="1" applyAlignment="1">
      <alignment horizontal="left" vertical="center"/>
    </xf>
    <xf numFmtId="2" fontId="27" fillId="0" borderId="5" xfId="17" applyNumberFormat="1" applyFont="1" applyBorder="1" applyAlignment="1">
      <alignment horizontal="center" vertical="center"/>
    </xf>
    <xf numFmtId="2" fontId="27" fillId="0" borderId="0" xfId="17" applyNumberFormat="1" applyFont="1" applyAlignment="1">
      <alignment horizontal="center" vertical="center" wrapText="1"/>
    </xf>
    <xf numFmtId="2" fontId="27" fillId="0" borderId="3" xfId="17" applyNumberFormat="1" applyFont="1" applyBorder="1" applyAlignment="1">
      <alignment horizontal="center" vertical="center" wrapText="1"/>
    </xf>
    <xf numFmtId="2" fontId="27" fillId="0" borderId="0" xfId="17" applyNumberFormat="1" applyFont="1" applyAlignment="1">
      <alignment horizontal="center" vertical="center"/>
    </xf>
    <xf numFmtId="2" fontId="27" fillId="0" borderId="3" xfId="17" applyNumberFormat="1" applyFont="1" applyBorder="1" applyAlignment="1">
      <alignment horizontal="center" vertical="center"/>
    </xf>
    <xf numFmtId="1" fontId="9" fillId="0" borderId="0" xfId="17" applyNumberFormat="1" applyAlignment="1">
      <alignment horizontal="center" vertical="center"/>
    </xf>
    <xf numFmtId="179" fontId="9" fillId="0" borderId="0" xfId="3" applyNumberFormat="1" applyFill="1" applyAlignment="1">
      <alignment horizontal="center" vertical="center"/>
    </xf>
    <xf numFmtId="1" fontId="9" fillId="0" borderId="3" xfId="17" applyNumberFormat="1" applyBorder="1" applyAlignment="1">
      <alignment horizontal="center" vertical="center"/>
    </xf>
    <xf numFmtId="179" fontId="9" fillId="0" borderId="3" xfId="3" applyNumberFormat="1" applyFill="1" applyBorder="1" applyAlignment="1">
      <alignment horizontal="center" vertical="center"/>
    </xf>
    <xf numFmtId="10" fontId="10" fillId="0" borderId="0" xfId="17" applyNumberFormat="1" applyFont="1" applyAlignment="1">
      <alignment vertical="center"/>
    </xf>
    <xf numFmtId="1" fontId="9" fillId="0" borderId="0" xfId="17" applyNumberFormat="1" applyAlignment="1">
      <alignment horizontal="center" vertical="center" wrapText="1"/>
    </xf>
    <xf numFmtId="179" fontId="9" fillId="0" borderId="0" xfId="3" applyNumberFormat="1" applyFill="1" applyAlignment="1">
      <alignment horizontal="center" vertical="center" wrapText="1"/>
    </xf>
    <xf numFmtId="0" fontId="10" fillId="0" borderId="11" xfId="17" applyFont="1" applyBorder="1" applyAlignment="1">
      <alignment horizontal="center" vertical="center" wrapText="1"/>
    </xf>
    <xf numFmtId="0" fontId="9" fillId="0" borderId="0" xfId="17" applyAlignment="1">
      <alignment horizontal="left" vertical="center" wrapText="1" indent="1"/>
    </xf>
    <xf numFmtId="0" fontId="10" fillId="0" borderId="3" xfId="17" applyFont="1" applyBorder="1" applyAlignment="1">
      <alignment horizontal="center" vertical="center" wrapText="1"/>
    </xf>
    <xf numFmtId="179" fontId="10" fillId="0" borderId="0" xfId="3" applyNumberFormat="1" applyFont="1" applyFill="1" applyAlignment="1">
      <alignment horizontal="center" vertical="center"/>
    </xf>
    <xf numFmtId="1" fontId="10" fillId="0" borderId="10" xfId="17" applyNumberFormat="1" applyFont="1" applyBorder="1" applyAlignment="1">
      <alignment horizontal="center" vertical="center" wrapText="1"/>
    </xf>
    <xf numFmtId="1" fontId="9" fillId="0" borderId="1" xfId="17" applyNumberFormat="1" applyBorder="1" applyAlignment="1">
      <alignment horizontal="center" vertical="center" wrapText="1"/>
    </xf>
    <xf numFmtId="49" fontId="10" fillId="0" borderId="10" xfId="17" applyNumberFormat="1" applyFont="1" applyBorder="1" applyAlignment="1">
      <alignment horizontal="left" vertical="center"/>
    </xf>
    <xf numFmtId="1" fontId="10" fillId="0" borderId="12" xfId="17" applyNumberFormat="1" applyFont="1" applyBorder="1" applyAlignment="1">
      <alignment horizontal="center" vertical="center"/>
    </xf>
    <xf numFmtId="1" fontId="10" fillId="0" borderId="0" xfId="17" applyNumberFormat="1" applyFont="1" applyAlignment="1">
      <alignment horizontal="center" vertical="center"/>
    </xf>
    <xf numFmtId="174" fontId="9" fillId="0" borderId="0" xfId="17" applyNumberFormat="1" applyAlignment="1">
      <alignment horizontal="left" vertical="center"/>
    </xf>
    <xf numFmtId="179" fontId="10" fillId="0" borderId="6" xfId="3" applyNumberFormat="1" applyFont="1" applyFill="1" applyBorder="1" applyAlignment="1">
      <alignment horizontal="center" vertical="center" wrapText="1"/>
    </xf>
    <xf numFmtId="179" fontId="10" fillId="0" borderId="16" xfId="3" applyNumberFormat="1" applyFont="1" applyFill="1" applyBorder="1" applyAlignment="1">
      <alignment horizontal="center" vertical="center" wrapText="1"/>
    </xf>
    <xf numFmtId="179" fontId="10" fillId="0" borderId="15" xfId="3" applyNumberFormat="1" applyFont="1" applyFill="1" applyBorder="1" applyAlignment="1">
      <alignment horizontal="center" vertical="center" wrapText="1"/>
    </xf>
    <xf numFmtId="174" fontId="10" fillId="0" borderId="0" xfId="17" applyNumberFormat="1" applyFont="1" applyAlignment="1">
      <alignment horizontal="left" vertical="center"/>
    </xf>
    <xf numFmtId="0" fontId="10" fillId="0" borderId="1" xfId="17" applyFont="1" applyBorder="1" applyAlignment="1">
      <alignment horizontal="left" vertical="center"/>
    </xf>
    <xf numFmtId="43" fontId="9" fillId="0" borderId="0" xfId="17" applyNumberFormat="1" applyAlignment="1">
      <alignment horizontal="left" vertical="center"/>
    </xf>
    <xf numFmtId="49" fontId="9" fillId="0" borderId="1" xfId="17" applyNumberFormat="1" applyBorder="1" applyAlignment="1">
      <alignment horizontal="left" vertical="center"/>
    </xf>
    <xf numFmtId="0" fontId="10" fillId="0" borderId="5" xfId="17" applyFont="1" applyBorder="1" applyAlignment="1">
      <alignment horizontal="center" vertical="center"/>
    </xf>
    <xf numFmtId="1" fontId="10" fillId="0" borderId="3" xfId="17" applyNumberFormat="1" applyFont="1" applyBorder="1" applyAlignment="1">
      <alignment horizontal="center" vertical="center"/>
    </xf>
    <xf numFmtId="49" fontId="9" fillId="0" borderId="13" xfId="17" applyNumberFormat="1" applyBorder="1" applyAlignment="1">
      <alignment horizontal="left" vertical="center"/>
    </xf>
    <xf numFmtId="0" fontId="9" fillId="0" borderId="13" xfId="17" applyBorder="1" applyAlignment="1">
      <alignment horizontal="left" vertical="center" wrapText="1"/>
    </xf>
    <xf numFmtId="49" fontId="10" fillId="0" borderId="4" xfId="17" applyNumberFormat="1" applyFont="1" applyBorder="1" applyAlignment="1">
      <alignment horizontal="left" vertical="center"/>
    </xf>
    <xf numFmtId="1" fontId="9" fillId="0" borderId="1" xfId="17" applyNumberFormat="1" applyBorder="1" applyAlignment="1">
      <alignment horizontal="center" wrapText="1"/>
    </xf>
    <xf numFmtId="3" fontId="9" fillId="0" borderId="0" xfId="17" applyNumberFormat="1" applyAlignment="1">
      <alignment vertical="center"/>
    </xf>
    <xf numFmtId="1" fontId="9" fillId="0" borderId="1" xfId="17" applyNumberFormat="1" applyBorder="1" applyAlignment="1">
      <alignment horizontal="center"/>
    </xf>
    <xf numFmtId="2" fontId="9" fillId="0" borderId="1" xfId="17" applyNumberFormat="1" applyBorder="1" applyAlignment="1">
      <alignment horizontal="center" vertical="center"/>
    </xf>
    <xf numFmtId="1" fontId="9" fillId="0" borderId="1" xfId="17" applyNumberFormat="1" applyBorder="1" applyAlignment="1">
      <alignment horizontal="center" vertical="center"/>
    </xf>
    <xf numFmtId="1" fontId="26" fillId="0" borderId="0" xfId="17" applyNumberFormat="1" applyFont="1" applyAlignment="1">
      <alignment horizontal="center" vertical="center"/>
    </xf>
    <xf numFmtId="179" fontId="26" fillId="0" borderId="0" xfId="3" applyNumberFormat="1" applyFont="1" applyFill="1" applyAlignment="1">
      <alignment horizontal="center" vertical="center"/>
    </xf>
    <xf numFmtId="1" fontId="27" fillId="0" borderId="10" xfId="17" applyNumberFormat="1" applyFont="1" applyBorder="1" applyAlignment="1">
      <alignment horizontal="center" vertical="center" wrapText="1"/>
    </xf>
    <xf numFmtId="1" fontId="26" fillId="0" borderId="1" xfId="17" applyNumberFormat="1" applyFont="1" applyBorder="1" applyAlignment="1">
      <alignment horizontal="center" vertical="center" wrapText="1"/>
    </xf>
    <xf numFmtId="2" fontId="28" fillId="0" borderId="1" xfId="17" applyNumberFormat="1" applyFont="1" applyBorder="1" applyAlignment="1">
      <alignment horizontal="center" vertical="center" wrapText="1"/>
    </xf>
    <xf numFmtId="1" fontId="27" fillId="0" borderId="12" xfId="17" applyNumberFormat="1" applyFont="1" applyBorder="1" applyAlignment="1">
      <alignment horizontal="center" vertical="center"/>
    </xf>
    <xf numFmtId="0" fontId="26" fillId="0" borderId="3" xfId="17" applyFont="1" applyBorder="1" applyAlignment="1">
      <alignment vertical="center"/>
    </xf>
    <xf numFmtId="0" fontId="27" fillId="0" borderId="7" xfId="17" applyFont="1" applyBorder="1" applyAlignment="1">
      <alignment vertical="center"/>
    </xf>
    <xf numFmtId="0" fontId="27" fillId="0" borderId="5" xfId="17" applyFont="1" applyBorder="1" applyAlignment="1">
      <alignment vertical="center"/>
    </xf>
    <xf numFmtId="0" fontId="27" fillId="0" borderId="2" xfId="17" applyFont="1" applyBorder="1" applyAlignment="1">
      <alignment vertical="center" wrapText="1"/>
    </xf>
    <xf numFmtId="0" fontId="27" fillId="0" borderId="0" xfId="17" applyFont="1" applyAlignment="1">
      <alignment vertical="center" wrapText="1"/>
    </xf>
    <xf numFmtId="0" fontId="27" fillId="0" borderId="4" xfId="17" applyFont="1" applyBorder="1" applyAlignment="1">
      <alignment vertical="center" wrapText="1"/>
    </xf>
    <xf numFmtId="0" fontId="27" fillId="0" borderId="3" xfId="17" applyFont="1" applyBorder="1" applyAlignment="1">
      <alignment vertical="center" wrapText="1"/>
    </xf>
    <xf numFmtId="0" fontId="22" fillId="0" borderId="1" xfId="17" applyFont="1" applyBorder="1" applyAlignment="1">
      <alignment horizontal="left" vertical="center" wrapText="1"/>
    </xf>
    <xf numFmtId="0" fontId="22" fillId="0" borderId="1" xfId="17" applyFont="1" applyBorder="1" applyAlignment="1">
      <alignment horizontal="center" vertical="center" wrapText="1"/>
    </xf>
    <xf numFmtId="0" fontId="22" fillId="0" borderId="1" xfId="17" applyFont="1" applyBorder="1" applyAlignment="1">
      <alignment horizontal="center" wrapText="1"/>
    </xf>
    <xf numFmtId="1" fontId="22" fillId="0" borderId="1" xfId="17" applyNumberFormat="1" applyFont="1" applyBorder="1" applyAlignment="1">
      <alignment horizontal="center" wrapText="1"/>
    </xf>
    <xf numFmtId="0" fontId="22" fillId="0" borderId="16" xfId="17" applyFont="1" applyBorder="1" applyAlignment="1">
      <alignment horizontal="left" vertical="center" wrapText="1"/>
    </xf>
    <xf numFmtId="0" fontId="22" fillId="0" borderId="1" xfId="17" applyFont="1" applyBorder="1" applyAlignment="1">
      <alignment horizontal="left" vertical="center"/>
    </xf>
    <xf numFmtId="0" fontId="32" fillId="0" borderId="1" xfId="17" applyFont="1" applyBorder="1" applyAlignment="1">
      <alignment horizontal="center" vertical="center" wrapText="1"/>
    </xf>
    <xf numFmtId="49" fontId="10" fillId="0" borderId="0" xfId="17" applyNumberFormat="1" applyFont="1" applyAlignment="1">
      <alignment horizontal="center" vertical="center" wrapText="1"/>
    </xf>
    <xf numFmtId="3" fontId="9" fillId="0" borderId="0" xfId="17" applyNumberFormat="1" applyAlignment="1">
      <alignment horizontal="left" vertical="center"/>
    </xf>
    <xf numFmtId="0" fontId="10" fillId="0" borderId="0" xfId="17" applyFont="1" applyAlignment="1">
      <alignment vertical="top"/>
    </xf>
    <xf numFmtId="49" fontId="9" fillId="0" borderId="0" xfId="17" applyNumberFormat="1" applyAlignment="1">
      <alignment vertical="center"/>
    </xf>
    <xf numFmtId="170" fontId="9" fillId="0" borderId="0" xfId="3" applyNumberFormat="1" applyFont="1" applyFill="1" applyBorder="1" applyAlignment="1">
      <alignment horizontal="center" wrapText="1"/>
    </xf>
    <xf numFmtId="0" fontId="9" fillId="0" borderId="3" xfId="17" applyBorder="1" applyAlignment="1">
      <alignment horizontal="center" vertical="center" wrapText="1"/>
    </xf>
    <xf numFmtId="1" fontId="9" fillId="0" borderId="3" xfId="17" applyNumberFormat="1" applyBorder="1" applyAlignment="1">
      <alignment horizontal="center" vertical="center" wrapText="1"/>
    </xf>
    <xf numFmtId="179" fontId="9" fillId="0" borderId="3" xfId="3" applyNumberFormat="1" applyFill="1" applyBorder="1" applyAlignment="1">
      <alignment horizontal="center" vertical="center" wrapText="1"/>
    </xf>
    <xf numFmtId="0" fontId="23" fillId="0" borderId="0" xfId="17" applyFont="1" applyAlignment="1">
      <alignment horizontal="left" vertical="center"/>
    </xf>
    <xf numFmtId="0" fontId="22" fillId="0" borderId="0" xfId="17" applyFont="1" applyAlignment="1">
      <alignment horizontal="left" vertical="center"/>
    </xf>
    <xf numFmtId="0" fontId="22" fillId="0" borderId="0" xfId="17" applyFont="1" applyAlignment="1">
      <alignment horizontal="center" vertical="center"/>
    </xf>
    <xf numFmtId="0" fontId="23" fillId="0" borderId="0" xfId="17" applyFont="1" applyAlignment="1">
      <alignment horizontal="left" vertical="top"/>
    </xf>
    <xf numFmtId="1" fontId="22" fillId="0" borderId="0" xfId="17" applyNumberFormat="1" applyFont="1" applyAlignment="1">
      <alignment horizontal="center" vertical="center"/>
    </xf>
    <xf numFmtId="179" fontId="22" fillId="0" borderId="0" xfId="3" applyNumberFormat="1" applyFont="1" applyFill="1" applyAlignment="1">
      <alignment horizontal="center" vertical="center"/>
    </xf>
    <xf numFmtId="0" fontId="23" fillId="0" borderId="0" xfId="17" applyFont="1" applyAlignment="1">
      <alignment horizontal="left" vertical="center" wrapText="1"/>
    </xf>
    <xf numFmtId="49" fontId="23" fillId="0" borderId="10" xfId="17" applyNumberFormat="1" applyFont="1" applyBorder="1" applyAlignment="1">
      <alignment horizontal="center" vertical="center" wrapText="1"/>
    </xf>
    <xf numFmtId="0" fontId="23" fillId="0" borderId="10" xfId="17" applyFont="1" applyBorder="1" applyAlignment="1">
      <alignment horizontal="center" vertical="center" wrapText="1"/>
    </xf>
    <xf numFmtId="1" fontId="23" fillId="0" borderId="10" xfId="17" applyNumberFormat="1" applyFont="1" applyBorder="1" applyAlignment="1">
      <alignment horizontal="center" vertical="center" wrapText="1"/>
    </xf>
    <xf numFmtId="49" fontId="23" fillId="0" borderId="14" xfId="17" applyNumberFormat="1" applyFont="1" applyBorder="1" applyAlignment="1">
      <alignment horizontal="left" vertical="center" wrapText="1"/>
    </xf>
    <xf numFmtId="0" fontId="22" fillId="0" borderId="14" xfId="17" applyFont="1" applyBorder="1" applyAlignment="1">
      <alignment horizontal="center" wrapText="1"/>
    </xf>
    <xf numFmtId="49" fontId="23" fillId="0" borderId="1" xfId="17" applyNumberFormat="1" applyFont="1" applyBorder="1" applyAlignment="1">
      <alignment horizontal="right" vertical="center" wrapText="1"/>
    </xf>
    <xf numFmtId="0" fontId="22" fillId="0" borderId="1" xfId="17" applyFont="1" applyBorder="1" applyAlignment="1">
      <alignment horizontal="right"/>
    </xf>
    <xf numFmtId="0" fontId="22" fillId="0" borderId="0" xfId="17" applyFont="1"/>
    <xf numFmtId="1" fontId="22" fillId="0" borderId="1" xfId="17" applyNumberFormat="1" applyFont="1" applyBorder="1" applyAlignment="1">
      <alignment horizontal="center" vertical="center" wrapText="1"/>
    </xf>
    <xf numFmtId="0" fontId="22" fillId="0" borderId="0" xfId="17" applyFont="1" applyAlignment="1">
      <alignment wrapText="1"/>
    </xf>
    <xf numFmtId="49" fontId="22" fillId="0" borderId="1" xfId="17" applyNumberFormat="1" applyFont="1" applyBorder="1" applyAlignment="1">
      <alignment horizontal="right" vertical="center"/>
    </xf>
    <xf numFmtId="3" fontId="22" fillId="0" borderId="0" xfId="17" applyNumberFormat="1" applyFont="1" applyAlignment="1">
      <alignment vertical="center"/>
    </xf>
    <xf numFmtId="174" fontId="22" fillId="0" borderId="0" xfId="17" applyNumberFormat="1" applyFont="1" applyAlignment="1">
      <alignment vertical="center"/>
    </xf>
    <xf numFmtId="49" fontId="23" fillId="0" borderId="10" xfId="17" applyNumberFormat="1" applyFont="1" applyBorder="1" applyAlignment="1">
      <alignment horizontal="right" vertical="center"/>
    </xf>
    <xf numFmtId="0" fontId="23" fillId="0" borderId="12" xfId="17" applyFont="1" applyBorder="1" applyAlignment="1">
      <alignment vertical="center"/>
    </xf>
    <xf numFmtId="49" fontId="23" fillId="0" borderId="12" xfId="17" applyNumberFormat="1" applyFont="1" applyBorder="1" applyAlignment="1">
      <alignment vertical="center"/>
    </xf>
    <xf numFmtId="49" fontId="23" fillId="0" borderId="12" xfId="17" applyNumberFormat="1" applyFont="1" applyBorder="1" applyAlignment="1">
      <alignment horizontal="center" vertical="center"/>
    </xf>
    <xf numFmtId="1" fontId="23" fillId="0" borderId="12" xfId="17" applyNumberFormat="1" applyFont="1" applyBorder="1" applyAlignment="1">
      <alignment horizontal="center" vertical="center"/>
    </xf>
    <xf numFmtId="49" fontId="22" fillId="0" borderId="0" xfId="17" applyNumberFormat="1" applyFont="1" applyAlignment="1">
      <alignment horizontal="left" vertical="center"/>
    </xf>
    <xf numFmtId="1" fontId="10" fillId="0" borderId="14" xfId="17" applyNumberFormat="1" applyFont="1" applyBorder="1" applyAlignment="1">
      <alignment horizontal="center" vertical="center" wrapText="1"/>
    </xf>
    <xf numFmtId="179" fontId="10" fillId="0" borderId="14" xfId="3" applyNumberFormat="1" applyFont="1" applyFill="1" applyBorder="1" applyAlignment="1">
      <alignment horizontal="center" vertical="center" wrapText="1"/>
    </xf>
    <xf numFmtId="1" fontId="10" fillId="0" borderId="1" xfId="17" applyNumberFormat="1" applyFont="1" applyBorder="1" applyAlignment="1">
      <alignment horizontal="center" vertical="center" wrapText="1"/>
    </xf>
    <xf numFmtId="179" fontId="9" fillId="0" borderId="1" xfId="3" applyNumberFormat="1" applyFill="1" applyBorder="1" applyAlignment="1">
      <alignment horizontal="center" vertical="center" wrapText="1"/>
    </xf>
    <xf numFmtId="179" fontId="26" fillId="0" borderId="3" xfId="3" applyNumberFormat="1" applyFont="1" applyFill="1" applyBorder="1" applyAlignment="1">
      <alignment horizontal="center" vertical="center"/>
    </xf>
    <xf numFmtId="0" fontId="25" fillId="0" borderId="1" xfId="17" applyFont="1" applyBorder="1" applyAlignment="1">
      <alignment horizontal="left" vertical="center" wrapText="1"/>
    </xf>
    <xf numFmtId="0" fontId="25" fillId="0" borderId="1" xfId="17" applyFont="1" applyBorder="1" applyAlignment="1">
      <alignment horizontal="center" vertical="center" wrapText="1"/>
    </xf>
    <xf numFmtId="0" fontId="25" fillId="0" borderId="16" xfId="17" applyFont="1" applyBorder="1" applyAlignment="1">
      <alignment horizontal="center" vertical="center" wrapText="1"/>
    </xf>
    <xf numFmtId="1" fontId="25" fillId="0" borderId="1" xfId="17" applyNumberFormat="1" applyFont="1" applyBorder="1" applyAlignment="1">
      <alignment horizontal="center" vertical="center" wrapText="1"/>
    </xf>
    <xf numFmtId="1" fontId="25" fillId="0" borderId="16" xfId="17" applyNumberFormat="1" applyFont="1" applyBorder="1" applyAlignment="1">
      <alignment horizontal="center" vertical="center" wrapText="1"/>
    </xf>
    <xf numFmtId="170" fontId="26" fillId="0" borderId="0" xfId="17" applyNumberFormat="1" applyFont="1" applyAlignment="1">
      <alignment horizontal="left" vertical="center"/>
    </xf>
    <xf numFmtId="49" fontId="27" fillId="0" borderId="10" xfId="17" applyNumberFormat="1" applyFont="1" applyBorder="1" applyAlignment="1">
      <alignment horizontal="left" vertical="center" wrapText="1"/>
    </xf>
    <xf numFmtId="0" fontId="27" fillId="0" borderId="10" xfId="17" applyFont="1" applyBorder="1" applyAlignment="1">
      <alignment horizontal="left" vertical="center" wrapText="1"/>
    </xf>
    <xf numFmtId="49" fontId="27" fillId="0" borderId="1" xfId="17" applyNumberFormat="1" applyFont="1" applyBorder="1" applyAlignment="1">
      <alignment horizontal="left" vertical="center" wrapText="1"/>
    </xf>
    <xf numFmtId="49" fontId="26" fillId="0" borderId="1" xfId="17" applyNumberFormat="1" applyFont="1" applyBorder="1" applyAlignment="1">
      <alignment horizontal="left" vertical="center" wrapText="1"/>
    </xf>
    <xf numFmtId="49" fontId="27" fillId="0" borderId="10" xfId="17" applyNumberFormat="1" applyFont="1" applyBorder="1" applyAlignment="1">
      <alignment horizontal="left" vertical="center"/>
    </xf>
    <xf numFmtId="0" fontId="27" fillId="0" borderId="12" xfId="17" applyFont="1" applyBorder="1" applyAlignment="1">
      <alignment horizontal="left" vertical="center"/>
    </xf>
    <xf numFmtId="49" fontId="27" fillId="0" borderId="12" xfId="17" applyNumberFormat="1" applyFont="1" applyBorder="1" applyAlignment="1">
      <alignment horizontal="left" vertical="center"/>
    </xf>
    <xf numFmtId="49" fontId="26" fillId="0" borderId="0" xfId="17" applyNumberFormat="1" applyFont="1" applyAlignment="1">
      <alignment horizontal="left" vertical="center"/>
    </xf>
    <xf numFmtId="0" fontId="9" fillId="0" borderId="0" xfId="17" applyAlignment="1">
      <alignment horizontal="center"/>
    </xf>
    <xf numFmtId="2" fontId="25" fillId="0" borderId="1" xfId="0" applyNumberFormat="1" applyFont="1" applyBorder="1" applyAlignment="1">
      <alignment horizontal="center" vertical="center" wrapText="1"/>
    </xf>
    <xf numFmtId="2" fontId="10" fillId="0" borderId="12" xfId="17" applyNumberFormat="1" applyFont="1" applyBorder="1" applyAlignment="1">
      <alignment horizontal="center" vertical="center"/>
    </xf>
    <xf numFmtId="2" fontId="10" fillId="0" borderId="0" xfId="17" applyNumberFormat="1" applyFont="1" applyAlignment="1">
      <alignment horizontal="center" vertical="center"/>
    </xf>
    <xf numFmtId="2" fontId="10" fillId="0" borderId="3" xfId="17" applyNumberFormat="1" applyFont="1" applyBorder="1" applyAlignment="1">
      <alignment horizontal="center" vertical="center"/>
    </xf>
    <xf numFmtId="2" fontId="10" fillId="0" borderId="5" xfId="17" applyNumberFormat="1" applyFont="1" applyBorder="1" applyAlignment="1">
      <alignment horizontal="center" vertical="center"/>
    </xf>
    <xf numFmtId="2" fontId="10" fillId="0" borderId="0" xfId="17" applyNumberFormat="1" applyFont="1" applyAlignment="1">
      <alignment horizontal="center" vertical="center" wrapText="1"/>
    </xf>
    <xf numFmtId="2" fontId="10" fillId="0" borderId="3" xfId="17" applyNumberFormat="1" applyFont="1" applyBorder="1" applyAlignment="1">
      <alignment horizontal="center" vertical="center" wrapText="1"/>
    </xf>
    <xf numFmtId="17" fontId="9" fillId="0" borderId="0" xfId="17" applyNumberFormat="1" applyAlignment="1">
      <alignment horizontal="left" vertical="center"/>
    </xf>
    <xf numFmtId="167" fontId="9" fillId="0" borderId="0" xfId="17" applyNumberFormat="1" applyAlignment="1">
      <alignment horizontal="left" vertical="center"/>
    </xf>
    <xf numFmtId="0" fontId="9" fillId="0" borderId="14" xfId="17" applyBorder="1" applyAlignment="1">
      <alignment horizontal="left" vertical="center" wrapText="1"/>
    </xf>
    <xf numFmtId="0" fontId="9" fillId="0" borderId="1" xfId="17" applyBorder="1" applyAlignment="1">
      <alignment horizontal="left" vertical="top" wrapText="1"/>
    </xf>
    <xf numFmtId="0" fontId="25" fillId="0" borderId="16" xfId="17" applyFont="1" applyBorder="1" applyAlignment="1">
      <alignment horizontal="left" vertical="center" wrapText="1"/>
    </xf>
    <xf numFmtId="170" fontId="9" fillId="0" borderId="1" xfId="17" applyNumberFormat="1" applyBorder="1" applyAlignment="1">
      <alignment horizontal="center" vertical="center" wrapText="1"/>
    </xf>
    <xf numFmtId="0" fontId="10" fillId="0" borderId="10" xfId="17" applyFont="1" applyBorder="1" applyAlignment="1">
      <alignment vertical="center" wrapText="1"/>
    </xf>
    <xf numFmtId="0" fontId="10" fillId="0" borderId="1" xfId="17" applyFont="1" applyBorder="1" applyAlignment="1">
      <alignment vertical="center" wrapText="1"/>
    </xf>
    <xf numFmtId="49" fontId="10" fillId="0" borderId="11" xfId="17" applyNumberFormat="1" applyFont="1" applyBorder="1" applyAlignment="1">
      <alignment vertical="center"/>
    </xf>
    <xf numFmtId="4" fontId="9" fillId="0" borderId="0" xfId="17" applyNumberFormat="1" applyAlignment="1">
      <alignment horizontal="left" vertical="center"/>
    </xf>
    <xf numFmtId="175" fontId="9" fillId="0" borderId="0" xfId="17" applyNumberFormat="1" applyAlignment="1">
      <alignment horizontal="left" vertical="center"/>
    </xf>
    <xf numFmtId="176" fontId="9" fillId="0" borderId="0" xfId="17" applyNumberFormat="1" applyAlignment="1">
      <alignment horizontal="left" vertical="center"/>
    </xf>
    <xf numFmtId="9" fontId="9" fillId="0" borderId="0" xfId="17" applyNumberFormat="1" applyAlignment="1">
      <alignment horizontal="left" vertical="center"/>
    </xf>
    <xf numFmtId="10" fontId="9" fillId="0" borderId="0" xfId="17" applyNumberFormat="1" applyAlignment="1">
      <alignment horizontal="left" vertical="center"/>
    </xf>
    <xf numFmtId="177" fontId="9" fillId="0" borderId="0" xfId="17" applyNumberFormat="1" applyAlignment="1">
      <alignment horizontal="left" vertical="center"/>
    </xf>
    <xf numFmtId="0" fontId="35" fillId="0" borderId="10" xfId="0" applyFont="1" applyBorder="1" applyAlignment="1">
      <alignment horizontal="center" vertical="center" wrapText="1"/>
    </xf>
    <xf numFmtId="170" fontId="9" fillId="0" borderId="1" xfId="3" applyNumberFormat="1" applyFont="1" applyFill="1" applyBorder="1" applyAlignment="1">
      <alignment horizontal="center" vertical="center" wrapText="1"/>
    </xf>
    <xf numFmtId="2" fontId="9" fillId="0" borderId="1" xfId="17" applyNumberFormat="1" applyBorder="1" applyAlignment="1">
      <alignment horizontal="center" wrapText="1"/>
    </xf>
    <xf numFmtId="0" fontId="10" fillId="0" borderId="2" xfId="17" applyFont="1" applyBorder="1" applyAlignment="1">
      <alignment horizontal="left"/>
    </xf>
    <xf numFmtId="4" fontId="9" fillId="0" borderId="1" xfId="17" applyNumberFormat="1" applyBorder="1" applyAlignment="1">
      <alignment horizontal="center" vertical="center"/>
    </xf>
    <xf numFmtId="4" fontId="9" fillId="0" borderId="2" xfId="17" applyNumberFormat="1" applyBorder="1" applyAlignment="1">
      <alignment horizontal="center" vertical="center"/>
    </xf>
    <xf numFmtId="0" fontId="9" fillId="0" borderId="2" xfId="17" applyBorder="1" applyAlignment="1">
      <alignment horizontal="center"/>
    </xf>
    <xf numFmtId="4" fontId="9" fillId="0" borderId="1" xfId="17" applyNumberFormat="1" applyBorder="1" applyAlignment="1">
      <alignment horizontal="center" vertical="center" wrapText="1"/>
    </xf>
    <xf numFmtId="0" fontId="9" fillId="0" borderId="2" xfId="17" applyBorder="1" applyAlignment="1">
      <alignment horizontal="left"/>
    </xf>
    <xf numFmtId="0" fontId="10" fillId="0" borderId="1" xfId="17" applyFont="1" applyBorder="1" applyAlignment="1">
      <alignment horizontal="left"/>
    </xf>
    <xf numFmtId="4" fontId="9" fillId="0" borderId="0" xfId="17" applyNumberFormat="1" applyAlignment="1">
      <alignment horizontal="center"/>
    </xf>
    <xf numFmtId="0" fontId="9" fillId="0" borderId="2" xfId="17" applyBorder="1" applyAlignment="1">
      <alignment horizontal="left" wrapText="1"/>
    </xf>
    <xf numFmtId="4" fontId="9" fillId="0" borderId="1" xfId="17" applyNumberFormat="1" applyBorder="1" applyAlignment="1">
      <alignment horizontal="center"/>
    </xf>
    <xf numFmtId="4" fontId="9" fillId="0" borderId="2" xfId="17" applyNumberFormat="1" applyBorder="1" applyAlignment="1">
      <alignment horizontal="center"/>
    </xf>
    <xf numFmtId="0" fontId="36" fillId="0" borderId="1" xfId="17" applyFont="1" applyBorder="1" applyAlignment="1">
      <alignment horizontal="left"/>
    </xf>
    <xf numFmtId="4" fontId="9" fillId="0" borderId="16" xfId="17" applyNumberFormat="1" applyBorder="1" applyAlignment="1">
      <alignment horizontal="center"/>
    </xf>
    <xf numFmtId="0" fontId="9" fillId="0" borderId="1" xfId="17" applyBorder="1" applyAlignment="1" applyProtection="1">
      <alignment horizontal="left"/>
      <protection locked="0"/>
    </xf>
    <xf numFmtId="174" fontId="9" fillId="0" borderId="3" xfId="17" applyNumberFormat="1" applyBorder="1" applyAlignment="1">
      <alignment horizontal="center" vertical="center"/>
    </xf>
    <xf numFmtId="0" fontId="37" fillId="0" borderId="0" xfId="17" applyFont="1" applyAlignment="1">
      <alignment horizontal="center" vertical="center"/>
    </xf>
    <xf numFmtId="174" fontId="10" fillId="0" borderId="12" xfId="17" applyNumberFormat="1" applyFont="1" applyBorder="1" applyAlignment="1">
      <alignment horizontal="center" vertical="center"/>
    </xf>
    <xf numFmtId="49" fontId="9" fillId="0" borderId="1" xfId="17" applyNumberFormat="1" applyBorder="1" applyAlignment="1">
      <alignment vertical="top" wrapText="1"/>
    </xf>
    <xf numFmtId="174" fontId="9" fillId="0" borderId="1" xfId="17" applyNumberFormat="1" applyBorder="1" applyAlignment="1">
      <alignment horizontal="center" wrapText="1"/>
    </xf>
    <xf numFmtId="0" fontId="9" fillId="0" borderId="0" xfId="17" applyAlignment="1">
      <alignment horizontal="left" vertical="top" wrapText="1"/>
    </xf>
    <xf numFmtId="0" fontId="10" fillId="10" borderId="0" xfId="17" applyFont="1" applyFill="1" applyAlignment="1">
      <alignment horizontal="left" vertical="center" wrapText="1"/>
    </xf>
    <xf numFmtId="0" fontId="35" fillId="0" borderId="10" xfId="17" applyFont="1" applyBorder="1" applyAlignment="1">
      <alignment horizontal="center" vertical="center" wrapText="1"/>
    </xf>
    <xf numFmtId="174" fontId="10" fillId="0" borderId="17" xfId="17" applyNumberFormat="1" applyFont="1" applyBorder="1" applyAlignment="1">
      <alignment horizontal="center" vertical="center" wrapText="1"/>
    </xf>
    <xf numFmtId="174" fontId="33" fillId="0" borderId="0" xfId="17" applyNumberFormat="1" applyFont="1" applyAlignment="1">
      <alignment vertical="center" wrapText="1"/>
    </xf>
    <xf numFmtId="0" fontId="35" fillId="0" borderId="14" xfId="17" applyFont="1" applyBorder="1" applyAlignment="1">
      <alignment horizontal="center" vertical="center" wrapText="1"/>
    </xf>
    <xf numFmtId="174" fontId="10" fillId="0" borderId="14" xfId="17" applyNumberFormat="1" applyFont="1" applyBorder="1" applyAlignment="1">
      <alignment horizontal="center" vertical="center" wrapText="1"/>
    </xf>
    <xf numFmtId="174" fontId="9" fillId="0" borderId="0" xfId="17" applyNumberFormat="1" applyAlignment="1">
      <alignment horizontal="center" vertical="center" wrapText="1"/>
    </xf>
    <xf numFmtId="170" fontId="9" fillId="0" borderId="1" xfId="3" applyNumberFormat="1" applyFont="1" applyFill="1" applyBorder="1" applyAlignment="1">
      <alignment horizontal="center" wrapText="1"/>
    </xf>
    <xf numFmtId="49" fontId="10" fillId="0" borderId="1" xfId="17" applyNumberFormat="1" applyFont="1" applyBorder="1" applyAlignment="1">
      <alignment horizontal="right" vertical="top" wrapText="1"/>
    </xf>
    <xf numFmtId="0" fontId="33" fillId="0" borderId="0" xfId="17" applyFont="1" applyAlignment="1">
      <alignment vertical="center"/>
    </xf>
    <xf numFmtId="0" fontId="10" fillId="0" borderId="0" xfId="17" applyFont="1" applyAlignment="1">
      <alignment wrapText="1"/>
    </xf>
    <xf numFmtId="0" fontId="0" fillId="0" borderId="0" xfId="17" applyFont="1" applyAlignment="1">
      <alignment vertical="center" wrapText="1"/>
    </xf>
    <xf numFmtId="0" fontId="33" fillId="0" borderId="1" xfId="17" applyFont="1" applyBorder="1" applyAlignment="1">
      <alignment horizontal="center" vertical="center" wrapText="1"/>
    </xf>
    <xf numFmtId="0" fontId="9" fillId="0" borderId="16" xfId="17" applyBorder="1" applyAlignment="1">
      <alignment horizontal="center" vertical="center" wrapText="1"/>
    </xf>
    <xf numFmtId="3" fontId="9" fillId="0" borderId="16" xfId="1" applyNumberFormat="1" applyFont="1" applyFill="1" applyBorder="1" applyAlignment="1">
      <alignment horizontal="center" vertical="center" wrapText="1"/>
    </xf>
    <xf numFmtId="3" fontId="9" fillId="0" borderId="0" xfId="1" applyNumberFormat="1" applyFont="1" applyFill="1" applyBorder="1" applyAlignment="1">
      <alignment horizontal="center" vertical="center" wrapText="1"/>
    </xf>
    <xf numFmtId="0" fontId="9" fillId="0" borderId="21" xfId="64" applyFont="1" applyBorder="1" applyAlignment="1">
      <alignment horizontal="left" vertical="top" wrapText="1"/>
    </xf>
    <xf numFmtId="0" fontId="9" fillId="0" borderId="1" xfId="64" applyFont="1" applyBorder="1" applyAlignment="1">
      <alignment horizontal="left" vertical="top" wrapText="1"/>
    </xf>
    <xf numFmtId="0" fontId="10" fillId="0" borderId="21" xfId="64" applyFont="1" applyBorder="1" applyAlignment="1">
      <alignment horizontal="left" vertical="top" wrapText="1"/>
    </xf>
    <xf numFmtId="0" fontId="10" fillId="0" borderId="1" xfId="64" applyFont="1" applyBorder="1" applyAlignment="1">
      <alignment horizontal="left" vertical="top" wrapText="1"/>
    </xf>
    <xf numFmtId="0" fontId="10" fillId="0" borderId="0" xfId="64" applyFont="1" applyAlignment="1">
      <alignment horizontal="left" vertical="top" wrapText="1"/>
    </xf>
    <xf numFmtId="0" fontId="9" fillId="0" borderId="21" xfId="64" applyFont="1" applyBorder="1" applyAlignment="1">
      <alignment vertical="top" wrapText="1"/>
    </xf>
    <xf numFmtId="0" fontId="9" fillId="0" borderId="0" xfId="64" applyFont="1" applyAlignment="1">
      <alignment vertical="top" wrapText="1"/>
    </xf>
    <xf numFmtId="0" fontId="9" fillId="2" borderId="0" xfId="17" applyFill="1" applyAlignment="1">
      <alignment vertical="center" wrapText="1"/>
    </xf>
    <xf numFmtId="0" fontId="33" fillId="2" borderId="0" xfId="17" applyFont="1" applyFill="1" applyAlignment="1">
      <alignment vertical="center" wrapText="1"/>
    </xf>
    <xf numFmtId="174" fontId="10" fillId="0" borderId="11" xfId="17" applyNumberFormat="1" applyFont="1" applyBorder="1" applyAlignment="1">
      <alignment horizontal="center" vertical="center" wrapText="1"/>
    </xf>
    <xf numFmtId="174" fontId="10" fillId="0" borderId="22" xfId="17" applyNumberFormat="1" applyFont="1" applyBorder="1" applyAlignment="1">
      <alignment horizontal="center" vertical="center" wrapText="1"/>
    </xf>
    <xf numFmtId="174" fontId="10" fillId="0" borderId="10" xfId="17" applyNumberFormat="1" applyFont="1" applyBorder="1" applyAlignment="1">
      <alignment vertical="center" wrapText="1"/>
    </xf>
    <xf numFmtId="174" fontId="10" fillId="0" borderId="17" xfId="17" applyNumberFormat="1" applyFont="1" applyBorder="1" applyAlignment="1">
      <alignment vertical="center" wrapText="1"/>
    </xf>
    <xf numFmtId="0" fontId="10" fillId="0" borderId="17" xfId="17" applyFont="1" applyBorder="1" applyAlignment="1">
      <alignment vertical="center" wrapText="1"/>
    </xf>
    <xf numFmtId="174" fontId="10" fillId="0" borderId="12" xfId="17" applyNumberFormat="1" applyFont="1" applyBorder="1" applyAlignment="1">
      <alignment horizontal="center" vertical="center" wrapText="1"/>
    </xf>
    <xf numFmtId="174" fontId="10" fillId="0" borderId="19" xfId="17" applyNumberFormat="1" applyFont="1" applyBorder="1" applyAlignment="1">
      <alignment horizontal="center" vertical="center" wrapText="1"/>
    </xf>
    <xf numFmtId="174" fontId="10" fillId="0" borderId="20" xfId="17" applyNumberFormat="1" applyFont="1" applyBorder="1" applyAlignment="1">
      <alignment horizontal="center" vertical="center" wrapText="1"/>
    </xf>
    <xf numFmtId="49" fontId="10" fillId="0" borderId="1" xfId="17" applyNumberFormat="1" applyFont="1" applyBorder="1" applyAlignment="1">
      <alignment horizontal="left" vertical="center"/>
    </xf>
    <xf numFmtId="1" fontId="9" fillId="0" borderId="1" xfId="7" applyNumberFormat="1" applyFont="1" applyFill="1" applyBorder="1" applyAlignment="1" applyProtection="1">
      <alignment horizontal="center" vertical="center" wrapText="1"/>
      <protection locked="0"/>
    </xf>
    <xf numFmtId="1" fontId="9" fillId="0" borderId="1" xfId="17" applyNumberFormat="1" applyBorder="1" applyAlignment="1" applyProtection="1">
      <alignment horizontal="center" vertical="center" wrapText="1"/>
      <protection locked="0"/>
    </xf>
    <xf numFmtId="1" fontId="9" fillId="0" borderId="1" xfId="1" applyNumberFormat="1" applyFont="1" applyFill="1" applyBorder="1" applyAlignment="1" applyProtection="1">
      <alignment horizontal="center" vertical="center" wrapText="1"/>
      <protection locked="0"/>
    </xf>
    <xf numFmtId="1" fontId="9" fillId="0" borderId="1" xfId="29" applyNumberFormat="1" applyFont="1" applyFill="1" applyBorder="1" applyAlignment="1" applyProtection="1">
      <alignment horizontal="center" vertical="center" wrapText="1"/>
      <protection locked="0"/>
    </xf>
    <xf numFmtId="1" fontId="9" fillId="0" borderId="0" xfId="17" applyNumberFormat="1" applyAlignment="1" applyProtection="1">
      <alignment horizontal="center" vertical="center"/>
      <protection locked="0"/>
    </xf>
    <xf numFmtId="1" fontId="9" fillId="0" borderId="1" xfId="17" applyNumberFormat="1" applyBorder="1" applyAlignment="1" applyProtection="1">
      <alignment horizontal="center" vertical="center"/>
      <protection locked="0"/>
    </xf>
    <xf numFmtId="1" fontId="26" fillId="0" borderId="1" xfId="17" applyNumberFormat="1" applyFont="1" applyBorder="1" applyAlignment="1" applyProtection="1">
      <alignment horizontal="center" vertical="center" wrapText="1"/>
      <protection locked="0"/>
    </xf>
    <xf numFmtId="1" fontId="25" fillId="0" borderId="16" xfId="17" applyNumberFormat="1" applyFont="1" applyBorder="1" applyAlignment="1" applyProtection="1">
      <alignment horizontal="center" vertical="center" wrapText="1"/>
      <protection locked="0"/>
    </xf>
    <xf numFmtId="1" fontId="9" fillId="0" borderId="1" xfId="17" applyNumberFormat="1" applyBorder="1" applyAlignment="1" applyProtection="1">
      <alignment horizontal="center" wrapText="1"/>
      <protection locked="0"/>
    </xf>
    <xf numFmtId="1" fontId="10" fillId="0" borderId="12" xfId="17" applyNumberFormat="1" applyFont="1" applyBorder="1" applyAlignment="1" applyProtection="1">
      <alignment horizontal="center" vertical="center"/>
      <protection locked="0"/>
    </xf>
    <xf numFmtId="1" fontId="10" fillId="0" borderId="0" xfId="17" applyNumberFormat="1" applyFont="1" applyAlignment="1" applyProtection="1">
      <alignment horizontal="center" vertical="center"/>
      <protection locked="0"/>
    </xf>
    <xf numFmtId="1" fontId="10" fillId="0" borderId="3" xfId="17" applyNumberFormat="1" applyFont="1" applyBorder="1" applyAlignment="1" applyProtection="1">
      <alignment horizontal="center" vertical="center"/>
      <protection locked="0"/>
    </xf>
    <xf numFmtId="1" fontId="10" fillId="0" borderId="5" xfId="17" applyNumberFormat="1" applyFont="1" applyBorder="1" applyAlignment="1" applyProtection="1">
      <alignment horizontal="center" vertical="center"/>
      <protection locked="0"/>
    </xf>
    <xf numFmtId="1" fontId="10" fillId="0" borderId="0" xfId="17" applyNumberFormat="1" applyFont="1" applyAlignment="1" applyProtection="1">
      <alignment horizontal="center" vertical="center" wrapText="1"/>
      <protection locked="0"/>
    </xf>
    <xf numFmtId="1" fontId="10" fillId="0" borderId="3" xfId="17" applyNumberFormat="1" applyFont="1" applyBorder="1" applyAlignment="1" applyProtection="1">
      <alignment horizontal="center" vertical="center" wrapText="1"/>
      <protection locked="0"/>
    </xf>
    <xf numFmtId="1" fontId="10" fillId="0" borderId="10" xfId="17" applyNumberFormat="1" applyFont="1" applyBorder="1" applyAlignment="1" applyProtection="1">
      <alignment horizontal="center" vertical="center" wrapText="1"/>
      <protection locked="0"/>
    </xf>
    <xf numFmtId="1" fontId="22" fillId="0" borderId="1" xfId="1" applyNumberFormat="1" applyFont="1" applyFill="1" applyBorder="1" applyAlignment="1" applyProtection="1">
      <alignment horizontal="center" vertical="center" wrapText="1"/>
      <protection locked="0"/>
    </xf>
    <xf numFmtId="1" fontId="22" fillId="0" borderId="1" xfId="17" applyNumberFormat="1" applyFont="1" applyBorder="1" applyAlignment="1" applyProtection="1">
      <alignment horizontal="center" vertical="center" wrapText="1"/>
      <protection locked="0"/>
    </xf>
    <xf numFmtId="1" fontId="22" fillId="0" borderId="1" xfId="17" applyNumberFormat="1" applyFont="1" applyBorder="1" applyAlignment="1" applyProtection="1">
      <alignment horizontal="center" vertical="center"/>
      <protection locked="0"/>
    </xf>
    <xf numFmtId="1" fontId="25" fillId="0" borderId="1" xfId="0" applyNumberFormat="1" applyFont="1" applyBorder="1" applyAlignment="1" applyProtection="1">
      <alignment horizontal="center" vertical="center" wrapText="1"/>
      <protection locked="0"/>
    </xf>
    <xf numFmtId="1" fontId="9" fillId="0" borderId="1" xfId="7" applyNumberFormat="1" applyFont="1" applyFill="1" applyBorder="1" applyAlignment="1" applyProtection="1">
      <alignment horizontal="center" wrapText="1"/>
      <protection locked="0"/>
    </xf>
    <xf numFmtId="1" fontId="9" fillId="0" borderId="1" xfId="17" applyNumberFormat="1" applyBorder="1" applyAlignment="1" applyProtection="1">
      <alignment horizontal="center"/>
      <protection locked="0"/>
    </xf>
    <xf numFmtId="1" fontId="9" fillId="0" borderId="1" xfId="1" applyNumberFormat="1" applyFont="1" applyFill="1" applyBorder="1" applyAlignment="1" applyProtection="1">
      <alignment horizontal="center" wrapText="1"/>
      <protection locked="0"/>
    </xf>
    <xf numFmtId="1" fontId="22" fillId="0" borderId="1" xfId="1" applyNumberFormat="1" applyFont="1" applyFill="1" applyBorder="1" applyAlignment="1" applyProtection="1">
      <alignment horizontal="center" wrapText="1"/>
      <protection locked="0"/>
    </xf>
    <xf numFmtId="1" fontId="26" fillId="0" borderId="1" xfId="1" applyNumberFormat="1" applyFont="1" applyFill="1" applyBorder="1" applyAlignment="1" applyProtection="1">
      <alignment horizontal="center" vertical="center" wrapText="1"/>
      <protection locked="0"/>
    </xf>
    <xf numFmtId="1" fontId="22" fillId="0" borderId="1" xfId="17" applyNumberFormat="1" applyFont="1" applyBorder="1" applyAlignment="1" applyProtection="1">
      <alignment horizontal="center" wrapText="1"/>
      <protection locked="0"/>
    </xf>
    <xf numFmtId="1" fontId="22" fillId="0" borderId="1" xfId="17" applyNumberFormat="1" applyFont="1" applyBorder="1" applyAlignment="1" applyProtection="1">
      <alignment horizontal="center"/>
      <protection locked="0"/>
    </xf>
    <xf numFmtId="1" fontId="26" fillId="0" borderId="1" xfId="7" applyNumberFormat="1" applyFont="1" applyFill="1" applyBorder="1" applyAlignment="1" applyProtection="1">
      <alignment horizontal="center" vertical="center" wrapText="1"/>
      <protection locked="0"/>
    </xf>
    <xf numFmtId="1" fontId="28" fillId="0" borderId="1" xfId="17" applyNumberFormat="1" applyFont="1" applyBorder="1" applyAlignment="1" applyProtection="1">
      <alignment horizontal="center" vertical="center" wrapText="1"/>
      <protection locked="0"/>
    </xf>
    <xf numFmtId="1" fontId="26" fillId="0" borderId="1" xfId="17" applyNumberFormat="1" applyFont="1" applyBorder="1" applyAlignment="1" applyProtection="1">
      <alignment horizontal="center" vertical="center"/>
      <protection locked="0"/>
    </xf>
    <xf numFmtId="1" fontId="27" fillId="0" borderId="12" xfId="17" applyNumberFormat="1" applyFont="1" applyBorder="1" applyAlignment="1" applyProtection="1">
      <alignment horizontal="center" vertical="center"/>
      <protection locked="0"/>
    </xf>
    <xf numFmtId="1" fontId="27" fillId="0" borderId="0" xfId="17" applyNumberFormat="1" applyFont="1" applyAlignment="1" applyProtection="1">
      <alignment horizontal="center" vertical="center"/>
      <protection locked="0"/>
    </xf>
    <xf numFmtId="1" fontId="27" fillId="0" borderId="3" xfId="17" applyNumberFormat="1" applyFont="1" applyBorder="1" applyAlignment="1" applyProtection="1">
      <alignment horizontal="center" vertical="center"/>
      <protection locked="0"/>
    </xf>
    <xf numFmtId="1" fontId="27" fillId="0" borderId="5" xfId="17" applyNumberFormat="1" applyFont="1" applyBorder="1" applyAlignment="1" applyProtection="1">
      <alignment horizontal="center" vertical="center"/>
      <protection locked="0"/>
    </xf>
    <xf numFmtId="1" fontId="27" fillId="0" borderId="0" xfId="17" applyNumberFormat="1" applyFont="1" applyAlignment="1" applyProtection="1">
      <alignment horizontal="center" vertical="center" wrapText="1"/>
      <protection locked="0"/>
    </xf>
    <xf numFmtId="1" fontId="27" fillId="0" borderId="3" xfId="17" applyNumberFormat="1" applyFont="1" applyBorder="1" applyAlignment="1" applyProtection="1">
      <alignment horizontal="center" vertical="center" wrapText="1"/>
      <protection locked="0"/>
    </xf>
    <xf numFmtId="1" fontId="27" fillId="0" borderId="10" xfId="17" applyNumberFormat="1" applyFont="1" applyBorder="1" applyAlignment="1" applyProtection="1">
      <alignment horizontal="center" vertical="center" wrapText="1"/>
      <protection locked="0"/>
    </xf>
    <xf numFmtId="2" fontId="9" fillId="0" borderId="1" xfId="17" applyNumberFormat="1" applyBorder="1" applyAlignment="1" applyProtection="1">
      <alignment horizontal="center" vertical="center" wrapText="1"/>
      <protection locked="0"/>
    </xf>
    <xf numFmtId="4" fontId="9" fillId="0" borderId="1" xfId="17" applyNumberFormat="1" applyBorder="1" applyAlignment="1" applyProtection="1">
      <alignment horizontal="center" vertical="center" wrapText="1"/>
      <protection locked="0"/>
    </xf>
    <xf numFmtId="174" fontId="9" fillId="0" borderId="1" xfId="17" applyNumberFormat="1" applyBorder="1" applyAlignment="1" applyProtection="1">
      <alignment horizontal="center" vertical="center" wrapText="1"/>
      <protection locked="0"/>
    </xf>
    <xf numFmtId="174" fontId="9" fillId="0" borderId="1" xfId="17" applyNumberFormat="1" applyBorder="1" applyAlignment="1" applyProtection="1">
      <alignment horizontal="center" wrapText="1"/>
      <protection locked="0"/>
    </xf>
    <xf numFmtId="10" fontId="9" fillId="0" borderId="1" xfId="17" applyNumberFormat="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0" fontId="9" fillId="11" borderId="0" xfId="17" applyFill="1" applyAlignment="1">
      <alignment vertical="center"/>
    </xf>
    <xf numFmtId="49" fontId="33" fillId="0" borderId="1" xfId="17" applyNumberFormat="1" applyFont="1" applyBorder="1" applyAlignment="1">
      <alignment horizontal="left" vertical="center" wrapText="1"/>
    </xf>
    <xf numFmtId="0" fontId="33" fillId="0" borderId="16" xfId="17" applyFont="1" applyBorder="1" applyAlignment="1">
      <alignment horizontal="left" vertical="center" wrapText="1"/>
    </xf>
    <xf numFmtId="0" fontId="33" fillId="0" borderId="1" xfId="17" applyFont="1" applyBorder="1" applyAlignment="1">
      <alignment horizontal="center" vertical="center"/>
    </xf>
    <xf numFmtId="0" fontId="33" fillId="0" borderId="0" xfId="17" applyFont="1" applyAlignment="1">
      <alignment horizontal="center" vertical="center"/>
    </xf>
    <xf numFmtId="1" fontId="33" fillId="0" borderId="1" xfId="7" applyNumberFormat="1" applyFont="1" applyFill="1" applyBorder="1" applyAlignment="1" applyProtection="1">
      <alignment horizontal="center" vertical="center" wrapText="1"/>
      <protection locked="0"/>
    </xf>
    <xf numFmtId="179" fontId="33" fillId="0" borderId="1" xfId="3" applyNumberFormat="1" applyFont="1" applyFill="1" applyBorder="1" applyAlignment="1">
      <alignment horizontal="center" vertical="center" wrapText="1"/>
    </xf>
    <xf numFmtId="49" fontId="37" fillId="0" borderId="1" xfId="17" applyNumberFormat="1" applyFont="1" applyBorder="1" applyAlignment="1">
      <alignment horizontal="left" vertical="center" wrapText="1"/>
    </xf>
    <xf numFmtId="0" fontId="37" fillId="0" borderId="16" xfId="17" applyFont="1" applyBorder="1" applyAlignment="1">
      <alignment horizontal="left" vertical="center" wrapText="1"/>
    </xf>
    <xf numFmtId="1" fontId="33" fillId="0" borderId="1" xfId="7" applyNumberFormat="1" applyFont="1" applyFill="1" applyBorder="1" applyAlignment="1">
      <alignment horizontal="center" vertical="center" wrapText="1"/>
    </xf>
    <xf numFmtId="0" fontId="33" fillId="0" borderId="1" xfId="17" applyFont="1" applyBorder="1" applyAlignment="1">
      <alignment horizontal="left" vertical="center" wrapText="1"/>
    </xf>
    <xf numFmtId="1" fontId="33" fillId="0" borderId="1" xfId="29" applyNumberFormat="1" applyFont="1" applyFill="1" applyBorder="1" applyAlignment="1">
      <alignment horizontal="center" vertical="center" wrapText="1"/>
    </xf>
    <xf numFmtId="1" fontId="33" fillId="0" borderId="1" xfId="1" applyNumberFormat="1" applyFont="1" applyFill="1" applyBorder="1" applyAlignment="1" applyProtection="1">
      <alignment horizontal="center" vertical="center" wrapText="1"/>
      <protection locked="0"/>
    </xf>
    <xf numFmtId="0" fontId="33" fillId="0" borderId="1" xfId="17" applyFont="1" applyBorder="1" applyAlignment="1">
      <alignment horizontal="right"/>
    </xf>
    <xf numFmtId="0" fontId="33" fillId="0" borderId="1" xfId="17" applyFont="1" applyBorder="1"/>
    <xf numFmtId="1" fontId="33" fillId="0" borderId="1" xfId="1" applyNumberFormat="1" applyFont="1" applyFill="1" applyBorder="1" applyAlignment="1">
      <alignment horizontal="center" vertical="center" wrapText="1"/>
    </xf>
    <xf numFmtId="179" fontId="33" fillId="0" borderId="1" xfId="3" applyNumberFormat="1" applyFont="1" applyFill="1" applyBorder="1" applyAlignment="1">
      <alignment horizontal="center" wrapText="1"/>
    </xf>
    <xf numFmtId="49" fontId="33" fillId="0" borderId="1" xfId="17" applyNumberFormat="1" applyFont="1" applyBorder="1" applyAlignment="1">
      <alignment horizontal="right" vertical="center" wrapText="1"/>
    </xf>
    <xf numFmtId="0" fontId="33" fillId="0" borderId="1" xfId="17" applyFont="1" applyBorder="1" applyAlignment="1">
      <alignment horizontal="left" vertical="center"/>
    </xf>
    <xf numFmtId="49" fontId="33" fillId="0" borderId="1" xfId="17" applyNumberFormat="1" applyFont="1" applyBorder="1" applyAlignment="1">
      <alignment horizontal="right" vertical="center"/>
    </xf>
    <xf numFmtId="49" fontId="43" fillId="0" borderId="1" xfId="17" applyNumberFormat="1" applyFont="1" applyBorder="1" applyAlignment="1">
      <alignment horizontal="right" vertical="center" wrapText="1"/>
    </xf>
    <xf numFmtId="0" fontId="43" fillId="0" borderId="0" xfId="17" applyFont="1" applyAlignment="1">
      <alignment wrapText="1"/>
    </xf>
    <xf numFmtId="0" fontId="43" fillId="0" borderId="1" xfId="17" applyFont="1" applyBorder="1" applyAlignment="1">
      <alignment horizontal="center" vertical="center" wrapText="1"/>
    </xf>
    <xf numFmtId="0" fontId="43" fillId="0" borderId="1" xfId="17" applyFont="1" applyBorder="1" applyAlignment="1">
      <alignment horizontal="center" vertical="center"/>
    </xf>
    <xf numFmtId="1" fontId="43" fillId="0" borderId="1" xfId="1" applyNumberFormat="1" applyFont="1" applyFill="1" applyBorder="1" applyAlignment="1" applyProtection="1">
      <alignment horizontal="center" wrapText="1"/>
      <protection locked="0"/>
    </xf>
    <xf numFmtId="179" fontId="43" fillId="0" borderId="1" xfId="3" applyNumberFormat="1" applyFont="1" applyFill="1" applyBorder="1" applyAlignment="1">
      <alignment horizontal="center" wrapText="1"/>
    </xf>
    <xf numFmtId="49" fontId="43" fillId="0" borderId="1" xfId="17" applyNumberFormat="1" applyFont="1" applyBorder="1" applyAlignment="1">
      <alignment horizontal="right" vertical="top" wrapText="1"/>
    </xf>
    <xf numFmtId="0" fontId="43" fillId="0" borderId="0" xfId="17" applyFont="1" applyAlignment="1">
      <alignment horizontal="left" vertical="center" wrapText="1"/>
    </xf>
    <xf numFmtId="1" fontId="43" fillId="0" borderId="1" xfId="1" applyNumberFormat="1" applyFont="1" applyFill="1" applyBorder="1" applyAlignment="1">
      <alignment horizontal="center" wrapText="1"/>
    </xf>
    <xf numFmtId="0" fontId="43" fillId="0" borderId="0" xfId="17" applyFont="1"/>
    <xf numFmtId="0" fontId="43" fillId="0" borderId="1" xfId="17" applyFont="1" applyBorder="1" applyAlignment="1">
      <alignment horizontal="right"/>
    </xf>
    <xf numFmtId="1" fontId="43" fillId="0" borderId="1" xfId="1" applyNumberFormat="1" applyFont="1" applyFill="1" applyBorder="1" applyAlignment="1">
      <alignment horizontal="center" vertical="center" wrapText="1"/>
    </xf>
    <xf numFmtId="49" fontId="43" fillId="0" borderId="1" xfId="17" applyNumberFormat="1" applyFont="1" applyBorder="1" applyAlignment="1">
      <alignment horizontal="right" vertical="center"/>
    </xf>
    <xf numFmtId="49" fontId="37" fillId="0" borderId="1" xfId="17" applyNumberFormat="1" applyFont="1" applyBorder="1" applyAlignment="1">
      <alignment horizontal="right" vertical="center" wrapText="1"/>
    </xf>
    <xf numFmtId="0" fontId="37" fillId="0" borderId="1" xfId="17" applyFont="1" applyBorder="1" applyAlignment="1">
      <alignment horizontal="left" vertical="center" wrapText="1"/>
    </xf>
    <xf numFmtId="1" fontId="33" fillId="0" borderId="1" xfId="17" applyNumberFormat="1" applyFont="1" applyBorder="1" applyAlignment="1">
      <alignment horizontal="center" vertical="center" wrapText="1"/>
    </xf>
    <xf numFmtId="49" fontId="46" fillId="0" borderId="1" xfId="17" applyNumberFormat="1" applyFont="1" applyBorder="1" applyAlignment="1">
      <alignment horizontal="center" vertical="center" wrapText="1"/>
    </xf>
    <xf numFmtId="0" fontId="46" fillId="0" borderId="1" xfId="17" applyFont="1" applyBorder="1" applyAlignment="1">
      <alignment horizontal="left" vertical="center" wrapText="1"/>
    </xf>
    <xf numFmtId="0" fontId="46" fillId="0" borderId="1" xfId="17" applyFont="1" applyBorder="1" applyAlignment="1">
      <alignment horizontal="center" vertical="center" wrapText="1"/>
    </xf>
    <xf numFmtId="3" fontId="46" fillId="0" borderId="1" xfId="1" applyNumberFormat="1" applyFont="1" applyFill="1" applyBorder="1" applyAlignment="1">
      <alignment horizontal="center" vertical="center" wrapText="1"/>
    </xf>
    <xf numFmtId="1" fontId="46" fillId="0" borderId="1" xfId="17" applyNumberFormat="1" applyFont="1" applyBorder="1" applyAlignment="1" applyProtection="1">
      <alignment horizontal="center" vertical="center" wrapText="1"/>
      <protection locked="0"/>
    </xf>
    <xf numFmtId="179" fontId="46" fillId="0" borderId="1" xfId="3" applyNumberFormat="1" applyFont="1" applyFill="1" applyBorder="1" applyAlignment="1">
      <alignment horizontal="center" vertical="center" wrapText="1"/>
    </xf>
    <xf numFmtId="1" fontId="33" fillId="0" borderId="1" xfId="17" applyNumberFormat="1" applyFont="1" applyBorder="1" applyAlignment="1" applyProtection="1">
      <alignment horizontal="center" vertical="center" wrapText="1"/>
      <protection locked="0"/>
    </xf>
    <xf numFmtId="3" fontId="33" fillId="0" borderId="1" xfId="1" applyNumberFormat="1" applyFont="1" applyFill="1" applyBorder="1" applyAlignment="1">
      <alignment horizontal="center" vertical="center" wrapText="1"/>
    </xf>
    <xf numFmtId="49" fontId="33" fillId="0" borderId="1" xfId="17" applyNumberFormat="1" applyFont="1" applyBorder="1" applyAlignment="1">
      <alignment vertical="center" wrapText="1"/>
    </xf>
    <xf numFmtId="179" fontId="0" fillId="0" borderId="0" xfId="3" applyNumberFormat="1" applyFont="1" applyAlignment="1">
      <alignment horizontal="center"/>
    </xf>
    <xf numFmtId="0" fontId="34" fillId="0" borderId="0" xfId="0" applyFont="1" applyAlignment="1">
      <alignment horizontal="center" vertical="center" wrapText="1"/>
    </xf>
    <xf numFmtId="0" fontId="9" fillId="0" borderId="0" xfId="17" applyAlignment="1">
      <alignment horizontal="center" vertical="center"/>
    </xf>
    <xf numFmtId="0" fontId="10" fillId="0" borderId="0" xfId="17" applyFont="1" applyAlignment="1">
      <alignment horizontal="center" vertical="center"/>
    </xf>
    <xf numFmtId="0" fontId="10" fillId="0" borderId="3" xfId="17" applyFont="1" applyBorder="1" applyAlignment="1">
      <alignment horizontal="center" vertical="center"/>
    </xf>
    <xf numFmtId="0" fontId="10" fillId="0" borderId="0" xfId="17" applyFont="1" applyAlignment="1">
      <alignment vertical="center"/>
    </xf>
    <xf numFmtId="0" fontId="9" fillId="0" borderId="3" xfId="17" applyBorder="1" applyAlignment="1">
      <alignment vertical="center"/>
    </xf>
    <xf numFmtId="0" fontId="10" fillId="0" borderId="2" xfId="17" applyFont="1" applyBorder="1" applyAlignment="1">
      <alignment vertical="center" wrapText="1"/>
    </xf>
    <xf numFmtId="0" fontId="10" fillId="0" borderId="0" xfId="17" applyFont="1" applyAlignment="1">
      <alignment vertical="center" wrapText="1"/>
    </xf>
    <xf numFmtId="0" fontId="10" fillId="0" borderId="4" xfId="17" applyFont="1" applyBorder="1" applyAlignment="1">
      <alignment vertical="center" wrapText="1"/>
    </xf>
    <xf numFmtId="0" fontId="10" fillId="0" borderId="3" xfId="17" applyFont="1" applyBorder="1" applyAlignment="1">
      <alignment vertical="center" wrapText="1"/>
    </xf>
    <xf numFmtId="179" fontId="10" fillId="0" borderId="5" xfId="3" applyNumberFormat="1" applyFont="1" applyFill="1" applyBorder="1" applyAlignment="1">
      <alignment horizontal="center" vertical="center"/>
    </xf>
    <xf numFmtId="179" fontId="10" fillId="0" borderId="0" xfId="3" applyNumberFormat="1" applyFont="1" applyFill="1" applyBorder="1" applyAlignment="1">
      <alignment horizontal="center" vertical="center"/>
    </xf>
    <xf numFmtId="179" fontId="10" fillId="0" borderId="3" xfId="3" applyNumberFormat="1" applyFont="1" applyFill="1" applyBorder="1" applyAlignment="1">
      <alignment horizontal="center" vertical="center"/>
    </xf>
    <xf numFmtId="0" fontId="10" fillId="0" borderId="7" xfId="17" applyFont="1" applyBorder="1" applyAlignment="1">
      <alignment vertical="center"/>
    </xf>
    <xf numFmtId="0" fontId="10" fillId="0" borderId="5" xfId="17" applyFont="1" applyBorder="1" applyAlignment="1">
      <alignment vertical="center"/>
    </xf>
    <xf numFmtId="0" fontId="9" fillId="0" borderId="2" xfId="17" applyBorder="1" applyAlignment="1">
      <alignment horizontal="center" vertical="center"/>
    </xf>
    <xf numFmtId="0" fontId="10" fillId="0" borderId="2" xfId="17" applyFont="1" applyBorder="1" applyAlignment="1">
      <alignment horizontal="left" vertical="center" wrapText="1"/>
    </xf>
    <xf numFmtId="0" fontId="10" fillId="0" borderId="0" xfId="17" applyFont="1" applyAlignment="1">
      <alignment horizontal="left" vertical="center" wrapText="1"/>
    </xf>
    <xf numFmtId="0" fontId="10" fillId="0" borderId="4" xfId="17" applyFont="1" applyBorder="1" applyAlignment="1">
      <alignment horizontal="left" vertical="center" wrapText="1"/>
    </xf>
    <xf numFmtId="0" fontId="10" fillId="0" borderId="3" xfId="17" applyFont="1" applyBorder="1" applyAlignment="1">
      <alignment horizontal="left" vertical="center" wrapText="1"/>
    </xf>
    <xf numFmtId="179" fontId="10" fillId="0" borderId="0" xfId="3" applyNumberFormat="1" applyFont="1" applyFill="1" applyAlignment="1">
      <alignment horizontal="center" vertical="center"/>
    </xf>
    <xf numFmtId="0" fontId="10" fillId="0" borderId="7" xfId="17" applyFont="1" applyBorder="1" applyAlignment="1">
      <alignment horizontal="left" vertical="center"/>
    </xf>
    <xf numFmtId="0" fontId="10" fillId="0" borderId="5" xfId="17" applyFont="1" applyBorder="1" applyAlignment="1">
      <alignment horizontal="left" vertical="center"/>
    </xf>
    <xf numFmtId="0" fontId="10" fillId="0" borderId="0" xfId="17" applyFont="1" applyAlignment="1">
      <alignment horizontal="left" vertical="center"/>
    </xf>
    <xf numFmtId="2" fontId="10" fillId="0" borderId="0" xfId="17" applyNumberFormat="1" applyFont="1" applyAlignment="1">
      <alignment horizontal="center" vertical="center"/>
    </xf>
    <xf numFmtId="2" fontId="10" fillId="0" borderId="3" xfId="17" applyNumberFormat="1" applyFont="1" applyBorder="1" applyAlignment="1">
      <alignment horizontal="center" vertical="center"/>
    </xf>
    <xf numFmtId="0" fontId="9" fillId="0" borderId="3" xfId="17" applyBorder="1" applyAlignment="1">
      <alignment horizontal="left" vertical="center"/>
    </xf>
    <xf numFmtId="1" fontId="10" fillId="0" borderId="5" xfId="1" applyNumberFormat="1" applyFont="1" applyFill="1" applyBorder="1" applyAlignment="1">
      <alignment horizontal="left" vertical="center"/>
    </xf>
    <xf numFmtId="1" fontId="10" fillId="0" borderId="0" xfId="1" applyNumberFormat="1" applyFont="1" applyFill="1" applyBorder="1" applyAlignment="1">
      <alignment horizontal="left" vertical="center" wrapText="1"/>
    </xf>
    <xf numFmtId="2" fontId="10" fillId="0" borderId="5" xfId="17" applyNumberFormat="1" applyFont="1" applyBorder="1" applyAlignment="1">
      <alignment horizontal="left" vertical="center"/>
    </xf>
    <xf numFmtId="2" fontId="10" fillId="0" borderId="0" xfId="17" applyNumberFormat="1" applyFont="1" applyAlignment="1">
      <alignment horizontal="left" vertical="center" wrapText="1"/>
    </xf>
    <xf numFmtId="2" fontId="10" fillId="0" borderId="3" xfId="17" applyNumberFormat="1" applyFont="1" applyBorder="1" applyAlignment="1">
      <alignment horizontal="left" vertical="center" wrapText="1"/>
    </xf>
    <xf numFmtId="1" fontId="10" fillId="0" borderId="0" xfId="1" applyNumberFormat="1" applyFont="1" applyFill="1" applyBorder="1" applyAlignment="1">
      <alignment horizontal="center" vertical="center"/>
    </xf>
    <xf numFmtId="1" fontId="10" fillId="0" borderId="3" xfId="1" applyNumberFormat="1" applyFont="1" applyFill="1" applyBorder="1" applyAlignment="1">
      <alignment horizontal="center" vertical="center"/>
    </xf>
    <xf numFmtId="179" fontId="10" fillId="0" borderId="6" xfId="3" applyNumberFormat="1" applyFont="1" applyFill="1" applyBorder="1" applyAlignment="1">
      <alignment horizontal="center" vertical="center" wrapText="1"/>
    </xf>
    <xf numFmtId="179" fontId="10" fillId="0" borderId="16" xfId="3" applyNumberFormat="1" applyFont="1" applyFill="1" applyBorder="1" applyAlignment="1">
      <alignment horizontal="center" vertical="center" wrapText="1"/>
    </xf>
    <xf numFmtId="179" fontId="10" fillId="0" borderId="15" xfId="3" applyNumberFormat="1" applyFont="1" applyFill="1" applyBorder="1" applyAlignment="1">
      <alignment horizontal="center" vertical="center" wrapText="1"/>
    </xf>
    <xf numFmtId="179" fontId="10" fillId="0" borderId="16" xfId="3" applyNumberFormat="1" applyFont="1" applyFill="1" applyBorder="1" applyAlignment="1">
      <alignment horizontal="center" vertical="top"/>
    </xf>
    <xf numFmtId="179" fontId="10" fillId="0" borderId="15" xfId="3" applyNumberFormat="1" applyFont="1" applyFill="1" applyBorder="1" applyAlignment="1">
      <alignment horizontal="center" vertical="top"/>
    </xf>
    <xf numFmtId="49" fontId="10" fillId="0" borderId="11" xfId="17" applyNumberFormat="1" applyFont="1" applyBorder="1" applyAlignment="1">
      <alignment horizontal="left" vertical="center"/>
    </xf>
    <xf numFmtId="49" fontId="10" fillId="0" borderId="12" xfId="17" applyNumberFormat="1" applyFont="1" applyBorder="1" applyAlignment="1">
      <alignment horizontal="left" vertical="center"/>
    </xf>
    <xf numFmtId="49" fontId="10" fillId="0" borderId="17" xfId="17" applyNumberFormat="1" applyFont="1" applyBorder="1" applyAlignment="1">
      <alignment horizontal="left" vertical="center"/>
    </xf>
    <xf numFmtId="0" fontId="10" fillId="0" borderId="11" xfId="17" applyFont="1" applyBorder="1" applyAlignment="1">
      <alignment horizontal="left" vertical="center" wrapText="1"/>
    </xf>
    <xf numFmtId="0" fontId="10" fillId="0" borderId="12" xfId="17" applyFont="1" applyBorder="1" applyAlignment="1">
      <alignment horizontal="left" vertical="center" wrapText="1"/>
    </xf>
    <xf numFmtId="0" fontId="10" fillId="0" borderId="17" xfId="17" applyFont="1" applyBorder="1" applyAlignment="1">
      <alignment horizontal="left" vertical="center" wrapText="1"/>
    </xf>
    <xf numFmtId="0" fontId="10" fillId="0" borderId="12" xfId="17" applyFont="1" applyBorder="1" applyAlignment="1">
      <alignment horizontal="center" vertical="center" wrapText="1"/>
    </xf>
    <xf numFmtId="0" fontId="10" fillId="0" borderId="17" xfId="17" applyFont="1" applyBorder="1" applyAlignment="1">
      <alignment horizontal="center" vertical="center" wrapText="1"/>
    </xf>
    <xf numFmtId="0" fontId="9" fillId="0" borderId="2" xfId="17" applyBorder="1" applyAlignment="1">
      <alignment horizontal="left" vertical="center" wrapText="1"/>
    </xf>
    <xf numFmtId="0" fontId="9" fillId="0" borderId="0" xfId="17" applyAlignment="1">
      <alignment horizontal="left" vertical="center" wrapText="1"/>
    </xf>
    <xf numFmtId="174" fontId="10" fillId="0" borderId="0" xfId="17" applyNumberFormat="1" applyFont="1" applyAlignment="1">
      <alignment horizontal="center" vertical="center" wrapText="1"/>
    </xf>
    <xf numFmtId="174" fontId="10" fillId="0" borderId="16" xfId="17" applyNumberFormat="1" applyFont="1" applyBorder="1" applyAlignment="1">
      <alignment horizontal="center" vertical="center" wrapText="1"/>
    </xf>
    <xf numFmtId="0" fontId="9" fillId="0" borderId="7" xfId="17" applyBorder="1" applyAlignment="1">
      <alignment horizontal="left" vertical="center" wrapText="1"/>
    </xf>
    <xf numFmtId="0" fontId="9" fillId="0" borderId="5" xfId="17" applyBorder="1" applyAlignment="1">
      <alignment horizontal="left" vertical="center" wrapText="1"/>
    </xf>
    <xf numFmtId="174" fontId="10" fillId="0" borderId="5" xfId="17" applyNumberFormat="1" applyFont="1" applyBorder="1" applyAlignment="1">
      <alignment horizontal="center" vertical="center" wrapText="1"/>
    </xf>
    <xf numFmtId="174" fontId="10" fillId="0" borderId="6" xfId="17" applyNumberFormat="1" applyFont="1" applyBorder="1" applyAlignment="1">
      <alignment horizontal="center" vertical="center" wrapText="1"/>
    </xf>
    <xf numFmtId="0" fontId="10" fillId="0" borderId="10" xfId="17" applyFont="1" applyBorder="1" applyAlignment="1">
      <alignment horizontal="left" vertical="center"/>
    </xf>
    <xf numFmtId="0" fontId="10" fillId="0" borderId="13" xfId="17" applyFont="1" applyBorder="1" applyAlignment="1">
      <alignment horizontal="left" vertical="center"/>
    </xf>
    <xf numFmtId="170" fontId="10" fillId="0" borderId="10" xfId="1" applyNumberFormat="1" applyFont="1" applyFill="1" applyBorder="1" applyAlignment="1">
      <alignment horizontal="center" vertical="center" wrapText="1"/>
    </xf>
    <xf numFmtId="0" fontId="10" fillId="0" borderId="0" xfId="17" applyFont="1" applyAlignment="1">
      <alignment horizontal="right" vertical="center"/>
    </xf>
    <xf numFmtId="0" fontId="10" fillId="0" borderId="6" xfId="17" applyFont="1" applyBorder="1" applyAlignment="1">
      <alignment horizontal="right" vertical="top" wrapText="1"/>
    </xf>
    <xf numFmtId="0" fontId="10" fillId="0" borderId="16" xfId="17" applyFont="1" applyBorder="1" applyAlignment="1">
      <alignment horizontal="right" vertical="top" wrapText="1"/>
    </xf>
    <xf numFmtId="0" fontId="10" fillId="0" borderId="15" xfId="17" applyFont="1" applyBorder="1" applyAlignment="1">
      <alignment horizontal="right" vertical="top" wrapText="1"/>
    </xf>
    <xf numFmtId="0" fontId="10" fillId="0" borderId="0" xfId="17" applyFont="1" applyAlignment="1">
      <alignment horizontal="left" vertical="top"/>
    </xf>
    <xf numFmtId="0" fontId="10" fillId="0" borderId="0" xfId="17" applyFont="1" applyAlignment="1">
      <alignment horizontal="right" vertical="top"/>
    </xf>
    <xf numFmtId="0" fontId="10" fillId="0" borderId="3" xfId="17" applyFont="1" applyBorder="1" applyAlignment="1">
      <alignment horizontal="right" vertical="top"/>
    </xf>
    <xf numFmtId="0" fontId="9" fillId="0" borderId="3" xfId="17" applyBorder="1" applyAlignment="1">
      <alignment horizontal="center" vertical="center"/>
    </xf>
    <xf numFmtId="0" fontId="10" fillId="0" borderId="5" xfId="17" applyFont="1" applyBorder="1" applyAlignment="1">
      <alignment horizontal="right" vertical="top"/>
    </xf>
    <xf numFmtId="0" fontId="10" fillId="0" borderId="3" xfId="17" applyFont="1" applyBorder="1" applyAlignment="1">
      <alignment horizontal="left" vertical="center"/>
    </xf>
    <xf numFmtId="179" fontId="10" fillId="0" borderId="5" xfId="3" applyNumberFormat="1" applyFont="1" applyFill="1" applyBorder="1" applyAlignment="1">
      <alignment horizontal="center" vertical="top"/>
    </xf>
    <xf numFmtId="179" fontId="10" fillId="0" borderId="0" xfId="3" applyNumberFormat="1" applyFont="1" applyFill="1" applyAlignment="1">
      <alignment horizontal="center" vertical="top"/>
    </xf>
    <xf numFmtId="179" fontId="10" fillId="0" borderId="3" xfId="3" applyNumberFormat="1" applyFont="1" applyFill="1" applyBorder="1" applyAlignment="1">
      <alignment horizontal="center" vertical="top"/>
    </xf>
    <xf numFmtId="0" fontId="27" fillId="0" borderId="0" xfId="17" applyFont="1" applyAlignment="1">
      <alignment horizontal="left" vertical="center"/>
    </xf>
    <xf numFmtId="0" fontId="27" fillId="0" borderId="0" xfId="17" applyFont="1" applyAlignment="1">
      <alignment horizontal="right" vertical="center"/>
    </xf>
    <xf numFmtId="0" fontId="27" fillId="0" borderId="3" xfId="17" applyFont="1" applyBorder="1" applyAlignment="1">
      <alignment horizontal="right" vertical="center"/>
    </xf>
    <xf numFmtId="0" fontId="26" fillId="0" borderId="3" xfId="17" applyFont="1" applyBorder="1" applyAlignment="1">
      <alignment horizontal="center" vertical="center"/>
    </xf>
    <xf numFmtId="0" fontId="27" fillId="0" borderId="7" xfId="17" applyFont="1" applyBorder="1" applyAlignment="1">
      <alignment horizontal="left" vertical="center"/>
    </xf>
    <xf numFmtId="0" fontId="27" fillId="0" borderId="5" xfId="17" applyFont="1" applyBorder="1" applyAlignment="1">
      <alignment horizontal="left" vertical="center"/>
    </xf>
    <xf numFmtId="0" fontId="27" fillId="0" borderId="5" xfId="17" applyFont="1" applyBorder="1" applyAlignment="1">
      <alignment horizontal="right" vertical="center"/>
    </xf>
    <xf numFmtId="0" fontId="27" fillId="0" borderId="2" xfId="17" applyFont="1" applyBorder="1" applyAlignment="1">
      <alignment horizontal="left" vertical="center" wrapText="1"/>
    </xf>
    <xf numFmtId="0" fontId="27" fillId="0" borderId="0" xfId="17" applyFont="1" applyAlignment="1">
      <alignment horizontal="left" vertical="center" wrapText="1"/>
    </xf>
    <xf numFmtId="0" fontId="27" fillId="0" borderId="4" xfId="17" applyFont="1" applyBorder="1" applyAlignment="1">
      <alignment horizontal="left" vertical="center" wrapText="1"/>
    </xf>
    <xf numFmtId="0" fontId="27" fillId="0" borderId="3" xfId="17" applyFont="1" applyBorder="1" applyAlignment="1">
      <alignment horizontal="left" vertical="center" wrapText="1"/>
    </xf>
    <xf numFmtId="0" fontId="27" fillId="0" borderId="5" xfId="17" applyFont="1" applyBorder="1" applyAlignment="1">
      <alignment horizontal="center" vertical="center" wrapText="1"/>
    </xf>
    <xf numFmtId="0" fontId="27" fillId="0" borderId="0" xfId="17" applyFont="1" applyAlignment="1">
      <alignment horizontal="center" vertical="center" wrapText="1"/>
    </xf>
    <xf numFmtId="0" fontId="27" fillId="0" borderId="3" xfId="17" applyFont="1" applyBorder="1" applyAlignment="1">
      <alignment horizontal="center" vertical="center" wrapText="1"/>
    </xf>
    <xf numFmtId="0" fontId="27" fillId="0" borderId="7" xfId="17" applyFont="1" applyBorder="1" applyAlignment="1">
      <alignment horizontal="left" vertical="center" wrapText="1"/>
    </xf>
    <xf numFmtId="0" fontId="27" fillId="0" borderId="5" xfId="17" applyFont="1" applyBorder="1" applyAlignment="1">
      <alignment horizontal="left" vertical="center" wrapText="1"/>
    </xf>
    <xf numFmtId="0" fontId="27" fillId="0" borderId="0" xfId="17" applyFont="1" applyAlignment="1">
      <alignment horizontal="right" vertical="center" wrapText="1"/>
    </xf>
    <xf numFmtId="2" fontId="27" fillId="0" borderId="5" xfId="17" applyNumberFormat="1" applyFont="1" applyBorder="1" applyAlignment="1">
      <alignment horizontal="center" vertical="center"/>
    </xf>
    <xf numFmtId="2" fontId="27" fillId="0" borderId="0" xfId="17" applyNumberFormat="1" applyFont="1" applyAlignment="1">
      <alignment horizontal="center" vertical="center" wrapText="1"/>
    </xf>
    <xf numFmtId="2" fontId="27" fillId="0" borderId="3" xfId="17" applyNumberFormat="1" applyFont="1" applyBorder="1" applyAlignment="1">
      <alignment horizontal="center" vertical="center" wrapText="1"/>
    </xf>
    <xf numFmtId="2" fontId="27" fillId="0" borderId="0" xfId="17" applyNumberFormat="1" applyFont="1" applyAlignment="1">
      <alignment horizontal="center" vertical="center"/>
    </xf>
    <xf numFmtId="2" fontId="27" fillId="0" borderId="3" xfId="17" applyNumberFormat="1" applyFont="1" applyBorder="1" applyAlignment="1">
      <alignment horizontal="center" vertical="center"/>
    </xf>
    <xf numFmtId="0" fontId="27" fillId="0" borderId="5" xfId="17" applyFont="1" applyBorder="1" applyAlignment="1">
      <alignment horizontal="center" vertical="center"/>
    </xf>
    <xf numFmtId="0" fontId="27" fillId="0" borderId="0" xfId="17" applyFont="1" applyAlignment="1">
      <alignment horizontal="center" vertical="center"/>
    </xf>
    <xf numFmtId="0" fontId="27" fillId="0" borderId="3" xfId="17" applyFont="1" applyBorder="1" applyAlignment="1">
      <alignment horizontal="center" vertical="center"/>
    </xf>
    <xf numFmtId="0" fontId="10" fillId="0" borderId="5" xfId="17" applyFont="1" applyBorder="1" applyAlignment="1">
      <alignment horizontal="center" vertical="top"/>
    </xf>
    <xf numFmtId="0" fontId="10" fillId="0" borderId="0" xfId="17" applyFont="1" applyAlignment="1">
      <alignment horizontal="center" vertical="top"/>
    </xf>
    <xf numFmtId="0" fontId="10" fillId="0" borderId="3" xfId="17" applyFont="1" applyBorder="1" applyAlignment="1">
      <alignment horizontal="center" vertical="top"/>
    </xf>
    <xf numFmtId="0" fontId="10" fillId="0" borderId="6" xfId="17" applyFont="1" applyBorder="1" applyAlignment="1">
      <alignment horizontal="center" vertical="center" wrapText="1"/>
    </xf>
    <xf numFmtId="0" fontId="10" fillId="0" borderId="16" xfId="17" applyFont="1" applyBorder="1" applyAlignment="1">
      <alignment horizontal="center" vertical="center" wrapText="1"/>
    </xf>
    <xf numFmtId="0" fontId="10" fillId="0" borderId="15" xfId="17" applyFont="1" applyBorder="1" applyAlignment="1">
      <alignment horizontal="center" vertical="center" wrapText="1"/>
    </xf>
    <xf numFmtId="0" fontId="10" fillId="0" borderId="5" xfId="17" applyFont="1" applyBorder="1" applyAlignment="1">
      <alignment horizontal="center" vertical="top" wrapText="1"/>
    </xf>
    <xf numFmtId="0" fontId="10" fillId="0" borderId="0" xfId="17" applyFont="1" applyAlignment="1">
      <alignment horizontal="center" vertical="top" wrapText="1"/>
    </xf>
    <xf numFmtId="0" fontId="10" fillId="0" borderId="3" xfId="17" applyFont="1" applyBorder="1" applyAlignment="1">
      <alignment horizontal="center" vertical="top" wrapText="1"/>
    </xf>
    <xf numFmtId="0" fontId="27" fillId="0" borderId="6" xfId="17" applyFont="1" applyBorder="1" applyAlignment="1">
      <alignment horizontal="center" vertical="center" wrapText="1"/>
    </xf>
    <xf numFmtId="0" fontId="27" fillId="0" borderId="16" xfId="17" applyFont="1" applyBorder="1" applyAlignment="1">
      <alignment horizontal="center" vertical="center" wrapText="1"/>
    </xf>
    <xf numFmtId="0" fontId="27" fillId="0" borderId="15" xfId="17" applyFont="1" applyBorder="1" applyAlignment="1">
      <alignment horizontal="center" vertical="center" wrapText="1"/>
    </xf>
    <xf numFmtId="0" fontId="27" fillId="0" borderId="2" xfId="17" applyFont="1" applyBorder="1" applyAlignment="1">
      <alignment horizontal="left" vertical="center"/>
    </xf>
    <xf numFmtId="0" fontId="27" fillId="0" borderId="4" xfId="17" applyFont="1" applyBorder="1" applyAlignment="1">
      <alignment horizontal="left" vertical="center"/>
    </xf>
    <xf numFmtId="0" fontId="27" fillId="0" borderId="3" xfId="17" applyFont="1" applyBorder="1" applyAlignment="1">
      <alignment horizontal="left" vertical="center"/>
    </xf>
    <xf numFmtId="0" fontId="27" fillId="0" borderId="6" xfId="17" applyFont="1" applyBorder="1" applyAlignment="1">
      <alignment horizontal="center" vertical="center"/>
    </xf>
    <xf numFmtId="0" fontId="27" fillId="0" borderId="16" xfId="17" applyFont="1" applyBorder="1" applyAlignment="1">
      <alignment horizontal="center" vertical="center"/>
    </xf>
    <xf numFmtId="0" fontId="27" fillId="0" borderId="15" xfId="17" applyFont="1" applyBorder="1" applyAlignment="1">
      <alignment horizontal="center" vertical="center"/>
    </xf>
    <xf numFmtId="0" fontId="10" fillId="0" borderId="0" xfId="17" applyFont="1" applyAlignment="1">
      <alignment horizontal="center" vertical="center" wrapText="1"/>
    </xf>
    <xf numFmtId="0" fontId="10" fillId="0" borderId="7" xfId="17" applyFont="1" applyBorder="1" applyAlignment="1">
      <alignment horizontal="left" vertical="center" wrapText="1"/>
    </xf>
    <xf numFmtId="0" fontId="10" fillId="0" borderId="5" xfId="17" applyFont="1" applyBorder="1" applyAlignment="1">
      <alignment horizontal="left" vertical="center" wrapText="1"/>
    </xf>
    <xf numFmtId="179" fontId="10" fillId="0" borderId="0" xfId="3" applyNumberFormat="1" applyFont="1" applyFill="1" applyBorder="1" applyAlignment="1">
      <alignment horizontal="center" vertical="center" wrapText="1"/>
    </xf>
    <xf numFmtId="179" fontId="10" fillId="0" borderId="5" xfId="3" applyNumberFormat="1" applyFont="1" applyFill="1" applyBorder="1" applyAlignment="1">
      <alignment horizontal="center" vertical="center" wrapText="1"/>
    </xf>
    <xf numFmtId="0" fontId="10" fillId="0" borderId="11" xfId="17" applyFont="1" applyBorder="1" applyAlignment="1">
      <alignment horizontal="left" vertical="center"/>
    </xf>
    <xf numFmtId="0" fontId="10" fillId="0" borderId="12" xfId="17" applyFont="1" applyBorder="1" applyAlignment="1">
      <alignment horizontal="left" vertical="center"/>
    </xf>
    <xf numFmtId="179" fontId="10" fillId="0" borderId="11" xfId="3" applyNumberFormat="1" applyFont="1" applyFill="1" applyBorder="1" applyAlignment="1">
      <alignment horizontal="center" vertical="center" wrapText="1"/>
    </xf>
    <xf numFmtId="179" fontId="10" fillId="0" borderId="17" xfId="3" applyNumberFormat="1" applyFont="1" applyFill="1" applyBorder="1" applyAlignment="1">
      <alignment horizontal="center" vertical="center" wrapText="1"/>
    </xf>
    <xf numFmtId="179" fontId="10" fillId="0" borderId="3" xfId="3" applyNumberFormat="1" applyFont="1" applyFill="1" applyBorder="1" applyAlignment="1">
      <alignment horizontal="center" vertical="center" wrapText="1"/>
    </xf>
    <xf numFmtId="179" fontId="10" fillId="0" borderId="12" xfId="3" applyNumberFormat="1" applyFont="1" applyFill="1" applyBorder="1" applyAlignment="1">
      <alignment horizontal="center" vertical="center" wrapText="1"/>
    </xf>
    <xf numFmtId="179" fontId="27" fillId="0" borderId="5" xfId="3" applyNumberFormat="1" applyFont="1" applyFill="1" applyBorder="1" applyAlignment="1">
      <alignment horizontal="center" vertical="center"/>
    </xf>
    <xf numFmtId="179" fontId="27" fillId="0" borderId="0" xfId="3" applyNumberFormat="1" applyFont="1" applyFill="1" applyAlignment="1">
      <alignment horizontal="center" vertical="center"/>
    </xf>
    <xf numFmtId="179" fontId="27" fillId="0" borderId="3" xfId="3" applyNumberFormat="1" applyFont="1" applyFill="1" applyBorder="1" applyAlignment="1">
      <alignment horizontal="center" vertical="center"/>
    </xf>
    <xf numFmtId="0" fontId="23" fillId="0" borderId="0" xfId="17" applyFont="1" applyAlignment="1">
      <alignment horizontal="center" vertical="center"/>
    </xf>
    <xf numFmtId="0" fontId="23" fillId="0" borderId="7" xfId="17" applyFont="1" applyBorder="1" applyAlignment="1">
      <alignment horizontal="left" vertical="center"/>
    </xf>
    <xf numFmtId="0" fontId="23" fillId="0" borderId="5" xfId="17" applyFont="1" applyBorder="1" applyAlignment="1">
      <alignment horizontal="left" vertical="center"/>
    </xf>
    <xf numFmtId="179" fontId="23" fillId="0" borderId="6" xfId="3" applyNumberFormat="1" applyFont="1" applyFill="1" applyBorder="1" applyAlignment="1">
      <alignment horizontal="center" vertical="center" wrapText="1"/>
    </xf>
    <xf numFmtId="179" fontId="23" fillId="0" borderId="16" xfId="3" applyNumberFormat="1" applyFont="1" applyFill="1" applyBorder="1" applyAlignment="1">
      <alignment horizontal="center" vertical="center" wrapText="1"/>
    </xf>
    <xf numFmtId="179" fontId="23" fillId="0" borderId="15" xfId="3" applyNumberFormat="1" applyFont="1" applyFill="1" applyBorder="1" applyAlignment="1">
      <alignment horizontal="center" vertical="center" wrapText="1"/>
    </xf>
    <xf numFmtId="0" fontId="23" fillId="0" borderId="2" xfId="17" applyFont="1" applyBorder="1" applyAlignment="1">
      <alignment horizontal="left" vertical="center" wrapText="1"/>
    </xf>
    <xf numFmtId="0" fontId="23" fillId="0" borderId="0" xfId="17" applyFont="1" applyAlignment="1">
      <alignment horizontal="left" vertical="center" wrapText="1"/>
    </xf>
    <xf numFmtId="0" fontId="23" fillId="0" borderId="4" xfId="17" applyFont="1" applyBorder="1" applyAlignment="1">
      <alignment horizontal="left" vertical="center" wrapText="1"/>
    </xf>
    <xf numFmtId="0" fontId="23" fillId="0" borderId="3" xfId="17" applyFont="1" applyBorder="1" applyAlignment="1">
      <alignment horizontal="left" vertical="center" wrapText="1"/>
    </xf>
    <xf numFmtId="0" fontId="10" fillId="0" borderId="0" xfId="17" applyFont="1" applyAlignment="1">
      <alignment horizontal="left" vertical="top" wrapText="1"/>
    </xf>
    <xf numFmtId="179" fontId="10" fillId="0" borderId="5" xfId="3" applyNumberFormat="1" applyFont="1" applyFill="1" applyBorder="1" applyAlignment="1">
      <alignment horizontal="center" vertical="top" wrapText="1"/>
    </xf>
    <xf numFmtId="179" fontId="10" fillId="0" borderId="0" xfId="3" applyNumberFormat="1" applyFont="1" applyFill="1" applyAlignment="1">
      <alignment horizontal="center" vertical="top" wrapText="1"/>
    </xf>
    <xf numFmtId="179" fontId="10" fillId="0" borderId="3" xfId="3" applyNumberFormat="1" applyFont="1" applyFill="1" applyBorder="1" applyAlignment="1">
      <alignment horizontal="center" vertical="top" wrapText="1"/>
    </xf>
    <xf numFmtId="179" fontId="27" fillId="0" borderId="6" xfId="3" applyNumberFormat="1" applyFont="1" applyFill="1" applyBorder="1" applyAlignment="1">
      <alignment horizontal="center" vertical="center" wrapText="1"/>
    </xf>
    <xf numFmtId="179" fontId="27" fillId="0" borderId="16" xfId="3" applyNumberFormat="1" applyFont="1" applyFill="1" applyBorder="1" applyAlignment="1">
      <alignment horizontal="center" vertical="center" wrapText="1"/>
    </xf>
    <xf numFmtId="179" fontId="27" fillId="0" borderId="15" xfId="3" applyNumberFormat="1" applyFont="1" applyFill="1" applyBorder="1" applyAlignment="1">
      <alignment horizontal="center" vertical="center" wrapText="1"/>
    </xf>
    <xf numFmtId="49" fontId="10" fillId="0" borderId="11" xfId="17" applyNumberFormat="1" applyFont="1" applyBorder="1" applyAlignment="1">
      <alignment horizontal="center" vertical="center"/>
    </xf>
    <xf numFmtId="49" fontId="10" fillId="0" borderId="12" xfId="17" applyNumberFormat="1" applyFont="1" applyBorder="1" applyAlignment="1">
      <alignment horizontal="center" vertical="center"/>
    </xf>
    <xf numFmtId="49" fontId="10" fillId="0" borderId="17" xfId="17" applyNumberFormat="1" applyFont="1" applyBorder="1" applyAlignment="1">
      <alignment horizontal="center" vertical="center"/>
    </xf>
    <xf numFmtId="0" fontId="10" fillId="0" borderId="11" xfId="17" applyFont="1" applyBorder="1" applyAlignment="1">
      <alignment horizontal="center" vertical="center" wrapText="1"/>
    </xf>
    <xf numFmtId="0" fontId="9" fillId="0" borderId="4" xfId="17" applyBorder="1" applyAlignment="1">
      <alignment horizontal="left" vertical="center" wrapText="1"/>
    </xf>
    <xf numFmtId="0" fontId="9" fillId="0" borderId="3" xfId="17" applyBorder="1" applyAlignment="1">
      <alignment horizontal="left" vertical="center" wrapText="1"/>
    </xf>
    <xf numFmtId="170" fontId="10" fillId="0" borderId="11" xfId="1" applyNumberFormat="1" applyFont="1" applyFill="1" applyBorder="1" applyAlignment="1">
      <alignment horizontal="center" vertical="center" wrapText="1"/>
    </xf>
    <xf numFmtId="170" fontId="10" fillId="0" borderId="17" xfId="1" applyNumberFormat="1" applyFont="1" applyFill="1" applyBorder="1" applyAlignment="1">
      <alignment horizontal="center" vertical="center" wrapText="1"/>
    </xf>
    <xf numFmtId="0" fontId="9" fillId="0" borderId="16" xfId="17" applyBorder="1" applyAlignment="1">
      <alignment horizontal="left" vertical="center" wrapText="1"/>
    </xf>
    <xf numFmtId="174" fontId="10" fillId="0" borderId="2" xfId="17" applyNumberFormat="1" applyFont="1" applyBorder="1" applyAlignment="1">
      <alignment horizontal="center" vertical="center" wrapText="1"/>
    </xf>
    <xf numFmtId="0" fontId="9" fillId="0" borderId="15" xfId="17" applyBorder="1" applyAlignment="1">
      <alignment horizontal="left" vertical="center" wrapText="1"/>
    </xf>
    <xf numFmtId="0" fontId="10" fillId="0" borderId="3" xfId="17" applyFont="1" applyBorder="1" applyAlignment="1">
      <alignment horizontal="center" vertical="center" wrapText="1"/>
    </xf>
    <xf numFmtId="0" fontId="10" fillId="0" borderId="17" xfId="17" applyFont="1" applyBorder="1" applyAlignment="1">
      <alignment horizontal="left" vertical="center"/>
    </xf>
    <xf numFmtId="0" fontId="10" fillId="0" borderId="7" xfId="17" applyFont="1" applyBorder="1" applyAlignment="1">
      <alignment horizontal="center" vertical="center" wrapText="1"/>
    </xf>
    <xf numFmtId="0" fontId="10" fillId="0" borderId="5" xfId="17" applyFont="1" applyBorder="1" applyAlignment="1">
      <alignment horizontal="center" vertical="center" wrapText="1"/>
    </xf>
    <xf numFmtId="0" fontId="10" fillId="0" borderId="2" xfId="17" applyFont="1" applyBorder="1" applyAlignment="1">
      <alignment horizontal="center" vertical="center" wrapText="1"/>
    </xf>
    <xf numFmtId="0" fontId="10" fillId="0" borderId="4" xfId="17" applyFont="1" applyBorder="1" applyAlignment="1">
      <alignment horizontal="center" vertical="center" wrapText="1"/>
    </xf>
    <xf numFmtId="0" fontId="10" fillId="0" borderId="16" xfId="17" applyFont="1" applyBorder="1" applyAlignment="1">
      <alignment horizontal="center" vertical="top"/>
    </xf>
    <xf numFmtId="0" fontId="10" fillId="0" borderId="15" xfId="17" applyFont="1" applyBorder="1" applyAlignment="1">
      <alignment horizontal="center" vertical="top"/>
    </xf>
    <xf numFmtId="170" fontId="10" fillId="0" borderId="7" xfId="3" applyNumberFormat="1" applyFont="1" applyFill="1" applyBorder="1" applyAlignment="1">
      <alignment horizontal="center" vertical="center" wrapText="1"/>
    </xf>
    <xf numFmtId="170" fontId="10" fillId="0" borderId="5" xfId="3" applyNumberFormat="1" applyFont="1" applyFill="1" applyBorder="1" applyAlignment="1">
      <alignment horizontal="center" vertical="center" wrapText="1"/>
    </xf>
    <xf numFmtId="170" fontId="10" fillId="0" borderId="6" xfId="3" applyNumberFormat="1" applyFont="1" applyFill="1" applyBorder="1" applyAlignment="1">
      <alignment horizontal="center" vertical="center" wrapText="1"/>
    </xf>
    <xf numFmtId="0" fontId="10" fillId="0" borderId="5" xfId="17" applyFont="1" applyBorder="1" applyAlignment="1">
      <alignment horizontal="center" vertical="center"/>
    </xf>
    <xf numFmtId="0" fontId="10" fillId="0" borderId="14" xfId="17" applyFont="1" applyBorder="1" applyAlignment="1">
      <alignment horizontal="left" vertical="center" wrapText="1"/>
    </xf>
    <xf numFmtId="0" fontId="10" fillId="0" borderId="18" xfId="17" applyFont="1" applyBorder="1" applyAlignment="1">
      <alignment horizontal="left" vertical="center"/>
    </xf>
    <xf numFmtId="0" fontId="10" fillId="0" borderId="19" xfId="17" applyFont="1" applyBorder="1" applyAlignment="1">
      <alignment horizontal="left" vertical="center"/>
    </xf>
    <xf numFmtId="0" fontId="10" fillId="0" borderId="10" xfId="17" applyFont="1" applyBorder="1" applyAlignment="1">
      <alignment horizontal="center" vertical="center" wrapText="1"/>
    </xf>
    <xf numFmtId="49" fontId="10" fillId="0" borderId="10" xfId="17" applyNumberFormat="1" applyFont="1" applyBorder="1" applyAlignment="1">
      <alignment horizontal="center" vertical="center"/>
    </xf>
    <xf numFmtId="0" fontId="10" fillId="0" borderId="10" xfId="17" applyFont="1" applyBorder="1" applyAlignment="1">
      <alignment horizontal="left" vertical="center" wrapText="1"/>
    </xf>
    <xf numFmtId="0" fontId="10" fillId="0" borderId="22" xfId="17" applyFont="1" applyBorder="1" applyAlignment="1">
      <alignment horizontal="left" vertical="center"/>
    </xf>
    <xf numFmtId="174" fontId="10" fillId="0" borderId="11" xfId="17" applyNumberFormat="1" applyFont="1" applyBorder="1" applyAlignment="1">
      <alignment horizontal="center" vertical="center" wrapText="1"/>
    </xf>
    <xf numFmtId="174" fontId="10" fillId="0" borderId="17" xfId="17" applyNumberFormat="1" applyFont="1" applyBorder="1" applyAlignment="1">
      <alignment horizontal="center" vertical="center" wrapText="1"/>
    </xf>
    <xf numFmtId="0" fontId="10" fillId="0" borderId="0" xfId="0" applyFont="1" applyAlignment="1">
      <alignment horizontal="justify" vertical="center"/>
    </xf>
    <xf numFmtId="174" fontId="10" fillId="0" borderId="14" xfId="17" applyNumberFormat="1" applyFont="1" applyBorder="1" applyAlignment="1">
      <alignment horizontal="center" vertical="center" wrapText="1"/>
    </xf>
    <xf numFmtId="0" fontId="10" fillId="0" borderId="10" xfId="17" applyFont="1" applyBorder="1" applyAlignment="1">
      <alignment vertical="center"/>
    </xf>
    <xf numFmtId="0" fontId="10" fillId="0" borderId="10" xfId="17" applyFont="1" applyBorder="1" applyAlignment="1">
      <alignment horizontal="center" vertical="center"/>
    </xf>
    <xf numFmtId="0" fontId="9" fillId="0" borderId="11" xfId="17" applyBorder="1" applyAlignment="1">
      <alignment horizontal="left" vertical="center" wrapText="1"/>
    </xf>
    <xf numFmtId="0" fontId="9" fillId="0" borderId="12" xfId="17" applyBorder="1" applyAlignment="1">
      <alignment horizontal="left" vertical="center" wrapText="1"/>
    </xf>
    <xf numFmtId="0" fontId="9" fillId="0" borderId="17" xfId="17" applyBorder="1" applyAlignment="1">
      <alignment horizontal="left" vertical="center" wrapText="1"/>
    </xf>
    <xf numFmtId="174" fontId="9" fillId="0" borderId="11" xfId="17" applyNumberFormat="1" applyBorder="1" applyAlignment="1">
      <alignment vertical="center"/>
    </xf>
    <xf numFmtId="174" fontId="9" fillId="0" borderId="17" xfId="17" applyNumberFormat="1" applyBorder="1" applyAlignment="1">
      <alignment vertical="center"/>
    </xf>
    <xf numFmtId="0" fontId="10" fillId="0" borderId="11" xfId="17" applyFont="1" applyBorder="1" applyAlignment="1">
      <alignment horizontal="center" vertical="center"/>
    </xf>
    <xf numFmtId="0" fontId="10" fillId="0" borderId="12" xfId="17" applyFont="1" applyBorder="1" applyAlignment="1">
      <alignment horizontal="center" vertical="center"/>
    </xf>
    <xf numFmtId="49" fontId="9" fillId="0" borderId="10" xfId="17" applyNumberFormat="1" applyBorder="1" applyAlignment="1">
      <alignment horizontal="center" vertical="center"/>
    </xf>
    <xf numFmtId="0" fontId="9" fillId="0" borderId="10" xfId="17" applyBorder="1" applyAlignment="1">
      <alignment horizontal="center" vertical="center"/>
    </xf>
    <xf numFmtId="0" fontId="9" fillId="0" borderId="10" xfId="17" applyBorder="1" applyAlignment="1">
      <alignment vertical="center"/>
    </xf>
    <xf numFmtId="174" fontId="9" fillId="0" borderId="10" xfId="17" applyNumberFormat="1" applyBorder="1" applyAlignment="1">
      <alignment vertical="center"/>
    </xf>
    <xf numFmtId="49" fontId="9" fillId="0" borderId="11" xfId="17" applyNumberFormat="1" applyBorder="1" applyAlignment="1">
      <alignment horizontal="center" vertical="center"/>
    </xf>
    <xf numFmtId="0" fontId="9" fillId="0" borderId="17" xfId="17" applyBorder="1" applyAlignment="1">
      <alignment horizontal="center" vertical="center"/>
    </xf>
    <xf numFmtId="49" fontId="10" fillId="9" borderId="11" xfId="17" applyNumberFormat="1" applyFont="1" applyFill="1" applyBorder="1" applyAlignment="1">
      <alignment vertical="center" wrapText="1"/>
    </xf>
    <xf numFmtId="49" fontId="10" fillId="9" borderId="12" xfId="17" applyNumberFormat="1" applyFont="1" applyFill="1" applyBorder="1" applyAlignment="1">
      <alignment vertical="center" wrapText="1"/>
    </xf>
    <xf numFmtId="49" fontId="10" fillId="9" borderId="17" xfId="17" applyNumberFormat="1" applyFont="1" applyFill="1" applyBorder="1" applyAlignment="1">
      <alignment vertical="center" wrapText="1"/>
    </xf>
    <xf numFmtId="174" fontId="10" fillId="9" borderId="11" xfId="17" applyNumberFormat="1" applyFont="1" applyFill="1" applyBorder="1" applyAlignment="1">
      <alignment vertical="center"/>
    </xf>
    <xf numFmtId="0" fontId="10" fillId="9" borderId="17" xfId="17" applyFont="1" applyFill="1" applyBorder="1" applyAlignment="1">
      <alignment vertical="center"/>
    </xf>
    <xf numFmtId="0" fontId="10" fillId="9" borderId="11" xfId="17" applyFont="1" applyFill="1" applyBorder="1" applyAlignment="1">
      <alignment horizontal="left" vertical="center"/>
    </xf>
    <xf numFmtId="0" fontId="10" fillId="9" borderId="12" xfId="17" applyFont="1" applyFill="1" applyBorder="1" applyAlignment="1">
      <alignment horizontal="left" vertical="center"/>
    </xf>
    <xf numFmtId="0" fontId="10" fillId="9" borderId="17" xfId="17" applyFont="1" applyFill="1" applyBorder="1" applyAlignment="1">
      <alignment horizontal="left" vertical="center"/>
    </xf>
    <xf numFmtId="10" fontId="10" fillId="9" borderId="10" xfId="17" applyNumberFormat="1" applyFont="1" applyFill="1" applyBorder="1" applyAlignment="1">
      <alignment horizontal="right" vertical="center"/>
    </xf>
    <xf numFmtId="49" fontId="9" fillId="0" borderId="7" xfId="17" applyNumberFormat="1" applyBorder="1" applyAlignment="1">
      <alignment horizontal="center" vertical="center" wrapText="1"/>
    </xf>
    <xf numFmtId="49" fontId="9" fillId="0" borderId="6" xfId="17" applyNumberFormat="1" applyBorder="1" applyAlignment="1">
      <alignment horizontal="center" vertical="center" wrapText="1"/>
    </xf>
    <xf numFmtId="49" fontId="9" fillId="0" borderId="4" xfId="17" applyNumberFormat="1" applyBorder="1" applyAlignment="1">
      <alignment horizontal="center" vertical="center" wrapText="1"/>
    </xf>
    <xf numFmtId="49" fontId="9" fillId="0" borderId="15" xfId="17" applyNumberFormat="1" applyBorder="1" applyAlignment="1">
      <alignment horizontal="center" vertical="center" wrapText="1"/>
    </xf>
  </cellXfs>
  <cellStyles count="66">
    <cellStyle name="A_Amount" xfId="11" xr:uid="{00000000-0005-0000-0000-000000000000}"/>
    <cellStyle name="Comma" xfId="1" builtinId="3"/>
    <cellStyle name="Comma 13" xfId="21" xr:uid="{00000000-0005-0000-0000-000002000000}"/>
    <cellStyle name="Comma 13 2" xfId="32" xr:uid="{00000000-0005-0000-0000-000003000000}"/>
    <cellStyle name="Comma 13 2 2" xfId="55" xr:uid="{00000000-0005-0000-0000-000004000000}"/>
    <cellStyle name="Comma 13 3" xfId="39" xr:uid="{00000000-0005-0000-0000-000005000000}"/>
    <cellStyle name="Comma 13 3 2" xfId="62" xr:uid="{00000000-0005-0000-0000-000006000000}"/>
    <cellStyle name="Comma 13 4" xfId="46" xr:uid="{00000000-0005-0000-0000-000007000000}"/>
    <cellStyle name="Comma 2" xfId="14" xr:uid="{00000000-0005-0000-0000-000008000000}"/>
    <cellStyle name="Comma 2 2" xfId="16" xr:uid="{00000000-0005-0000-0000-000009000000}"/>
    <cellStyle name="Comma 2 2 2" xfId="18" xr:uid="{00000000-0005-0000-0000-00000A000000}"/>
    <cellStyle name="Comma 2 2 3" xfId="29" xr:uid="{00000000-0005-0000-0000-00000B000000}"/>
    <cellStyle name="Comma 2 2 3 2" xfId="52" xr:uid="{00000000-0005-0000-0000-00000C000000}"/>
    <cellStyle name="Comma 2 3" xfId="28" xr:uid="{00000000-0005-0000-0000-00000D000000}"/>
    <cellStyle name="Comma 2 3 2" xfId="51" xr:uid="{00000000-0005-0000-0000-00000E000000}"/>
    <cellStyle name="Comma 2 4" xfId="36" xr:uid="{00000000-0005-0000-0000-00000F000000}"/>
    <cellStyle name="Comma 2 4 2" xfId="59" xr:uid="{00000000-0005-0000-0000-000010000000}"/>
    <cellStyle name="Comma 2 5" xfId="43" xr:uid="{00000000-0005-0000-0000-000011000000}"/>
    <cellStyle name="Comma 3" xfId="15" xr:uid="{00000000-0005-0000-0000-000012000000}"/>
    <cellStyle name="Comma 3 2" xfId="19" xr:uid="{00000000-0005-0000-0000-000013000000}"/>
    <cellStyle name="Comma 3 2 2" xfId="30" xr:uid="{00000000-0005-0000-0000-000014000000}"/>
    <cellStyle name="Comma 3 2 2 2" xfId="53" xr:uid="{00000000-0005-0000-0000-000015000000}"/>
    <cellStyle name="Comma 3 2 3" xfId="37" xr:uid="{00000000-0005-0000-0000-000016000000}"/>
    <cellStyle name="Comma 3 2 3 2" xfId="60" xr:uid="{00000000-0005-0000-0000-000017000000}"/>
    <cellStyle name="Comma 3 2 4" xfId="44" xr:uid="{00000000-0005-0000-0000-000018000000}"/>
    <cellStyle name="Comma 4" xfId="25" xr:uid="{00000000-0005-0000-0000-000019000000}"/>
    <cellStyle name="Comma 4 2" xfId="48" xr:uid="{00000000-0005-0000-0000-00001A000000}"/>
    <cellStyle name="Comma0" xfId="2" xr:uid="{00000000-0005-0000-0000-00001B000000}"/>
    <cellStyle name="Currency" xfId="3" builtinId="4"/>
    <cellStyle name="Currency 2" xfId="4" xr:uid="{00000000-0005-0000-0000-00001D000000}"/>
    <cellStyle name="Currency 2 2" xfId="23" xr:uid="{00000000-0005-0000-0000-00001E000000}"/>
    <cellStyle name="Normal" xfId="0" builtinId="0"/>
    <cellStyle name="Normal 10" xfId="10" xr:uid="{00000000-0005-0000-0000-000020000000}"/>
    <cellStyle name="Normal 13" xfId="17" xr:uid="{00000000-0005-0000-0000-000021000000}"/>
    <cellStyle name="Normal 18" xfId="20" xr:uid="{00000000-0005-0000-0000-000022000000}"/>
    <cellStyle name="Normal 18 2" xfId="31" xr:uid="{00000000-0005-0000-0000-000023000000}"/>
    <cellStyle name="Normal 18 2 2" xfId="54" xr:uid="{00000000-0005-0000-0000-000024000000}"/>
    <cellStyle name="Normal 18 3" xfId="38" xr:uid="{00000000-0005-0000-0000-000025000000}"/>
    <cellStyle name="Normal 18 3 2" xfId="61" xr:uid="{00000000-0005-0000-0000-000026000000}"/>
    <cellStyle name="Normal 18 4" xfId="45" xr:uid="{00000000-0005-0000-0000-000027000000}"/>
    <cellStyle name="Normal 2" xfId="5" xr:uid="{00000000-0005-0000-0000-000028000000}"/>
    <cellStyle name="Normal 2 2" xfId="12" xr:uid="{00000000-0005-0000-0000-000029000000}"/>
    <cellStyle name="Normal 2 3" xfId="13" xr:uid="{00000000-0005-0000-0000-00002A000000}"/>
    <cellStyle name="Normal 2 3 2" xfId="27" xr:uid="{00000000-0005-0000-0000-00002B000000}"/>
    <cellStyle name="Normal 2 3 2 2" xfId="50" xr:uid="{00000000-0005-0000-0000-00002C000000}"/>
    <cellStyle name="Normal 2 3 3" xfId="35" xr:uid="{00000000-0005-0000-0000-00002D000000}"/>
    <cellStyle name="Normal 2 3 3 2" xfId="58" xr:uid="{00000000-0005-0000-0000-00002E000000}"/>
    <cellStyle name="Normal 2 3 4" xfId="42" xr:uid="{00000000-0005-0000-0000-00002F000000}"/>
    <cellStyle name="Normal 3" xfId="64" xr:uid="{399F5ACD-C2B3-4340-8722-5F88B21634B6}"/>
    <cellStyle name="Normal 4" xfId="8" xr:uid="{00000000-0005-0000-0000-000030000000}"/>
    <cellStyle name="Normal 4 2" xfId="24" xr:uid="{00000000-0005-0000-0000-000031000000}"/>
    <cellStyle name="Normal 4 2 2" xfId="33" xr:uid="{00000000-0005-0000-0000-000032000000}"/>
    <cellStyle name="Normal 4 2 2 2" xfId="56" xr:uid="{00000000-0005-0000-0000-000033000000}"/>
    <cellStyle name="Normal 4 2 3" xfId="40" xr:uid="{00000000-0005-0000-0000-000034000000}"/>
    <cellStyle name="Normal 4 2 3 2" xfId="63" xr:uid="{00000000-0005-0000-0000-000035000000}"/>
    <cellStyle name="Normal 4 2 4" xfId="47" xr:uid="{00000000-0005-0000-0000-000036000000}"/>
    <cellStyle name="Normal 4 3" xfId="26" xr:uid="{00000000-0005-0000-0000-000037000000}"/>
    <cellStyle name="Normal 4 3 2" xfId="49" xr:uid="{00000000-0005-0000-0000-000038000000}"/>
    <cellStyle name="Normal 4 4" xfId="34" xr:uid="{00000000-0005-0000-0000-000039000000}"/>
    <cellStyle name="Normal 4 4 2" xfId="57" xr:uid="{00000000-0005-0000-0000-00003A000000}"/>
    <cellStyle name="Normal 4 5" xfId="41" xr:uid="{00000000-0005-0000-0000-00003B000000}"/>
    <cellStyle name="Normal 5" xfId="22" xr:uid="{00000000-0005-0000-0000-00003C000000}"/>
    <cellStyle name="OPSKRIF" xfId="6" xr:uid="{00000000-0005-0000-0000-00003D000000}"/>
    <cellStyle name="or" xfId="9" xr:uid="{00000000-0005-0000-0000-00003E000000}"/>
    <cellStyle name="Per cent" xfId="7" builtinId="5"/>
    <cellStyle name="Percent 2" xfId="65" xr:uid="{9E6F37AD-DE77-4189-915D-0EF8DF6788CC}"/>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sharedStrings" Target="sharedString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externalLink" Target="externalLinks/externalLink6.xml"/><Relationship Id="rId5" Type="http://schemas.openxmlformats.org/officeDocument/2006/relationships/worksheet" Target="worksheets/sheet5.xml"/><Relationship Id="rId95" Type="http://schemas.openxmlformats.org/officeDocument/2006/relationships/worksheet" Target="worksheets/sheet95.xml"/><Relationship Id="rId160" Type="http://schemas.microsoft.com/office/2017/10/relationships/person" Target="persons/perso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externalLink" Target="externalLinks/externalLink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externalLink" Target="externalLinks/externalLink2.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externalLink" Target="externalLinks/externalLink8.xml"/><Relationship Id="rId156" Type="http://schemas.openxmlformats.org/officeDocument/2006/relationships/externalLink" Target="externalLinks/externalLink1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9.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externalLink" Target="externalLinks/externalLink1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externalLink" Target="externalLinks/externalLink5.xml"/><Relationship Id="rId16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externalLink" Target="externalLinks/externalLink11.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externalLink" Target="externalLinks/externalLink1.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1200978</xdr:colOff>
      <xdr:row>6</xdr:row>
      <xdr:rowOff>91109</xdr:rowOff>
    </xdr:from>
    <xdr:to>
      <xdr:col>3</xdr:col>
      <xdr:colOff>803412</xdr:colOff>
      <xdr:row>12</xdr:row>
      <xdr:rowOff>86704</xdr:rowOff>
    </xdr:to>
    <xdr:pic>
      <xdr:nvPicPr>
        <xdr:cNvPr id="3" name="Picture 2">
          <a:extLst>
            <a:ext uri="{FF2B5EF4-FFF2-40B4-BE49-F238E27FC236}">
              <a16:creationId xmlns:a16="http://schemas.microsoft.com/office/drawing/2014/main" id="{3FE1EB5C-05C9-FCCB-AEC7-B817ECC2D9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3891" y="1871870"/>
          <a:ext cx="3735456" cy="9895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OORA/AppData/Local/Microsoft/Windows/INetCache/Content.Outlook/JBWI7LRL/BOQ%20Frame%20wor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JACOS/Desktop/Stean%20Laptop/Data/HN-%20Projects/103RT%20-%20P577/00%20Contracts/ZNT%203417-13T%20Bridges%20&amp;%20Roadworks/f)%20Payment/P577-3417%20Payment%20Cert%2028%20rev3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OneDrive\Desktop\DOT%20Tenders%20Rehab\Construction%20P123_Coto%20Estimate%20-%20July%202021%20Template_Ismail.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Y:\01_Technical\T1_Current%20Projects\302_ACSA%20Bravo%20Taxiway%20Extension\04_DOCUMENTATION%20&amp;%20PROCUREMENT\02_Final%20Estimate\Keshav%20Info\ACSA_BTB%20VOLUME%20CALCULATION%20-%20COMBINED_BRAVO%20TAXIWAY.xlsx" TargetMode="External"/><Relationship Id="rId1" Type="http://schemas.openxmlformats.org/officeDocument/2006/relationships/externalLinkPath" Target="02_Final%20Estimate/Keshav%20Info/ACSA_BTB%20VOLUME%20CALCULATION%20-%20COMBINED_BRAVO%20TAXIWAY.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Y:\01_Technical\T1_Current%20Projects\302_ACSA%20Bravo%20Taxiway%20Extension\04_DOCUMENTATION%20&amp;%20PROCUREMENT\02_Final%20Estimate\01_NCE-ACSA-ESTIMATE-MARCH%202025_02-07-2025.xlsx" TargetMode="External"/><Relationship Id="rId1" Type="http://schemas.openxmlformats.org/officeDocument/2006/relationships/externalLinkPath" Target="02_Final%20Estimate/01_NCE-ACSA-ESTIMATE-MARCH%202025_02-07-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OORA\AppData\Local\Microsoft\Windows\INetCache\Content.Outlook\JBWI7LRL\BOQ%20Frame%20wor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JACOS/Desktop/ILIFA/DOT%20Projects/Rehab%20Projects/P7-4/BOQ%20P7-4%20Rehab%20-Asphalt%2040mm%20Overlay%20sections%20Rev%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ACOS\Desktop\ILIFA\DOT%20Projects\Rehab%20Projects\P7-4\BOQ%20P7-4%20Rehab%20-Asphalt%2040mm%20Overlay%20sections%20Rev%20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Y:\01_Technical\T1_Current%20Projects\302_ACSA%20Bravo%20Taxiway%20Extension\04_DOCUMENTATION%20&amp;%20PROCUREMENT\02_Final%20Estimate\01_NCE-ACSA-ESTIMATE-MARCH%202025_24-04-2025.xlsx" TargetMode="External"/><Relationship Id="rId1" Type="http://schemas.openxmlformats.org/officeDocument/2006/relationships/externalLinkPath" Target="02_Final%20Estimate/01_NCE-ACSA-ESTIMATE-MARCH%202025_24-04-2025.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Y:\01_Technical\T1_Current%20Projects\302_ACSA%20Bravo%20Taxiway%20Extension\03_DESIGN%20DEVELOPMENT\05_Detailed%20Cost%20Estimate\BOQ%20Frame%20work%20Combined%20Chapters.xlsx" TargetMode="External"/><Relationship Id="rId1" Type="http://schemas.openxmlformats.org/officeDocument/2006/relationships/externalLinkPath" Target="/01_Technical/T1_Current%20Projects/302_ACSA%20Bravo%20Taxiway%20Extension/03_DESIGN%20DEVELOPMENT/05_Detailed%20Cost%20Estimate/BOQ%20Frame%20work%20Combined%20Chapter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01_Technical\T1_Current%20Projects\267_P189%20Rehabilitation\04_DOCUMENTATION%20&amp;%20PROCUREMENT\02_Final%20Estimate\NEW%20COTO%20BOQ\Open%20Tender%20document%20%20BOQ%20%20Combined%20Chapters-01.03.2021%20COTO_P1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ENGINEERING%20MANAGEMENT%20(Projects)\2017%20Projects\H17%20027%2000%20-%20Dept%20Transport%20-%20Area%20Office%20-%20UNDERBURG\700%20Documentation%20and%20Procurement\Rev%201\BOQ%20L1633%20%20Rev%202%2050-5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ACOS\Desktop\Stean%20Laptop\Data\HN-%20Projects\103RT%20-%20P577\00%20Contracts\ZNT%203417-13T%20Bridges%20&amp;%20Roadworks\f)%20Payment\P577-3417%20Payment%20Cert%2028%20rev3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ZNT 41798 Ori"/>
      <sheetName val="3900z"/>
      <sheetName val="Labour"/>
      <sheetName val="1200 (2)"/>
      <sheetName val="1300"/>
      <sheetName val="1400"/>
      <sheetName val="1500"/>
      <sheetName val="1500 CPG"/>
      <sheetName val="1600"/>
      <sheetName val="1700"/>
      <sheetName val="1700 CPG"/>
      <sheetName val="2100 (2)"/>
      <sheetName val="2200"/>
      <sheetName val="2300 (2)"/>
      <sheetName val="3100"/>
      <sheetName val="3300"/>
      <sheetName val="3400 (2)"/>
      <sheetName val="3500"/>
      <sheetName val="3600"/>
      <sheetName val="3800 (2)"/>
      <sheetName val="3900"/>
      <sheetName val="4100"/>
      <sheetName val="4200 (2)"/>
      <sheetName val="4200"/>
      <sheetName val="4800"/>
      <sheetName val="5100"/>
      <sheetName val="5200"/>
      <sheetName val="5400"/>
      <sheetName val="5500"/>
      <sheetName val="5600"/>
      <sheetName val="5700"/>
      <sheetName val="5800"/>
      <sheetName val="5900"/>
      <sheetName val="6100"/>
      <sheetName val="6200"/>
      <sheetName val="6300"/>
      <sheetName val="6400"/>
      <sheetName val="6600"/>
      <sheetName val="7100"/>
      <sheetName val="7300 (2)"/>
      <sheetName val="8100 (2)"/>
      <sheetName val="9100"/>
      <sheetName val="A"/>
      <sheetName val="Sch D"/>
      <sheetName val="D"/>
      <sheetName val="Sch F"/>
      <sheetName val="F"/>
      <sheetName val="Sch G"/>
      <sheetName val="G"/>
      <sheetName val="Summary"/>
      <sheetName val="CPG"/>
      <sheetName val="Relegated"/>
      <sheetName val="Calc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Progress"/>
      <sheetName val="Check"/>
      <sheetName val="Cert OLD"/>
      <sheetName val="Envelope"/>
      <sheetName val="Chk"/>
      <sheetName val="Cert New"/>
      <sheetName val="Bill of Q"/>
      <sheetName val="Summary"/>
      <sheetName val="VO"/>
      <sheetName val="VO 03"/>
      <sheetName val="VO 04"/>
      <sheetName val="VO 07"/>
      <sheetName val="VO 11"/>
      <sheetName val="VO 13,20a"/>
      <sheetName val="MOS"/>
      <sheetName val="Deductions"/>
      <sheetName val="Interest"/>
      <sheetName val="Bitumen"/>
      <sheetName val="Special Mat"/>
      <sheetName val="CPA"/>
      <sheetName val="ETA Cert"/>
      <sheetName val="Cert (ETA)"/>
      <sheetName val="Summary (ETA)"/>
      <sheetName val="Special Mat (ETA)"/>
      <sheetName val="CPA (ETA)"/>
      <sheetName val="Cash Flow"/>
      <sheetName val="Indices"/>
      <sheetName val="Notes"/>
      <sheetName val="VO Blank"/>
      <sheetName val="Tables"/>
      <sheetName val="Invo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Information"/>
      <sheetName val="C1.2"/>
      <sheetName val="C1.3"/>
      <sheetName val="C1.4"/>
      <sheetName val="C1.5"/>
      <sheetName val="C1.6"/>
      <sheetName val="C1.7"/>
      <sheetName val="C2.2"/>
      <sheetName val="C2.3"/>
      <sheetName val="C2.4"/>
      <sheetName val="C2.1"/>
      <sheetName val="C3.1"/>
      <sheetName val="C3.2"/>
      <sheetName val="C4.1"/>
      <sheetName val="C3.3"/>
      <sheetName val="C4.2"/>
      <sheetName val="C4.3"/>
      <sheetName val="C4.4"/>
      <sheetName val="C4.5"/>
      <sheetName val="C5.2"/>
      <sheetName val="C5.3"/>
      <sheetName val="C6.2"/>
      <sheetName val="C7.1"/>
      <sheetName val="C7.2"/>
      <sheetName val="C7.3"/>
      <sheetName val="C7.4"/>
      <sheetName val="C7.5"/>
      <sheetName val="C7.6"/>
      <sheetName val="C5.4"/>
      <sheetName val="C5.5"/>
      <sheetName val="C6.1"/>
      <sheetName val="C8.1"/>
      <sheetName val="C8.2"/>
      <sheetName val="C8.3"/>
      <sheetName val="C8.4"/>
      <sheetName val="C8.5"/>
      <sheetName val="C8.6"/>
      <sheetName val="C8.7"/>
      <sheetName val="C8.8"/>
      <sheetName val="C8.9"/>
      <sheetName val="C9.1"/>
      <sheetName val="C10.1"/>
      <sheetName val="C11.1"/>
      <sheetName val="C11.2"/>
      <sheetName val="C11.4"/>
      <sheetName val="C11.5"/>
      <sheetName val="C11.6"/>
      <sheetName val="C11.7"/>
      <sheetName val="C11.8"/>
      <sheetName val="C11.9"/>
      <sheetName val="C12.1"/>
      <sheetName val="C12.2"/>
      <sheetName val="C12.3"/>
      <sheetName val="C12.4"/>
      <sheetName val="C12.5"/>
      <sheetName val="C12.6"/>
      <sheetName val="C12.7"/>
      <sheetName val="C12.8"/>
      <sheetName val="C12.9"/>
      <sheetName val="C12.10"/>
      <sheetName val="C12.12"/>
      <sheetName val="C13.1"/>
      <sheetName val="C13.2"/>
      <sheetName val="C13.3"/>
      <sheetName val="C13.4"/>
      <sheetName val="C13.5"/>
      <sheetName val="C13.6"/>
      <sheetName val="C13.7"/>
      <sheetName val="C13.8"/>
      <sheetName val="C13.9"/>
      <sheetName val="C13.10"/>
      <sheetName val="C13.11"/>
      <sheetName val="C13.12"/>
      <sheetName val="C13.13"/>
      <sheetName val="C13.14"/>
      <sheetName val="C14.1"/>
      <sheetName val="C14.2"/>
      <sheetName val="C14.3"/>
      <sheetName val="C14.4"/>
      <sheetName val="C14.5"/>
      <sheetName val="C14.6"/>
      <sheetName val="C14.7"/>
      <sheetName val="C14.8"/>
      <sheetName val="C14.9"/>
      <sheetName val="C14.10"/>
      <sheetName val="C14.11"/>
      <sheetName val="C20.1"/>
      <sheetName val="A"/>
      <sheetName val="Section F"/>
      <sheetName val="F"/>
      <sheetName val="Section G"/>
      <sheetName val="G"/>
      <sheetName val="Summary"/>
      <sheetName val="CPG SUMMARY "/>
    </sheetNames>
    <sheetDataSet>
      <sheetData sheetId="0" refreshError="1">
        <row r="3">
          <cell r="C3">
            <v>24</v>
          </cell>
        </row>
        <row r="84">
          <cell r="C84">
            <v>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44">
          <cell r="F144">
            <v>10909.627809559659</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C1.2A"/>
      <sheetName val="C1.3A"/>
      <sheetName val="C1.4A"/>
      <sheetName val="C1.5A"/>
      <sheetName val="C2.1A"/>
      <sheetName val="C20.1A"/>
      <sheetName val=" A - PnGs"/>
      <sheetName val="C1.6B"/>
      <sheetName val="C1.7B"/>
      <sheetName val="C3.1B"/>
      <sheetName val="C2.3"/>
      <sheetName val="C2.4"/>
      <sheetName val="C3.2B"/>
      <sheetName val="C3.3B"/>
      <sheetName val="C4.2B"/>
      <sheetName val="C4.3B"/>
      <sheetName val="C4.5"/>
      <sheetName val="C4.4B"/>
      <sheetName val="C5.1"/>
      <sheetName val="C5.2B"/>
      <sheetName val="C5.3"/>
      <sheetName val="C5.4"/>
      <sheetName val="C5.5"/>
      <sheetName val="C6.1"/>
      <sheetName val="C6.2"/>
      <sheetName val="C7.1"/>
      <sheetName val="C7.2"/>
      <sheetName val="C7.3"/>
      <sheetName val="C7.4"/>
      <sheetName val="C7.5"/>
      <sheetName val="C7.6"/>
      <sheetName val="C8.1"/>
      <sheetName val="C8.2"/>
      <sheetName val="C8.3"/>
      <sheetName val="C8.4"/>
      <sheetName val="C8.1B"/>
      <sheetName val="C8.5B"/>
      <sheetName val="C8.6"/>
      <sheetName val="C8.7"/>
      <sheetName val="C8.8B"/>
      <sheetName val="C9,1"/>
      <sheetName val="C9.1B"/>
      <sheetName val="C11.1"/>
      <sheetName val="C11.3"/>
      <sheetName val="C11.2"/>
      <sheetName val="C11.4"/>
      <sheetName val="C11.5"/>
      <sheetName val="C11.6"/>
      <sheetName val="C11.7B"/>
      <sheetName val="C11.8B"/>
      <sheetName val="C11.9"/>
      <sheetName val="C12.1"/>
      <sheetName val="C12.2"/>
      <sheetName val="C12.3"/>
      <sheetName val="C12.4"/>
      <sheetName val="C12.5"/>
      <sheetName val="C12.6"/>
      <sheetName val="C12.8"/>
      <sheetName val="C12.9"/>
      <sheetName val="C12.10"/>
      <sheetName val="C12.12"/>
      <sheetName val="C13.1"/>
      <sheetName val="C13.2"/>
      <sheetName val="C13.3"/>
      <sheetName val="C13.4"/>
      <sheetName val="C13.8"/>
      <sheetName val="C13.5"/>
      <sheetName val="C13.9"/>
      <sheetName val="C13.10"/>
      <sheetName val="C13.11"/>
      <sheetName val="C13.12"/>
      <sheetName val="C13.13"/>
      <sheetName val="C13.14"/>
      <sheetName val="C14.1"/>
      <sheetName val="C14.2"/>
      <sheetName val="C14.3"/>
      <sheetName val="C14.4"/>
      <sheetName val="C14.5"/>
      <sheetName val="C14.6"/>
      <sheetName val="C14.7"/>
      <sheetName val="C14.8"/>
      <sheetName val="C14.9"/>
      <sheetName val="C14.10"/>
      <sheetName val="C14.11"/>
      <sheetName val=" B BRAVO"/>
      <sheetName val="C1.6C"/>
      <sheetName val="C1.7C"/>
      <sheetName val="C2.1C"/>
      <sheetName val="C2.2C"/>
      <sheetName val="C3.1C"/>
      <sheetName val="C3.2C"/>
      <sheetName val="C4.2C"/>
      <sheetName val="C4.3C"/>
      <sheetName val="C4.4C"/>
      <sheetName val="C5.1C"/>
      <sheetName val="C5.2C"/>
      <sheetName val="C5.3C"/>
      <sheetName val="C5.4C"/>
      <sheetName val="C8.1C"/>
      <sheetName val="C9.1C"/>
      <sheetName val="C11.7C"/>
      <sheetName val="C11.8C"/>
      <sheetName val="C12.7"/>
      <sheetName val="C - NEW TIE IN"/>
      <sheetName val="C1.6D"/>
      <sheetName val="C1.7D"/>
      <sheetName val="C2.1D"/>
      <sheetName val="C2.2D"/>
      <sheetName val="C4.2D"/>
      <sheetName val="C4.4D"/>
      <sheetName val="C5.2D"/>
      <sheetName val="D - APRON &amp; C"/>
      <sheetName val="Summary"/>
      <sheetName val="CPG SUMMARY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26">
          <cell r="F26">
            <v>2148</v>
          </cell>
        </row>
      </sheetData>
      <sheetData sheetId="95"/>
      <sheetData sheetId="96"/>
      <sheetData sheetId="97">
        <row r="28">
          <cell r="F28">
            <v>1170</v>
          </cell>
        </row>
        <row r="30">
          <cell r="F30">
            <v>1607</v>
          </cell>
        </row>
        <row r="32">
          <cell r="F32">
            <v>1567</v>
          </cell>
        </row>
      </sheetData>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ZNT 41798 Ori"/>
      <sheetName val="3900z"/>
      <sheetName val="Labour"/>
      <sheetName val="1200 (2)"/>
      <sheetName val="1300"/>
      <sheetName val="1400"/>
      <sheetName val="1500"/>
      <sheetName val="1500 CPG"/>
      <sheetName val="1600"/>
      <sheetName val="1700"/>
      <sheetName val="1700 CPG"/>
      <sheetName val="2100 (2)"/>
      <sheetName val="2200"/>
      <sheetName val="2300 (2)"/>
      <sheetName val="3100"/>
      <sheetName val="3300"/>
      <sheetName val="3400 (2)"/>
      <sheetName val="3500"/>
      <sheetName val="3600"/>
      <sheetName val="3800 (2)"/>
      <sheetName val="3900"/>
      <sheetName val="4100"/>
      <sheetName val="4200 (2)"/>
      <sheetName val="4200"/>
      <sheetName val="4800"/>
      <sheetName val="5100"/>
      <sheetName val="5200"/>
      <sheetName val="5400"/>
      <sheetName val="5500"/>
      <sheetName val="5600"/>
      <sheetName val="5700"/>
      <sheetName val="5800"/>
      <sheetName val="5900"/>
      <sheetName val="6100"/>
      <sheetName val="6200"/>
      <sheetName val="6300"/>
      <sheetName val="6400"/>
      <sheetName val="6600"/>
      <sheetName val="7100"/>
      <sheetName val="7300 (2)"/>
      <sheetName val="8100 (2)"/>
      <sheetName val="9100"/>
      <sheetName val="A"/>
      <sheetName val="Sch D"/>
      <sheetName val="D"/>
      <sheetName val="Sch F"/>
      <sheetName val="F"/>
      <sheetName val="Sch G"/>
      <sheetName val="G"/>
      <sheetName val="Summary"/>
      <sheetName val="CPG"/>
      <sheetName val="Relegated"/>
      <sheetName val="Calc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1200"/>
      <sheetName val="1300"/>
      <sheetName val="1400"/>
      <sheetName val="1500"/>
      <sheetName val="1700"/>
      <sheetName val="3100"/>
      <sheetName val="3300"/>
      <sheetName val="3800"/>
      <sheetName val="3900"/>
      <sheetName val="4100"/>
      <sheetName val="4800"/>
      <sheetName val="5900"/>
      <sheetName val="8100"/>
      <sheetName val="A"/>
      <sheetName val="Sch D"/>
      <sheetName val="D"/>
      <sheetName val="Sch F"/>
      <sheetName val="F"/>
      <sheetName val="Sch G"/>
      <sheetName val="G"/>
      <sheetName val="Summary"/>
      <sheetName val="Labour"/>
      <sheetName val="CPG"/>
      <sheetName val="Calc sheet"/>
      <sheetName val="2100"/>
      <sheetName val="2200"/>
      <sheetName val="2300"/>
      <sheetName val="4200"/>
      <sheetName val="5100"/>
      <sheetName val="5200"/>
      <sheetName val="5400"/>
      <sheetName val="5600"/>
      <sheetName val="5700"/>
      <sheetName val="5800"/>
      <sheetName val="7300"/>
      <sheetName val="Relegated"/>
      <sheetName val="BoQ"/>
      <sheetName val="Calculations"/>
      <sheetName val="6100"/>
      <sheetName val="6200"/>
      <sheetName val="6300"/>
      <sheetName val="6400"/>
      <sheetName val="5500"/>
      <sheetName val="3400"/>
      <sheetName val="3500"/>
      <sheetName val="3600"/>
      <sheetName val="4500"/>
      <sheetName val="44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1200"/>
      <sheetName val="1300"/>
      <sheetName val="1400"/>
      <sheetName val="1500"/>
      <sheetName val="1700"/>
      <sheetName val="3100"/>
      <sheetName val="3300"/>
      <sheetName val="3800"/>
      <sheetName val="3900"/>
      <sheetName val="4100"/>
      <sheetName val="4800"/>
      <sheetName val="5900"/>
      <sheetName val="8100"/>
      <sheetName val="A"/>
      <sheetName val="Sch D"/>
      <sheetName val="D"/>
      <sheetName val="Sch F"/>
      <sheetName val="F"/>
      <sheetName val="Sch G"/>
      <sheetName val="G"/>
      <sheetName val="Summary"/>
      <sheetName val="Labour"/>
      <sheetName val="CPG"/>
      <sheetName val="Calc sheet"/>
      <sheetName val="2100"/>
      <sheetName val="2200"/>
      <sheetName val="2300"/>
      <sheetName val="4200"/>
      <sheetName val="5100"/>
      <sheetName val="5200"/>
      <sheetName val="5400"/>
      <sheetName val="5600"/>
      <sheetName val="5700"/>
      <sheetName val="5800"/>
      <sheetName val="7300"/>
      <sheetName val="Relegated"/>
      <sheetName val="BoQ"/>
      <sheetName val="Calculations"/>
      <sheetName val="6100"/>
      <sheetName val="6200"/>
      <sheetName val="6300"/>
      <sheetName val="6400"/>
      <sheetName val="5500"/>
      <sheetName val="3400"/>
      <sheetName val="3500"/>
      <sheetName val="3600"/>
      <sheetName val="4500"/>
      <sheetName val="4400"/>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refreshError="1"/>
      <sheetData sheetId="30" refreshError="1"/>
      <sheetData sheetId="31" refreshError="1"/>
      <sheetData sheetId="32" refreshError="1"/>
      <sheetData sheetId="33" refreshError="1"/>
      <sheetData sheetId="34"/>
      <sheetData sheetId="35"/>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C1.2A"/>
      <sheetName val="C1.3A"/>
      <sheetName val="C1.4A"/>
      <sheetName val="C1.5A"/>
      <sheetName val="C2.1A"/>
      <sheetName val="C20.1A"/>
      <sheetName val=" A - PnGs"/>
      <sheetName val="C1.6B"/>
      <sheetName val="C1.7B"/>
      <sheetName val="C3.1B"/>
      <sheetName val="C2.3"/>
      <sheetName val="C2.4"/>
      <sheetName val="C3.2B"/>
      <sheetName val="C3.3B"/>
      <sheetName val="C4.2B"/>
      <sheetName val="C4.3B"/>
      <sheetName val="C4.5"/>
      <sheetName val="C4.4B"/>
      <sheetName val="C5.1"/>
      <sheetName val="C5.2B"/>
      <sheetName val="C5.3"/>
      <sheetName val="C5.4"/>
      <sheetName val="C5.5"/>
      <sheetName val="C6.1"/>
      <sheetName val="C6.2"/>
      <sheetName val="C7.1"/>
      <sheetName val="C7.2"/>
      <sheetName val="C7.3"/>
      <sheetName val="C7.4"/>
      <sheetName val="C7.5"/>
      <sheetName val="C7.6"/>
      <sheetName val="C8.1"/>
      <sheetName val="C8.2"/>
      <sheetName val="C8.3"/>
      <sheetName val="C8.4"/>
      <sheetName val="C8.1B"/>
      <sheetName val="C8.5B"/>
      <sheetName val="C8.6"/>
      <sheetName val="C8.7"/>
      <sheetName val="C8.8B"/>
      <sheetName val="C9,1"/>
      <sheetName val="C9.1B"/>
      <sheetName val="C11.1"/>
      <sheetName val="C11.3"/>
      <sheetName val="C11.2"/>
      <sheetName val="C11.4"/>
      <sheetName val="C11.5"/>
      <sheetName val="C11.6"/>
      <sheetName val="C11.7B"/>
      <sheetName val="C11.8B"/>
      <sheetName val="C11.9"/>
      <sheetName val="C12.1"/>
      <sheetName val="C12.2"/>
      <sheetName val="C12.3"/>
      <sheetName val="C12.4"/>
      <sheetName val="C12.5"/>
      <sheetName val="C12.6"/>
      <sheetName val="C12.8"/>
      <sheetName val="C12.9"/>
      <sheetName val="C12.10"/>
      <sheetName val="C12.12"/>
      <sheetName val="C13.1"/>
      <sheetName val="C13.2"/>
      <sheetName val="C13.3"/>
      <sheetName val="C13.4"/>
      <sheetName val="C13.8"/>
      <sheetName val="C13.5"/>
      <sheetName val="C13.9"/>
      <sheetName val="C13.10"/>
      <sheetName val="C13.11"/>
      <sheetName val="C13.12"/>
      <sheetName val="C13.13"/>
      <sheetName val="C13.14"/>
      <sheetName val="C14.1"/>
      <sheetName val="C14.2"/>
      <sheetName val="C14.3"/>
      <sheetName val="C14.4"/>
      <sheetName val="C14.5"/>
      <sheetName val="C14.6"/>
      <sheetName val="C14.7"/>
      <sheetName val="C14.8"/>
      <sheetName val="C14.9"/>
      <sheetName val="C14.10"/>
      <sheetName val="C14.11"/>
      <sheetName val=" B BRAVO"/>
      <sheetName val="C1.6C"/>
      <sheetName val="C1.7C"/>
      <sheetName val="C2.1C"/>
      <sheetName val="C2.2C"/>
      <sheetName val="C3.1C"/>
      <sheetName val="C3.2C"/>
      <sheetName val="C4.2C"/>
      <sheetName val="C4.3C"/>
      <sheetName val="C4.4C"/>
      <sheetName val="C5.1C"/>
      <sheetName val="C5.2C"/>
      <sheetName val="C5.3C"/>
      <sheetName val="C5.4C"/>
      <sheetName val="C8.1C"/>
      <sheetName val="C9.1C"/>
      <sheetName val="C11.7C"/>
      <sheetName val="C11.8C"/>
      <sheetName val="C12.7"/>
      <sheetName val="C - NEW TIE IN"/>
      <sheetName val="C1.6D"/>
      <sheetName val="C1.7D"/>
      <sheetName val="C2.1D"/>
      <sheetName val="C2.2D"/>
      <sheetName val="C4.2D"/>
      <sheetName val="C4.4D"/>
      <sheetName val="C5.2D"/>
      <sheetName val="D - APRON &amp; C"/>
      <sheetName val="Summary"/>
      <sheetName val="CPG SUMMARY "/>
    </sheetNames>
    <sheetDataSet>
      <sheetData sheetId="0">
        <row r="2">
          <cell r="C2" t="str">
            <v>AIRPORTS COMPANY - SOUTH AFRICA</v>
          </cell>
        </row>
        <row r="3">
          <cell r="C3" t="str">
            <v>ACSA</v>
          </cell>
        </row>
        <row r="5">
          <cell r="C5" t="str">
            <v>KSIA7806/2025/RFP</v>
          </cell>
        </row>
        <row r="6">
          <cell r="C6" t="str">
            <v>PROCUREMENT OF A CIDB GRADE 9 CE CONTRACTOR THE COMPLETION OF BRAVO TAXIWAY EXTENSION AT KING SHAKA INTERNAIONAL AIRPORT FOR A PERIOD OF 12 MONTHS AT KING SHAKA INTERNATIONAL AIRPORT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C1.2"/>
      <sheetName val="C1.3"/>
      <sheetName val="C1.4"/>
      <sheetName val="C1.5"/>
      <sheetName val="C1.6"/>
      <sheetName val="C1.7"/>
      <sheetName val="C2.1"/>
      <sheetName val="C2.2"/>
      <sheetName val="C2.3"/>
      <sheetName val="C2.4"/>
      <sheetName val="C3.1"/>
      <sheetName val="C3.2"/>
      <sheetName val="C3.3"/>
      <sheetName val="C4.1"/>
      <sheetName val="C4.2"/>
      <sheetName val="C4.3"/>
      <sheetName val="C4.4"/>
      <sheetName val="C4.5"/>
      <sheetName val="C5.1"/>
      <sheetName val="C5.2"/>
      <sheetName val="C5.3"/>
      <sheetName val="C5.4"/>
      <sheetName val="C5.5"/>
      <sheetName val="C6.1"/>
      <sheetName val="C6.2"/>
      <sheetName val="C7.1"/>
      <sheetName val="C7.2"/>
      <sheetName val="C7.3"/>
      <sheetName val="C7.4"/>
      <sheetName val="C7.5"/>
      <sheetName val="C7.6"/>
      <sheetName val="C8.1"/>
      <sheetName val="C8.2"/>
      <sheetName val="C8.3"/>
      <sheetName val="C8.4"/>
      <sheetName val="C8.5"/>
      <sheetName val="C8.6"/>
      <sheetName val="C8.7"/>
      <sheetName val="C8.8"/>
      <sheetName val="C8.9"/>
      <sheetName val="C9.1"/>
      <sheetName val="C10.1"/>
      <sheetName val="C11.1"/>
      <sheetName val="C11.2"/>
      <sheetName val="C11.3"/>
      <sheetName val="C11.4"/>
      <sheetName val="C11.5"/>
      <sheetName val="C11.6"/>
      <sheetName val="C11.7"/>
      <sheetName val="C11.8"/>
      <sheetName val="C11.9"/>
      <sheetName val="C12.1"/>
      <sheetName val="C12.2"/>
      <sheetName val="C12.3"/>
      <sheetName val="C12.4"/>
      <sheetName val="C12.5"/>
      <sheetName val="C12.6"/>
      <sheetName val="C12.7"/>
      <sheetName val="C12.8"/>
      <sheetName val="C12.9"/>
      <sheetName val="C12.10"/>
      <sheetName val="C12.12"/>
      <sheetName val="C13.1"/>
      <sheetName val="C13.2"/>
      <sheetName val="C13.3"/>
      <sheetName val="C13.4"/>
      <sheetName val="C13.5"/>
      <sheetName val="C13.6"/>
      <sheetName val="C13.7"/>
      <sheetName val="C13.8"/>
      <sheetName val="C13.9"/>
      <sheetName val="C13.10"/>
      <sheetName val="C13.11"/>
      <sheetName val="C13.12"/>
      <sheetName val="C13.13"/>
      <sheetName val="C13.14"/>
      <sheetName val="C14.1"/>
      <sheetName val="C14.2"/>
      <sheetName val="C14.3"/>
      <sheetName val="C14.4"/>
      <sheetName val="C14.5"/>
      <sheetName val="C14.6"/>
      <sheetName val="C14.7"/>
      <sheetName val="C14.8"/>
      <sheetName val="C14.9"/>
      <sheetName val="C14.10"/>
      <sheetName val="C14.11"/>
      <sheetName val="C20.1"/>
      <sheetName val="A"/>
      <sheetName val="Section F"/>
      <sheetName val="F"/>
      <sheetName val="Section G"/>
      <sheetName val="G"/>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C1.2"/>
      <sheetName val="C1.3"/>
      <sheetName val="C1.4"/>
      <sheetName val="C1.5"/>
      <sheetName val="C1.6"/>
      <sheetName val="C1.7"/>
      <sheetName val="C2.1"/>
      <sheetName val="C3.1"/>
      <sheetName val="C3.3"/>
      <sheetName val="C8.4"/>
      <sheetName val="C8.5"/>
      <sheetName val="C8.8"/>
      <sheetName val="C9.1"/>
      <sheetName val="C11.1"/>
      <sheetName val="C11.2"/>
      <sheetName val="C11.4"/>
      <sheetName val="C11.6"/>
      <sheetName val="C11.7"/>
      <sheetName val="C11.9"/>
      <sheetName val="C13.7"/>
      <sheetName val="C20.1"/>
      <sheetName val="A"/>
      <sheetName val="Section F"/>
      <sheetName val="F"/>
      <sheetName val="Section G"/>
      <sheetName val="G"/>
      <sheetName val="Summary"/>
      <sheetName val="CPG SUMMARY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1200"/>
      <sheetName val="1300"/>
      <sheetName val="1400"/>
      <sheetName val="1500"/>
      <sheetName val="3900z"/>
      <sheetName val="3100"/>
      <sheetName val="3300"/>
      <sheetName val="3400"/>
      <sheetName val="5900"/>
      <sheetName val="8100"/>
      <sheetName val="A"/>
      <sheetName val="Sch D"/>
      <sheetName val="D"/>
      <sheetName val="Sch F"/>
      <sheetName val="F"/>
      <sheetName val="Sch G"/>
      <sheetName val="G"/>
      <sheetName val="Summary"/>
      <sheetName val="Labour"/>
      <sheetName val="Calc sheet"/>
      <sheetName val="CPG"/>
      <sheetName val="1700"/>
      <sheetName val="2100"/>
      <sheetName val="2200"/>
      <sheetName val="2300"/>
      <sheetName val="5100"/>
      <sheetName val="5200"/>
      <sheetName val="5400"/>
      <sheetName val="5600"/>
      <sheetName val="5700"/>
      <sheetName val="5800"/>
      <sheetName val="7100"/>
      <sheetName val="Relegated"/>
      <sheetName val="3800"/>
      <sheetName val="3500"/>
      <sheetName val="3600"/>
      <sheetName val="4100"/>
      <sheetName val="4200"/>
      <sheetName val="4500"/>
      <sheetName val="5500"/>
      <sheetName val="6100"/>
      <sheetName val="6200"/>
      <sheetName val="6300"/>
      <sheetName val="6400"/>
      <sheetName val="730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Progress"/>
      <sheetName val="Check"/>
      <sheetName val="Cert OLD"/>
      <sheetName val="Envelope"/>
      <sheetName val="Chk"/>
      <sheetName val="Cert New"/>
      <sheetName val="Bill of Q"/>
      <sheetName val="Summary"/>
      <sheetName val="VO"/>
      <sheetName val="VO 03"/>
      <sheetName val="VO 04"/>
      <sheetName val="VO 07"/>
      <sheetName val="VO 11"/>
      <sheetName val="VO 13,20a"/>
      <sheetName val="MOS"/>
      <sheetName val="Deductions"/>
      <sheetName val="Interest"/>
      <sheetName val="Bitumen"/>
      <sheetName val="Special Mat"/>
      <sheetName val="CPA"/>
      <sheetName val="ETA Cert"/>
      <sheetName val="Cert (ETA)"/>
      <sheetName val="Summary (ETA)"/>
      <sheetName val="Special Mat (ETA)"/>
      <sheetName val="CPA (ETA)"/>
      <sheetName val="Cash Flow"/>
      <sheetName val="Indices"/>
      <sheetName val="Notes"/>
      <sheetName val="VO Blank"/>
      <sheetName val="Tables"/>
      <sheetName val="Invo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ico Badenhorst" id="{5A972998-B2F8-492A-A720-C38394AF6440}" userId="daf79796264d693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4" dT="2022-04-21T12:49:22.58" personId="{5A972998-B2F8-492A-A720-C38394AF6440}" id="{F8AB2865-CD7A-42C1-B839-BDFB91B93227}">
    <text>confirm drawing details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135.bin"/></Relationships>
</file>

<file path=xl/worksheets/_rels/sheet138.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136.bin"/></Relationships>
</file>

<file path=xl/worksheets/_rels/sheet139.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13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138.bin"/></Relationships>
</file>

<file path=xl/worksheets/_rels/sheet141.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139.bin"/></Relationships>
</file>

<file path=xl/worksheets/_rels/sheet142.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140.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26.bin"/><Relationship Id="rId4" Type="http://schemas.microsoft.com/office/2017/10/relationships/threadedComment" Target="../threadedComments/threadedComment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H39"/>
  <sheetViews>
    <sheetView view="pageBreakPreview" zoomScale="115" zoomScaleNormal="100" zoomScaleSheetLayoutView="115" workbookViewId="0">
      <selection activeCell="AQ28" sqref="AQ28"/>
    </sheetView>
  </sheetViews>
  <sheetFormatPr defaultRowHeight="12.75"/>
  <cols>
    <col min="2" max="2" width="18.140625" bestFit="1" customWidth="1"/>
    <col min="3" max="3" width="43.85546875" customWidth="1"/>
    <col min="4" max="4" width="15.28515625" customWidth="1"/>
    <col min="6" max="6" width="9.140625" style="347"/>
    <col min="7" max="7" width="9.140625" style="384"/>
    <col min="8" max="8" width="9.140625" style="375"/>
    <col min="9" max="36" width="0" hidden="1" customWidth="1"/>
  </cols>
  <sheetData>
    <row r="2" spans="2:8" ht="12" customHeight="1">
      <c r="B2" s="94" t="s">
        <v>0</v>
      </c>
      <c r="C2" s="308" t="s">
        <v>1</v>
      </c>
    </row>
    <row r="3" spans="2:8">
      <c r="B3" s="94" t="s">
        <v>2</v>
      </c>
      <c r="C3" s="307" t="s">
        <v>3</v>
      </c>
    </row>
    <row r="4" spans="2:8">
      <c r="C4" s="94"/>
      <c r="H4" s="673"/>
    </row>
    <row r="5" spans="2:8">
      <c r="B5" s="94" t="s">
        <v>4</v>
      </c>
      <c r="C5" s="321" t="s">
        <v>5</v>
      </c>
      <c r="D5" s="94"/>
      <c r="E5" s="94"/>
      <c r="F5" s="362"/>
      <c r="G5" s="385"/>
      <c r="H5" s="673"/>
    </row>
    <row r="6" spans="2:8" ht="76.5">
      <c r="B6" s="94" t="s">
        <v>6</v>
      </c>
      <c r="C6" s="322" t="s">
        <v>7</v>
      </c>
      <c r="D6" s="94"/>
      <c r="E6" s="94"/>
      <c r="F6" s="362"/>
      <c r="G6" s="385"/>
      <c r="H6" s="673"/>
    </row>
    <row r="7" spans="2:8">
      <c r="B7" s="94" t="s">
        <v>8</v>
      </c>
      <c r="C7" s="94"/>
      <c r="D7" s="94"/>
      <c r="E7" s="94"/>
      <c r="F7" s="362"/>
      <c r="G7" s="385"/>
      <c r="H7" s="673"/>
    </row>
    <row r="39" spans="3:3">
      <c r="C39" s="281"/>
    </row>
  </sheetData>
  <mergeCells count="1">
    <mergeCell ref="H4:H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NANKHOO CONSULTING ENGINEERS&amp;R&amp;"Arial,Bold Italic"
</oddHeader>
    <oddFooter>&amp;C&amp;F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AJ119"/>
  <sheetViews>
    <sheetView view="pageBreakPreview" zoomScaleNormal="100" zoomScaleSheetLayoutView="100" workbookViewId="0">
      <selection activeCell="C27" sqref="C27"/>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21.85546875" style="399" customWidth="1"/>
    <col min="9" max="35" width="0" style="3" hidden="1" customWidth="1"/>
    <col min="36" max="36" width="8.140625" style="3" hidden="1" customWidth="1"/>
    <col min="37" max="16384" width="6.85546875" style="3"/>
  </cols>
  <sheetData>
    <row r="1" spans="1:8" ht="27" customHeight="1">
      <c r="A1" s="3" t="s">
        <v>365</v>
      </c>
      <c r="B1" s="2" t="str">
        <f>Client1</f>
        <v>AIRPORTS COMPANY - SOUTH AFRICA</v>
      </c>
      <c r="F1" s="676" t="str">
        <f>"Contract No. "&amp;ContractNo</f>
        <v>Contract No. KSIA7806/2025/RFP</v>
      </c>
      <c r="G1" s="676"/>
      <c r="H1" s="676"/>
    </row>
    <row r="2" spans="1:8">
      <c r="B2" s="2" t="str">
        <f>Client2</f>
        <v>ACSA</v>
      </c>
    </row>
    <row r="3" spans="1:8">
      <c r="B3" s="71"/>
      <c r="C3" s="71"/>
      <c r="D3" s="71"/>
      <c r="E3" s="71"/>
      <c r="F3" s="72"/>
      <c r="G3" s="400"/>
      <c r="H3" s="401"/>
    </row>
    <row r="4" spans="1:8">
      <c r="B4" s="695" t="s">
        <v>366</v>
      </c>
      <c r="C4" s="696"/>
      <c r="D4" s="696"/>
      <c r="E4" s="696"/>
      <c r="F4" s="696"/>
      <c r="G4" s="696"/>
      <c r="H4" s="684" t="str">
        <f>"CHAPTER "&amp;B10</f>
        <v>CHAPTER C1.6</v>
      </c>
    </row>
    <row r="5" spans="1:8"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row>
    <row r="6" spans="1:8" ht="12.75" customHeight="1">
      <c r="B6" s="690"/>
      <c r="C6" s="691"/>
      <c r="D6" s="691"/>
      <c r="E6" s="691"/>
      <c r="F6" s="691"/>
      <c r="G6" s="691"/>
      <c r="H6" s="694"/>
    </row>
    <row r="7" spans="1:8" ht="7.5" customHeight="1">
      <c r="B7" s="692"/>
      <c r="C7" s="693"/>
      <c r="D7" s="693"/>
      <c r="E7" s="693"/>
      <c r="F7" s="693"/>
      <c r="G7" s="693"/>
      <c r="H7" s="686"/>
    </row>
    <row r="8" spans="1:8" s="2" customFormat="1" ht="24.95" customHeight="1">
      <c r="B8" s="282" t="s">
        <v>11</v>
      </c>
      <c r="C8" s="280" t="s">
        <v>12</v>
      </c>
      <c r="D8" s="280" t="s">
        <v>13</v>
      </c>
      <c r="E8" s="280" t="s">
        <v>14</v>
      </c>
      <c r="F8" s="11" t="s">
        <v>15</v>
      </c>
      <c r="G8" s="409" t="s">
        <v>16</v>
      </c>
      <c r="H8" s="364" t="s">
        <v>17</v>
      </c>
    </row>
    <row r="9" spans="1:8">
      <c r="B9" s="13"/>
      <c r="C9" s="14"/>
      <c r="D9" s="14"/>
      <c r="E9" s="14"/>
      <c r="F9" s="22"/>
      <c r="G9" s="410"/>
      <c r="H9" s="363" t="str">
        <f t="shared" ref="H9:H21" si="0">IF(D9="","",F9*G9)</f>
        <v/>
      </c>
    </row>
    <row r="10" spans="1:8">
      <c r="B10" s="19" t="s">
        <v>367</v>
      </c>
      <c r="C10" s="20" t="s">
        <v>368</v>
      </c>
      <c r="D10" s="14"/>
      <c r="E10" s="14"/>
      <c r="F10" s="22"/>
      <c r="G10" s="410"/>
      <c r="H10" s="363" t="str">
        <f t="shared" si="0"/>
        <v/>
      </c>
    </row>
    <row r="11" spans="1:8">
      <c r="B11" s="13"/>
      <c r="C11" s="14"/>
      <c r="D11" s="14"/>
      <c r="E11" s="14"/>
      <c r="F11" s="22"/>
      <c r="G11" s="410"/>
      <c r="H11" s="363" t="str">
        <f t="shared" si="0"/>
        <v/>
      </c>
    </row>
    <row r="12" spans="1:8">
      <c r="B12" s="13" t="s">
        <v>369</v>
      </c>
      <c r="C12" s="14" t="s">
        <v>370</v>
      </c>
      <c r="D12" s="14"/>
      <c r="E12" s="14"/>
      <c r="F12" s="22"/>
      <c r="G12" s="410"/>
      <c r="H12" s="363" t="str">
        <f t="shared" si="0"/>
        <v/>
      </c>
    </row>
    <row r="13" spans="1:8">
      <c r="B13" s="13"/>
      <c r="C13" s="14"/>
      <c r="D13" s="14"/>
      <c r="E13" s="14"/>
      <c r="F13" s="22"/>
      <c r="G13" s="410"/>
      <c r="H13" s="363" t="str">
        <f t="shared" si="0"/>
        <v/>
      </c>
    </row>
    <row r="14" spans="1:8" ht="25.5">
      <c r="B14" s="13" t="s">
        <v>371</v>
      </c>
      <c r="C14" s="14" t="s">
        <v>372</v>
      </c>
      <c r="D14" s="14" t="s">
        <v>373</v>
      </c>
      <c r="E14" s="14"/>
      <c r="F14" s="357">
        <v>10</v>
      </c>
      <c r="G14" s="586"/>
      <c r="H14" s="363">
        <f t="shared" si="0"/>
        <v>0</v>
      </c>
    </row>
    <row r="15" spans="1:8">
      <c r="B15" s="13"/>
      <c r="C15" s="14"/>
      <c r="D15" s="14"/>
      <c r="E15" s="14"/>
      <c r="F15" s="357"/>
      <c r="G15" s="586"/>
      <c r="H15" s="363" t="str">
        <f t="shared" si="0"/>
        <v/>
      </c>
    </row>
    <row r="16" spans="1:8" ht="25.5">
      <c r="B16" s="13" t="s">
        <v>374</v>
      </c>
      <c r="C16" s="14" t="s">
        <v>375</v>
      </c>
      <c r="D16" s="14" t="s">
        <v>373</v>
      </c>
      <c r="E16" s="14" t="s">
        <v>14</v>
      </c>
      <c r="F16" s="357">
        <v>1</v>
      </c>
      <c r="G16" s="586"/>
      <c r="H16" s="363">
        <f t="shared" si="0"/>
        <v>0</v>
      </c>
    </row>
    <row r="17" spans="2:8">
      <c r="B17" s="13"/>
      <c r="C17" s="100"/>
      <c r="D17" s="14"/>
      <c r="E17" s="50"/>
      <c r="F17" s="357"/>
      <c r="G17" s="586"/>
      <c r="H17" s="363" t="str">
        <f t="shared" si="0"/>
        <v/>
      </c>
    </row>
    <row r="18" spans="2:8">
      <c r="B18" s="13" t="s">
        <v>376</v>
      </c>
      <c r="C18" s="14" t="s">
        <v>377</v>
      </c>
      <c r="D18" s="14"/>
      <c r="E18" s="14"/>
      <c r="F18" s="357"/>
      <c r="G18" s="586"/>
      <c r="H18" s="363" t="str">
        <f t="shared" si="0"/>
        <v/>
      </c>
    </row>
    <row r="19" spans="2:8">
      <c r="B19" s="13"/>
      <c r="C19" s="14"/>
      <c r="D19" s="14"/>
      <c r="E19" s="14"/>
      <c r="F19" s="357"/>
      <c r="G19" s="586"/>
      <c r="H19" s="363" t="str">
        <f t="shared" si="0"/>
        <v/>
      </c>
    </row>
    <row r="20" spans="2:8" ht="25.5">
      <c r="B20" s="13" t="s">
        <v>378</v>
      </c>
      <c r="C20" s="14" t="s">
        <v>379</v>
      </c>
      <c r="D20" s="14" t="s">
        <v>373</v>
      </c>
      <c r="E20" s="50"/>
      <c r="F20" s="357">
        <v>10</v>
      </c>
      <c r="G20" s="586"/>
      <c r="H20" s="363">
        <f t="shared" ref="H20" si="1">IF(D20="","",F20*G20)</f>
        <v>0</v>
      </c>
    </row>
    <row r="21" spans="2:8">
      <c r="B21" s="13"/>
      <c r="C21" s="14"/>
      <c r="D21" s="14"/>
      <c r="E21" s="50"/>
      <c r="F21" s="357"/>
      <c r="G21" s="590"/>
      <c r="H21" s="363" t="str">
        <f t="shared" si="0"/>
        <v/>
      </c>
    </row>
    <row r="22" spans="2:8">
      <c r="B22" s="13"/>
      <c r="C22" s="14"/>
      <c r="D22" s="14"/>
      <c r="E22" s="14"/>
      <c r="F22" s="22"/>
      <c r="G22" s="587"/>
      <c r="H22" s="363" t="str">
        <f t="shared" ref="H22:H23" si="2">IF(D22="","",F22*G22)</f>
        <v/>
      </c>
    </row>
    <row r="23" spans="2:8">
      <c r="B23" s="13"/>
      <c r="C23" s="14"/>
      <c r="D23" s="14"/>
      <c r="E23" s="14"/>
      <c r="F23" s="22"/>
      <c r="G23" s="587"/>
      <c r="H23" s="363" t="str">
        <f t="shared" si="2"/>
        <v/>
      </c>
    </row>
    <row r="24" spans="2:8" s="2" customFormat="1" ht="20.100000000000001" customHeight="1">
      <c r="B24" s="411" t="str">
        <f>$B$10</f>
        <v>C1.6</v>
      </c>
      <c r="C24" s="276" t="s">
        <v>125</v>
      </c>
      <c r="D24" s="287"/>
      <c r="E24" s="287"/>
      <c r="F24" s="31"/>
      <c r="G24" s="412"/>
      <c r="H24" s="364">
        <f>SUM(H9:H23)</f>
        <v>0</v>
      </c>
    </row>
    <row r="110" spans="6:6">
      <c r="F110" s="352"/>
    </row>
    <row r="111" spans="6:6">
      <c r="F111" s="352"/>
    </row>
    <row r="112" spans="6:6">
      <c r="F112" s="352"/>
    </row>
    <row r="113" spans="6:6">
      <c r="F113" s="352"/>
    </row>
    <row r="114" spans="6:6">
      <c r="F114" s="352"/>
    </row>
    <row r="115" spans="6:6">
      <c r="F115" s="352"/>
    </row>
    <row r="116" spans="6:6">
      <c r="F116" s="352"/>
    </row>
    <row r="117" spans="6:6">
      <c r="F117" s="352"/>
    </row>
    <row r="118" spans="6:6">
      <c r="F118" s="352"/>
    </row>
    <row r="119" spans="6:6">
      <c r="F119" s="352"/>
    </row>
  </sheetData>
  <sheetProtection algorithmName="SHA-512" hashValue="Nei0enAD2orCA8zFengLg9CqgX05skN8Ur1SXu0v0clpxExU4G4OO98gaVOWqZ20mxxLkO60cZ0OoG8GVZ00BQ==" saltValue="BVLr043NXGyiO997yEm6zg==" spinCount="100000" sheet="1" objects="1" scenarios="1"/>
  <mergeCells count="4">
    <mergeCell ref="F1:H1"/>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BF58-3692-4613-B380-4EA32B3D25E0}">
  <sheetPr codeName="Sheet98">
    <tabColor rgb="FF00B0F0"/>
  </sheetPr>
  <dimension ref="B1:I45"/>
  <sheetViews>
    <sheetView view="pageBreakPreview" zoomScaleNormal="100" zoomScaleSheetLayoutView="100" workbookViewId="0">
      <selection activeCell="H25" sqref="H25"/>
    </sheetView>
  </sheetViews>
  <sheetFormatPr defaultColWidth="6.85546875" defaultRowHeight="12.75"/>
  <cols>
    <col min="1" max="1" width="0.85546875" style="1" customWidth="1"/>
    <col min="2" max="2" width="11.7109375" style="455" customWidth="1"/>
    <col min="3" max="3" width="45.7109375" style="52" customWidth="1"/>
    <col min="4" max="4" width="15.28515625" style="4" customWidth="1"/>
    <col min="5" max="5" width="5.7109375" style="4" customWidth="1"/>
    <col min="6" max="6" width="15.7109375" style="4" customWidth="1"/>
    <col min="7" max="7" width="14.42578125" style="398" customWidth="1"/>
    <col min="8" max="8" width="23.42578125" style="399" customWidth="1"/>
    <col min="9" max="9" width="47.28515625" style="5" hidden="1" customWidth="1"/>
    <col min="10" max="36" width="0" style="1" hidden="1" customWidth="1"/>
    <col min="37" max="16384" width="6.85546875" style="1"/>
  </cols>
  <sheetData>
    <row r="1" spans="2:9">
      <c r="B1" s="28" t="str">
        <f>Client1</f>
        <v>AIRPORTS COMPANY - SOUTH AFRICA</v>
      </c>
      <c r="F1" s="676" t="str">
        <f>"Contract No. "&amp;ContractNo</f>
        <v>Contract No. KSIA7806/2025/RFP</v>
      </c>
      <c r="G1" s="676"/>
      <c r="H1" s="676"/>
    </row>
    <row r="2" spans="2:9">
      <c r="B2" s="454" t="str">
        <f>Client2</f>
        <v>ACSA</v>
      </c>
    </row>
    <row r="3" spans="2:9">
      <c r="B3" s="73"/>
      <c r="C3" s="92"/>
      <c r="D3" s="72"/>
      <c r="E3" s="72"/>
      <c r="F3" s="72"/>
      <c r="G3" s="400"/>
      <c r="H3" s="401"/>
    </row>
    <row r="4" spans="2:9">
      <c r="B4" s="695" t="s">
        <v>2943</v>
      </c>
      <c r="C4" s="696"/>
      <c r="D4" s="696"/>
      <c r="E4" s="696"/>
      <c r="F4" s="696"/>
      <c r="G4" s="696"/>
      <c r="H4" s="742" t="str">
        <f>"CHAPTER "&amp;B10</f>
        <v>CHAPTER C5.4</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15.75" customHeight="1">
      <c r="B7" s="692"/>
      <c r="C7" s="693"/>
      <c r="D7" s="693"/>
      <c r="E7" s="693"/>
      <c r="F7" s="693"/>
      <c r="G7" s="693"/>
      <c r="H7" s="744"/>
      <c r="I7" s="676"/>
    </row>
    <row r="8" spans="2:9" s="9" customFormat="1" ht="24.95" customHeight="1">
      <c r="B8" s="70" t="s">
        <v>11</v>
      </c>
      <c r="C8" s="11" t="s">
        <v>12</v>
      </c>
      <c r="D8" s="11" t="s">
        <v>13</v>
      </c>
      <c r="E8" s="11" t="s">
        <v>14</v>
      </c>
      <c r="F8" s="11" t="s">
        <v>15</v>
      </c>
      <c r="G8" s="409" t="s">
        <v>16</v>
      </c>
      <c r="H8" s="364" t="s">
        <v>17</v>
      </c>
      <c r="I8" s="676"/>
    </row>
    <row r="9" spans="2:9">
      <c r="B9" s="48"/>
      <c r="C9" s="14"/>
      <c r="D9" s="15"/>
      <c r="E9" s="15"/>
      <c r="F9" s="15"/>
      <c r="G9" s="427"/>
      <c r="H9" s="367" t="str">
        <f>IF(D9="","",F9*G9)</f>
        <v/>
      </c>
      <c r="I9" s="239"/>
    </row>
    <row r="10" spans="2:9">
      <c r="B10" s="661" t="s">
        <v>888</v>
      </c>
      <c r="C10" s="662" t="s">
        <v>889</v>
      </c>
      <c r="D10" s="563"/>
      <c r="E10" s="563"/>
      <c r="F10" s="563"/>
      <c r="G10" s="663"/>
      <c r="H10" s="644" t="str">
        <f t="shared" ref="H10:H11" si="0">IF(D10="","",F10*G10)</f>
        <v/>
      </c>
      <c r="I10" s="277"/>
    </row>
    <row r="11" spans="2:9">
      <c r="B11" s="645"/>
      <c r="C11" s="638"/>
      <c r="D11" s="563"/>
      <c r="E11" s="563"/>
      <c r="F11" s="563"/>
      <c r="G11" s="663"/>
      <c r="H11" s="644" t="str">
        <f t="shared" si="0"/>
        <v/>
      </c>
      <c r="I11" s="277"/>
    </row>
    <row r="12" spans="2:9" ht="25.5">
      <c r="B12" s="664" t="s">
        <v>3139</v>
      </c>
      <c r="C12" s="665" t="s">
        <v>3140</v>
      </c>
      <c r="D12" s="666" t="s">
        <v>724</v>
      </c>
      <c r="E12" s="666"/>
      <c r="F12" s="667">
        <f>'[13]C5.3C'!F28</f>
        <v>1170</v>
      </c>
      <c r="G12" s="668"/>
      <c r="H12" s="669">
        <f>G12*F12</f>
        <v>0</v>
      </c>
      <c r="I12" s="277"/>
    </row>
    <row r="13" spans="2:9">
      <c r="B13" s="664"/>
      <c r="C13" s="665"/>
      <c r="D13" s="666"/>
      <c r="E13" s="666"/>
      <c r="F13" s="667"/>
      <c r="G13" s="668"/>
      <c r="H13" s="669"/>
      <c r="I13" s="277"/>
    </row>
    <row r="14" spans="2:9" ht="25.5">
      <c r="B14" s="664" t="s">
        <v>3141</v>
      </c>
      <c r="C14" s="665" t="s">
        <v>3140</v>
      </c>
      <c r="D14" s="666" t="s">
        <v>724</v>
      </c>
      <c r="E14" s="666"/>
      <c r="F14" s="667">
        <f>'[13]C5.3C'!F30</f>
        <v>1607</v>
      </c>
      <c r="G14" s="668"/>
      <c r="H14" s="669">
        <f>G14*F14</f>
        <v>0</v>
      </c>
      <c r="I14" s="278"/>
    </row>
    <row r="15" spans="2:9">
      <c r="B15" s="664"/>
      <c r="C15" s="665"/>
      <c r="D15" s="666"/>
      <c r="E15" s="666"/>
      <c r="F15" s="667"/>
      <c r="G15" s="668"/>
      <c r="H15" s="669"/>
      <c r="I15" s="278"/>
    </row>
    <row r="16" spans="2:9">
      <c r="B16" s="664" t="s">
        <v>3142</v>
      </c>
      <c r="C16" s="665" t="s">
        <v>3143</v>
      </c>
      <c r="D16" s="666" t="s">
        <v>724</v>
      </c>
      <c r="E16" s="666"/>
      <c r="F16" s="667">
        <f>'[13]C5.3C'!F32</f>
        <v>1567</v>
      </c>
      <c r="G16" s="668"/>
      <c r="H16" s="669">
        <f>G16*F16</f>
        <v>0</v>
      </c>
      <c r="I16" s="278"/>
    </row>
    <row r="17" spans="2:9">
      <c r="B17" s="664"/>
      <c r="C17" s="665"/>
      <c r="D17" s="666"/>
      <c r="E17" s="666"/>
      <c r="F17" s="667"/>
      <c r="G17" s="668"/>
      <c r="H17" s="669"/>
      <c r="I17" s="278"/>
    </row>
    <row r="18" spans="2:9">
      <c r="B18" s="664" t="s">
        <v>3144</v>
      </c>
      <c r="C18" s="665" t="s">
        <v>3145</v>
      </c>
      <c r="D18" s="666"/>
      <c r="E18" s="666"/>
      <c r="F18" s="667"/>
      <c r="G18" s="668"/>
      <c r="H18" s="669" t="s">
        <v>128</v>
      </c>
      <c r="I18" s="278"/>
    </row>
    <row r="19" spans="2:9">
      <c r="B19" s="664"/>
      <c r="C19" s="665"/>
      <c r="D19" s="666"/>
      <c r="E19" s="666"/>
      <c r="F19" s="667"/>
      <c r="G19" s="668"/>
      <c r="H19" s="669" t="s">
        <v>128</v>
      </c>
      <c r="I19" s="278"/>
    </row>
    <row r="20" spans="2:9">
      <c r="B20" s="664" t="s">
        <v>3146</v>
      </c>
      <c r="C20" s="665" t="s">
        <v>3147</v>
      </c>
      <c r="D20" s="666"/>
      <c r="E20" s="666"/>
      <c r="F20" s="667"/>
      <c r="G20" s="668"/>
      <c r="H20" s="669" t="s">
        <v>128</v>
      </c>
      <c r="I20" s="278"/>
    </row>
    <row r="21" spans="2:9">
      <c r="B21" s="664"/>
      <c r="C21" s="665"/>
      <c r="D21" s="666"/>
      <c r="E21" s="666"/>
      <c r="F21" s="667"/>
      <c r="G21" s="668"/>
      <c r="H21" s="669" t="s">
        <v>128</v>
      </c>
      <c r="I21" s="277"/>
    </row>
    <row r="22" spans="2:9">
      <c r="B22" s="664" t="s">
        <v>86</v>
      </c>
      <c r="C22" s="665" t="s">
        <v>3148</v>
      </c>
      <c r="D22" s="666" t="s">
        <v>903</v>
      </c>
      <c r="E22" s="666"/>
      <c r="F22" s="667">
        <v>377</v>
      </c>
      <c r="G22" s="668"/>
      <c r="H22" s="669">
        <f>G22*F22</f>
        <v>0</v>
      </c>
      <c r="I22" s="277"/>
    </row>
    <row r="23" spans="2:9">
      <c r="B23" s="664"/>
      <c r="C23" s="665"/>
      <c r="D23" s="666"/>
      <c r="E23" s="666"/>
      <c r="F23" s="667"/>
      <c r="G23" s="668"/>
      <c r="H23" s="669" t="s">
        <v>128</v>
      </c>
      <c r="I23" s="277"/>
    </row>
    <row r="24" spans="2:9">
      <c r="B24" s="664" t="s">
        <v>904</v>
      </c>
      <c r="C24" s="665" t="s">
        <v>905</v>
      </c>
      <c r="D24" s="666" t="s">
        <v>906</v>
      </c>
      <c r="E24" s="666"/>
      <c r="F24" s="667">
        <v>2000</v>
      </c>
      <c r="G24" s="668"/>
      <c r="H24" s="669">
        <f>G24*F24</f>
        <v>0</v>
      </c>
      <c r="I24" s="279"/>
    </row>
    <row r="25" spans="2:9">
      <c r="B25" s="664"/>
      <c r="C25" s="665"/>
      <c r="D25" s="666"/>
      <c r="E25" s="666"/>
      <c r="F25" s="667"/>
      <c r="G25" s="668"/>
      <c r="H25" s="669" t="s">
        <v>128</v>
      </c>
    </row>
    <row r="26" spans="2:9">
      <c r="B26" s="664" t="s">
        <v>3149</v>
      </c>
      <c r="C26" s="665" t="s">
        <v>3150</v>
      </c>
      <c r="D26" s="666" t="s">
        <v>782</v>
      </c>
      <c r="E26" s="666"/>
      <c r="F26" s="667">
        <f>7350*2</f>
        <v>14700</v>
      </c>
      <c r="G26" s="668"/>
      <c r="H26" s="669">
        <f>G26*F26</f>
        <v>0</v>
      </c>
    </row>
    <row r="27" spans="2:9">
      <c r="B27" s="664"/>
      <c r="C27" s="665"/>
      <c r="D27" s="666"/>
      <c r="E27" s="666"/>
      <c r="F27" s="667"/>
      <c r="G27" s="668"/>
      <c r="H27" s="669" t="s">
        <v>128</v>
      </c>
    </row>
    <row r="28" spans="2:9">
      <c r="B28" s="664" t="s">
        <v>3151</v>
      </c>
      <c r="C28" s="665" t="s">
        <v>3152</v>
      </c>
      <c r="D28" s="666" t="s">
        <v>724</v>
      </c>
      <c r="E28" s="666"/>
      <c r="F28" s="667">
        <v>500</v>
      </c>
      <c r="G28" s="668"/>
      <c r="H28" s="669">
        <f>G28*F28</f>
        <v>0</v>
      </c>
    </row>
    <row r="29" spans="2:9">
      <c r="B29" s="48"/>
      <c r="C29" s="14"/>
      <c r="D29" s="22"/>
      <c r="E29" s="36"/>
      <c r="F29" s="240"/>
      <c r="G29" s="585"/>
      <c r="H29" s="367"/>
    </row>
    <row r="30" spans="2:9">
      <c r="B30" s="48"/>
      <c r="C30" s="14"/>
      <c r="D30" s="22"/>
      <c r="E30" s="36"/>
      <c r="F30" s="240"/>
      <c r="G30" s="590"/>
      <c r="H30" s="367"/>
    </row>
    <row r="31" spans="2:9">
      <c r="B31" s="48"/>
      <c r="C31" s="14"/>
      <c r="D31" s="22"/>
      <c r="E31" s="22"/>
      <c r="F31" s="240"/>
      <c r="G31" s="410"/>
      <c r="H31" s="367"/>
      <c r="I31" s="277"/>
    </row>
    <row r="32" spans="2:9">
      <c r="B32" s="48"/>
      <c r="C32" s="14"/>
      <c r="D32" s="22"/>
      <c r="E32" s="22"/>
      <c r="F32" s="240"/>
      <c r="G32" s="410"/>
      <c r="H32" s="367"/>
      <c r="I32" s="277"/>
    </row>
    <row r="33" spans="2:9">
      <c r="B33" s="48"/>
      <c r="C33" s="14"/>
      <c r="D33" s="22"/>
      <c r="E33" s="22"/>
      <c r="F33" s="22"/>
      <c r="G33" s="351"/>
      <c r="H33" s="367"/>
      <c r="I33" s="277"/>
    </row>
    <row r="34" spans="2:9">
      <c r="B34" s="48"/>
      <c r="C34" s="14"/>
      <c r="D34" s="22"/>
      <c r="E34" s="22"/>
      <c r="F34" s="22"/>
      <c r="G34" s="351"/>
      <c r="H34" s="367"/>
      <c r="I34" s="277"/>
    </row>
    <row r="35" spans="2:9">
      <c r="B35" s="48"/>
      <c r="C35" s="14"/>
      <c r="D35" s="22"/>
      <c r="E35" s="22"/>
      <c r="F35" s="22"/>
      <c r="G35" s="351"/>
      <c r="H35" s="367"/>
      <c r="I35" s="277"/>
    </row>
    <row r="36" spans="2:9">
      <c r="B36" s="48"/>
      <c r="C36" s="14"/>
      <c r="D36" s="22"/>
      <c r="E36" s="22"/>
      <c r="F36" s="22"/>
      <c r="G36" s="351"/>
      <c r="H36" s="367"/>
      <c r="I36" s="277"/>
    </row>
    <row r="37" spans="2:9">
      <c r="B37" s="48"/>
      <c r="C37" s="14"/>
      <c r="D37" s="22"/>
      <c r="E37" s="22"/>
      <c r="F37" s="22"/>
      <c r="G37" s="351"/>
      <c r="H37" s="367"/>
      <c r="I37" s="277"/>
    </row>
    <row r="38" spans="2:9">
      <c r="B38" s="48"/>
      <c r="C38" s="14"/>
      <c r="D38" s="22"/>
      <c r="E38" s="22"/>
      <c r="F38" s="22"/>
      <c r="G38" s="351"/>
      <c r="H38" s="367"/>
      <c r="I38" s="277"/>
    </row>
    <row r="39" spans="2:9">
      <c r="B39" s="48"/>
      <c r="C39" s="14"/>
      <c r="D39" s="22"/>
      <c r="E39" s="22"/>
      <c r="F39" s="22"/>
      <c r="G39" s="351"/>
      <c r="H39" s="367"/>
      <c r="I39" s="277"/>
    </row>
    <row r="40" spans="2:9">
      <c r="B40" s="48"/>
      <c r="C40" s="14"/>
      <c r="D40" s="22"/>
      <c r="E40" s="22"/>
      <c r="F40" s="22"/>
      <c r="G40" s="351"/>
      <c r="H40" s="367"/>
      <c r="I40" s="277"/>
    </row>
    <row r="41" spans="2:9">
      <c r="B41" s="48"/>
      <c r="C41" s="14"/>
      <c r="D41" s="22"/>
      <c r="E41" s="36"/>
      <c r="F41" s="36"/>
      <c r="G41" s="351"/>
      <c r="H41" s="367"/>
    </row>
    <row r="42" spans="2:9">
      <c r="B42" s="48"/>
      <c r="C42" s="14"/>
      <c r="D42" s="22"/>
      <c r="E42" s="36"/>
      <c r="F42" s="36"/>
      <c r="G42" s="351"/>
      <c r="H42" s="367"/>
    </row>
    <row r="43" spans="2:9">
      <c r="B43" s="48"/>
      <c r="C43" s="14"/>
      <c r="D43" s="22"/>
      <c r="E43" s="22"/>
      <c r="F43" s="22"/>
      <c r="G43" s="351"/>
      <c r="H43" s="367"/>
      <c r="I43" s="277"/>
    </row>
    <row r="44" spans="2:9">
      <c r="B44" s="48"/>
      <c r="C44" s="100"/>
      <c r="D44" s="36"/>
      <c r="E44" s="36"/>
      <c r="F44" s="36"/>
      <c r="G44" s="351"/>
      <c r="H44" s="367"/>
      <c r="I44" s="47"/>
    </row>
    <row r="45" spans="2:9" s="28" customFormat="1" ht="19.5" customHeight="1">
      <c r="B45" s="101" t="str">
        <f>$B$10</f>
        <v>C5.4</v>
      </c>
      <c r="C45" s="29" t="s">
        <v>125</v>
      </c>
      <c r="D45" s="30"/>
      <c r="E45" s="30"/>
      <c r="F45" s="31"/>
      <c r="G45" s="412"/>
      <c r="H45" s="364">
        <f>SUM(H9:H44)</f>
        <v>0</v>
      </c>
      <c r="I45" s="236"/>
    </row>
  </sheetData>
  <sheetProtection algorithmName="SHA-512" hashValue="ZFNmNDEyGRCTtjVYUJGAJza/GhR5OGcg7ANOJVzxURYqe5F2X0tqyvDlHKcxgx9Hp1giJCr2mn0u/kuGVDR3rA==" saltValue="YNvs+RqCqxXSBd/+RzkC/Q=="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610F-D7F6-4412-AE2D-086596927B91}">
  <sheetPr codeName="Sheet99">
    <tabColor rgb="FF00B0F0"/>
  </sheetPr>
  <dimension ref="B1:N31"/>
  <sheetViews>
    <sheetView view="pageBreakPreview" zoomScaleNormal="100" zoomScaleSheetLayoutView="100" workbookViewId="0">
      <selection activeCell="E16" sqref="E16"/>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4.42578125" style="398" customWidth="1"/>
    <col min="8" max="8" width="20" style="399" customWidth="1"/>
    <col min="9" max="9" width="47.42578125" style="3" hidden="1" customWidth="1"/>
    <col min="10" max="36" width="0" style="3" hidden="1" customWidth="1"/>
    <col min="37" max="16384" width="6.85546875" style="3"/>
  </cols>
  <sheetData>
    <row r="1" spans="2:14">
      <c r="B1" s="2" t="s">
        <v>1</v>
      </c>
      <c r="F1" s="676" t="s">
        <v>1183</v>
      </c>
      <c r="G1" s="676"/>
      <c r="H1" s="676"/>
    </row>
    <row r="2" spans="2:14">
      <c r="B2" s="90" t="str">
        <f>Client2</f>
        <v>ACSA</v>
      </c>
    </row>
    <row r="3" spans="2:14">
      <c r="B3" s="71"/>
      <c r="C3" s="71"/>
      <c r="D3" s="71"/>
      <c r="E3" s="71"/>
      <c r="F3" s="72"/>
      <c r="G3" s="400"/>
      <c r="H3" s="401"/>
    </row>
    <row r="4" spans="2:14">
      <c r="B4" s="695" t="s">
        <v>2943</v>
      </c>
      <c r="C4" s="696"/>
      <c r="D4" s="696"/>
      <c r="E4" s="696"/>
      <c r="F4" s="696"/>
      <c r="G4" s="696"/>
      <c r="H4" s="742" t="str">
        <f>"CHAPTER "&amp;B10</f>
        <v>CHAPTER C8.1</v>
      </c>
      <c r="I4" s="676" t="s">
        <v>100</v>
      </c>
    </row>
    <row r="5" spans="2:14"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14" ht="12.75" customHeight="1">
      <c r="B6" s="690"/>
      <c r="C6" s="691"/>
      <c r="D6" s="691"/>
      <c r="E6" s="691"/>
      <c r="F6" s="691"/>
      <c r="G6" s="691"/>
      <c r="H6" s="743"/>
      <c r="I6" s="676"/>
    </row>
    <row r="7" spans="2:14" ht="15" customHeight="1">
      <c r="B7" s="692"/>
      <c r="C7" s="693"/>
      <c r="D7" s="693"/>
      <c r="E7" s="693"/>
      <c r="F7" s="693"/>
      <c r="G7" s="693"/>
      <c r="H7" s="744"/>
      <c r="I7" s="676"/>
    </row>
    <row r="8" spans="2:14" s="2" customFormat="1" ht="24.95" customHeight="1">
      <c r="B8" s="282" t="s">
        <v>11</v>
      </c>
      <c r="C8" s="280" t="s">
        <v>12</v>
      </c>
      <c r="D8" s="280" t="s">
        <v>13</v>
      </c>
      <c r="E8" s="280" t="s">
        <v>14</v>
      </c>
      <c r="F8" s="11" t="s">
        <v>15</v>
      </c>
      <c r="G8" s="409" t="s">
        <v>16</v>
      </c>
      <c r="H8" s="364" t="s">
        <v>17</v>
      </c>
      <c r="I8" s="676"/>
    </row>
    <row r="9" spans="2:14">
      <c r="B9" s="13"/>
      <c r="C9" s="14"/>
      <c r="D9" s="38"/>
      <c r="E9" s="38"/>
      <c r="F9" s="15"/>
      <c r="G9" s="427"/>
      <c r="H9" s="367" t="str">
        <f>IF(D9="","",F9*G9)</f>
        <v/>
      </c>
      <c r="I9" s="299"/>
    </row>
    <row r="10" spans="2:14">
      <c r="B10" s="19" t="s">
        <v>1133</v>
      </c>
      <c r="C10" s="20" t="s">
        <v>1134</v>
      </c>
      <c r="D10" s="14"/>
      <c r="E10" s="14"/>
      <c r="F10" s="22"/>
      <c r="G10" s="410"/>
      <c r="H10" s="367" t="str">
        <f t="shared" ref="H10:H30" si="0">IF(D10="","",F10*G10)</f>
        <v/>
      </c>
      <c r="I10" s="284"/>
    </row>
    <row r="11" spans="2:14">
      <c r="B11" s="13"/>
      <c r="C11" s="14"/>
      <c r="D11" s="14"/>
      <c r="E11" s="14"/>
      <c r="F11" s="22"/>
      <c r="G11" s="410"/>
      <c r="H11" s="367" t="str">
        <f t="shared" si="0"/>
        <v/>
      </c>
      <c r="I11" s="284"/>
    </row>
    <row r="12" spans="2:14">
      <c r="B12" s="13" t="s">
        <v>1135</v>
      </c>
      <c r="C12" s="14" t="s">
        <v>1136</v>
      </c>
      <c r="D12" s="14"/>
      <c r="E12" s="14"/>
      <c r="F12" s="22"/>
      <c r="G12" s="410"/>
      <c r="H12" s="367" t="str">
        <f t="shared" si="0"/>
        <v/>
      </c>
      <c r="I12" s="284"/>
    </row>
    <row r="13" spans="2:14">
      <c r="B13" s="13"/>
      <c r="C13" s="14"/>
      <c r="D13" s="14"/>
      <c r="E13" s="14"/>
      <c r="F13" s="22"/>
      <c r="G13" s="586"/>
      <c r="H13" s="367" t="str">
        <f t="shared" si="0"/>
        <v/>
      </c>
      <c r="I13" s="284"/>
    </row>
    <row r="14" spans="2:14">
      <c r="B14" s="13" t="s">
        <v>1137</v>
      </c>
      <c r="C14" s="14" t="s">
        <v>1184</v>
      </c>
      <c r="D14" s="14" t="s">
        <v>898</v>
      </c>
      <c r="E14" s="14"/>
      <c r="F14" s="240">
        <v>11400</v>
      </c>
      <c r="G14" s="587"/>
      <c r="H14" s="367">
        <f t="shared" si="0"/>
        <v>0</v>
      </c>
      <c r="I14" s="285"/>
      <c r="M14" s="3">
        <f>1880+600</f>
        <v>2480</v>
      </c>
    </row>
    <row r="15" spans="2:14">
      <c r="B15" s="13"/>
      <c r="C15" s="14"/>
      <c r="D15" s="14"/>
      <c r="E15" s="14"/>
      <c r="F15" s="240"/>
      <c r="G15" s="587"/>
      <c r="H15" s="367" t="str">
        <f t="shared" si="0"/>
        <v/>
      </c>
      <c r="I15" s="285"/>
      <c r="M15" s="3">
        <f>M14*0.7</f>
        <v>1736</v>
      </c>
    </row>
    <row r="16" spans="2:14" ht="25.5">
      <c r="B16" s="13" t="s">
        <v>1139</v>
      </c>
      <c r="C16" s="14" t="s">
        <v>1140</v>
      </c>
      <c r="D16" s="14" t="s">
        <v>898</v>
      </c>
      <c r="E16" s="14" t="s">
        <v>14</v>
      </c>
      <c r="F16" s="240">
        <v>2000</v>
      </c>
      <c r="G16" s="587"/>
      <c r="H16" s="367">
        <f>G16*F16</f>
        <v>0</v>
      </c>
      <c r="I16" s="285"/>
      <c r="N16" s="453">
        <f>M15+F14</f>
        <v>13136</v>
      </c>
    </row>
    <row r="17" spans="2:9">
      <c r="B17" s="13"/>
      <c r="C17" s="14"/>
      <c r="D17" s="14"/>
      <c r="E17" s="14"/>
      <c r="F17" s="240"/>
      <c r="G17" s="351"/>
      <c r="H17" s="367"/>
      <c r="I17" s="285"/>
    </row>
    <row r="18" spans="2:9">
      <c r="B18" s="13"/>
      <c r="C18" s="100"/>
      <c r="D18" s="50"/>
      <c r="E18" s="50"/>
      <c r="F18" s="36"/>
      <c r="G18" s="351"/>
      <c r="H18" s="367" t="str">
        <f t="shared" si="0"/>
        <v/>
      </c>
    </row>
    <row r="19" spans="2:9">
      <c r="B19" s="13"/>
      <c r="C19" s="100"/>
      <c r="D19" s="14"/>
      <c r="E19" s="14"/>
      <c r="F19" s="22"/>
      <c r="G19" s="351"/>
      <c r="H19" s="367" t="str">
        <f t="shared" si="0"/>
        <v/>
      </c>
      <c r="I19" s="284"/>
    </row>
    <row r="20" spans="2:9">
      <c r="B20" s="13"/>
      <c r="C20" s="14"/>
      <c r="D20" s="14"/>
      <c r="E20" s="14"/>
      <c r="F20" s="22"/>
      <c r="G20" s="351"/>
      <c r="H20" s="367" t="str">
        <f t="shared" si="0"/>
        <v/>
      </c>
      <c r="I20" s="284"/>
    </row>
    <row r="21" spans="2:9">
      <c r="B21" s="13"/>
      <c r="C21" s="14"/>
      <c r="D21" s="14"/>
      <c r="E21" s="14"/>
      <c r="F21" s="22"/>
      <c r="G21" s="351"/>
      <c r="H21" s="367" t="str">
        <f t="shared" si="0"/>
        <v/>
      </c>
      <c r="I21" s="284"/>
    </row>
    <row r="22" spans="2:9">
      <c r="B22" s="13"/>
      <c r="C22" s="14"/>
      <c r="D22" s="14"/>
      <c r="E22" s="14"/>
      <c r="F22" s="22"/>
      <c r="G22" s="351"/>
      <c r="H22" s="367" t="str">
        <f t="shared" si="0"/>
        <v/>
      </c>
      <c r="I22" s="284"/>
    </row>
    <row r="23" spans="2:9">
      <c r="B23" s="13"/>
      <c r="C23" s="14"/>
      <c r="D23" s="14"/>
      <c r="E23" s="14"/>
      <c r="F23" s="22"/>
      <c r="G23" s="351"/>
      <c r="H23" s="367" t="str">
        <f t="shared" si="0"/>
        <v/>
      </c>
      <c r="I23" s="284"/>
    </row>
    <row r="24" spans="2:9">
      <c r="B24" s="13"/>
      <c r="C24" s="14"/>
      <c r="D24" s="14"/>
      <c r="E24" s="14"/>
      <c r="F24" s="22"/>
      <c r="G24" s="351"/>
      <c r="H24" s="367" t="str">
        <f t="shared" si="0"/>
        <v/>
      </c>
      <c r="I24" s="284"/>
    </row>
    <row r="25" spans="2:9">
      <c r="B25" s="13"/>
      <c r="C25" s="252"/>
      <c r="D25" s="14"/>
      <c r="E25" s="14"/>
      <c r="F25" s="22"/>
      <c r="G25" s="351"/>
      <c r="H25" s="367" t="str">
        <f t="shared" si="0"/>
        <v/>
      </c>
      <c r="I25" s="284"/>
    </row>
    <row r="26" spans="2:9">
      <c r="B26" s="13"/>
      <c r="C26" s="252"/>
      <c r="D26" s="14"/>
      <c r="E26" s="14"/>
      <c r="F26" s="22"/>
      <c r="G26" s="351"/>
      <c r="H26" s="367" t="str">
        <f t="shared" si="0"/>
        <v/>
      </c>
      <c r="I26" s="284"/>
    </row>
    <row r="27" spans="2:9">
      <c r="B27" s="13"/>
      <c r="C27" s="252"/>
      <c r="D27" s="14"/>
      <c r="E27" s="14"/>
      <c r="F27" s="22"/>
      <c r="G27" s="351"/>
      <c r="H27" s="367" t="str">
        <f t="shared" si="0"/>
        <v/>
      </c>
      <c r="I27" s="284"/>
    </row>
    <row r="28" spans="2:9">
      <c r="B28" s="13"/>
      <c r="C28" s="14"/>
      <c r="D28" s="14"/>
      <c r="E28" s="14"/>
      <c r="F28" s="22"/>
      <c r="G28" s="351"/>
      <c r="H28" s="367" t="str">
        <f t="shared" si="0"/>
        <v/>
      </c>
      <c r="I28" s="284"/>
    </row>
    <row r="29" spans="2:9">
      <c r="B29" s="13"/>
      <c r="C29" s="14"/>
      <c r="D29" s="14"/>
      <c r="E29" s="14"/>
      <c r="F29" s="22"/>
      <c r="G29" s="351"/>
      <c r="H29" s="367" t="str">
        <f t="shared" si="0"/>
        <v/>
      </c>
      <c r="I29" s="284"/>
    </row>
    <row r="30" spans="2:9">
      <c r="B30" s="13"/>
      <c r="C30" s="14"/>
      <c r="D30" s="14"/>
      <c r="E30" s="14"/>
      <c r="F30" s="22"/>
      <c r="G30" s="351"/>
      <c r="H30" s="367" t="str">
        <f t="shared" si="0"/>
        <v/>
      </c>
      <c r="I30" s="284"/>
    </row>
    <row r="31" spans="2:9" s="2" customFormat="1" ht="24.95" customHeight="1">
      <c r="B31" s="290" t="str">
        <f>$B$10</f>
        <v>C8.1</v>
      </c>
      <c r="C31" s="276" t="s">
        <v>125</v>
      </c>
      <c r="D31" s="287"/>
      <c r="E31" s="287"/>
      <c r="F31" s="31"/>
      <c r="G31" s="412"/>
      <c r="H31" s="364">
        <f>SUM(H9:H30)</f>
        <v>0</v>
      </c>
      <c r="I31" s="289"/>
    </row>
  </sheetData>
  <sheetProtection algorithmName="SHA-512" hashValue="RP3+uTQJZnRqLInzPbcfH7rfz1S8x/PbK/v2dvINJuxPoVtXI0pWHOFCU6rdylW8kRgtjYrsQDNsTr5iGFg1tQ==" saltValue="LXdDu5Rs/qOSu8JMlO9OuA=="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5"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2971-52F5-43DC-AC08-66B27EEE89C5}">
  <sheetPr codeName="Sheet100">
    <tabColor rgb="FF00B0F0"/>
  </sheetPr>
  <dimension ref="B1:AD82"/>
  <sheetViews>
    <sheetView view="pageBreakPreview" topLeftCell="A7" zoomScaleNormal="115" zoomScaleSheetLayoutView="100" workbookViewId="0">
      <selection activeCell="F35" sqref="F35"/>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21.85546875" style="399" customWidth="1"/>
    <col min="9" max="9" width="45.5703125" style="4" hidden="1" customWidth="1"/>
    <col min="10" max="10" width="0" style="3" hidden="1" customWidth="1"/>
    <col min="11" max="11" width="8.28515625" style="3" hidden="1" customWidth="1"/>
    <col min="12" max="12" width="9.42578125" style="3" hidden="1" customWidth="1"/>
    <col min="13" max="13" width="13.140625" style="3" hidden="1" customWidth="1"/>
    <col min="14" max="14" width="8" style="3" hidden="1" customWidth="1"/>
    <col min="15" max="15" width="7.85546875" style="3" hidden="1" customWidth="1"/>
    <col min="16" max="16" width="13.42578125" style="3" hidden="1" customWidth="1"/>
    <col min="17" max="17" width="13.7109375" style="3" hidden="1" customWidth="1"/>
    <col min="18" max="18" width="11.85546875" style="3" hidden="1" customWidth="1"/>
    <col min="19" max="21" width="6.85546875" style="3" hidden="1" customWidth="1"/>
    <col min="22" max="23" width="9.42578125" style="3" hidden="1" customWidth="1"/>
    <col min="24" max="24" width="13" style="3" hidden="1" customWidth="1"/>
    <col min="25" max="26" width="9.42578125" style="3" hidden="1" customWidth="1"/>
    <col min="27" max="27" width="0" style="3" hidden="1" customWidth="1"/>
    <col min="28" max="28" width="9.42578125" style="3" hidden="1" customWidth="1"/>
    <col min="29" max="29" width="7.42578125" style="3" hidden="1" customWidth="1"/>
    <col min="30" max="30" width="9.42578125" style="3" hidden="1" customWidth="1"/>
    <col min="31" max="36" width="0" style="3" hidden="1" customWidth="1"/>
    <col min="37" max="16384" width="6.85546875" style="3"/>
  </cols>
  <sheetData>
    <row r="1" spans="2:27">
      <c r="B1" s="2" t="s">
        <v>1</v>
      </c>
      <c r="F1" s="676" t="s">
        <v>1183</v>
      </c>
      <c r="G1" s="676"/>
      <c r="H1" s="676"/>
    </row>
    <row r="2" spans="2:27">
      <c r="B2" s="2" t="s">
        <v>3</v>
      </c>
    </row>
    <row r="3" spans="2:27">
      <c r="B3" s="71"/>
      <c r="C3" s="71"/>
      <c r="D3" s="71"/>
      <c r="E3" s="71"/>
      <c r="F3" s="72"/>
      <c r="G3" s="400"/>
      <c r="H3" s="401"/>
    </row>
    <row r="4" spans="2:27">
      <c r="B4" s="695" t="s">
        <v>2943</v>
      </c>
      <c r="C4" s="696"/>
      <c r="D4" s="696"/>
      <c r="E4" s="696"/>
      <c r="F4" s="696"/>
      <c r="G4" s="696"/>
      <c r="H4" s="684" t="str">
        <f>"CHAPTER "&amp;B10</f>
        <v>CHAPTER C9.1</v>
      </c>
      <c r="I4" s="676" t="s">
        <v>100</v>
      </c>
    </row>
    <row r="5" spans="2:27" ht="7.5" customHeight="1">
      <c r="B5" s="690" t="s">
        <v>354</v>
      </c>
      <c r="C5" s="691"/>
      <c r="D5" s="691"/>
      <c r="E5" s="691"/>
      <c r="F5" s="691"/>
      <c r="G5" s="691"/>
      <c r="H5" s="694"/>
      <c r="I5" s="676"/>
    </row>
    <row r="6" spans="2:27" ht="30.75" customHeight="1">
      <c r="B6" s="690"/>
      <c r="C6" s="691"/>
      <c r="D6" s="691"/>
      <c r="E6" s="691"/>
      <c r="F6" s="691"/>
      <c r="G6" s="691"/>
      <c r="H6" s="694"/>
      <c r="I6" s="676"/>
    </row>
    <row r="7" spans="2:27" ht="7.5" customHeight="1">
      <c r="B7" s="692"/>
      <c r="C7" s="693"/>
      <c r="D7" s="693"/>
      <c r="E7" s="693"/>
      <c r="F7" s="693"/>
      <c r="G7" s="693"/>
      <c r="H7" s="686"/>
      <c r="I7" s="676"/>
    </row>
    <row r="8" spans="2:27" s="2" customFormat="1" ht="24.95" customHeight="1">
      <c r="B8" s="282" t="s">
        <v>11</v>
      </c>
      <c r="C8" s="280" t="s">
        <v>12</v>
      </c>
      <c r="D8" s="280" t="s">
        <v>13</v>
      </c>
      <c r="E8" s="280" t="s">
        <v>14</v>
      </c>
      <c r="F8" s="11" t="s">
        <v>15</v>
      </c>
      <c r="G8" s="409" t="s">
        <v>16</v>
      </c>
      <c r="H8" s="364" t="s">
        <v>17</v>
      </c>
      <c r="I8" s="676"/>
    </row>
    <row r="9" spans="2:27">
      <c r="B9" s="13"/>
      <c r="C9" s="14"/>
      <c r="D9" s="14"/>
      <c r="E9" s="14"/>
      <c r="F9" s="22"/>
      <c r="G9" s="410"/>
      <c r="H9" s="363" t="str">
        <f>IF(D9="","",F9*G9)</f>
        <v/>
      </c>
      <c r="I9" s="331"/>
    </row>
    <row r="10" spans="2:27">
      <c r="B10" s="19" t="s">
        <v>1237</v>
      </c>
      <c r="C10" s="20" t="s">
        <v>1238</v>
      </c>
      <c r="D10" s="14"/>
      <c r="E10" s="14"/>
      <c r="F10" s="22"/>
      <c r="G10" s="410"/>
      <c r="H10" s="363" t="str">
        <f t="shared" ref="H10:H18" si="0">IF(D10="","",F10*G10)</f>
        <v/>
      </c>
      <c r="I10" s="331"/>
    </row>
    <row r="11" spans="2:27">
      <c r="B11" s="13"/>
      <c r="C11" s="14"/>
      <c r="D11" s="14"/>
      <c r="E11" s="14"/>
      <c r="F11" s="22"/>
      <c r="G11" s="410"/>
      <c r="H11" s="363" t="str">
        <f t="shared" si="0"/>
        <v/>
      </c>
      <c r="I11" s="331"/>
    </row>
    <row r="12" spans="2:27">
      <c r="B12" s="629" t="s">
        <v>1285</v>
      </c>
      <c r="C12" s="638" t="s">
        <v>1286</v>
      </c>
      <c r="D12" s="638"/>
      <c r="E12" s="638"/>
      <c r="F12" s="671"/>
      <c r="G12" s="643"/>
      <c r="H12" s="634" t="str">
        <f t="shared" si="0"/>
        <v/>
      </c>
      <c r="I12" s="331"/>
    </row>
    <row r="13" spans="2:27">
      <c r="B13" s="629"/>
      <c r="C13" s="638"/>
      <c r="D13" s="638"/>
      <c r="E13" s="638"/>
      <c r="F13" s="671"/>
      <c r="G13" s="643"/>
      <c r="H13" s="634" t="str">
        <f t="shared" si="0"/>
        <v/>
      </c>
      <c r="I13" s="331"/>
    </row>
    <row r="14" spans="2:27" ht="25.5">
      <c r="B14" s="629" t="s">
        <v>1287</v>
      </c>
      <c r="C14" s="638" t="s">
        <v>1288</v>
      </c>
      <c r="D14" s="638" t="s">
        <v>898</v>
      </c>
      <c r="E14" s="638"/>
      <c r="F14" s="563">
        <v>16391</v>
      </c>
      <c r="G14" s="640"/>
      <c r="H14" s="634">
        <f t="shared" si="0"/>
        <v>0</v>
      </c>
      <c r="I14" s="331" t="s">
        <v>338</v>
      </c>
      <c r="L14" s="3" t="s">
        <v>1289</v>
      </c>
      <c r="O14" s="3">
        <f>32823*2</f>
        <v>65646</v>
      </c>
      <c r="AA14" s="3">
        <f>1350*0.7</f>
        <v>944.99999999999989</v>
      </c>
    </row>
    <row r="15" spans="2:27">
      <c r="B15" s="13"/>
      <c r="C15" s="14"/>
      <c r="D15" s="14"/>
      <c r="E15" s="14"/>
      <c r="F15" s="22"/>
      <c r="G15" s="587"/>
      <c r="H15" s="363" t="str">
        <f t="shared" si="0"/>
        <v/>
      </c>
      <c r="I15" s="331"/>
      <c r="O15" s="3">
        <v>36613</v>
      </c>
      <c r="R15" s="3">
        <v>14062</v>
      </c>
    </row>
    <row r="16" spans="2:27" ht="25.5">
      <c r="B16" s="13" t="s">
        <v>1292</v>
      </c>
      <c r="C16" s="14" t="s">
        <v>1293</v>
      </c>
      <c r="D16" s="14" t="s">
        <v>898</v>
      </c>
      <c r="E16" s="14" t="s">
        <v>14</v>
      </c>
      <c r="F16" s="22">
        <v>2500</v>
      </c>
      <c r="G16" s="587"/>
      <c r="H16" s="363">
        <f t="shared" si="0"/>
        <v>0</v>
      </c>
      <c r="I16" s="331"/>
      <c r="O16" s="3">
        <f>O15+O14</f>
        <v>102259</v>
      </c>
      <c r="R16" s="3">
        <v>20647</v>
      </c>
    </row>
    <row r="17" spans="2:20">
      <c r="B17" s="13"/>
      <c r="C17" s="14"/>
      <c r="D17" s="14"/>
      <c r="E17" s="14"/>
      <c r="F17" s="22"/>
      <c r="G17" s="587"/>
      <c r="H17" s="363"/>
      <c r="I17" s="331"/>
    </row>
    <row r="18" spans="2:20" ht="25.5">
      <c r="B18" s="13" t="s">
        <v>1294</v>
      </c>
      <c r="C18" s="14" t="s">
        <v>1295</v>
      </c>
      <c r="D18" s="14" t="s">
        <v>898</v>
      </c>
      <c r="E18" s="14" t="s">
        <v>14</v>
      </c>
      <c r="F18" s="22">
        <v>2500</v>
      </c>
      <c r="G18" s="587"/>
      <c r="H18" s="363">
        <f t="shared" si="0"/>
        <v>0</v>
      </c>
      <c r="I18" s="331"/>
      <c r="O18" s="3">
        <f>O16*0.7</f>
        <v>71581.299999999988</v>
      </c>
      <c r="R18" s="3">
        <v>18193</v>
      </c>
    </row>
    <row r="19" spans="2:20">
      <c r="B19" s="13"/>
      <c r="C19" s="14"/>
      <c r="D19" s="14"/>
      <c r="E19" s="14"/>
      <c r="F19" s="22"/>
      <c r="G19" s="587"/>
      <c r="H19" s="363"/>
      <c r="I19" s="331"/>
      <c r="R19" s="3">
        <f>SUM(R15:R18)</f>
        <v>52902</v>
      </c>
      <c r="S19" s="3">
        <f>R19+50</f>
        <v>52952</v>
      </c>
      <c r="T19" s="3">
        <f>S19*0.8</f>
        <v>42361.600000000006</v>
      </c>
    </row>
    <row r="20" spans="2:20" s="2" customFormat="1" ht="19.5" hidden="1" customHeight="1">
      <c r="B20" s="411" t="str">
        <f>$B$10</f>
        <v>C9.1</v>
      </c>
      <c r="C20" s="276" t="s">
        <v>99</v>
      </c>
      <c r="D20" s="287"/>
      <c r="E20" s="287"/>
      <c r="F20" s="31"/>
      <c r="G20" s="412"/>
      <c r="H20" s="364">
        <f>SUM(H9:H19)</f>
        <v>0</v>
      </c>
      <c r="I20" s="333"/>
    </row>
    <row r="21" spans="2:20" hidden="1">
      <c r="B21" s="697" t="s">
        <v>1</v>
      </c>
      <c r="C21" s="697"/>
      <c r="D21" s="697"/>
      <c r="E21" s="697"/>
      <c r="F21" s="771" t="s">
        <v>1183</v>
      </c>
      <c r="G21" s="771"/>
      <c r="H21" s="771"/>
    </row>
    <row r="22" spans="2:20" hidden="1">
      <c r="B22" s="697" t="s">
        <v>3</v>
      </c>
      <c r="C22" s="697"/>
      <c r="D22" s="697"/>
      <c r="E22" s="697"/>
      <c r="F22" s="771"/>
      <c r="G22" s="771"/>
      <c r="H22" s="771"/>
    </row>
    <row r="23" spans="2:20" hidden="1">
      <c r="B23" s="700"/>
      <c r="C23" s="700"/>
      <c r="D23" s="700"/>
      <c r="E23" s="700"/>
      <c r="F23" s="772"/>
      <c r="G23" s="772"/>
      <c r="H23" s="772"/>
    </row>
    <row r="24" spans="2:20" hidden="1">
      <c r="B24" s="695" t="s">
        <v>2943</v>
      </c>
      <c r="C24" s="696"/>
      <c r="D24" s="696"/>
      <c r="E24" s="696"/>
      <c r="F24" s="696"/>
      <c r="G24" s="696"/>
      <c r="H24" s="684" t="str">
        <f>$H$4</f>
        <v>CHAPTER C9.1</v>
      </c>
      <c r="I24" s="676"/>
    </row>
    <row r="25" spans="2:20" hidden="1">
      <c r="B25" s="690" t="s">
        <v>354</v>
      </c>
      <c r="C25" s="691"/>
      <c r="D25" s="691"/>
      <c r="E25" s="691"/>
      <c r="F25" s="691"/>
      <c r="G25" s="691"/>
      <c r="H25" s="694"/>
      <c r="I25" s="676"/>
    </row>
    <row r="26" spans="2:20" ht="27" hidden="1" customHeight="1">
      <c r="B26" s="690"/>
      <c r="C26" s="691"/>
      <c r="D26" s="691"/>
      <c r="E26" s="691"/>
      <c r="F26" s="691"/>
      <c r="G26" s="691"/>
      <c r="H26" s="694"/>
      <c r="I26" s="676"/>
    </row>
    <row r="27" spans="2:20" hidden="1">
      <c r="B27" s="692"/>
      <c r="C27" s="693"/>
      <c r="D27" s="693"/>
      <c r="E27" s="693"/>
      <c r="F27" s="693"/>
      <c r="G27" s="693"/>
      <c r="H27" s="686"/>
      <c r="I27" s="676"/>
    </row>
    <row r="28" spans="2:20" s="2" customFormat="1" ht="24.95" hidden="1" customHeight="1">
      <c r="B28" s="282" t="s">
        <v>11</v>
      </c>
      <c r="C28" s="280" t="s">
        <v>12</v>
      </c>
      <c r="D28" s="280" t="s">
        <v>13</v>
      </c>
      <c r="E28" s="280" t="s">
        <v>14</v>
      </c>
      <c r="F28" s="11" t="s">
        <v>15</v>
      </c>
      <c r="G28" s="409" t="s">
        <v>16</v>
      </c>
      <c r="H28" s="364" t="s">
        <v>17</v>
      </c>
      <c r="I28" s="676"/>
    </row>
    <row r="29" spans="2:20" s="2" customFormat="1" ht="19.5" hidden="1" customHeight="1">
      <c r="B29" s="411"/>
      <c r="C29" s="276" t="s">
        <v>140</v>
      </c>
      <c r="D29" s="287"/>
      <c r="E29" s="287"/>
      <c r="F29" s="31"/>
      <c r="G29" s="412"/>
      <c r="H29" s="364">
        <f>H20</f>
        <v>0</v>
      </c>
      <c r="I29" s="333"/>
    </row>
    <row r="30" spans="2:20" hidden="1">
      <c r="B30" s="13"/>
      <c r="C30" s="14"/>
      <c r="D30" s="14"/>
      <c r="E30" s="14"/>
      <c r="F30" s="22"/>
      <c r="G30" s="351"/>
      <c r="H30" s="363"/>
      <c r="I30" s="331"/>
    </row>
    <row r="31" spans="2:20">
      <c r="B31" s="672" t="s">
        <v>3153</v>
      </c>
      <c r="C31" s="638" t="s">
        <v>3154</v>
      </c>
      <c r="D31" s="638"/>
      <c r="E31" s="638"/>
      <c r="F31" s="563"/>
      <c r="G31" s="643"/>
      <c r="H31" s="634"/>
      <c r="I31" s="331"/>
      <c r="L31" s="3">
        <f>9790*0.12*2.45</f>
        <v>2878.26</v>
      </c>
      <c r="M31" s="3">
        <f>L31*2775</f>
        <v>7987171.5000000009</v>
      </c>
    </row>
    <row r="32" spans="2:20">
      <c r="B32" s="672"/>
      <c r="C32" s="638"/>
      <c r="D32" s="638"/>
      <c r="E32" s="638"/>
      <c r="F32" s="563"/>
      <c r="G32" s="643"/>
      <c r="H32" s="634"/>
      <c r="I32" s="331"/>
      <c r="M32" s="3">
        <f>M31/F35</f>
        <v>1605.4616080402011</v>
      </c>
    </row>
    <row r="33" spans="2:30" ht="25.5">
      <c r="B33" s="672" t="s">
        <v>3155</v>
      </c>
      <c r="C33" s="638" t="s">
        <v>1254</v>
      </c>
      <c r="D33" s="638"/>
      <c r="E33" s="638"/>
      <c r="F33" s="563"/>
      <c r="G33" s="643"/>
      <c r="H33" s="634"/>
      <c r="I33" s="331"/>
    </row>
    <row r="34" spans="2:30">
      <c r="B34" s="645"/>
      <c r="C34" s="638"/>
      <c r="D34" s="638"/>
      <c r="E34" s="638"/>
      <c r="F34" s="563"/>
      <c r="G34" s="643"/>
      <c r="H34" s="634"/>
      <c r="I34" s="331"/>
    </row>
    <row r="35" spans="2:30" ht="63.75">
      <c r="B35" s="629" t="s">
        <v>1300</v>
      </c>
      <c r="C35" s="638" t="s">
        <v>3156</v>
      </c>
      <c r="D35" s="646" t="s">
        <v>903</v>
      </c>
      <c r="E35" s="646"/>
      <c r="F35" s="631">
        <v>4975</v>
      </c>
      <c r="G35" s="640"/>
      <c r="H35" s="634">
        <f t="shared" ref="H35" si="1">IF(D35="","",F35*G35)</f>
        <v>0</v>
      </c>
      <c r="J35" s="3">
        <f>F35*0.12*2.45</f>
        <v>1462.65</v>
      </c>
      <c r="L35" s="3">
        <f>F35*0.12*2.45</f>
        <v>1462.65</v>
      </c>
      <c r="M35" s="414">
        <f>L35*2550</f>
        <v>3729757.5</v>
      </c>
      <c r="N35" s="414">
        <f>M35/F35</f>
        <v>749.7</v>
      </c>
      <c r="Q35" s="414"/>
      <c r="R35" s="414"/>
      <c r="V35" s="414">
        <f>H35/J35</f>
        <v>0</v>
      </c>
      <c r="W35" s="414"/>
      <c r="X35" s="414">
        <f>F35*1.05</f>
        <v>5223.75</v>
      </c>
      <c r="Y35" s="414"/>
      <c r="Z35" s="414"/>
      <c r="AD35" s="414"/>
    </row>
    <row r="36" spans="2:30">
      <c r="B36" s="629"/>
      <c r="C36" s="638"/>
      <c r="D36" s="646"/>
      <c r="E36" s="646"/>
      <c r="F36" s="631"/>
      <c r="G36" s="640"/>
      <c r="H36" s="634"/>
      <c r="M36" s="414"/>
      <c r="Q36" s="414"/>
      <c r="R36" s="414"/>
      <c r="X36" s="414">
        <f t="shared" ref="X36:X60" si="2">F36*1.05</f>
        <v>0</v>
      </c>
    </row>
    <row r="37" spans="2:30">
      <c r="B37" s="629"/>
      <c r="C37" s="638"/>
      <c r="D37" s="646"/>
      <c r="E37" s="646"/>
      <c r="F37" s="631"/>
      <c r="G37" s="640"/>
      <c r="H37" s="634"/>
      <c r="X37" s="414">
        <f t="shared" si="2"/>
        <v>0</v>
      </c>
    </row>
    <row r="38" spans="2:30">
      <c r="B38" s="629" t="s">
        <v>3157</v>
      </c>
      <c r="C38" s="638" t="s">
        <v>1252</v>
      </c>
      <c r="D38" s="638"/>
      <c r="E38" s="638"/>
      <c r="F38" s="563"/>
      <c r="G38" s="640"/>
      <c r="H38" s="634" t="str">
        <f t="shared" ref="H38:H40" si="3">IF(D38="","",F38*G38)</f>
        <v/>
      </c>
      <c r="X38" s="414">
        <f t="shared" si="2"/>
        <v>0</v>
      </c>
    </row>
    <row r="39" spans="2:30">
      <c r="B39" s="629"/>
      <c r="C39" s="638"/>
      <c r="D39" s="638"/>
      <c r="E39" s="638"/>
      <c r="F39" s="563"/>
      <c r="G39" s="640"/>
      <c r="H39" s="634" t="str">
        <f t="shared" si="3"/>
        <v/>
      </c>
      <c r="X39" s="414">
        <f t="shared" si="2"/>
        <v>0</v>
      </c>
    </row>
    <row r="40" spans="2:30">
      <c r="B40" s="629" t="s">
        <v>3158</v>
      </c>
      <c r="C40" s="638" t="s">
        <v>1254</v>
      </c>
      <c r="D40" s="638"/>
      <c r="E40" s="638"/>
      <c r="F40" s="563"/>
      <c r="G40" s="640"/>
      <c r="H40" s="634" t="str">
        <f t="shared" si="3"/>
        <v/>
      </c>
      <c r="X40" s="414">
        <f t="shared" si="2"/>
        <v>0</v>
      </c>
    </row>
    <row r="41" spans="2:30">
      <c r="B41" s="629"/>
      <c r="C41" s="638"/>
      <c r="D41" s="646"/>
      <c r="E41" s="646"/>
      <c r="F41" s="631"/>
      <c r="G41" s="640"/>
      <c r="H41" s="634"/>
      <c r="K41" s="414"/>
      <c r="X41" s="414">
        <f t="shared" si="2"/>
        <v>0</v>
      </c>
    </row>
    <row r="42" spans="2:30" ht="51">
      <c r="B42" s="629" t="s">
        <v>306</v>
      </c>
      <c r="C42" s="638" t="s">
        <v>3159</v>
      </c>
      <c r="D42" s="638" t="s">
        <v>903</v>
      </c>
      <c r="E42" s="638"/>
      <c r="F42" s="563">
        <v>2163</v>
      </c>
      <c r="G42" s="640"/>
      <c r="H42" s="634">
        <f t="shared" ref="H42:H43" si="4">IF(D42="","",F42*G42)</f>
        <v>0</v>
      </c>
      <c r="I42" s="4" t="s">
        <v>1302</v>
      </c>
      <c r="K42" s="414" t="s">
        <v>3160</v>
      </c>
      <c r="L42" s="414"/>
      <c r="O42" s="3">
        <f>F42*0.05*2.45</f>
        <v>264.96750000000003</v>
      </c>
      <c r="P42" s="414">
        <f>O42*2550</f>
        <v>675667.12500000012</v>
      </c>
      <c r="Q42" s="414">
        <f>P42/F42</f>
        <v>312.37500000000006</v>
      </c>
      <c r="X42" s="414">
        <f t="shared" si="2"/>
        <v>2271.15</v>
      </c>
      <c r="AA42" s="3">
        <f>F42*0.05*2.45</f>
        <v>264.96750000000003</v>
      </c>
      <c r="AB42" s="414">
        <f>H42/AA42</f>
        <v>0</v>
      </c>
    </row>
    <row r="43" spans="2:30">
      <c r="B43" s="13"/>
      <c r="C43" s="14"/>
      <c r="D43" s="14"/>
      <c r="E43" s="14"/>
      <c r="F43" s="22"/>
      <c r="G43" s="587"/>
      <c r="H43" s="363" t="str">
        <f t="shared" si="4"/>
        <v/>
      </c>
      <c r="K43" s="3">
        <f>F42*0.05*2.45</f>
        <v>264.96750000000003</v>
      </c>
      <c r="L43" s="3">
        <f>K43*2530</f>
        <v>670367.77500000002</v>
      </c>
      <c r="M43" s="3">
        <f>L43/F42</f>
        <v>309.92500000000001</v>
      </c>
      <c r="O43" s="3">
        <f>F42*0.05*2.45</f>
        <v>264.96750000000003</v>
      </c>
      <c r="X43" s="414">
        <f t="shared" si="2"/>
        <v>0</v>
      </c>
    </row>
    <row r="44" spans="2:30" s="2" customFormat="1" ht="19.5" hidden="1" customHeight="1">
      <c r="B44" s="411" t="str">
        <f>$B$10</f>
        <v>C9.1</v>
      </c>
      <c r="C44" s="276" t="s">
        <v>99</v>
      </c>
      <c r="D44" s="287"/>
      <c r="E44" s="287"/>
      <c r="F44" s="31"/>
      <c r="G44" s="412"/>
      <c r="H44" s="364">
        <f>SUM(H29:H43)</f>
        <v>0</v>
      </c>
      <c r="I44" s="333"/>
      <c r="O44" s="2">
        <f>O43*2325</f>
        <v>616049.43750000012</v>
      </c>
      <c r="X44" s="414">
        <f t="shared" si="2"/>
        <v>0</v>
      </c>
    </row>
    <row r="45" spans="2:30" hidden="1">
      <c r="B45" s="697" t="s">
        <v>1</v>
      </c>
      <c r="C45" s="697"/>
      <c r="D45" s="697"/>
      <c r="E45" s="697"/>
      <c r="F45" s="771" t="s">
        <v>1183</v>
      </c>
      <c r="G45" s="771"/>
      <c r="H45" s="771"/>
      <c r="O45" s="3">
        <f>O44/F42</f>
        <v>284.81250000000006</v>
      </c>
      <c r="X45" s="414" t="e">
        <f t="shared" si="2"/>
        <v>#VALUE!</v>
      </c>
    </row>
    <row r="46" spans="2:30" hidden="1">
      <c r="B46" s="697" t="s">
        <v>3</v>
      </c>
      <c r="C46" s="697"/>
      <c r="D46" s="697"/>
      <c r="E46" s="697"/>
      <c r="F46" s="771"/>
      <c r="G46" s="771"/>
      <c r="H46" s="771"/>
      <c r="X46" s="414">
        <f t="shared" si="2"/>
        <v>0</v>
      </c>
    </row>
    <row r="47" spans="2:30" hidden="1">
      <c r="B47" s="700"/>
      <c r="C47" s="700"/>
      <c r="D47" s="700"/>
      <c r="E47" s="700"/>
      <c r="F47" s="772"/>
      <c r="G47" s="772"/>
      <c r="H47" s="772"/>
      <c r="X47" s="414">
        <f t="shared" si="2"/>
        <v>0</v>
      </c>
    </row>
    <row r="48" spans="2:30" hidden="1">
      <c r="B48" s="695" t="s">
        <v>3161</v>
      </c>
      <c r="C48" s="696"/>
      <c r="D48" s="696"/>
      <c r="E48" s="696"/>
      <c r="F48" s="696"/>
      <c r="G48" s="696"/>
      <c r="H48" s="684" t="str">
        <f>$H$4</f>
        <v>CHAPTER C9.1</v>
      </c>
      <c r="I48" s="9"/>
      <c r="X48" s="414">
        <f t="shared" si="2"/>
        <v>0</v>
      </c>
    </row>
    <row r="49" spans="2:24" hidden="1">
      <c r="B49" s="690" t="s">
        <v>354</v>
      </c>
      <c r="C49" s="691"/>
      <c r="D49" s="691"/>
      <c r="E49" s="691"/>
      <c r="F49" s="691"/>
      <c r="G49" s="691"/>
      <c r="H49" s="694"/>
      <c r="I49" s="452"/>
      <c r="X49" s="414">
        <f t="shared" si="2"/>
        <v>0</v>
      </c>
    </row>
    <row r="50" spans="2:24" hidden="1">
      <c r="B50" s="690"/>
      <c r="C50" s="691"/>
      <c r="D50" s="691"/>
      <c r="E50" s="691"/>
      <c r="F50" s="691"/>
      <c r="G50" s="691"/>
      <c r="H50" s="694"/>
      <c r="I50" s="452"/>
      <c r="X50" s="414">
        <f t="shared" si="2"/>
        <v>0</v>
      </c>
    </row>
    <row r="51" spans="2:24" hidden="1">
      <c r="B51" s="692"/>
      <c r="C51" s="693"/>
      <c r="D51" s="693"/>
      <c r="E51" s="693"/>
      <c r="F51" s="693"/>
      <c r="G51" s="693"/>
      <c r="H51" s="686"/>
      <c r="I51" s="452"/>
      <c r="X51" s="414">
        <f t="shared" si="2"/>
        <v>0</v>
      </c>
    </row>
    <row r="52" spans="2:24" s="2" customFormat="1" ht="24.95" hidden="1" customHeight="1">
      <c r="B52" s="282" t="s">
        <v>11</v>
      </c>
      <c r="C52" s="280" t="s">
        <v>12</v>
      </c>
      <c r="D52" s="280" t="s">
        <v>13</v>
      </c>
      <c r="E52" s="280" t="s">
        <v>14</v>
      </c>
      <c r="F52" s="11" t="s">
        <v>15</v>
      </c>
      <c r="G52" s="409" t="s">
        <v>16</v>
      </c>
      <c r="H52" s="364" t="s">
        <v>17</v>
      </c>
      <c r="I52" s="12"/>
      <c r="X52" s="414" t="e">
        <f t="shared" si="2"/>
        <v>#VALUE!</v>
      </c>
    </row>
    <row r="53" spans="2:24" s="2" customFormat="1" ht="19.5" hidden="1" customHeight="1">
      <c r="B53" s="411"/>
      <c r="C53" s="276" t="s">
        <v>140</v>
      </c>
      <c r="D53" s="287"/>
      <c r="E53" s="287"/>
      <c r="F53" s="31"/>
      <c r="G53" s="412"/>
      <c r="H53" s="364">
        <f>H44</f>
        <v>0</v>
      </c>
      <c r="I53" s="333"/>
      <c r="X53" s="414">
        <f t="shared" si="2"/>
        <v>0</v>
      </c>
    </row>
    <row r="54" spans="2:24" hidden="1">
      <c r="B54" s="13"/>
      <c r="C54" s="14"/>
      <c r="D54" s="14"/>
      <c r="E54" s="14"/>
      <c r="F54" s="22"/>
      <c r="G54" s="351"/>
      <c r="H54" s="363"/>
      <c r="I54" s="331"/>
      <c r="X54" s="414">
        <f t="shared" si="2"/>
        <v>0</v>
      </c>
    </row>
    <row r="55" spans="2:24">
      <c r="B55" s="48" t="s">
        <v>1256</v>
      </c>
      <c r="C55" s="14" t="s">
        <v>1257</v>
      </c>
      <c r="D55" s="22"/>
      <c r="E55" s="22"/>
      <c r="F55" s="22"/>
      <c r="G55" s="351"/>
      <c r="H55" s="367" t="str">
        <f t="shared" ref="H55" si="5">IF(D55="","",F55*G55)</f>
        <v/>
      </c>
      <c r="I55" s="331"/>
      <c r="X55" s="414">
        <f t="shared" si="2"/>
        <v>0</v>
      </c>
    </row>
    <row r="56" spans="2:24">
      <c r="B56" s="13"/>
      <c r="C56" s="14"/>
      <c r="D56" s="14"/>
      <c r="E56" s="14"/>
      <c r="F56" s="22"/>
      <c r="G56" s="351"/>
      <c r="H56" s="363"/>
      <c r="I56" s="331"/>
      <c r="X56" s="414">
        <f t="shared" si="2"/>
        <v>0</v>
      </c>
    </row>
    <row r="57" spans="2:24">
      <c r="B57" s="13"/>
      <c r="C57" s="14"/>
      <c r="D57" s="14"/>
      <c r="E57" s="14"/>
      <c r="F57" s="22"/>
      <c r="G57" s="351"/>
      <c r="H57" s="363"/>
      <c r="I57" s="331"/>
      <c r="X57" s="414">
        <f t="shared" si="2"/>
        <v>0</v>
      </c>
    </row>
    <row r="58" spans="2:24" ht="76.5">
      <c r="B58" s="48" t="s">
        <v>1314</v>
      </c>
      <c r="C58" s="14" t="s">
        <v>3162</v>
      </c>
      <c r="D58" s="22" t="s">
        <v>124</v>
      </c>
      <c r="E58" s="22"/>
      <c r="F58" s="22">
        <v>715</v>
      </c>
      <c r="G58" s="587"/>
      <c r="H58" s="363">
        <f t="shared" ref="H58" si="6">IF(D58="","",F58*G58)</f>
        <v>0</v>
      </c>
      <c r="I58" s="331" t="s">
        <v>725</v>
      </c>
      <c r="X58" s="414">
        <f t="shared" si="2"/>
        <v>750.75</v>
      </c>
    </row>
    <row r="59" spans="2:24">
      <c r="B59" s="48"/>
      <c r="C59" s="14"/>
      <c r="D59" s="22"/>
      <c r="E59" s="22"/>
      <c r="F59" s="22"/>
      <c r="G59" s="587"/>
      <c r="H59" s="367"/>
      <c r="I59" s="331"/>
      <c r="X59" s="414">
        <f t="shared" si="2"/>
        <v>0</v>
      </c>
    </row>
    <row r="60" spans="2:24" ht="63.75">
      <c r="B60" s="48" t="s">
        <v>1317</v>
      </c>
      <c r="C60" s="14" t="s">
        <v>3163</v>
      </c>
      <c r="D60" s="22" t="s">
        <v>124</v>
      </c>
      <c r="E60" s="22"/>
      <c r="F60" s="22">
        <v>1375</v>
      </c>
      <c r="G60" s="587"/>
      <c r="H60" s="363">
        <f t="shared" ref="H60" si="7">IF(D60="","",F60*G60)</f>
        <v>0</v>
      </c>
      <c r="I60" s="331" t="s">
        <v>725</v>
      </c>
      <c r="X60" s="414">
        <f t="shared" si="2"/>
        <v>1443.75</v>
      </c>
    </row>
    <row r="61" spans="2:24">
      <c r="B61" s="48"/>
      <c r="C61" s="14"/>
      <c r="D61" s="22"/>
      <c r="E61" s="22"/>
      <c r="F61" s="22"/>
      <c r="G61" s="587"/>
      <c r="H61" s="367"/>
      <c r="I61" s="331"/>
    </row>
    <row r="62" spans="2:24">
      <c r="B62" s="48" t="s">
        <v>1323</v>
      </c>
      <c r="C62" s="14" t="s">
        <v>1324</v>
      </c>
      <c r="D62" s="22"/>
      <c r="E62" s="22"/>
      <c r="F62" s="22"/>
      <c r="G62" s="587"/>
      <c r="H62" s="363"/>
      <c r="I62" s="331"/>
    </row>
    <row r="63" spans="2:24">
      <c r="B63" s="48"/>
      <c r="C63" s="14"/>
      <c r="D63" s="22"/>
      <c r="E63" s="22"/>
      <c r="F63" s="22"/>
      <c r="G63" s="587"/>
      <c r="H63" s="363"/>
      <c r="I63" s="331"/>
      <c r="S63" s="3">
        <v>50</v>
      </c>
      <c r="T63" s="3">
        <v>1000</v>
      </c>
      <c r="U63" s="3">
        <f>T63*S63</f>
        <v>50000</v>
      </c>
    </row>
    <row r="64" spans="2:24">
      <c r="B64" s="48" t="s">
        <v>1325</v>
      </c>
      <c r="C64" s="14" t="s">
        <v>1326</v>
      </c>
      <c r="D64" s="22" t="s">
        <v>903</v>
      </c>
      <c r="E64" s="22"/>
      <c r="F64" s="22">
        <v>2</v>
      </c>
      <c r="G64" s="587"/>
      <c r="H64" s="367">
        <f t="shared" ref="H64" si="8">IF(D64="","",F64*G64)</f>
        <v>0</v>
      </c>
      <c r="I64" s="331"/>
    </row>
    <row r="65" spans="2:18">
      <c r="B65" s="48"/>
      <c r="C65" s="14"/>
      <c r="D65" s="22"/>
      <c r="E65" s="22"/>
      <c r="F65" s="22"/>
      <c r="G65" s="587"/>
      <c r="H65" s="363"/>
      <c r="I65" s="331"/>
      <c r="O65" s="3">
        <f>6500*0.05*2.45*0.06</f>
        <v>47.775000000000006</v>
      </c>
    </row>
    <row r="66" spans="2:18">
      <c r="B66" s="48" t="s">
        <v>1327</v>
      </c>
      <c r="C66" s="14" t="s">
        <v>1328</v>
      </c>
      <c r="D66" s="22" t="s">
        <v>903</v>
      </c>
      <c r="E66" s="22"/>
      <c r="F66" s="22">
        <v>2</v>
      </c>
      <c r="G66" s="587"/>
      <c r="H66" s="367">
        <f t="shared" ref="H66" si="9">IF(D66="","",F66*G66)</f>
        <v>0</v>
      </c>
      <c r="I66" s="331"/>
    </row>
    <row r="67" spans="2:18">
      <c r="B67" s="48"/>
      <c r="C67" s="14"/>
      <c r="D67" s="22"/>
      <c r="E67" s="22"/>
      <c r="F67" s="22"/>
      <c r="G67" s="587"/>
      <c r="H67" s="363"/>
      <c r="I67" s="331"/>
    </row>
    <row r="68" spans="2:18">
      <c r="B68" s="13" t="s">
        <v>1260</v>
      </c>
      <c r="C68" s="14" t="s">
        <v>1261</v>
      </c>
      <c r="D68" s="14"/>
      <c r="E68" s="14"/>
      <c r="F68" s="22"/>
      <c r="G68" s="587"/>
      <c r="H68" s="363" t="str">
        <f>IF(D68="","",F68*G68)</f>
        <v/>
      </c>
      <c r="I68" s="331"/>
      <c r="Q68" s="3">
        <v>16</v>
      </c>
      <c r="R68" s="3" t="s">
        <v>3164</v>
      </c>
    </row>
    <row r="69" spans="2:18">
      <c r="B69" s="13"/>
      <c r="C69" s="14"/>
      <c r="D69" s="14"/>
      <c r="E69" s="14"/>
      <c r="F69" s="22"/>
      <c r="G69" s="587"/>
      <c r="H69" s="363" t="str">
        <f>IF(D69="","",F69*G69)</f>
        <v/>
      </c>
      <c r="I69" s="331"/>
      <c r="Q69" s="3">
        <v>140</v>
      </c>
    </row>
    <row r="70" spans="2:18">
      <c r="B70" s="13" t="s">
        <v>1262</v>
      </c>
      <c r="C70" s="14" t="s">
        <v>1263</v>
      </c>
      <c r="D70" s="14" t="s">
        <v>85</v>
      </c>
      <c r="E70" s="14"/>
      <c r="F70" s="22">
        <v>250</v>
      </c>
      <c r="G70" s="587"/>
      <c r="H70" s="363">
        <f>IF(D70="","",F70*G70)</f>
        <v>0</v>
      </c>
      <c r="I70" s="331"/>
    </row>
    <row r="71" spans="2:18">
      <c r="B71" s="13"/>
      <c r="C71" s="14"/>
      <c r="D71" s="14"/>
      <c r="E71" s="14"/>
      <c r="F71" s="22"/>
      <c r="G71" s="587"/>
      <c r="H71" s="363" t="str">
        <f>IF(D71="","",F71*G71)</f>
        <v/>
      </c>
      <c r="I71" s="331"/>
      <c r="Q71" s="3">
        <f>Q69/1000</f>
        <v>0.14000000000000001</v>
      </c>
    </row>
    <row r="72" spans="2:18">
      <c r="B72" s="13" t="s">
        <v>1330</v>
      </c>
      <c r="C72" s="14" t="s">
        <v>1331</v>
      </c>
      <c r="D72" s="14" t="s">
        <v>85</v>
      </c>
      <c r="E72" s="14"/>
      <c r="F72" s="22">
        <v>175</v>
      </c>
      <c r="G72" s="587"/>
      <c r="H72" s="363">
        <f>IF(D72="","",F72*G72)</f>
        <v>0</v>
      </c>
      <c r="I72" s="331"/>
      <c r="Q72" s="3">
        <f>Q71*Q68</f>
        <v>2.2400000000000002</v>
      </c>
    </row>
    <row r="73" spans="2:18">
      <c r="B73" s="13"/>
      <c r="C73" s="14"/>
      <c r="D73" s="14"/>
      <c r="E73" s="14"/>
      <c r="F73" s="22"/>
      <c r="G73" s="587"/>
      <c r="H73" s="363"/>
      <c r="I73" s="331"/>
    </row>
    <row r="74" spans="2:18" ht="25.5">
      <c r="B74" s="13" t="s">
        <v>1334</v>
      </c>
      <c r="C74" s="14" t="s">
        <v>1335</v>
      </c>
      <c r="D74" s="14"/>
      <c r="E74" s="14"/>
      <c r="F74" s="22"/>
      <c r="G74" s="587"/>
      <c r="H74" s="363" t="str">
        <f t="shared" ref="H74:H78" si="10">IF(D74="","",F74*G74)</f>
        <v/>
      </c>
      <c r="I74" s="331"/>
    </row>
    <row r="75" spans="2:18">
      <c r="B75" s="13"/>
      <c r="C75" s="14"/>
      <c r="D75" s="14"/>
      <c r="E75" s="14"/>
      <c r="F75" s="22"/>
      <c r="G75" s="587"/>
      <c r="H75" s="363" t="str">
        <f t="shared" si="10"/>
        <v/>
      </c>
      <c r="I75" s="331"/>
    </row>
    <row r="76" spans="2:18" ht="25.5">
      <c r="B76" s="13" t="s">
        <v>1336</v>
      </c>
      <c r="C76" s="14" t="s">
        <v>1337</v>
      </c>
      <c r="D76" s="14" t="s">
        <v>85</v>
      </c>
      <c r="E76" s="14"/>
      <c r="F76" s="22">
        <v>1</v>
      </c>
      <c r="G76" s="587"/>
      <c r="H76" s="363">
        <f t="shared" si="10"/>
        <v>0</v>
      </c>
      <c r="I76" s="331" t="s">
        <v>725</v>
      </c>
    </row>
    <row r="77" spans="2:18">
      <c r="B77" s="13"/>
      <c r="C77" s="14"/>
      <c r="D77" s="14"/>
      <c r="E77" s="14"/>
      <c r="F77" s="22"/>
      <c r="G77" s="587"/>
      <c r="H77" s="363" t="str">
        <f t="shared" si="10"/>
        <v/>
      </c>
      <c r="I77" s="331"/>
    </row>
    <row r="78" spans="2:18" ht="25.5">
      <c r="B78" s="13" t="s">
        <v>1338</v>
      </c>
      <c r="C78" s="14" t="s">
        <v>1339</v>
      </c>
      <c r="D78" s="14" t="s">
        <v>242</v>
      </c>
      <c r="E78" s="14"/>
      <c r="F78" s="22">
        <v>6</v>
      </c>
      <c r="G78" s="587"/>
      <c r="H78" s="363">
        <f t="shared" si="10"/>
        <v>0</v>
      </c>
      <c r="I78" s="331" t="s">
        <v>725</v>
      </c>
    </row>
    <row r="79" spans="2:18">
      <c r="B79" s="13"/>
      <c r="C79" s="14"/>
      <c r="D79" s="14"/>
      <c r="E79" s="14"/>
      <c r="F79" s="22"/>
      <c r="G79" s="351"/>
      <c r="H79" s="363"/>
      <c r="I79" s="331"/>
    </row>
    <row r="80" spans="2:18">
      <c r="B80" s="13"/>
      <c r="C80" s="14"/>
      <c r="D80" s="14"/>
      <c r="E80" s="14"/>
      <c r="F80" s="22"/>
      <c r="G80" s="351"/>
      <c r="H80" s="363"/>
      <c r="I80" s="331"/>
    </row>
    <row r="81" spans="2:9">
      <c r="B81" s="13"/>
      <c r="C81" s="14"/>
      <c r="D81" s="14"/>
      <c r="E81" s="14"/>
      <c r="F81" s="22"/>
      <c r="G81" s="351"/>
      <c r="H81" s="363"/>
      <c r="I81" s="331"/>
    </row>
    <row r="82" spans="2:9" s="2" customFormat="1" ht="19.5" customHeight="1">
      <c r="B82" s="411" t="str">
        <f>$B$10</f>
        <v>C9.1</v>
      </c>
      <c r="C82" s="276" t="s">
        <v>99</v>
      </c>
      <c r="D82" s="287"/>
      <c r="E82" s="287"/>
      <c r="F82" s="31"/>
      <c r="G82" s="412"/>
      <c r="H82" s="364">
        <f>SUM(H53:H81)</f>
        <v>0</v>
      </c>
      <c r="I82" s="333"/>
    </row>
  </sheetData>
  <sheetProtection algorithmName="SHA-512" hashValue="Uw6zjl/sEjLQYbp4nkvRdBK3kL9arWklVsP2yait4dPjoCptbyaIJaEdp4YvP4++QXfaUeCuejVGDHMLgxL+TA==" saltValue="sqbnMUjjsVOx+D1LIhslSQ==" spinCount="100000" sheet="1" objects="1" scenarios="1"/>
  <mergeCells count="20">
    <mergeCell ref="B48:G48"/>
    <mergeCell ref="H48:H51"/>
    <mergeCell ref="B49:G51"/>
    <mergeCell ref="B24:G24"/>
    <mergeCell ref="H24:H27"/>
    <mergeCell ref="B25:G27"/>
    <mergeCell ref="B45:E45"/>
    <mergeCell ref="F45:H47"/>
    <mergeCell ref="B46:E46"/>
    <mergeCell ref="B47:E47"/>
    <mergeCell ref="I24:I28"/>
    <mergeCell ref="F1:H1"/>
    <mergeCell ref="B4:G4"/>
    <mergeCell ref="H4:H7"/>
    <mergeCell ref="B5:G7"/>
    <mergeCell ref="B21:E21"/>
    <mergeCell ref="F21:H23"/>
    <mergeCell ref="B22:E22"/>
    <mergeCell ref="B23:E23"/>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rowBreaks count="1" manualBreakCount="1">
    <brk id="44" max="8" man="1"/>
  </rowBreaks>
  <legacyDrawingHF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CFEAD-3DC3-408F-9D0D-784223DE04BA}">
  <sheetPr codeName="Sheet101">
    <tabColor rgb="FF00B0F0"/>
  </sheetPr>
  <dimension ref="B1:L96"/>
  <sheetViews>
    <sheetView view="pageBreakPreview" topLeftCell="A19" zoomScaleNormal="100" zoomScaleSheetLayoutView="100" workbookViewId="0">
      <selection activeCell="G24" sqref="G24"/>
    </sheetView>
  </sheetViews>
  <sheetFormatPr defaultColWidth="8.85546875" defaultRowHeight="12.75"/>
  <cols>
    <col min="1" max="1" width="0.85546875" style="179" customWidth="1"/>
    <col min="2" max="2" width="11.7109375" style="209" customWidth="1"/>
    <col min="3" max="3" width="45.7109375" style="176" customWidth="1"/>
    <col min="4" max="4" width="15.28515625" style="200" customWidth="1"/>
    <col min="5" max="5" width="5.7109375" style="200" customWidth="1"/>
    <col min="6" max="6" width="15.7109375" style="200" customWidth="1"/>
    <col min="7" max="7" width="15.7109375" style="432" customWidth="1"/>
    <col min="8" max="8" width="15.7109375" style="433" customWidth="1"/>
    <col min="9" max="9" width="42.42578125" style="178" hidden="1" customWidth="1"/>
    <col min="10" max="36" width="0" style="179" hidden="1" customWidth="1"/>
    <col min="37" max="16384" width="8.85546875" style="179"/>
  </cols>
  <sheetData>
    <row r="1" spans="2:12">
      <c r="B1" s="232" t="str">
        <f>Client1</f>
        <v>AIRPORTS COMPANY - SOUTH AFRICA</v>
      </c>
      <c r="F1" s="768" t="str">
        <f>"Contract No. "&amp;ContractNo</f>
        <v>Contract No. KSIA7806/2025/RFP</v>
      </c>
      <c r="G1" s="768"/>
      <c r="H1" s="768"/>
    </row>
    <row r="2" spans="2:12">
      <c r="B2" s="232" t="str">
        <f>Client2</f>
        <v>ACSA</v>
      </c>
    </row>
    <row r="3" spans="2:12">
      <c r="B3" s="200"/>
    </row>
    <row r="4" spans="2:12" ht="12.75" customHeight="1">
      <c r="B4" s="749" t="s">
        <v>2943</v>
      </c>
      <c r="C4" s="750"/>
      <c r="D4" s="750"/>
      <c r="E4" s="750"/>
      <c r="F4" s="750"/>
      <c r="G4" s="750"/>
      <c r="H4" s="816" t="str">
        <f>"CHAPTER "&amp;B10</f>
        <v>CHAPTER C11.7</v>
      </c>
      <c r="I4" s="676" t="s">
        <v>100</v>
      </c>
    </row>
    <row r="5" spans="2:12"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817"/>
      <c r="I5" s="676"/>
    </row>
    <row r="6" spans="2:12" ht="12.75" customHeight="1">
      <c r="B6" s="752"/>
      <c r="C6" s="753"/>
      <c r="D6" s="753"/>
      <c r="E6" s="753"/>
      <c r="F6" s="753"/>
      <c r="G6" s="753"/>
      <c r="H6" s="817"/>
      <c r="I6" s="676"/>
    </row>
    <row r="7" spans="2:12" s="183" customFormat="1" ht="7.5" customHeight="1">
      <c r="B7" s="754"/>
      <c r="C7" s="755"/>
      <c r="D7" s="755"/>
      <c r="E7" s="755"/>
      <c r="F7" s="755"/>
      <c r="G7" s="755"/>
      <c r="H7" s="818"/>
      <c r="I7" s="676"/>
    </row>
    <row r="8" spans="2:12" s="183" customFormat="1" ht="24.95" customHeight="1">
      <c r="B8" s="203" t="s">
        <v>11</v>
      </c>
      <c r="C8" s="181" t="s">
        <v>12</v>
      </c>
      <c r="D8" s="181" t="s">
        <v>13</v>
      </c>
      <c r="E8" s="181" t="s">
        <v>14</v>
      </c>
      <c r="F8" s="181" t="s">
        <v>15</v>
      </c>
      <c r="G8" s="434" t="s">
        <v>16</v>
      </c>
      <c r="H8" s="370" t="s">
        <v>17</v>
      </c>
      <c r="I8" s="676"/>
    </row>
    <row r="9" spans="2:12">
      <c r="B9" s="207"/>
      <c r="C9" s="175"/>
      <c r="D9" s="186"/>
      <c r="E9" s="186"/>
      <c r="F9" s="186"/>
      <c r="G9" s="435"/>
      <c r="H9" s="369" t="str">
        <f t="shared" ref="H9:H11" si="0">IF(D9="","",F9*G9)</f>
        <v/>
      </c>
      <c r="I9" s="187"/>
    </row>
    <row r="10" spans="2:12">
      <c r="B10" s="218" t="s">
        <v>1521</v>
      </c>
      <c r="C10" s="185" t="s">
        <v>3165</v>
      </c>
      <c r="D10" s="186"/>
      <c r="E10" s="186"/>
      <c r="F10" s="186"/>
      <c r="G10" s="435"/>
      <c r="H10" s="369" t="str">
        <f t="shared" si="0"/>
        <v/>
      </c>
      <c r="I10" s="187"/>
    </row>
    <row r="11" spans="2:12" ht="10.15" customHeight="1">
      <c r="B11" s="207"/>
      <c r="C11" s="175"/>
      <c r="D11" s="186"/>
      <c r="E11" s="186"/>
      <c r="F11" s="186"/>
      <c r="G11" s="435"/>
      <c r="H11" s="369" t="str">
        <f t="shared" si="0"/>
        <v/>
      </c>
      <c r="I11" s="187"/>
    </row>
    <row r="12" spans="2:12">
      <c r="B12" s="98" t="s">
        <v>1524</v>
      </c>
      <c r="C12" s="445" t="s">
        <v>1525</v>
      </c>
      <c r="D12" s="446"/>
      <c r="E12" s="14"/>
      <c r="F12" s="22"/>
      <c r="G12" s="410"/>
      <c r="H12" s="363"/>
      <c r="I12" s="187"/>
    </row>
    <row r="13" spans="2:12">
      <c r="B13" s="98"/>
      <c r="C13" s="445"/>
      <c r="D13" s="447"/>
      <c r="E13" s="14"/>
      <c r="F13" s="22"/>
      <c r="G13" s="410"/>
      <c r="H13" s="363"/>
      <c r="I13" s="187"/>
    </row>
    <row r="14" spans="2:12" ht="24">
      <c r="B14" s="97" t="s">
        <v>1526</v>
      </c>
      <c r="C14" s="445" t="s">
        <v>1527</v>
      </c>
      <c r="D14" s="446" t="s">
        <v>242</v>
      </c>
      <c r="E14" s="14" t="s">
        <v>14</v>
      </c>
      <c r="F14" s="320">
        <v>0.5</v>
      </c>
      <c r="G14" s="601"/>
      <c r="H14" s="371">
        <f t="shared" ref="H14:H22" si="1">IF(D14="","",F14*G14)</f>
        <v>0</v>
      </c>
      <c r="I14" s="190"/>
      <c r="K14" s="179">
        <v>23</v>
      </c>
      <c r="L14" s="179">
        <f>K14*2</f>
        <v>46</v>
      </c>
    </row>
    <row r="15" spans="2:12">
      <c r="B15" s="98"/>
      <c r="C15" s="445"/>
      <c r="D15" s="447"/>
      <c r="E15" s="14"/>
      <c r="F15" s="316"/>
      <c r="G15" s="610"/>
      <c r="H15" s="371" t="str">
        <f t="shared" si="1"/>
        <v/>
      </c>
      <c r="I15" s="187"/>
    </row>
    <row r="16" spans="2:12" ht="24">
      <c r="B16" s="97" t="s">
        <v>1528</v>
      </c>
      <c r="C16" s="445" t="s">
        <v>1529</v>
      </c>
      <c r="D16" s="446" t="s">
        <v>242</v>
      </c>
      <c r="E16" s="14" t="s">
        <v>14</v>
      </c>
      <c r="F16" s="316">
        <v>1.2</v>
      </c>
      <c r="G16" s="601"/>
      <c r="H16" s="371">
        <f t="shared" si="1"/>
        <v>0</v>
      </c>
      <c r="I16" s="187"/>
    </row>
    <row r="17" spans="2:9">
      <c r="B17" s="98"/>
      <c r="C17" s="445"/>
      <c r="D17" s="447"/>
      <c r="E17" s="14"/>
      <c r="F17" s="316"/>
      <c r="G17" s="610"/>
      <c r="H17" s="371" t="str">
        <f t="shared" si="1"/>
        <v/>
      </c>
      <c r="I17" s="193"/>
    </row>
    <row r="18" spans="2:9" ht="24">
      <c r="B18" s="97" t="s">
        <v>1530</v>
      </c>
      <c r="C18" s="445" t="s">
        <v>1531</v>
      </c>
      <c r="D18" s="446" t="s">
        <v>242</v>
      </c>
      <c r="E18" s="14" t="s">
        <v>14</v>
      </c>
      <c r="F18" s="316">
        <v>0.25</v>
      </c>
      <c r="G18" s="601"/>
      <c r="H18" s="371">
        <f t="shared" si="1"/>
        <v>0</v>
      </c>
    </row>
    <row r="19" spans="2:9">
      <c r="B19" s="98"/>
      <c r="C19" s="449"/>
      <c r="D19" s="447"/>
      <c r="E19" s="14"/>
      <c r="F19" s="316"/>
      <c r="G19" s="610"/>
      <c r="H19" s="371"/>
    </row>
    <row r="20" spans="2:9" s="178" customFormat="1">
      <c r="B20" s="97" t="s">
        <v>1532</v>
      </c>
      <c r="C20" s="450" t="s">
        <v>1533</v>
      </c>
      <c r="D20" s="446" t="s">
        <v>1534</v>
      </c>
      <c r="E20" s="14" t="s">
        <v>14</v>
      </c>
      <c r="F20" s="316">
        <v>100</v>
      </c>
      <c r="G20" s="608"/>
      <c r="H20" s="371">
        <f t="shared" si="1"/>
        <v>0</v>
      </c>
    </row>
    <row r="21" spans="2:9" s="178" customFormat="1">
      <c r="B21" s="98"/>
      <c r="C21" s="445"/>
      <c r="D21" s="447"/>
      <c r="E21" s="14"/>
      <c r="F21" s="316"/>
      <c r="G21" s="611"/>
      <c r="H21" s="371" t="str">
        <f t="shared" si="1"/>
        <v/>
      </c>
    </row>
    <row r="22" spans="2:9" s="178" customFormat="1" ht="24">
      <c r="B22" s="97" t="s">
        <v>1535</v>
      </c>
      <c r="C22" s="445" t="s">
        <v>1536</v>
      </c>
      <c r="D22" s="446" t="s">
        <v>1534</v>
      </c>
      <c r="E22" s="14" t="s">
        <v>14</v>
      </c>
      <c r="F22" s="316">
        <v>20</v>
      </c>
      <c r="G22" s="608"/>
      <c r="H22" s="371">
        <f t="shared" si="1"/>
        <v>0</v>
      </c>
    </row>
    <row r="23" spans="2:9" s="178" customFormat="1">
      <c r="B23" s="97"/>
      <c r="C23" s="445"/>
      <c r="D23" s="446"/>
      <c r="E23" s="14"/>
      <c r="F23" s="316"/>
      <c r="G23" s="608"/>
      <c r="H23" s="371"/>
    </row>
    <row r="24" spans="2:9" s="178" customFormat="1" ht="24">
      <c r="B24" s="97" t="s">
        <v>1537</v>
      </c>
      <c r="C24" s="445" t="s">
        <v>1538</v>
      </c>
      <c r="D24" s="446" t="s">
        <v>1534</v>
      </c>
      <c r="E24" s="14" t="s">
        <v>14</v>
      </c>
      <c r="F24" s="315">
        <v>120</v>
      </c>
      <c r="G24" s="608"/>
      <c r="H24" s="371">
        <f t="shared" ref="H24:H26" si="2">IF(D24="","",F24*G24)</f>
        <v>0</v>
      </c>
    </row>
    <row r="25" spans="2:9" s="178" customFormat="1">
      <c r="B25" s="98"/>
      <c r="C25" s="445"/>
      <c r="D25" s="447"/>
      <c r="E25" s="50"/>
      <c r="F25" s="315"/>
      <c r="G25" s="610"/>
      <c r="H25" s="371" t="str">
        <f t="shared" si="2"/>
        <v/>
      </c>
    </row>
    <row r="26" spans="2:9" s="178" customFormat="1" ht="24">
      <c r="B26" s="97" t="s">
        <v>1539</v>
      </c>
      <c r="C26" s="445" t="s">
        <v>1540</v>
      </c>
      <c r="D26" s="446" t="s">
        <v>1534</v>
      </c>
      <c r="E26" s="14" t="s">
        <v>14</v>
      </c>
      <c r="F26" s="315">
        <v>220</v>
      </c>
      <c r="G26" s="608"/>
      <c r="H26" s="371">
        <f t="shared" si="2"/>
        <v>0</v>
      </c>
    </row>
    <row r="27" spans="2:9" s="178" customFormat="1">
      <c r="B27" s="13"/>
      <c r="C27" s="14"/>
      <c r="D27" s="14"/>
      <c r="E27" s="50"/>
      <c r="F27" s="240"/>
      <c r="G27" s="590"/>
      <c r="H27" s="363"/>
    </row>
    <row r="28" spans="2:9" s="178" customFormat="1">
      <c r="B28" s="97" t="s">
        <v>1541</v>
      </c>
      <c r="C28" s="445" t="s">
        <v>1542</v>
      </c>
      <c r="D28" s="446"/>
      <c r="E28" s="447"/>
      <c r="F28" s="315"/>
      <c r="G28" s="608"/>
      <c r="H28" s="371" t="str">
        <f t="shared" ref="H28:H29" si="3">IF(D28="","",F28*G28)</f>
        <v/>
      </c>
    </row>
    <row r="29" spans="2:9" s="178" customFormat="1">
      <c r="B29" s="98"/>
      <c r="C29" s="445"/>
      <c r="D29" s="447"/>
      <c r="E29" s="447"/>
      <c r="F29" s="315"/>
      <c r="G29" s="608"/>
      <c r="H29" s="371" t="str">
        <f t="shared" si="3"/>
        <v/>
      </c>
    </row>
    <row r="30" spans="2:9" s="178" customFormat="1">
      <c r="B30" s="97" t="s">
        <v>1543</v>
      </c>
      <c r="C30" s="445" t="s">
        <v>1544</v>
      </c>
      <c r="D30" s="451" t="s">
        <v>1545</v>
      </c>
      <c r="E30" s="447"/>
      <c r="F30" s="315">
        <v>20</v>
      </c>
      <c r="G30" s="608"/>
      <c r="H30" s="371">
        <f>IF(D30="","",F30*G30)</f>
        <v>0</v>
      </c>
    </row>
    <row r="31" spans="2:9" s="178" customFormat="1">
      <c r="B31" s="98"/>
      <c r="C31" s="445"/>
      <c r="D31" s="447"/>
      <c r="E31" s="447"/>
      <c r="F31" s="315"/>
      <c r="G31" s="608"/>
      <c r="H31" s="371" t="str">
        <f>IF(D31="","",F31*G31)</f>
        <v/>
      </c>
    </row>
    <row r="32" spans="2:9" s="178" customFormat="1">
      <c r="B32" s="97" t="s">
        <v>1546</v>
      </c>
      <c r="C32" s="445" t="s">
        <v>1547</v>
      </c>
      <c r="D32" s="451" t="s">
        <v>1545</v>
      </c>
      <c r="E32" s="447"/>
      <c r="F32" s="315">
        <v>50</v>
      </c>
      <c r="G32" s="608"/>
      <c r="H32" s="371">
        <f>IF(D32="","",F32*G32)</f>
        <v>0</v>
      </c>
    </row>
    <row r="33" spans="2:9" s="178" customFormat="1">
      <c r="B33" s="98"/>
      <c r="C33" s="445"/>
      <c r="D33" s="447"/>
      <c r="E33" s="447"/>
      <c r="F33" s="315"/>
      <c r="G33" s="608"/>
      <c r="H33" s="371" t="str">
        <f>IF(D33="","",F33*G33)</f>
        <v/>
      </c>
    </row>
    <row r="34" spans="2:9" s="178" customFormat="1">
      <c r="B34" s="97" t="s">
        <v>1548</v>
      </c>
      <c r="C34" s="445" t="s">
        <v>1549</v>
      </c>
      <c r="D34" s="446" t="s">
        <v>764</v>
      </c>
      <c r="E34" s="447"/>
      <c r="F34" s="315">
        <v>100</v>
      </c>
      <c r="G34" s="608"/>
      <c r="H34" s="371">
        <f>IF(D34="","",F34*G34)</f>
        <v>0</v>
      </c>
    </row>
    <row r="35" spans="2:9" s="178" customFormat="1">
      <c r="B35" s="13"/>
      <c r="C35" s="14"/>
      <c r="D35" s="14"/>
      <c r="E35" s="50"/>
      <c r="F35" s="240"/>
      <c r="G35" s="608"/>
      <c r="H35" s="363"/>
    </row>
    <row r="36" spans="2:9" s="178" customFormat="1" ht="25.5">
      <c r="B36" s="13" t="s">
        <v>1550</v>
      </c>
      <c r="C36" s="14" t="s">
        <v>1551</v>
      </c>
      <c r="D36" s="14" t="s">
        <v>242</v>
      </c>
      <c r="E36" s="14" t="s">
        <v>14</v>
      </c>
      <c r="F36" s="356">
        <v>3</v>
      </c>
      <c r="G36" s="587"/>
      <c r="H36" s="363">
        <f>IF(D36="","",F36*G36)</f>
        <v>0</v>
      </c>
    </row>
    <row r="37" spans="2:9" s="178" customFormat="1">
      <c r="B37" s="13"/>
      <c r="C37" s="14"/>
      <c r="D37" s="14"/>
      <c r="E37" s="14"/>
      <c r="F37" s="240"/>
      <c r="G37" s="586"/>
      <c r="H37" s="363" t="str">
        <f t="shared" ref="H37" si="4">IF(D37="","",F37*G37)</f>
        <v/>
      </c>
    </row>
    <row r="38" spans="2:9" s="178" customFormat="1" ht="38.25">
      <c r="B38" s="13" t="s">
        <v>1552</v>
      </c>
      <c r="C38" s="14" t="s">
        <v>1553</v>
      </c>
      <c r="D38" s="14" t="s">
        <v>85</v>
      </c>
      <c r="E38" s="14"/>
      <c r="F38" s="22">
        <v>1</v>
      </c>
      <c r="G38" s="587"/>
      <c r="H38" s="363">
        <f>IF(D38="","",F38*G38)</f>
        <v>0</v>
      </c>
    </row>
    <row r="39" spans="2:9" s="178" customFormat="1">
      <c r="B39" s="207"/>
      <c r="C39" s="175"/>
      <c r="D39" s="186"/>
      <c r="E39" s="186"/>
      <c r="F39" s="188"/>
      <c r="G39" s="609"/>
      <c r="H39" s="369"/>
    </row>
    <row r="40" spans="2:9" s="178" customFormat="1">
      <c r="B40" s="207"/>
      <c r="C40" s="175"/>
      <c r="D40" s="186"/>
      <c r="E40" s="186"/>
      <c r="F40" s="188"/>
      <c r="G40" s="381"/>
      <c r="H40" s="369"/>
    </row>
    <row r="41" spans="2:9" s="178" customFormat="1">
      <c r="B41" s="207"/>
      <c r="C41" s="175"/>
      <c r="D41" s="186"/>
      <c r="E41" s="186"/>
      <c r="F41" s="188"/>
      <c r="G41" s="435"/>
      <c r="H41" s="369"/>
    </row>
    <row r="42" spans="2:9" s="178" customFormat="1">
      <c r="B42" s="207"/>
      <c r="C42" s="175"/>
      <c r="D42" s="186"/>
      <c r="E42" s="186"/>
      <c r="F42" s="186"/>
      <c r="G42" s="381"/>
      <c r="H42" s="369"/>
    </row>
    <row r="43" spans="2:9" s="178" customFormat="1">
      <c r="B43" s="207"/>
      <c r="C43" s="175"/>
      <c r="D43" s="186"/>
      <c r="E43" s="186"/>
      <c r="F43" s="186"/>
      <c r="G43" s="381"/>
      <c r="H43" s="369"/>
    </row>
    <row r="44" spans="2:9" s="199" customFormat="1" ht="24.75" customHeight="1">
      <c r="B44" s="228" t="str">
        <f>$B$10</f>
        <v>C11.7</v>
      </c>
      <c r="C44" s="194" t="s">
        <v>125</v>
      </c>
      <c r="D44" s="195"/>
      <c r="E44" s="195"/>
      <c r="F44" s="196"/>
      <c r="G44" s="437"/>
      <c r="H44" s="370">
        <f>SUM(H11:H43)</f>
        <v>0</v>
      </c>
      <c r="I44" s="198"/>
    </row>
    <row r="62" spans="3:3">
      <c r="C62" s="176" t="s">
        <v>99</v>
      </c>
    </row>
    <row r="87" spans="6:6">
      <c r="F87" s="230"/>
    </row>
    <row r="88" spans="6:6">
      <c r="F88" s="230"/>
    </row>
    <row r="89" spans="6:6">
      <c r="F89" s="230"/>
    </row>
    <row r="90" spans="6:6">
      <c r="F90" s="230"/>
    </row>
    <row r="91" spans="6:6">
      <c r="F91" s="230"/>
    </row>
    <row r="92" spans="6:6">
      <c r="F92" s="230"/>
    </row>
    <row r="93" spans="6:6">
      <c r="F93" s="230"/>
    </row>
    <row r="94" spans="6:6">
      <c r="F94" s="230"/>
    </row>
    <row r="95" spans="6:6">
      <c r="F95" s="230"/>
    </row>
    <row r="96" spans="6:6">
      <c r="F96" s="230"/>
    </row>
  </sheetData>
  <sheetProtection algorithmName="SHA-512" hashValue="BcnkoosMCfX+cemPD6dnzT+ZOqtkECpIbhpHxU5QQU7ucqcfwMxA68kujCPN6UszOeI/x6ZMYm8gCacDItUhOw==" saltValue="LDZmyHSPuLGUZydLO/KtdQ=="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8" firstPageNumber="31" fitToHeight="0" orientation="portrait" cellComments="asDisplayed" useFirstPageNumber="1" r:id="rId1"/>
  <headerFooter>
    <oddHeader xml:space="preserve">&amp;CPREPARED BY NANKHOO CONSULTING ENGINEERS&amp;R&amp;"Arial,Bold Italic"
</oddHeader>
    <oddFooter>&amp;C&amp;F</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D608F-7A06-4893-8393-8700775701CE}">
  <sheetPr codeName="Sheet102">
    <tabColor rgb="FF00B0F0"/>
  </sheetPr>
  <dimension ref="B1:S123"/>
  <sheetViews>
    <sheetView view="pageBreakPreview" topLeftCell="A17" zoomScaleNormal="100" zoomScaleSheetLayoutView="100" workbookViewId="0">
      <selection activeCell="G47" sqref="G47"/>
    </sheetView>
  </sheetViews>
  <sheetFormatPr defaultColWidth="8.85546875" defaultRowHeight="12.75"/>
  <cols>
    <col min="1" max="1" width="0.85546875" style="179" customWidth="1"/>
    <col min="2" max="2" width="11.7109375" style="209" customWidth="1"/>
    <col min="3" max="3" width="45.7109375" style="176" customWidth="1"/>
    <col min="4" max="4" width="15.28515625" style="200" customWidth="1"/>
    <col min="5" max="5" width="5.7109375" style="200" customWidth="1"/>
    <col min="6" max="6" width="13.42578125" style="200" customWidth="1"/>
    <col min="7" max="7" width="15.5703125" style="432" customWidth="1"/>
    <col min="8" max="8" width="20.5703125" style="433" customWidth="1"/>
    <col min="9" max="9" width="45.42578125" style="178" hidden="1" customWidth="1"/>
    <col min="10" max="36" width="0" style="179" hidden="1" customWidth="1"/>
    <col min="37" max="16384" width="8.85546875" style="179"/>
  </cols>
  <sheetData>
    <row r="1" spans="2:19">
      <c r="B1" s="232" t="str">
        <f>Client1</f>
        <v>AIRPORTS COMPANY - SOUTH AFRICA</v>
      </c>
      <c r="F1" s="768" t="str">
        <f>"Contract No. "&amp;ContractNo</f>
        <v>Contract No. KSIA7806/2025/RFP</v>
      </c>
      <c r="G1" s="768"/>
      <c r="H1" s="768"/>
    </row>
    <row r="2" spans="2:19">
      <c r="B2" s="232" t="str">
        <f>Client2</f>
        <v>ACSA</v>
      </c>
    </row>
    <row r="3" spans="2:19">
      <c r="B3" s="200"/>
    </row>
    <row r="4" spans="2:19" ht="12.75" customHeight="1">
      <c r="B4" s="749" t="s">
        <v>2943</v>
      </c>
      <c r="C4" s="750"/>
      <c r="D4" s="750"/>
      <c r="E4" s="750"/>
      <c r="F4" s="750"/>
      <c r="G4" s="750"/>
      <c r="H4" s="816" t="str">
        <f>"CHAPTER "&amp;B10</f>
        <v>CHAPTER C11.8</v>
      </c>
      <c r="I4" s="676" t="s">
        <v>100</v>
      </c>
    </row>
    <row r="5" spans="2:19"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817"/>
      <c r="I5" s="676"/>
    </row>
    <row r="6" spans="2:19" ht="12.75" customHeight="1">
      <c r="B6" s="752"/>
      <c r="C6" s="753"/>
      <c r="D6" s="753"/>
      <c r="E6" s="753"/>
      <c r="F6" s="753"/>
      <c r="G6" s="753"/>
      <c r="H6" s="817"/>
      <c r="I6" s="676"/>
    </row>
    <row r="7" spans="2:19" s="183" customFormat="1" ht="7.5" customHeight="1">
      <c r="B7" s="754"/>
      <c r="C7" s="755"/>
      <c r="D7" s="755"/>
      <c r="E7" s="755"/>
      <c r="F7" s="755"/>
      <c r="G7" s="755"/>
      <c r="H7" s="818"/>
      <c r="I7" s="676"/>
    </row>
    <row r="8" spans="2:19" s="183" customFormat="1" ht="24.95" customHeight="1">
      <c r="B8" s="203" t="s">
        <v>11</v>
      </c>
      <c r="C8" s="181" t="s">
        <v>12</v>
      </c>
      <c r="D8" s="181" t="s">
        <v>13</v>
      </c>
      <c r="E8" s="181" t="s">
        <v>14</v>
      </c>
      <c r="F8" s="181" t="s">
        <v>15</v>
      </c>
      <c r="G8" s="434" t="s">
        <v>16</v>
      </c>
      <c r="H8" s="370" t="s">
        <v>17</v>
      </c>
      <c r="I8" s="676"/>
    </row>
    <row r="9" spans="2:19">
      <c r="B9" s="207"/>
      <c r="C9" s="175"/>
      <c r="D9" s="186"/>
      <c r="E9" s="186"/>
      <c r="F9" s="186"/>
      <c r="G9" s="435"/>
      <c r="H9" s="369"/>
      <c r="I9" s="187"/>
    </row>
    <row r="10" spans="2:19">
      <c r="B10" s="218" t="s">
        <v>1554</v>
      </c>
      <c r="C10" s="185" t="s">
        <v>1555</v>
      </c>
      <c r="D10" s="186"/>
      <c r="E10" s="186"/>
      <c r="F10" s="186"/>
      <c r="G10" s="435"/>
      <c r="H10" s="369" t="str">
        <f t="shared" ref="H10:H49" si="0">IF(D10="","",F10*G10)</f>
        <v/>
      </c>
      <c r="I10" s="187"/>
    </row>
    <row r="11" spans="2:19">
      <c r="B11" s="207"/>
      <c r="C11" s="175"/>
      <c r="D11" s="186"/>
      <c r="E11" s="186"/>
      <c r="F11" s="206"/>
      <c r="G11" s="435"/>
      <c r="H11" s="369"/>
      <c r="I11" s="193"/>
    </row>
    <row r="12" spans="2:19">
      <c r="B12" s="207" t="s">
        <v>1556</v>
      </c>
      <c r="C12" s="191" t="s">
        <v>1557</v>
      </c>
      <c r="D12" s="186"/>
      <c r="E12" s="186"/>
      <c r="F12" s="206"/>
      <c r="G12" s="435"/>
      <c r="H12" s="369" t="str">
        <f t="shared" si="0"/>
        <v/>
      </c>
      <c r="I12" s="187"/>
    </row>
    <row r="13" spans="2:19">
      <c r="B13" s="207"/>
      <c r="C13" s="191"/>
      <c r="D13" s="186"/>
      <c r="E13" s="186"/>
      <c r="F13" s="206"/>
      <c r="G13" s="435"/>
      <c r="H13" s="369" t="str">
        <f t="shared" si="0"/>
        <v/>
      </c>
      <c r="I13" s="187"/>
    </row>
    <row r="14" spans="2:19">
      <c r="B14" s="207" t="s">
        <v>1558</v>
      </c>
      <c r="C14" s="175" t="s">
        <v>1559</v>
      </c>
      <c r="D14" s="186" t="s">
        <v>373</v>
      </c>
      <c r="E14" s="186" t="s">
        <v>14</v>
      </c>
      <c r="F14" s="206">
        <v>1</v>
      </c>
      <c r="G14" s="609"/>
      <c r="H14" s="369">
        <f t="shared" si="0"/>
        <v>0</v>
      </c>
      <c r="I14" s="190"/>
      <c r="N14" s="179">
        <f>4*7110</f>
        <v>28440</v>
      </c>
      <c r="O14" s="179">
        <f>N14/10000</f>
        <v>2.8439999999999999</v>
      </c>
      <c r="R14" s="179">
        <v>27500</v>
      </c>
      <c r="S14" s="179">
        <f>R14*2</f>
        <v>55000</v>
      </c>
    </row>
    <row r="15" spans="2:19">
      <c r="B15" s="207"/>
      <c r="C15" s="175"/>
      <c r="D15" s="186"/>
      <c r="E15" s="186"/>
      <c r="F15" s="206"/>
      <c r="G15" s="609"/>
      <c r="H15" s="369" t="str">
        <f t="shared" si="0"/>
        <v/>
      </c>
      <c r="I15" s="187"/>
    </row>
    <row r="16" spans="2:19" ht="25.5">
      <c r="B16" s="207" t="s">
        <v>1560</v>
      </c>
      <c r="C16" s="175" t="s">
        <v>1561</v>
      </c>
      <c r="D16" s="186"/>
      <c r="E16" s="186"/>
      <c r="F16" s="206"/>
      <c r="G16" s="612"/>
      <c r="H16" s="369" t="str">
        <f t="shared" si="0"/>
        <v/>
      </c>
      <c r="I16" s="187"/>
    </row>
    <row r="17" spans="2:15">
      <c r="B17" s="207"/>
      <c r="C17" s="175"/>
      <c r="D17" s="186"/>
      <c r="E17" s="186"/>
      <c r="F17" s="206"/>
      <c r="G17" s="591"/>
      <c r="H17" s="369" t="str">
        <f t="shared" si="0"/>
        <v/>
      </c>
      <c r="I17" s="187"/>
    </row>
    <row r="18" spans="2:15">
      <c r="B18" s="207" t="s">
        <v>83</v>
      </c>
      <c r="C18" s="175" t="s">
        <v>1562</v>
      </c>
      <c r="D18" s="186" t="s">
        <v>337</v>
      </c>
      <c r="E18" s="186" t="s">
        <v>14</v>
      </c>
      <c r="F18" s="206">
        <v>500</v>
      </c>
      <c r="G18" s="591"/>
      <c r="H18" s="369">
        <f t="shared" si="0"/>
        <v>0</v>
      </c>
      <c r="I18" s="187"/>
      <c r="N18" s="179">
        <f>2*7200</f>
        <v>14400</v>
      </c>
      <c r="O18" s="179">
        <f>N18*0.1</f>
        <v>1440</v>
      </c>
    </row>
    <row r="19" spans="2:15">
      <c r="B19" s="207"/>
      <c r="C19" s="175"/>
      <c r="D19" s="186"/>
      <c r="E19" s="186"/>
      <c r="F19" s="206"/>
      <c r="G19" s="591"/>
      <c r="H19" s="369" t="str">
        <f t="shared" si="0"/>
        <v/>
      </c>
      <c r="I19" s="187"/>
      <c r="J19" s="179">
        <f>27500*0.05*4</f>
        <v>5500</v>
      </c>
    </row>
    <row r="20" spans="2:15">
      <c r="B20" s="207"/>
      <c r="C20" s="175"/>
      <c r="D20" s="186"/>
      <c r="E20" s="186"/>
      <c r="F20" s="220"/>
      <c r="G20" s="591"/>
      <c r="H20" s="369" t="str">
        <f t="shared" si="0"/>
        <v/>
      </c>
      <c r="I20" s="187"/>
    </row>
    <row r="21" spans="2:15" ht="25.5">
      <c r="B21" s="207" t="s">
        <v>1563</v>
      </c>
      <c r="C21" s="175" t="s">
        <v>1564</v>
      </c>
      <c r="D21" s="186"/>
      <c r="E21" s="186"/>
      <c r="F21" s="220"/>
      <c r="G21" s="609"/>
      <c r="H21" s="369" t="str">
        <f t="shared" si="0"/>
        <v/>
      </c>
      <c r="I21" s="187"/>
    </row>
    <row r="22" spans="2:15">
      <c r="B22" s="207"/>
      <c r="C22" s="175"/>
      <c r="D22" s="186"/>
      <c r="E22" s="186"/>
      <c r="F22" s="220"/>
      <c r="G22" s="609"/>
      <c r="H22" s="369" t="str">
        <f t="shared" si="0"/>
        <v/>
      </c>
      <c r="I22" s="187"/>
    </row>
    <row r="23" spans="2:15">
      <c r="B23" s="207" t="s">
        <v>86</v>
      </c>
      <c r="C23" s="191" t="s">
        <v>1565</v>
      </c>
      <c r="D23" s="186" t="s">
        <v>903</v>
      </c>
      <c r="E23" s="186"/>
      <c r="F23" s="436">
        <v>5</v>
      </c>
      <c r="G23" s="613"/>
      <c r="H23" s="369">
        <f t="shared" si="0"/>
        <v>0</v>
      </c>
      <c r="I23" s="187"/>
    </row>
    <row r="24" spans="2:15">
      <c r="B24" s="207"/>
      <c r="C24" s="175"/>
      <c r="D24" s="186"/>
      <c r="E24" s="186"/>
      <c r="F24" s="220"/>
      <c r="G24" s="609"/>
      <c r="H24" s="369" t="str">
        <f t="shared" si="0"/>
        <v/>
      </c>
      <c r="I24" s="187"/>
    </row>
    <row r="25" spans="2:15">
      <c r="B25" s="207" t="s">
        <v>119</v>
      </c>
      <c r="C25" s="175" t="s">
        <v>1566</v>
      </c>
      <c r="D25" s="36" t="s">
        <v>903</v>
      </c>
      <c r="E25" s="192"/>
      <c r="F25" s="222">
        <v>1</v>
      </c>
      <c r="G25" s="609"/>
      <c r="H25" s="369">
        <f t="shared" si="0"/>
        <v>0</v>
      </c>
    </row>
    <row r="26" spans="2:15">
      <c r="B26" s="207"/>
      <c r="C26" s="175"/>
      <c r="D26" s="186"/>
      <c r="E26" s="186"/>
      <c r="F26" s="220"/>
      <c r="G26" s="609"/>
      <c r="H26" s="369" t="str">
        <f t="shared" si="0"/>
        <v/>
      </c>
      <c r="I26" s="187"/>
    </row>
    <row r="27" spans="2:15">
      <c r="B27" s="207" t="s">
        <v>1567</v>
      </c>
      <c r="C27" s="175" t="s">
        <v>1568</v>
      </c>
      <c r="D27" s="186"/>
      <c r="E27" s="186"/>
      <c r="F27" s="220"/>
      <c r="G27" s="609"/>
      <c r="H27" s="369" t="str">
        <f t="shared" si="0"/>
        <v/>
      </c>
      <c r="I27" s="187"/>
    </row>
    <row r="28" spans="2:15">
      <c r="B28" s="207"/>
      <c r="C28" s="175"/>
      <c r="D28" s="186"/>
      <c r="E28" s="186"/>
      <c r="F28" s="220"/>
      <c r="G28" s="609"/>
      <c r="H28" s="369" t="str">
        <f t="shared" si="0"/>
        <v/>
      </c>
      <c r="I28" s="187"/>
    </row>
    <row r="29" spans="2:15">
      <c r="B29" s="207" t="s">
        <v>1569</v>
      </c>
      <c r="C29" s="191" t="s">
        <v>1570</v>
      </c>
      <c r="D29" s="186"/>
      <c r="E29" s="192"/>
      <c r="F29" s="206"/>
      <c r="G29" s="614"/>
      <c r="H29" s="369" t="str">
        <f t="shared" si="0"/>
        <v/>
      </c>
    </row>
    <row r="30" spans="2:15">
      <c r="B30" s="207"/>
      <c r="C30" s="175"/>
      <c r="D30" s="186"/>
      <c r="E30" s="192"/>
      <c r="F30" s="206"/>
      <c r="G30" s="614"/>
      <c r="H30" s="369" t="str">
        <f t="shared" si="0"/>
        <v/>
      </c>
    </row>
    <row r="31" spans="2:15" s="178" customFormat="1">
      <c r="B31" s="207" t="s">
        <v>83</v>
      </c>
      <c r="C31" s="175" t="s">
        <v>1571</v>
      </c>
      <c r="D31" s="186" t="s">
        <v>764</v>
      </c>
      <c r="E31" s="192"/>
      <c r="F31" s="206">
        <v>200</v>
      </c>
      <c r="G31" s="609"/>
      <c r="H31" s="369">
        <f t="shared" si="0"/>
        <v>0</v>
      </c>
    </row>
    <row r="32" spans="2:15" s="178" customFormat="1">
      <c r="B32" s="207"/>
      <c r="C32" s="175"/>
      <c r="D32" s="186"/>
      <c r="E32" s="192"/>
      <c r="F32" s="206"/>
      <c r="G32" s="614"/>
      <c r="H32" s="369" t="str">
        <f t="shared" si="0"/>
        <v/>
      </c>
    </row>
    <row r="33" spans="2:9" s="178" customFormat="1">
      <c r="B33" s="207" t="s">
        <v>117</v>
      </c>
      <c r="C33" s="175" t="s">
        <v>1572</v>
      </c>
      <c r="D33" s="186" t="s">
        <v>373</v>
      </c>
      <c r="E33" s="186"/>
      <c r="F33" s="206">
        <v>2</v>
      </c>
      <c r="G33" s="591"/>
      <c r="H33" s="369">
        <f t="shared" si="0"/>
        <v>0</v>
      </c>
    </row>
    <row r="34" spans="2:9" s="178" customFormat="1" ht="15.6" customHeight="1">
      <c r="B34" s="207"/>
      <c r="C34" s="175"/>
      <c r="D34" s="186"/>
      <c r="E34" s="186"/>
      <c r="F34" s="206"/>
      <c r="G34" s="591"/>
      <c r="H34" s="369" t="str">
        <f>IF(D34="","",F34*G34)</f>
        <v/>
      </c>
    </row>
    <row r="35" spans="2:9" s="178" customFormat="1" ht="13.9" hidden="1" customHeight="1">
      <c r="B35" s="207"/>
      <c r="C35" s="175"/>
      <c r="D35" s="186"/>
      <c r="E35" s="186"/>
      <c r="F35" s="206"/>
      <c r="G35" s="591"/>
      <c r="H35" s="369" t="str">
        <f t="shared" si="0"/>
        <v/>
      </c>
    </row>
    <row r="36" spans="2:9" s="199" customFormat="1" ht="19.5" hidden="1" customHeight="1">
      <c r="B36" s="227" t="str">
        <f>$B$10</f>
        <v>C11.8</v>
      </c>
      <c r="C36" s="194" t="s">
        <v>99</v>
      </c>
      <c r="D36" s="195"/>
      <c r="E36" s="195"/>
      <c r="F36" s="208"/>
      <c r="G36" s="615"/>
      <c r="H36" s="369" t="str">
        <f t="shared" si="0"/>
        <v/>
      </c>
      <c r="I36" s="198"/>
    </row>
    <row r="37" spans="2:9" ht="13.9" hidden="1" customHeight="1">
      <c r="B37" s="199" t="str">
        <f>Client1</f>
        <v>AIRPORTS COMPANY - SOUTH AFRICA</v>
      </c>
      <c r="C37" s="199"/>
      <c r="D37" s="199"/>
      <c r="E37" s="199"/>
      <c r="F37" s="396" t="str">
        <f>"Contract No. "&amp;ContractNo</f>
        <v>Contract No. KSIA7806/2025/RFP</v>
      </c>
      <c r="G37" s="616"/>
      <c r="H37" s="369" t="str">
        <f t="shared" si="0"/>
        <v/>
      </c>
    </row>
    <row r="38" spans="2:9" ht="13.9" hidden="1" customHeight="1">
      <c r="B38" s="199" t="str">
        <f>Client2</f>
        <v>ACSA</v>
      </c>
      <c r="C38" s="199"/>
      <c r="D38" s="199"/>
      <c r="E38" s="199"/>
      <c r="F38" s="396"/>
      <c r="G38" s="616"/>
      <c r="H38" s="369" t="str">
        <f t="shared" si="0"/>
        <v/>
      </c>
    </row>
    <row r="39" spans="2:9" ht="13.9" hidden="1" customHeight="1">
      <c r="B39" s="438"/>
      <c r="C39" s="71"/>
      <c r="D39" s="438"/>
      <c r="E39" s="438"/>
      <c r="F39" s="397"/>
      <c r="G39" s="617"/>
      <c r="H39" s="369" t="str">
        <f t="shared" si="0"/>
        <v/>
      </c>
    </row>
    <row r="40" spans="2:9" ht="13.9" hidden="1" customHeight="1">
      <c r="B40" s="439" t="s">
        <v>456</v>
      </c>
      <c r="C40" s="440"/>
      <c r="D40" s="440"/>
      <c r="E40" s="440"/>
      <c r="F40" s="393"/>
      <c r="G40" s="618"/>
      <c r="H40" s="369" t="str">
        <f t="shared" si="0"/>
        <v/>
      </c>
      <c r="I40" s="234"/>
    </row>
    <row r="41" spans="2:9" ht="13.9" hidden="1" customHeight="1">
      <c r="B41" s="441" t="str">
        <f>ContractDescription</f>
        <v>PROCUREMENT OF A CIDB GRADE 9 CE CONTRACTOR THE COMPLETION OF BRAVO TAXIWAY EXTENSION AT KING SHAKA INTERNATIONAL AIRPORT FOR A PERIOD OF 12 MONTHS AT KING SHAKA INTERNATIONAL AIRPORT</v>
      </c>
      <c r="C41" s="442"/>
      <c r="D41" s="442"/>
      <c r="E41" s="442"/>
      <c r="F41" s="394"/>
      <c r="G41" s="619"/>
      <c r="H41" s="369" t="str">
        <f t="shared" si="0"/>
        <v/>
      </c>
      <c r="I41" s="180"/>
    </row>
    <row r="42" spans="2:9" ht="13.9" hidden="1" customHeight="1">
      <c r="B42" s="441"/>
      <c r="C42" s="442"/>
      <c r="D42" s="442"/>
      <c r="E42" s="442"/>
      <c r="F42" s="394"/>
      <c r="G42" s="619"/>
      <c r="H42" s="369" t="str">
        <f t="shared" si="0"/>
        <v/>
      </c>
      <c r="I42" s="180"/>
    </row>
    <row r="43" spans="2:9" ht="13.9" hidden="1" customHeight="1">
      <c r="B43" s="443"/>
      <c r="C43" s="444"/>
      <c r="D43" s="444"/>
      <c r="E43" s="444"/>
      <c r="F43" s="395"/>
      <c r="G43" s="620"/>
      <c r="H43" s="369" t="str">
        <f t="shared" si="0"/>
        <v/>
      </c>
      <c r="I43" s="180"/>
    </row>
    <row r="44" spans="2:9" s="183" customFormat="1" ht="24.95" hidden="1" customHeight="1">
      <c r="B44" s="203" t="s">
        <v>11</v>
      </c>
      <c r="C44" s="181" t="s">
        <v>12</v>
      </c>
      <c r="D44" s="181" t="s">
        <v>13</v>
      </c>
      <c r="E44" s="181" t="s">
        <v>14</v>
      </c>
      <c r="F44" s="205" t="s">
        <v>15</v>
      </c>
      <c r="G44" s="621"/>
      <c r="H44" s="369" t="e">
        <f t="shared" si="0"/>
        <v>#VALUE!</v>
      </c>
      <c r="I44" s="182"/>
    </row>
    <row r="45" spans="2:9" s="199" customFormat="1" ht="19.5" hidden="1" customHeight="1">
      <c r="B45" s="227"/>
      <c r="C45" s="194" t="s">
        <v>140</v>
      </c>
      <c r="D45" s="195"/>
      <c r="E45" s="195"/>
      <c r="F45" s="208">
        <v>350000</v>
      </c>
      <c r="G45" s="615"/>
      <c r="H45" s="369" t="str">
        <f t="shared" si="0"/>
        <v/>
      </c>
      <c r="I45" s="198"/>
    </row>
    <row r="46" spans="2:9" s="178" customFormat="1" ht="13.9" hidden="1" customHeight="1">
      <c r="B46" s="207"/>
      <c r="C46" s="175"/>
      <c r="D46" s="186"/>
      <c r="E46" s="186"/>
      <c r="F46" s="206"/>
      <c r="G46" s="591"/>
      <c r="H46" s="369" t="str">
        <f t="shared" si="0"/>
        <v/>
      </c>
    </row>
    <row r="47" spans="2:9" s="178" customFormat="1">
      <c r="B47" s="207" t="s">
        <v>1573</v>
      </c>
      <c r="C47" s="175" t="s">
        <v>1574</v>
      </c>
      <c r="D47" s="186" t="s">
        <v>906</v>
      </c>
      <c r="E47" s="186"/>
      <c r="F47" s="206">
        <v>500</v>
      </c>
      <c r="G47" s="609"/>
      <c r="H47" s="369">
        <f t="shared" si="0"/>
        <v>0</v>
      </c>
    </row>
    <row r="48" spans="2:9" s="178" customFormat="1">
      <c r="B48" s="207"/>
      <c r="C48" s="175"/>
      <c r="D48" s="186"/>
      <c r="E48" s="186"/>
      <c r="F48" s="188"/>
      <c r="G48" s="435"/>
      <c r="H48" s="369" t="str">
        <f t="shared" si="0"/>
        <v/>
      </c>
    </row>
    <row r="49" spans="2:9" s="178" customFormat="1">
      <c r="B49" s="207"/>
      <c r="C49" s="175"/>
      <c r="D49" s="186"/>
      <c r="E49" s="186"/>
      <c r="F49" s="188"/>
      <c r="G49" s="435"/>
      <c r="H49" s="369" t="str">
        <f t="shared" si="0"/>
        <v/>
      </c>
    </row>
    <row r="50" spans="2:9" s="199" customFormat="1" ht="24.75" customHeight="1">
      <c r="B50" s="228" t="str">
        <f>$B$10</f>
        <v>C11.8</v>
      </c>
      <c r="C50" s="194" t="s">
        <v>125</v>
      </c>
      <c r="D50" s="195"/>
      <c r="E50" s="195"/>
      <c r="F50" s="196"/>
      <c r="G50" s="437"/>
      <c r="H50" s="370">
        <f>SUM(H11:H33)+H47</f>
        <v>0</v>
      </c>
      <c r="I50" s="198"/>
    </row>
    <row r="89" spans="3:3">
      <c r="C89" s="176" t="s">
        <v>99</v>
      </c>
    </row>
    <row r="114" spans="6:6">
      <c r="F114" s="230"/>
    </row>
    <row r="115" spans="6:6">
      <c r="F115" s="230"/>
    </row>
    <row r="116" spans="6:6">
      <c r="F116" s="230"/>
    </row>
    <row r="117" spans="6:6">
      <c r="F117" s="230"/>
    </row>
    <row r="118" spans="6:6">
      <c r="F118" s="230"/>
    </row>
    <row r="119" spans="6:6">
      <c r="F119" s="230"/>
    </row>
    <row r="120" spans="6:6">
      <c r="F120" s="230"/>
    </row>
    <row r="121" spans="6:6">
      <c r="F121" s="230"/>
    </row>
    <row r="122" spans="6:6">
      <c r="F122" s="230"/>
    </row>
    <row r="123" spans="6:6">
      <c r="F123" s="230"/>
    </row>
  </sheetData>
  <sheetProtection algorithmName="SHA-512" hashValue="aEK9ZduF5Fp0JN5480s0wopL5XiFHV4cf0eW8HDS7ixuuSgmWsR7QJUONBj2bF5cr0eTa3Hch7S3qTKHi2aCOg==" saltValue="b49GsMQTtTGhPM4ozc94xw=="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9"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4">
    <tabColor rgb="FF00B0F0"/>
  </sheetPr>
  <dimension ref="B1:I69"/>
  <sheetViews>
    <sheetView view="pageBreakPreview" topLeftCell="A7" zoomScaleNormal="100" zoomScaleSheetLayoutView="100" workbookViewId="0">
      <selection activeCell="G14" sqref="G14"/>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15.7109375" style="399" customWidth="1"/>
    <col min="9" max="9" width="41.28515625" style="5" hidden="1" customWidth="1"/>
    <col min="10" max="36" width="0" style="1" hidden="1" customWidth="1"/>
    <col min="37" max="16384" width="6.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71"/>
      <c r="C3" s="71"/>
      <c r="D3" s="72"/>
      <c r="E3" s="72"/>
      <c r="F3" s="72"/>
      <c r="G3" s="400"/>
      <c r="H3" s="401"/>
    </row>
    <row r="4" spans="2:9">
      <c r="B4" s="695" t="s">
        <v>2943</v>
      </c>
      <c r="C4" s="696"/>
      <c r="D4" s="696"/>
      <c r="E4" s="696"/>
      <c r="F4" s="696"/>
      <c r="G4" s="696"/>
      <c r="H4" s="742" t="str">
        <f>"CHAPTER "&amp;B10</f>
        <v>CHAPTER C12.7</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7.5" customHeight="1">
      <c r="B7" s="692"/>
      <c r="C7" s="693"/>
      <c r="D7" s="693"/>
      <c r="E7" s="693"/>
      <c r="F7" s="693"/>
      <c r="G7" s="693"/>
      <c r="H7" s="744"/>
      <c r="I7" s="676"/>
    </row>
    <row r="8" spans="2:9" s="9" customFormat="1" ht="24.95" customHeight="1">
      <c r="B8" s="10" t="s">
        <v>11</v>
      </c>
      <c r="C8" s="11" t="s">
        <v>12</v>
      </c>
      <c r="D8" s="11" t="s">
        <v>13</v>
      </c>
      <c r="E8" s="11" t="s">
        <v>14</v>
      </c>
      <c r="F8" s="11" t="s">
        <v>15</v>
      </c>
      <c r="G8" s="409" t="s">
        <v>16</v>
      </c>
      <c r="H8" s="364" t="s">
        <v>17</v>
      </c>
      <c r="I8" s="676"/>
    </row>
    <row r="9" spans="2:9">
      <c r="B9" s="103"/>
      <c r="C9" s="35"/>
      <c r="D9" s="15"/>
      <c r="E9" s="15"/>
      <c r="F9" s="15"/>
      <c r="G9" s="427"/>
      <c r="H9" s="367" t="str">
        <f t="shared" ref="H9:H68" si="0">IF(D9="","",F9*G9)</f>
        <v/>
      </c>
      <c r="I9" s="28"/>
    </row>
    <row r="10" spans="2:9">
      <c r="B10" s="107" t="s">
        <v>3166</v>
      </c>
      <c r="C10" s="76" t="s">
        <v>3167</v>
      </c>
      <c r="D10" s="15"/>
      <c r="E10" s="15"/>
      <c r="F10" s="15"/>
      <c r="G10" s="427"/>
      <c r="H10" s="367" t="str">
        <f t="shared" si="0"/>
        <v/>
      </c>
      <c r="I10" s="28"/>
    </row>
    <row r="11" spans="2:9">
      <c r="B11" s="102"/>
      <c r="D11" s="22"/>
      <c r="E11" s="22"/>
      <c r="F11" s="22"/>
      <c r="G11" s="410"/>
      <c r="H11" s="367" t="str">
        <f t="shared" si="0"/>
        <v/>
      </c>
      <c r="I11" s="4"/>
    </row>
    <row r="12" spans="2:9" ht="40.5" customHeight="1">
      <c r="B12" s="106" t="s">
        <v>3168</v>
      </c>
      <c r="C12" s="51" t="s">
        <v>3169</v>
      </c>
      <c r="D12" s="22" t="s">
        <v>33</v>
      </c>
      <c r="E12" s="22"/>
      <c r="F12" s="22">
        <v>1</v>
      </c>
      <c r="G12" s="586"/>
      <c r="H12" s="363">
        <f t="shared" si="0"/>
        <v>0</v>
      </c>
      <c r="I12" s="4" t="s">
        <v>3170</v>
      </c>
    </row>
    <row r="13" spans="2:9">
      <c r="B13" s="102"/>
      <c r="C13" s="1"/>
      <c r="D13" s="36"/>
      <c r="E13" s="22"/>
      <c r="F13" s="22"/>
      <c r="G13" s="586"/>
      <c r="H13" s="363" t="str">
        <f t="shared" si="0"/>
        <v/>
      </c>
      <c r="I13" s="331"/>
    </row>
    <row r="14" spans="2:9" ht="25.5" customHeight="1">
      <c r="B14" s="106" t="s">
        <v>3171</v>
      </c>
      <c r="C14" s="51" t="s">
        <v>3172</v>
      </c>
      <c r="D14" s="36" t="s">
        <v>85</v>
      </c>
      <c r="E14" s="22"/>
      <c r="F14" s="22">
        <v>7</v>
      </c>
      <c r="G14" s="586"/>
      <c r="H14" s="363">
        <f t="shared" si="0"/>
        <v>0</v>
      </c>
      <c r="I14" s="4" t="s">
        <v>3170</v>
      </c>
    </row>
    <row r="15" spans="2:9">
      <c r="B15" s="102"/>
      <c r="C15" s="1"/>
      <c r="D15" s="22"/>
      <c r="E15" s="22"/>
      <c r="F15" s="22"/>
      <c r="G15" s="586"/>
      <c r="H15" s="363" t="str">
        <f t="shared" si="0"/>
        <v/>
      </c>
      <c r="I15" s="331"/>
    </row>
    <row r="16" spans="2:9" ht="25.5" customHeight="1">
      <c r="B16" s="106" t="s">
        <v>3173</v>
      </c>
      <c r="C16" s="51" t="s">
        <v>3174</v>
      </c>
      <c r="D16" s="22" t="s">
        <v>347</v>
      </c>
      <c r="E16" s="22"/>
      <c r="F16" s="22">
        <v>300</v>
      </c>
      <c r="G16" s="586"/>
      <c r="H16" s="363">
        <f t="shared" si="0"/>
        <v>0</v>
      </c>
      <c r="I16" s="4" t="s">
        <v>3170</v>
      </c>
    </row>
    <row r="17" spans="2:9">
      <c r="B17" s="102"/>
      <c r="C17" s="35"/>
      <c r="D17" s="36"/>
      <c r="E17" s="22"/>
      <c r="F17" s="22"/>
      <c r="G17" s="410"/>
      <c r="H17" s="367" t="str">
        <f t="shared" si="0"/>
        <v/>
      </c>
      <c r="I17" s="331"/>
    </row>
    <row r="18" spans="2:9" ht="52.5" customHeight="1">
      <c r="B18" s="103"/>
      <c r="C18" s="55"/>
      <c r="D18" s="36"/>
      <c r="E18" s="22"/>
      <c r="F18" s="240"/>
      <c r="G18" s="351"/>
      <c r="H18" s="367"/>
      <c r="I18" s="278"/>
    </row>
    <row r="19" spans="2:9" ht="13.5" customHeight="1">
      <c r="B19" s="102"/>
      <c r="D19" s="36"/>
      <c r="E19" s="22"/>
      <c r="F19" s="240"/>
      <c r="G19" s="351"/>
      <c r="H19" s="367"/>
      <c r="I19" s="278"/>
    </row>
    <row r="20" spans="2:9">
      <c r="B20" s="102"/>
      <c r="D20" s="62"/>
      <c r="E20" s="22"/>
      <c r="F20" s="240"/>
      <c r="G20" s="410"/>
      <c r="H20" s="367"/>
      <c r="I20" s="279"/>
    </row>
    <row r="21" spans="2:9">
      <c r="B21" s="103"/>
      <c r="C21" s="35"/>
      <c r="D21" s="36"/>
      <c r="E21" s="36"/>
      <c r="F21" s="240"/>
      <c r="G21" s="431"/>
      <c r="H21" s="367"/>
    </row>
    <row r="22" spans="2:9">
      <c r="B22" s="103"/>
      <c r="C22" s="35"/>
      <c r="D22" s="36"/>
      <c r="E22" s="36"/>
      <c r="F22" s="240"/>
      <c r="G22" s="431"/>
      <c r="H22" s="367"/>
    </row>
    <row r="23" spans="2:9">
      <c r="B23" s="103"/>
      <c r="C23" s="35"/>
      <c r="D23" s="36"/>
      <c r="E23" s="36"/>
      <c r="F23" s="240"/>
      <c r="G23" s="431"/>
      <c r="H23" s="367" t="str">
        <f t="shared" si="0"/>
        <v/>
      </c>
    </row>
    <row r="24" spans="2:9">
      <c r="B24" s="103"/>
      <c r="C24" s="35"/>
      <c r="D24" s="36"/>
      <c r="E24" s="36"/>
      <c r="F24" s="240"/>
      <c r="G24" s="431"/>
      <c r="H24" s="367" t="str">
        <f t="shared" si="0"/>
        <v/>
      </c>
    </row>
    <row r="25" spans="2:9">
      <c r="B25" s="103"/>
      <c r="C25" s="35"/>
      <c r="D25" s="36"/>
      <c r="E25" s="36"/>
      <c r="F25" s="240"/>
      <c r="G25" s="431"/>
      <c r="H25" s="367" t="str">
        <f t="shared" si="0"/>
        <v/>
      </c>
    </row>
    <row r="26" spans="2:9">
      <c r="B26" s="103"/>
      <c r="C26" s="35"/>
      <c r="D26" s="36"/>
      <c r="E26" s="36"/>
      <c r="F26" s="240"/>
      <c r="G26" s="431"/>
      <c r="H26" s="367" t="str">
        <f t="shared" si="0"/>
        <v/>
      </c>
    </row>
    <row r="27" spans="2:9">
      <c r="B27" s="103"/>
      <c r="C27" s="35"/>
      <c r="D27" s="36"/>
      <c r="E27" s="36"/>
      <c r="F27" s="240"/>
      <c r="G27" s="431"/>
      <c r="H27" s="367" t="str">
        <f t="shared" si="0"/>
        <v/>
      </c>
    </row>
    <row r="28" spans="2:9">
      <c r="B28" s="103"/>
      <c r="C28" s="35"/>
      <c r="D28" s="36"/>
      <c r="E28" s="36"/>
      <c r="F28" s="240"/>
      <c r="G28" s="431"/>
      <c r="H28" s="367" t="str">
        <f t="shared" si="0"/>
        <v/>
      </c>
    </row>
    <row r="29" spans="2:9">
      <c r="B29" s="103"/>
      <c r="C29" s="35"/>
      <c r="D29" s="36"/>
      <c r="E29" s="36"/>
      <c r="F29" s="240"/>
      <c r="G29" s="431"/>
      <c r="H29" s="367" t="str">
        <f t="shared" si="0"/>
        <v/>
      </c>
    </row>
    <row r="30" spans="2:9">
      <c r="B30" s="103"/>
      <c r="C30" s="35"/>
      <c r="D30" s="36"/>
      <c r="E30" s="36"/>
      <c r="F30" s="240"/>
      <c r="G30" s="431"/>
      <c r="H30" s="367" t="str">
        <f t="shared" si="0"/>
        <v/>
      </c>
    </row>
    <row r="31" spans="2:9">
      <c r="B31" s="103"/>
      <c r="C31" s="35"/>
      <c r="D31" s="36"/>
      <c r="E31" s="36"/>
      <c r="F31" s="240"/>
      <c r="G31" s="431"/>
      <c r="H31" s="367" t="str">
        <f t="shared" si="0"/>
        <v/>
      </c>
    </row>
    <row r="32" spans="2:9">
      <c r="B32" s="103"/>
      <c r="C32" s="35"/>
      <c r="D32" s="36"/>
      <c r="E32" s="36"/>
      <c r="F32" s="240"/>
      <c r="G32" s="431"/>
      <c r="H32" s="367" t="str">
        <f t="shared" si="0"/>
        <v/>
      </c>
    </row>
    <row r="33" spans="2:8">
      <c r="B33" s="103"/>
      <c r="C33" s="35"/>
      <c r="D33" s="36"/>
      <c r="E33" s="36"/>
      <c r="F33" s="240"/>
      <c r="G33" s="431"/>
      <c r="H33" s="367" t="str">
        <f t="shared" si="0"/>
        <v/>
      </c>
    </row>
    <row r="34" spans="2:8">
      <c r="B34" s="103"/>
      <c r="C34" s="35"/>
      <c r="D34" s="36"/>
      <c r="E34" s="36"/>
      <c r="F34" s="240"/>
      <c r="G34" s="431"/>
      <c r="H34" s="367" t="str">
        <f t="shared" si="0"/>
        <v/>
      </c>
    </row>
    <row r="35" spans="2:8">
      <c r="B35" s="103"/>
      <c r="C35" s="35"/>
      <c r="D35" s="36"/>
      <c r="E35" s="36"/>
      <c r="F35" s="240"/>
      <c r="G35" s="431"/>
      <c r="H35" s="367" t="str">
        <f t="shared" si="0"/>
        <v/>
      </c>
    </row>
    <row r="36" spans="2:8">
      <c r="B36" s="103"/>
      <c r="C36" s="35"/>
      <c r="D36" s="36"/>
      <c r="E36" s="36"/>
      <c r="F36" s="240"/>
      <c r="G36" s="431"/>
      <c r="H36" s="367" t="str">
        <f t="shared" si="0"/>
        <v/>
      </c>
    </row>
    <row r="37" spans="2:8">
      <c r="B37" s="103"/>
      <c r="C37" s="35"/>
      <c r="D37" s="36"/>
      <c r="E37" s="36"/>
      <c r="F37" s="240"/>
      <c r="G37" s="431"/>
      <c r="H37" s="367" t="str">
        <f t="shared" si="0"/>
        <v/>
      </c>
    </row>
    <row r="38" spans="2:8">
      <c r="B38" s="103"/>
      <c r="C38" s="35"/>
      <c r="D38" s="36"/>
      <c r="E38" s="36"/>
      <c r="F38" s="240"/>
      <c r="G38" s="431"/>
      <c r="H38" s="367" t="str">
        <f t="shared" si="0"/>
        <v/>
      </c>
    </row>
    <row r="39" spans="2:8">
      <c r="B39" s="103"/>
      <c r="C39" s="35"/>
      <c r="D39" s="36"/>
      <c r="E39" s="36"/>
      <c r="F39" s="240"/>
      <c r="G39" s="431"/>
      <c r="H39" s="367" t="str">
        <f t="shared" si="0"/>
        <v/>
      </c>
    </row>
    <row r="40" spans="2:8">
      <c r="B40" s="103"/>
      <c r="C40" s="35"/>
      <c r="D40" s="36"/>
      <c r="E40" s="36"/>
      <c r="F40" s="240"/>
      <c r="G40" s="431"/>
      <c r="H40" s="367" t="str">
        <f t="shared" si="0"/>
        <v/>
      </c>
    </row>
    <row r="41" spans="2:8">
      <c r="B41" s="103"/>
      <c r="C41" s="35"/>
      <c r="D41" s="36"/>
      <c r="E41" s="36"/>
      <c r="F41" s="240"/>
      <c r="G41" s="431"/>
      <c r="H41" s="367" t="str">
        <f t="shared" si="0"/>
        <v/>
      </c>
    </row>
    <row r="42" spans="2:8">
      <c r="B42" s="103"/>
      <c r="C42" s="35"/>
      <c r="D42" s="36"/>
      <c r="E42" s="36"/>
      <c r="F42" s="240"/>
      <c r="G42" s="431"/>
      <c r="H42" s="367" t="str">
        <f t="shared" si="0"/>
        <v/>
      </c>
    </row>
    <row r="43" spans="2:8">
      <c r="B43" s="103"/>
      <c r="C43" s="35"/>
      <c r="D43" s="36"/>
      <c r="E43" s="36"/>
      <c r="F43" s="240"/>
      <c r="G43" s="431"/>
      <c r="H43" s="367" t="str">
        <f t="shared" si="0"/>
        <v/>
      </c>
    </row>
    <row r="44" spans="2:8">
      <c r="B44" s="103"/>
      <c r="C44" s="35"/>
      <c r="D44" s="36"/>
      <c r="E44" s="36"/>
      <c r="F44" s="240"/>
      <c r="G44" s="431"/>
      <c r="H44" s="367" t="str">
        <f t="shared" si="0"/>
        <v/>
      </c>
    </row>
    <row r="45" spans="2:8">
      <c r="B45" s="103"/>
      <c r="C45" s="35"/>
      <c r="D45" s="36"/>
      <c r="E45" s="36"/>
      <c r="F45" s="240"/>
      <c r="G45" s="431"/>
      <c r="H45" s="367" t="str">
        <f t="shared" si="0"/>
        <v/>
      </c>
    </row>
    <row r="46" spans="2:8">
      <c r="B46" s="103"/>
      <c r="C46" s="35"/>
      <c r="D46" s="36"/>
      <c r="E46" s="36"/>
      <c r="F46" s="240"/>
      <c r="G46" s="431"/>
      <c r="H46" s="367" t="str">
        <f t="shared" si="0"/>
        <v/>
      </c>
    </row>
    <row r="47" spans="2:8">
      <c r="B47" s="103"/>
      <c r="C47" s="35"/>
      <c r="D47" s="36"/>
      <c r="E47" s="36"/>
      <c r="F47" s="240"/>
      <c r="G47" s="431"/>
      <c r="H47" s="367" t="str">
        <f t="shared" si="0"/>
        <v/>
      </c>
    </row>
    <row r="48" spans="2:8">
      <c r="B48" s="103"/>
      <c r="C48" s="35"/>
      <c r="D48" s="36"/>
      <c r="E48" s="36"/>
      <c r="F48" s="240"/>
      <c r="G48" s="431"/>
      <c r="H48" s="367" t="str">
        <f t="shared" si="0"/>
        <v/>
      </c>
    </row>
    <row r="49" spans="2:8">
      <c r="B49" s="103"/>
      <c r="C49" s="35"/>
      <c r="D49" s="36"/>
      <c r="E49" s="36"/>
      <c r="F49" s="240"/>
      <c r="G49" s="431"/>
      <c r="H49" s="367" t="str">
        <f t="shared" si="0"/>
        <v/>
      </c>
    </row>
    <row r="50" spans="2:8">
      <c r="B50" s="103"/>
      <c r="C50" s="35"/>
      <c r="D50" s="36"/>
      <c r="E50" s="36"/>
      <c r="F50" s="240"/>
      <c r="G50" s="431"/>
      <c r="H50" s="367" t="str">
        <f t="shared" si="0"/>
        <v/>
      </c>
    </row>
    <row r="51" spans="2:8">
      <c r="B51" s="103"/>
      <c r="C51" s="35"/>
      <c r="D51" s="36"/>
      <c r="E51" s="36"/>
      <c r="F51" s="240"/>
      <c r="G51" s="431"/>
      <c r="H51" s="367" t="str">
        <f t="shared" si="0"/>
        <v/>
      </c>
    </row>
    <row r="52" spans="2:8">
      <c r="B52" s="103"/>
      <c r="C52" s="35"/>
      <c r="D52" s="36"/>
      <c r="E52" s="36"/>
      <c r="F52" s="240"/>
      <c r="G52" s="431"/>
      <c r="H52" s="367" t="str">
        <f t="shared" si="0"/>
        <v/>
      </c>
    </row>
    <row r="53" spans="2:8">
      <c r="B53" s="103"/>
      <c r="C53" s="35"/>
      <c r="D53" s="36"/>
      <c r="E53" s="36"/>
      <c r="F53" s="240"/>
      <c r="G53" s="431"/>
      <c r="H53" s="367" t="str">
        <f t="shared" si="0"/>
        <v/>
      </c>
    </row>
    <row r="54" spans="2:8">
      <c r="B54" s="103"/>
      <c r="C54" s="35"/>
      <c r="D54" s="36"/>
      <c r="E54" s="36"/>
      <c r="F54" s="240"/>
      <c r="G54" s="431"/>
      <c r="H54" s="367" t="str">
        <f t="shared" si="0"/>
        <v/>
      </c>
    </row>
    <row r="55" spans="2:8">
      <c r="B55" s="103"/>
      <c r="C55" s="35"/>
      <c r="D55" s="36"/>
      <c r="E55" s="36"/>
      <c r="F55" s="240"/>
      <c r="G55" s="431"/>
      <c r="H55" s="367" t="str">
        <f t="shared" si="0"/>
        <v/>
      </c>
    </row>
    <row r="56" spans="2:8">
      <c r="B56" s="103"/>
      <c r="C56" s="35"/>
      <c r="D56" s="36"/>
      <c r="E56" s="36"/>
      <c r="F56" s="240"/>
      <c r="G56" s="431"/>
      <c r="H56" s="367" t="str">
        <f t="shared" si="0"/>
        <v/>
      </c>
    </row>
    <row r="57" spans="2:8">
      <c r="B57" s="103"/>
      <c r="C57" s="35"/>
      <c r="D57" s="36"/>
      <c r="E57" s="36"/>
      <c r="F57" s="240"/>
      <c r="G57" s="431"/>
      <c r="H57" s="367" t="str">
        <f t="shared" si="0"/>
        <v/>
      </c>
    </row>
    <row r="58" spans="2:8">
      <c r="B58" s="103"/>
      <c r="C58" s="35"/>
      <c r="D58" s="36"/>
      <c r="E58" s="36"/>
      <c r="F58" s="240"/>
      <c r="G58" s="431"/>
      <c r="H58" s="367" t="str">
        <f t="shared" si="0"/>
        <v/>
      </c>
    </row>
    <row r="59" spans="2:8">
      <c r="B59" s="103"/>
      <c r="C59" s="35"/>
      <c r="D59" s="36"/>
      <c r="E59" s="36"/>
      <c r="F59" s="240"/>
      <c r="G59" s="431"/>
      <c r="H59" s="367" t="str">
        <f t="shared" si="0"/>
        <v/>
      </c>
    </row>
    <row r="60" spans="2:8">
      <c r="B60" s="103"/>
      <c r="C60" s="35"/>
      <c r="D60" s="36"/>
      <c r="E60" s="36"/>
      <c r="F60" s="240"/>
      <c r="G60" s="431"/>
      <c r="H60" s="367" t="str">
        <f t="shared" si="0"/>
        <v/>
      </c>
    </row>
    <row r="61" spans="2:8">
      <c r="B61" s="103"/>
      <c r="C61" s="35"/>
      <c r="D61" s="36"/>
      <c r="E61" s="36"/>
      <c r="F61" s="240"/>
      <c r="G61" s="431"/>
      <c r="H61" s="367" t="str">
        <f t="shared" si="0"/>
        <v/>
      </c>
    </row>
    <row r="62" spans="2:8">
      <c r="B62" s="103"/>
      <c r="C62" s="35"/>
      <c r="D62" s="36"/>
      <c r="E62" s="36"/>
      <c r="F62" s="240"/>
      <c r="G62" s="431"/>
      <c r="H62" s="367" t="str">
        <f t="shared" si="0"/>
        <v/>
      </c>
    </row>
    <row r="63" spans="2:8">
      <c r="B63" s="103"/>
      <c r="C63" s="35"/>
      <c r="D63" s="36"/>
      <c r="E63" s="36"/>
      <c r="F63" s="240"/>
      <c r="G63" s="431"/>
      <c r="H63" s="367" t="str">
        <f t="shared" si="0"/>
        <v/>
      </c>
    </row>
    <row r="64" spans="2:8">
      <c r="B64" s="103"/>
      <c r="C64" s="35"/>
      <c r="D64" s="36"/>
      <c r="E64" s="36"/>
      <c r="F64" s="240"/>
      <c r="G64" s="431"/>
      <c r="H64" s="367" t="str">
        <f t="shared" si="0"/>
        <v/>
      </c>
    </row>
    <row r="65" spans="2:9">
      <c r="B65" s="103"/>
      <c r="C65" s="35"/>
      <c r="D65" s="36"/>
      <c r="E65" s="36"/>
      <c r="F65" s="240"/>
      <c r="G65" s="431"/>
      <c r="H65" s="367" t="str">
        <f t="shared" si="0"/>
        <v/>
      </c>
    </row>
    <row r="66" spans="2:9">
      <c r="B66" s="103"/>
      <c r="C66" s="35"/>
      <c r="D66" s="36"/>
      <c r="E66" s="36"/>
      <c r="F66" s="240"/>
      <c r="G66" s="431"/>
      <c r="H66" s="367" t="str">
        <f t="shared" si="0"/>
        <v/>
      </c>
    </row>
    <row r="67" spans="2:9">
      <c r="B67" s="103"/>
      <c r="C67" s="35"/>
      <c r="D67" s="36"/>
      <c r="E67" s="36"/>
      <c r="F67" s="240"/>
      <c r="G67" s="431"/>
      <c r="H67" s="367" t="str">
        <f t="shared" si="0"/>
        <v/>
      </c>
    </row>
    <row r="68" spans="2:9">
      <c r="B68" s="106"/>
      <c r="D68" s="36"/>
      <c r="E68" s="22"/>
      <c r="F68" s="22"/>
      <c r="G68" s="410"/>
      <c r="H68" s="367" t="str">
        <f t="shared" si="0"/>
        <v/>
      </c>
      <c r="I68" s="277"/>
    </row>
    <row r="69" spans="2:9" s="28" customFormat="1" ht="24.75" customHeight="1">
      <c r="B69" s="82" t="str">
        <f>$B$10</f>
        <v>C12.7</v>
      </c>
      <c r="C69" s="29" t="s">
        <v>125</v>
      </c>
      <c r="D69" s="30"/>
      <c r="E69" s="30"/>
      <c r="F69" s="31"/>
      <c r="G69" s="412"/>
      <c r="H69" s="364">
        <f>SUM(H9:H68)</f>
        <v>0</v>
      </c>
      <c r="I69" s="236"/>
    </row>
  </sheetData>
  <sheetProtection algorithmName="SHA-512" hashValue="f1WAeYnHqi/mrPxhvPhksFjK4K76bjLEp/VffLx7iIZhtA2Zu941vUYtLcGeGWw0pkohKpNlqBiQtRmPcGbt/w==" saltValue="VWlG/95bfOiwXemfko+gqQ==" spinCount="100000" sheet="1" objects="1" scenarios="1"/>
  <mergeCells count="5">
    <mergeCell ref="F1:H1"/>
    <mergeCell ref="B5:G7"/>
    <mergeCell ref="H4:H7"/>
    <mergeCell ref="B4:G4"/>
    <mergeCell ref="I4:I8"/>
  </mergeCells>
  <pageMargins left="0.43307086614173229" right="0.31496062992125984" top="0.43307086614173229" bottom="0.62992125984251968" header="0.35433070866141736" footer="0.31496062992125984"/>
  <pageSetup paperSize="9" scale="58"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23F44-AC3F-49BF-8E90-1F04E0323189}">
  <sheetPr codeName="Sheet103">
    <tabColor rgb="FF00B0F0"/>
  </sheetPr>
  <dimension ref="B1:O40"/>
  <sheetViews>
    <sheetView view="pageBreakPreview" zoomScaleNormal="100" zoomScaleSheetLayoutView="100" workbookViewId="0">
      <selection activeCell="B27" sqref="B27:F27"/>
    </sheetView>
  </sheetViews>
  <sheetFormatPr defaultColWidth="8.85546875" defaultRowHeight="12.75"/>
  <cols>
    <col min="1" max="1" width="0.85546875" style="51" customWidth="1"/>
    <col min="2" max="2" width="11.7109375" style="54" customWidth="1"/>
    <col min="3" max="3" width="45.7109375" style="52" customWidth="1"/>
    <col min="4" max="4" width="15.28515625" style="52" customWidth="1"/>
    <col min="5" max="5" width="5.7109375" style="237" customWidth="1"/>
    <col min="6" max="6" width="15.7109375" style="54" customWidth="1"/>
    <col min="7" max="7" width="15.7109375" style="403" customWidth="1"/>
    <col min="8" max="8" width="15.7109375" style="404" customWidth="1"/>
    <col min="9" max="9" width="0.85546875" style="51" hidden="1" customWidth="1"/>
    <col min="10" max="10" width="0" style="51" hidden="1" customWidth="1"/>
    <col min="11" max="11" width="15.42578125" style="51" hidden="1" customWidth="1"/>
    <col min="12" max="12" width="12.5703125" style="51" hidden="1" customWidth="1"/>
    <col min="13" max="13" width="9.42578125" style="51" hidden="1" customWidth="1"/>
    <col min="14" max="36" width="0" style="51" hidden="1" customWidth="1"/>
    <col min="37" max="16384" width="8.85546875" style="51"/>
  </cols>
  <sheetData>
    <row r="1" spans="2:15">
      <c r="B1" s="2" t="str">
        <f>Client1</f>
        <v>AIRPORTS COMPANY - SOUTH AFRICA</v>
      </c>
      <c r="D1" s="4"/>
      <c r="E1" s="4"/>
      <c r="F1" s="676" t="str">
        <f>"Contract No. "&amp;ContractNo</f>
        <v>Contract No. KSIA7806/2025/RFP</v>
      </c>
      <c r="G1" s="676"/>
      <c r="H1" s="676"/>
    </row>
    <row r="2" spans="2:15" s="1" customFormat="1" ht="18" customHeight="1">
      <c r="B2" s="90" t="str">
        <f>Client2</f>
        <v>ACSA</v>
      </c>
      <c r="C2" s="52"/>
      <c r="D2" s="4"/>
      <c r="E2" s="4"/>
      <c r="F2" s="4"/>
      <c r="G2" s="398"/>
      <c r="H2" s="399"/>
      <c r="L2" s="4"/>
    </row>
    <row r="3" spans="2:15" s="1" customFormat="1" ht="16.5" customHeight="1">
      <c r="B3" s="71"/>
      <c r="C3" s="92"/>
      <c r="D3" s="72"/>
      <c r="E3" s="72"/>
      <c r="F3" s="72"/>
      <c r="G3" s="400"/>
      <c r="H3" s="401"/>
      <c r="J3" s="5"/>
      <c r="K3" s="5"/>
      <c r="L3" s="4"/>
    </row>
    <row r="4" spans="2:15" s="1" customFormat="1" ht="7.5" customHeight="1">
      <c r="B4" s="690" t="str">
        <f>ContractDescription</f>
        <v>PROCUREMENT OF A CIDB GRADE 9 CE CONTRACTOR THE COMPLETION OF BRAVO TAXIWAY EXTENSION AT KING SHAKA INTERNATIONAL AIRPORT FOR A PERIOD OF 12 MONTHS AT KING SHAKA INTERNATIONAL AIRPORT</v>
      </c>
      <c r="C4" s="691"/>
      <c r="D4" s="691"/>
      <c r="E4" s="691"/>
      <c r="F4" s="691"/>
      <c r="G4" s="691"/>
      <c r="H4" s="711"/>
      <c r="J4" s="5"/>
      <c r="K4" s="5"/>
      <c r="L4" s="4"/>
    </row>
    <row r="5" spans="2:15" ht="18" customHeight="1">
      <c r="B5" s="690"/>
      <c r="C5" s="691"/>
      <c r="D5" s="691"/>
      <c r="E5" s="691"/>
      <c r="F5" s="691"/>
      <c r="G5" s="691"/>
      <c r="H5" s="711"/>
    </row>
    <row r="6" spans="2:15" ht="9" customHeight="1">
      <c r="B6" s="692"/>
      <c r="C6" s="693"/>
      <c r="D6" s="693"/>
      <c r="E6" s="693"/>
      <c r="F6" s="693"/>
      <c r="G6" s="693"/>
      <c r="H6" s="712"/>
    </row>
    <row r="7" spans="2:15" ht="25.5" customHeight="1">
      <c r="B7" s="819" t="s">
        <v>3175</v>
      </c>
      <c r="C7" s="820"/>
      <c r="D7" s="820"/>
      <c r="E7" s="820"/>
      <c r="F7" s="820"/>
      <c r="G7" s="820"/>
      <c r="H7" s="821"/>
    </row>
    <row r="8" spans="2:15">
      <c r="B8" s="11" t="s">
        <v>356</v>
      </c>
      <c r="C8" s="822" t="s">
        <v>12</v>
      </c>
      <c r="D8" s="719"/>
      <c r="E8" s="720"/>
      <c r="F8" s="85" t="s">
        <v>357</v>
      </c>
      <c r="G8" s="719" t="s">
        <v>17</v>
      </c>
      <c r="H8" s="720"/>
      <c r="O8" s="406"/>
    </row>
    <row r="9" spans="2:15" ht="12.75" customHeight="1">
      <c r="B9" s="22" t="str">
        <f>'C1.6C'!B10</f>
        <v>C1.6</v>
      </c>
      <c r="C9" s="721" t="s">
        <v>368</v>
      </c>
      <c r="D9" s="722">
        <v>0</v>
      </c>
      <c r="E9" s="722">
        <v>0</v>
      </c>
      <c r="F9" s="528" t="s">
        <v>3176</v>
      </c>
      <c r="G9" s="723">
        <f>'C1.6C'!H60</f>
        <v>0</v>
      </c>
      <c r="H9" s="724"/>
    </row>
    <row r="10" spans="2:15" ht="12.75" customHeight="1">
      <c r="B10" s="22" t="str">
        <f>'C1.7C'!B10</f>
        <v>C1.7</v>
      </c>
      <c r="C10" s="721" t="s">
        <v>381</v>
      </c>
      <c r="D10" s="722">
        <v>0</v>
      </c>
      <c r="E10" s="722">
        <v>0</v>
      </c>
      <c r="F10" s="528" t="s">
        <v>3177</v>
      </c>
      <c r="G10" s="723">
        <f>'C1.7C'!H65</f>
        <v>0</v>
      </c>
      <c r="H10" s="724"/>
    </row>
    <row r="11" spans="2:15" ht="12.75" customHeight="1">
      <c r="B11" s="22" t="s">
        <v>323</v>
      </c>
      <c r="C11" s="721" t="s">
        <v>324</v>
      </c>
      <c r="D11" s="722"/>
      <c r="E11" s="722"/>
      <c r="F11" s="528" t="s">
        <v>3178</v>
      </c>
      <c r="G11" s="723">
        <f>'C2.1C'!H118</f>
        <v>0</v>
      </c>
      <c r="H11" s="724"/>
    </row>
    <row r="12" spans="2:15" ht="12.75" customHeight="1">
      <c r="B12" s="22" t="s">
        <v>2999</v>
      </c>
      <c r="C12" s="275" t="s">
        <v>3000</v>
      </c>
      <c r="E12" s="52"/>
      <c r="F12" s="528" t="s">
        <v>3179</v>
      </c>
      <c r="G12" s="723">
        <f>'C2.2C'!H68</f>
        <v>0</v>
      </c>
      <c r="H12" s="724"/>
    </row>
    <row r="13" spans="2:15" ht="12.75" customHeight="1">
      <c r="B13" s="22" t="s">
        <v>402</v>
      </c>
      <c r="C13" s="721" t="s">
        <v>403</v>
      </c>
      <c r="D13" s="722" t="e">
        <v>#REF!</v>
      </c>
      <c r="E13" s="722" t="e">
        <v>#REF!</v>
      </c>
      <c r="F13" s="528" t="s">
        <v>3180</v>
      </c>
      <c r="G13" s="723">
        <f>'C3.1C'!H62</f>
        <v>0</v>
      </c>
      <c r="H13" s="724"/>
    </row>
    <row r="14" spans="2:15" ht="12.75" customHeight="1">
      <c r="B14" s="22" t="s">
        <v>699</v>
      </c>
      <c r="C14" s="721" t="s">
        <v>700</v>
      </c>
      <c r="D14" s="722" t="e">
        <v>#REF!</v>
      </c>
      <c r="E14" s="722" t="e">
        <v>#REF!</v>
      </c>
      <c r="F14" s="528" t="s">
        <v>3181</v>
      </c>
      <c r="G14" s="723">
        <f>'C3.2C'!H59</f>
        <v>0</v>
      </c>
      <c r="H14" s="724"/>
    </row>
    <row r="15" spans="2:15" ht="12.75" customHeight="1">
      <c r="B15" s="22" t="s">
        <v>765</v>
      </c>
      <c r="C15" s="275" t="s">
        <v>766</v>
      </c>
      <c r="E15" s="52"/>
      <c r="F15" s="528" t="s">
        <v>3182</v>
      </c>
      <c r="G15" s="723">
        <f>'C4.2C'!H41</f>
        <v>0</v>
      </c>
      <c r="H15" s="724"/>
    </row>
    <row r="16" spans="2:15" ht="12.75" customHeight="1">
      <c r="B16" s="22" t="s">
        <v>783</v>
      </c>
      <c r="C16" s="275" t="s">
        <v>784</v>
      </c>
      <c r="E16" s="52"/>
      <c r="F16" s="528" t="s">
        <v>3183</v>
      </c>
      <c r="G16" s="723">
        <f>'C4.3C'!H50</f>
        <v>0</v>
      </c>
      <c r="H16" s="724"/>
    </row>
    <row r="17" spans="2:9" ht="12.75" customHeight="1">
      <c r="B17" s="22" t="str">
        <f>'C4.4C'!B10</f>
        <v>C4.4</v>
      </c>
      <c r="C17" s="721" t="s">
        <v>837</v>
      </c>
      <c r="D17" s="722">
        <v>0</v>
      </c>
      <c r="E17" s="722">
        <v>0</v>
      </c>
      <c r="F17" s="528" t="s">
        <v>3184</v>
      </c>
      <c r="G17" s="723">
        <f>'C4.4C'!H54</f>
        <v>150000</v>
      </c>
      <c r="H17" s="724"/>
    </row>
    <row r="18" spans="2:9" ht="12.75" customHeight="1">
      <c r="B18" s="22" t="str">
        <f>'C5.1C'!B10</f>
        <v>C5.1</v>
      </c>
      <c r="C18" s="721" t="s">
        <v>855</v>
      </c>
      <c r="D18" s="722">
        <v>0</v>
      </c>
      <c r="E18" s="722">
        <v>0</v>
      </c>
      <c r="F18" s="528" t="s">
        <v>3185</v>
      </c>
      <c r="G18" s="723">
        <f>'C5.1C'!H38</f>
        <v>0</v>
      </c>
      <c r="H18" s="724"/>
    </row>
    <row r="19" spans="2:9" ht="12.75" customHeight="1">
      <c r="B19" s="22" t="s">
        <v>867</v>
      </c>
      <c r="C19" s="275" t="s">
        <v>868</v>
      </c>
      <c r="E19" s="52"/>
      <c r="F19" s="528" t="s">
        <v>3186</v>
      </c>
      <c r="G19" s="723">
        <f>'C5.2C'!H46</f>
        <v>0</v>
      </c>
      <c r="H19" s="724"/>
    </row>
    <row r="20" spans="2:9" ht="12.75" customHeight="1">
      <c r="B20" s="22" t="str">
        <f>'C5.3C'!B10</f>
        <v>C5.3</v>
      </c>
      <c r="C20" s="721" t="s">
        <v>881</v>
      </c>
      <c r="D20" s="722">
        <v>0</v>
      </c>
      <c r="E20" s="722">
        <v>0</v>
      </c>
      <c r="F20" s="528" t="s">
        <v>3187</v>
      </c>
      <c r="G20" s="723">
        <f>'C5.3C'!H57</f>
        <v>0</v>
      </c>
      <c r="H20" s="724"/>
    </row>
    <row r="21" spans="2:9" ht="12.75" customHeight="1">
      <c r="B21" s="22" t="str">
        <f>'C5.4C'!B10</f>
        <v>C5.4</v>
      </c>
      <c r="C21" s="721" t="s">
        <v>889</v>
      </c>
      <c r="D21" s="722">
        <v>0</v>
      </c>
      <c r="E21" s="722">
        <v>0</v>
      </c>
      <c r="F21" s="528" t="s">
        <v>3188</v>
      </c>
      <c r="G21" s="723">
        <f>'C5.4C'!H45</f>
        <v>0</v>
      </c>
      <c r="H21" s="724"/>
    </row>
    <row r="22" spans="2:9">
      <c r="B22" s="22" t="str">
        <f>'C8.1C'!B10</f>
        <v>C8.1</v>
      </c>
      <c r="C22" s="721" t="s">
        <v>1134</v>
      </c>
      <c r="D22" s="722">
        <v>0</v>
      </c>
      <c r="E22" s="722">
        <v>0</v>
      </c>
      <c r="F22" s="528" t="s">
        <v>3189</v>
      </c>
      <c r="G22" s="723">
        <f>'C8.1C'!H31</f>
        <v>0</v>
      </c>
      <c r="H22" s="724"/>
    </row>
    <row r="23" spans="2:9">
      <c r="B23" s="22" t="s">
        <v>1237</v>
      </c>
      <c r="C23" s="721" t="s">
        <v>1238</v>
      </c>
      <c r="D23" s="722" t="e">
        <v>#REF!</v>
      </c>
      <c r="E23" s="722" t="e">
        <v>#REF!</v>
      </c>
      <c r="F23" s="528" t="s">
        <v>3190</v>
      </c>
      <c r="G23" s="723">
        <f>'C9.1C'!H82</f>
        <v>0</v>
      </c>
      <c r="H23" s="724"/>
    </row>
    <row r="24" spans="2:9">
      <c r="B24" s="22" t="s">
        <v>1521</v>
      </c>
      <c r="C24" s="721" t="s">
        <v>3191</v>
      </c>
      <c r="D24" s="722" t="e">
        <v>#REF!</v>
      </c>
      <c r="E24" s="722" t="e">
        <v>#REF!</v>
      </c>
      <c r="F24" s="528" t="s">
        <v>3192</v>
      </c>
      <c r="G24" s="723">
        <f>'C11.7C'!H44</f>
        <v>0</v>
      </c>
      <c r="H24" s="724"/>
    </row>
    <row r="25" spans="2:9">
      <c r="B25" s="22" t="s">
        <v>1554</v>
      </c>
      <c r="C25" s="721" t="s">
        <v>1555</v>
      </c>
      <c r="D25" s="722" t="e">
        <v>#REF!</v>
      </c>
      <c r="E25" s="722" t="e">
        <v>#REF!</v>
      </c>
      <c r="F25" s="528" t="s">
        <v>3193</v>
      </c>
      <c r="G25" s="723">
        <f>'C11.8C'!H50</f>
        <v>0</v>
      </c>
      <c r="H25" s="724"/>
    </row>
    <row r="26" spans="2:9">
      <c r="B26" s="75" t="s">
        <v>3166</v>
      </c>
      <c r="C26" s="823" t="s">
        <v>3167</v>
      </c>
      <c r="D26" s="824"/>
      <c r="E26" s="824"/>
      <c r="F26" s="528" t="s">
        <v>3194</v>
      </c>
      <c r="G26" s="723">
        <f>'C12.7'!H69</f>
        <v>0</v>
      </c>
      <c r="H26" s="724"/>
    </row>
    <row r="27" spans="2:9" s="28" customFormat="1" ht="19.5" customHeight="1">
      <c r="B27" s="793" t="s">
        <v>3195</v>
      </c>
      <c r="C27" s="794"/>
      <c r="D27" s="794"/>
      <c r="E27" s="794"/>
      <c r="F27" s="741"/>
      <c r="G27" s="825">
        <f>SUM(G9:H26)</f>
        <v>150000</v>
      </c>
      <c r="H27" s="826"/>
      <c r="I27" s="236"/>
    </row>
    <row r="40" spans="3:3">
      <c r="C40" s="3"/>
    </row>
  </sheetData>
  <sheetProtection algorithmName="SHA-512" hashValue="1vAIZqDPkS3g218GQFYeFgRJnQzR1sCIKkIxwkKCd6AQbYwxGoe5bIEPuDmr4FFtYBXjxN8k8zG3vtGfScJ2sw==" saltValue="qY0XUJyb9SVtw75ihU7TFA==" spinCount="100000" sheet="1" objects="1" scenarios="1"/>
  <mergeCells count="40">
    <mergeCell ref="G21:H21"/>
    <mergeCell ref="C26:E26"/>
    <mergeCell ref="G26:H26"/>
    <mergeCell ref="B27:F27"/>
    <mergeCell ref="G27:H27"/>
    <mergeCell ref="C23:E23"/>
    <mergeCell ref="G23:H23"/>
    <mergeCell ref="C24:E24"/>
    <mergeCell ref="G24:H24"/>
    <mergeCell ref="C25:E25"/>
    <mergeCell ref="G25:H25"/>
    <mergeCell ref="C13:E13"/>
    <mergeCell ref="G13:H13"/>
    <mergeCell ref="C14:E14"/>
    <mergeCell ref="G14:H14"/>
    <mergeCell ref="C22:E22"/>
    <mergeCell ref="G22:H22"/>
    <mergeCell ref="G15:H15"/>
    <mergeCell ref="G16:H16"/>
    <mergeCell ref="C17:E17"/>
    <mergeCell ref="G17:H17"/>
    <mergeCell ref="C18:E18"/>
    <mergeCell ref="G18:H18"/>
    <mergeCell ref="G19:H19"/>
    <mergeCell ref="C20:E20"/>
    <mergeCell ref="G20:H20"/>
    <mergeCell ref="C21:E21"/>
    <mergeCell ref="F1:H1"/>
    <mergeCell ref="B4:G6"/>
    <mergeCell ref="H4:H6"/>
    <mergeCell ref="B7:H7"/>
    <mergeCell ref="C8:E8"/>
    <mergeCell ref="G8:H8"/>
    <mergeCell ref="G11:H11"/>
    <mergeCell ref="G12:H12"/>
    <mergeCell ref="C11:E11"/>
    <mergeCell ref="C9:E9"/>
    <mergeCell ref="G9:H9"/>
    <mergeCell ref="C10:E10"/>
    <mergeCell ref="G10:H10"/>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AF75-C2D6-4DDC-B49F-3268B637D2A2}">
  <sheetPr codeName="Sheet106">
    <tabColor rgb="FF00B0F0"/>
  </sheetPr>
  <dimension ref="B1:I60"/>
  <sheetViews>
    <sheetView view="pageBreakPreview" topLeftCell="A18" zoomScaleNormal="100" zoomScaleSheetLayoutView="100" workbookViewId="0">
      <selection activeCell="G18" sqref="G18"/>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3.85546875" style="4" customWidth="1"/>
    <col min="7" max="7" width="16.42578125" style="398" customWidth="1"/>
    <col min="8" max="8" width="20.5703125" style="399" customWidth="1"/>
    <col min="9" max="9" width="47.28515625" style="3" hidden="1" customWidth="1"/>
    <col min="10" max="36" width="0" style="3" hidden="1" customWidth="1"/>
    <col min="37" max="16384" width="6.85546875" style="3"/>
  </cols>
  <sheetData>
    <row r="1" spans="2:9" ht="21.75" customHeight="1">
      <c r="B1" s="2" t="str">
        <f>Client1</f>
        <v>AIRPORTS COMPANY - SOUTH AFRICA</v>
      </c>
      <c r="F1" s="676" t="str">
        <f>"Contract No. "&amp;ContractNo</f>
        <v>Contract No. KSIA7806/2025/RFP</v>
      </c>
      <c r="G1" s="676"/>
      <c r="H1" s="676"/>
    </row>
    <row r="2" spans="2:9">
      <c r="B2" s="90" t="str">
        <f>Client2</f>
        <v>ACSA</v>
      </c>
    </row>
    <row r="3" spans="2:9">
      <c r="B3" s="71"/>
      <c r="C3" s="71"/>
      <c r="D3" s="71"/>
      <c r="E3" s="71"/>
      <c r="F3" s="72"/>
      <c r="G3" s="400"/>
      <c r="H3" s="401"/>
    </row>
    <row r="4" spans="2:9">
      <c r="B4" s="695" t="s">
        <v>3196</v>
      </c>
      <c r="C4" s="696"/>
      <c r="D4" s="696"/>
      <c r="E4" s="696"/>
      <c r="F4" s="696"/>
      <c r="G4" s="696"/>
      <c r="H4" s="742" t="str">
        <f>"CHAPTER "&amp;B10</f>
        <v>CHAPTER C1.6</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13.5" customHeight="1">
      <c r="B7" s="692"/>
      <c r="C7" s="693"/>
      <c r="D7" s="693"/>
      <c r="E7" s="693"/>
      <c r="F7" s="693"/>
      <c r="G7" s="693"/>
      <c r="H7" s="744"/>
      <c r="I7" s="676"/>
    </row>
    <row r="8" spans="2:9" s="2" customFormat="1" ht="24.95" customHeight="1">
      <c r="B8" s="282" t="s">
        <v>11</v>
      </c>
      <c r="C8" s="280" t="s">
        <v>12</v>
      </c>
      <c r="D8" s="280" t="s">
        <v>13</v>
      </c>
      <c r="E8" s="280" t="s">
        <v>14</v>
      </c>
      <c r="F8" s="11" t="s">
        <v>15</v>
      </c>
      <c r="G8" s="409" t="s">
        <v>16</v>
      </c>
      <c r="H8" s="364" t="s">
        <v>17</v>
      </c>
      <c r="I8" s="676"/>
    </row>
    <row r="9" spans="2:9">
      <c r="B9" s="13"/>
      <c r="C9" s="14"/>
      <c r="D9" s="38"/>
      <c r="E9" s="38"/>
      <c r="F9" s="15"/>
      <c r="G9" s="427"/>
      <c r="H9" s="363" t="str">
        <f t="shared" ref="H9:H59" si="0">IF(D9="","",F9*G9)</f>
        <v/>
      </c>
      <c r="I9" s="299"/>
    </row>
    <row r="10" spans="2:9">
      <c r="B10" s="19" t="s">
        <v>367</v>
      </c>
      <c r="C10" s="20" t="s">
        <v>368</v>
      </c>
      <c r="D10" s="14"/>
      <c r="E10" s="14"/>
      <c r="F10" s="22"/>
      <c r="G10" s="410"/>
      <c r="H10" s="363" t="str">
        <f t="shared" si="0"/>
        <v/>
      </c>
      <c r="I10" s="284"/>
    </row>
    <row r="11" spans="2:9">
      <c r="B11" s="13"/>
      <c r="C11" s="14"/>
      <c r="D11" s="14"/>
      <c r="E11" s="14"/>
      <c r="F11" s="22"/>
      <c r="G11" s="410"/>
      <c r="H11" s="363" t="str">
        <f t="shared" si="0"/>
        <v/>
      </c>
      <c r="I11" s="284"/>
    </row>
    <row r="12" spans="2:9">
      <c r="B12" s="13" t="s">
        <v>369</v>
      </c>
      <c r="C12" s="14" t="s">
        <v>370</v>
      </c>
      <c r="D12" s="14"/>
      <c r="E12" s="14"/>
      <c r="F12" s="22"/>
      <c r="G12" s="410"/>
      <c r="H12" s="363" t="str">
        <f t="shared" si="0"/>
        <v/>
      </c>
      <c r="I12" s="284"/>
    </row>
    <row r="13" spans="2:9">
      <c r="B13" s="13"/>
      <c r="C13" s="14"/>
      <c r="D13" s="14"/>
      <c r="E13" s="14"/>
      <c r="F13" s="22"/>
      <c r="G13" s="410"/>
      <c r="H13" s="363" t="str">
        <f t="shared" si="0"/>
        <v/>
      </c>
      <c r="I13" s="284"/>
    </row>
    <row r="14" spans="2:9" ht="25.5">
      <c r="B14" s="13" t="s">
        <v>371</v>
      </c>
      <c r="C14" s="14" t="s">
        <v>372</v>
      </c>
      <c r="D14" s="14" t="s">
        <v>373</v>
      </c>
      <c r="E14" s="14"/>
      <c r="F14" s="240">
        <v>20</v>
      </c>
      <c r="G14" s="587"/>
      <c r="H14" s="363">
        <f t="shared" si="0"/>
        <v>0</v>
      </c>
      <c r="I14" s="332"/>
    </row>
    <row r="15" spans="2:9">
      <c r="B15" s="13"/>
      <c r="C15" s="14"/>
      <c r="D15" s="14"/>
      <c r="E15" s="14"/>
      <c r="F15" s="240"/>
      <c r="G15" s="586"/>
      <c r="H15" s="363" t="str">
        <f t="shared" si="0"/>
        <v/>
      </c>
      <c r="I15" s="331"/>
    </row>
    <row r="16" spans="2:9">
      <c r="B16" s="13" t="s">
        <v>376</v>
      </c>
      <c r="C16" s="14" t="s">
        <v>377</v>
      </c>
      <c r="D16" s="14"/>
      <c r="E16" s="14"/>
      <c r="F16" s="240"/>
      <c r="G16" s="585"/>
      <c r="H16" s="363" t="str">
        <f t="shared" si="0"/>
        <v/>
      </c>
      <c r="I16" s="331"/>
    </row>
    <row r="17" spans="2:9">
      <c r="B17" s="13"/>
      <c r="C17" s="14"/>
      <c r="D17" s="14"/>
      <c r="E17" s="14"/>
      <c r="F17" s="240"/>
      <c r="G17" s="586"/>
      <c r="H17" s="363" t="str">
        <f t="shared" si="0"/>
        <v/>
      </c>
      <c r="I17" s="331"/>
    </row>
    <row r="18" spans="2:9" ht="25.5">
      <c r="B18" s="13" t="s">
        <v>378</v>
      </c>
      <c r="C18" s="14" t="s">
        <v>379</v>
      </c>
      <c r="D18" s="14" t="s">
        <v>373</v>
      </c>
      <c r="E18" s="50"/>
      <c r="F18" s="240">
        <v>20</v>
      </c>
      <c r="G18" s="587"/>
      <c r="H18" s="363">
        <f t="shared" si="0"/>
        <v>0</v>
      </c>
      <c r="I18" s="332"/>
    </row>
    <row r="19" spans="2:9">
      <c r="B19" s="13"/>
      <c r="C19" s="14"/>
      <c r="D19" s="14"/>
      <c r="E19" s="50"/>
      <c r="F19" s="240"/>
      <c r="G19" s="431"/>
      <c r="H19" s="363" t="str">
        <f t="shared" si="0"/>
        <v/>
      </c>
    </row>
    <row r="20" spans="2:9" ht="27.75" customHeight="1">
      <c r="B20" s="13"/>
      <c r="C20" s="14"/>
      <c r="D20" s="14"/>
      <c r="E20" s="50"/>
      <c r="F20" s="240"/>
      <c r="G20" s="431"/>
      <c r="H20" s="363"/>
    </row>
    <row r="21" spans="2:9">
      <c r="B21" s="13"/>
      <c r="C21" s="14"/>
      <c r="D21" s="14"/>
      <c r="E21" s="50"/>
      <c r="F21" s="240"/>
      <c r="G21" s="431"/>
      <c r="H21" s="363"/>
    </row>
    <row r="22" spans="2:9">
      <c r="B22" s="13"/>
      <c r="C22" s="14"/>
      <c r="D22" s="14"/>
      <c r="E22" s="50"/>
      <c r="F22" s="240"/>
      <c r="G22" s="351"/>
      <c r="H22" s="363"/>
    </row>
    <row r="23" spans="2:9">
      <c r="B23" s="13"/>
      <c r="C23" s="14"/>
      <c r="D23" s="14"/>
      <c r="E23" s="50"/>
      <c r="F23" s="240"/>
      <c r="G23" s="351"/>
      <c r="H23" s="363"/>
    </row>
    <row r="24" spans="2:9">
      <c r="B24" s="13"/>
      <c r="C24" s="14"/>
      <c r="D24" s="14"/>
      <c r="E24" s="50"/>
      <c r="F24" s="240"/>
      <c r="G24" s="431"/>
      <c r="H24" s="363"/>
    </row>
    <row r="25" spans="2:9">
      <c r="B25" s="13"/>
      <c r="C25" s="100"/>
      <c r="D25" s="14"/>
      <c r="E25" s="50"/>
      <c r="F25" s="240"/>
      <c r="G25" s="379"/>
      <c r="H25" s="363"/>
    </row>
    <row r="26" spans="2:9" ht="14.25" customHeight="1">
      <c r="B26" s="13"/>
      <c r="C26" s="100"/>
      <c r="D26" s="14"/>
      <c r="E26" s="50"/>
      <c r="F26" s="240"/>
      <c r="G26" s="431"/>
      <c r="H26" s="363"/>
    </row>
    <row r="27" spans="2:9">
      <c r="B27" s="13"/>
      <c r="C27" s="14"/>
      <c r="D27" s="14"/>
      <c r="E27" s="14"/>
      <c r="F27" s="240"/>
      <c r="G27" s="410"/>
      <c r="H27" s="363"/>
      <c r="I27" s="284"/>
    </row>
    <row r="28" spans="2:9">
      <c r="B28" s="13"/>
      <c r="C28" s="14"/>
      <c r="D28" s="14"/>
      <c r="E28" s="14"/>
      <c r="F28" s="240"/>
      <c r="G28" s="410"/>
      <c r="H28" s="363"/>
      <c r="I28" s="284"/>
    </row>
    <row r="29" spans="2:9">
      <c r="B29" s="13"/>
      <c r="C29" s="14"/>
      <c r="D29" s="14"/>
      <c r="E29" s="14"/>
      <c r="F29" s="240"/>
      <c r="G29" s="410"/>
      <c r="H29" s="363"/>
      <c r="I29" s="284"/>
    </row>
    <row r="30" spans="2:9">
      <c r="B30" s="13"/>
      <c r="C30" s="14"/>
      <c r="D30" s="14"/>
      <c r="E30" s="14"/>
      <c r="F30" s="240"/>
      <c r="G30" s="351"/>
      <c r="H30" s="363"/>
      <c r="I30" s="285"/>
    </row>
    <row r="31" spans="2:9">
      <c r="B31" s="13"/>
      <c r="C31" s="14"/>
      <c r="D31" s="14"/>
      <c r="E31" s="14"/>
      <c r="F31" s="240"/>
      <c r="G31" s="351"/>
      <c r="H31" s="363"/>
      <c r="I31" s="285"/>
    </row>
    <row r="32" spans="2:9">
      <c r="B32" s="13"/>
      <c r="C32" s="14"/>
      <c r="D32" s="14"/>
      <c r="E32" s="38"/>
      <c r="F32" s="249"/>
      <c r="G32" s="427"/>
      <c r="H32" s="363"/>
      <c r="I32" s="299"/>
    </row>
    <row r="33" spans="2:9">
      <c r="B33" s="13"/>
      <c r="C33" s="14"/>
      <c r="D33" s="14"/>
      <c r="E33" s="38"/>
      <c r="F33" s="249"/>
      <c r="G33" s="427"/>
      <c r="H33" s="363"/>
      <c r="I33" s="299"/>
    </row>
    <row r="34" spans="2:9" s="300" customFormat="1">
      <c r="B34" s="13"/>
      <c r="C34" s="14"/>
      <c r="D34" s="38"/>
      <c r="E34" s="38"/>
      <c r="F34" s="249"/>
      <c r="G34" s="427"/>
      <c r="H34" s="363"/>
      <c r="I34" s="299"/>
    </row>
    <row r="35" spans="2:9">
      <c r="B35" s="13"/>
      <c r="C35" s="14"/>
      <c r="D35" s="14"/>
      <c r="E35" s="14"/>
      <c r="F35" s="240"/>
      <c r="G35" s="351"/>
      <c r="H35" s="363"/>
      <c r="I35" s="285"/>
    </row>
    <row r="36" spans="2:9">
      <c r="B36" s="13"/>
      <c r="C36" s="14"/>
      <c r="D36" s="14"/>
      <c r="E36" s="14"/>
      <c r="F36" s="240"/>
      <c r="G36" s="351"/>
      <c r="H36" s="363"/>
      <c r="I36" s="285"/>
    </row>
    <row r="37" spans="2:9">
      <c r="B37" s="13"/>
      <c r="C37" s="14"/>
      <c r="D37" s="14"/>
      <c r="E37" s="14"/>
      <c r="F37" s="240"/>
      <c r="G37" s="351"/>
      <c r="H37" s="363"/>
      <c r="I37" s="285"/>
    </row>
    <row r="38" spans="2:9">
      <c r="B38" s="13"/>
      <c r="C38" s="14"/>
      <c r="D38" s="14"/>
      <c r="E38" s="14"/>
      <c r="F38" s="240"/>
      <c r="G38" s="410"/>
      <c r="H38" s="363"/>
      <c r="I38" s="284"/>
    </row>
    <row r="39" spans="2:9">
      <c r="B39" s="13"/>
      <c r="C39" s="50"/>
      <c r="D39" s="14"/>
      <c r="E39" s="14"/>
      <c r="F39" s="240"/>
      <c r="G39" s="410"/>
      <c r="H39" s="363"/>
      <c r="I39" s="284"/>
    </row>
    <row r="40" spans="2:9">
      <c r="B40" s="13"/>
      <c r="C40" s="14"/>
      <c r="D40" s="14"/>
      <c r="E40" s="14"/>
      <c r="F40" s="240"/>
      <c r="G40" s="379"/>
      <c r="H40" s="363"/>
      <c r="I40" s="284"/>
    </row>
    <row r="41" spans="2:9">
      <c r="B41" s="13"/>
      <c r="C41" s="14"/>
      <c r="D41" s="14"/>
      <c r="E41" s="14"/>
      <c r="F41" s="240"/>
      <c r="G41" s="379"/>
      <c r="H41" s="363"/>
      <c r="I41" s="284"/>
    </row>
    <row r="42" spans="2:9">
      <c r="B42" s="13"/>
      <c r="C42" s="14"/>
      <c r="D42" s="14"/>
      <c r="E42" s="14"/>
      <c r="F42" s="22"/>
      <c r="G42" s="410"/>
      <c r="H42" s="363"/>
      <c r="I42" s="284"/>
    </row>
    <row r="43" spans="2:9">
      <c r="B43" s="13"/>
      <c r="C43" s="14"/>
      <c r="D43" s="14"/>
      <c r="E43" s="14"/>
      <c r="F43" s="22"/>
      <c r="G43" s="410"/>
      <c r="H43" s="363"/>
      <c r="I43" s="284"/>
    </row>
    <row r="44" spans="2:9">
      <c r="B44" s="13"/>
      <c r="C44" s="14"/>
      <c r="D44" s="14"/>
      <c r="E44" s="14"/>
      <c r="F44" s="22"/>
      <c r="G44" s="351"/>
      <c r="H44" s="363"/>
      <c r="I44" s="284"/>
    </row>
    <row r="45" spans="2:9">
      <c r="B45" s="13"/>
      <c r="C45" s="14"/>
      <c r="D45" s="14"/>
      <c r="E45" s="14"/>
      <c r="F45" s="22"/>
      <c r="G45" s="351"/>
      <c r="H45" s="363"/>
      <c r="I45" s="284"/>
    </row>
    <row r="46" spans="2:9">
      <c r="B46" s="13"/>
      <c r="C46" s="14"/>
      <c r="D46" s="20"/>
      <c r="E46" s="20"/>
      <c r="F46" s="49"/>
      <c r="G46" s="380"/>
      <c r="H46" s="368"/>
      <c r="I46" s="284"/>
    </row>
    <row r="47" spans="2:9">
      <c r="B47" s="13"/>
      <c r="C47" s="14"/>
      <c r="D47" s="14"/>
      <c r="E47" s="14"/>
      <c r="F47" s="22"/>
      <c r="G47" s="351"/>
      <c r="H47" s="363"/>
      <c r="I47" s="284"/>
    </row>
    <row r="48" spans="2:9">
      <c r="B48" s="13"/>
      <c r="C48" s="14"/>
      <c r="D48" s="14"/>
      <c r="E48" s="14"/>
      <c r="F48" s="22"/>
      <c r="G48" s="351"/>
      <c r="H48" s="363"/>
      <c r="I48" s="284"/>
    </row>
    <row r="49" spans="2:9">
      <c r="B49" s="13"/>
      <c r="C49" s="14"/>
      <c r="D49" s="14"/>
      <c r="E49" s="14"/>
      <c r="F49" s="22"/>
      <c r="G49" s="351"/>
      <c r="H49" s="363"/>
      <c r="I49" s="284"/>
    </row>
    <row r="50" spans="2:9">
      <c r="B50" s="13"/>
      <c r="C50" s="14"/>
      <c r="D50" s="14"/>
      <c r="E50" s="14"/>
      <c r="F50" s="22"/>
      <c r="G50" s="351"/>
      <c r="H50" s="363"/>
      <c r="I50" s="284"/>
    </row>
    <row r="51" spans="2:9">
      <c r="B51" s="13"/>
      <c r="C51" s="14"/>
      <c r="D51" s="14"/>
      <c r="E51" s="14"/>
      <c r="F51" s="22"/>
      <c r="G51" s="351"/>
      <c r="H51" s="363"/>
      <c r="I51" s="284"/>
    </row>
    <row r="52" spans="2:9">
      <c r="B52" s="13"/>
      <c r="C52" s="14"/>
      <c r="D52" s="14"/>
      <c r="E52" s="14"/>
      <c r="F52" s="22"/>
      <c r="G52" s="351"/>
      <c r="H52" s="363"/>
      <c r="I52" s="284"/>
    </row>
    <row r="53" spans="2:9">
      <c r="B53" s="13"/>
      <c r="C53" s="14"/>
      <c r="D53" s="14"/>
      <c r="E53" s="14"/>
      <c r="F53" s="22"/>
      <c r="G53" s="351"/>
      <c r="H53" s="363"/>
      <c r="I53" s="284"/>
    </row>
    <row r="54" spans="2:9">
      <c r="B54" s="13"/>
      <c r="C54" s="14"/>
      <c r="D54" s="14"/>
      <c r="E54" s="14"/>
      <c r="F54" s="22"/>
      <c r="G54" s="351"/>
      <c r="H54" s="363"/>
      <c r="I54" s="284"/>
    </row>
    <row r="55" spans="2:9">
      <c r="B55" s="13"/>
      <c r="C55" s="14"/>
      <c r="D55" s="14"/>
      <c r="E55" s="14"/>
      <c r="F55" s="22"/>
      <c r="G55" s="351"/>
      <c r="H55" s="363"/>
      <c r="I55" s="284"/>
    </row>
    <row r="56" spans="2:9">
      <c r="B56" s="13"/>
      <c r="C56" s="14"/>
      <c r="D56" s="14"/>
      <c r="E56" s="14"/>
      <c r="F56" s="22"/>
      <c r="G56" s="351"/>
      <c r="H56" s="363"/>
      <c r="I56" s="284"/>
    </row>
    <row r="57" spans="2:9">
      <c r="B57" s="13"/>
      <c r="C57" s="14"/>
      <c r="D57" s="14"/>
      <c r="E57" s="14"/>
      <c r="F57" s="22"/>
      <c r="G57" s="351"/>
      <c r="H57" s="363"/>
      <c r="I57" s="284"/>
    </row>
    <row r="58" spans="2:9">
      <c r="B58" s="13"/>
      <c r="C58" s="14"/>
      <c r="D58" s="14"/>
      <c r="E58" s="14"/>
      <c r="F58" s="22"/>
      <c r="G58" s="351"/>
      <c r="H58" s="363"/>
      <c r="I58" s="284"/>
    </row>
    <row r="59" spans="2:9">
      <c r="B59" s="13"/>
      <c r="C59" s="14"/>
      <c r="D59" s="14"/>
      <c r="E59" s="14"/>
      <c r="F59" s="22"/>
      <c r="G59" s="351"/>
      <c r="H59" s="363" t="str">
        <f t="shared" si="0"/>
        <v/>
      </c>
      <c r="I59" s="284"/>
    </row>
    <row r="60" spans="2:9" s="2" customFormat="1" ht="20.100000000000001" customHeight="1">
      <c r="B60" s="411" t="str">
        <f>$B$10</f>
        <v>C1.6</v>
      </c>
      <c r="C60" s="276" t="s">
        <v>125</v>
      </c>
      <c r="D60" s="287"/>
      <c r="E60" s="287"/>
      <c r="F60" s="31"/>
      <c r="G60" s="412"/>
      <c r="H60" s="364">
        <f>SUM(H9:H59)</f>
        <v>0</v>
      </c>
      <c r="I60" s="289"/>
    </row>
  </sheetData>
  <sheetProtection algorithmName="SHA-512" hashValue="3+dX5I+0FVl3cpMy+jkgz2qdOPIvhST04HIasp7Ofc5FCnw+kYI3BSq7AVVbfitkkIiIl21PcwDX59tM5il0pA==" saltValue="9k/iMJ9pEJdEHBcsWkNqow=="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8"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734F-EA40-4BC7-8010-69DFEE7094F2}">
  <sheetPr codeName="Sheet107">
    <tabColor rgb="FF00B0F0"/>
  </sheetPr>
  <dimension ref="B1:T65"/>
  <sheetViews>
    <sheetView view="pageBreakPreview" zoomScaleNormal="100" zoomScaleSheetLayoutView="100" workbookViewId="0">
      <selection activeCell="G14" sqref="G14"/>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4.7109375" style="4" customWidth="1"/>
    <col min="7" max="7" width="18.85546875" style="398" customWidth="1"/>
    <col min="8" max="8" width="20.28515625" style="399" customWidth="1"/>
    <col min="9" max="9" width="32.7109375" style="5" hidden="1" customWidth="1"/>
    <col min="10" max="11" width="0" style="1" hidden="1" customWidth="1"/>
    <col min="12" max="12" width="14.28515625" style="1" hidden="1" customWidth="1"/>
    <col min="13" max="19" width="0" style="1" hidden="1" customWidth="1"/>
    <col min="20" max="20" width="21" style="1" hidden="1" customWidth="1"/>
    <col min="21" max="36" width="0" style="1" hidden="1" customWidth="1"/>
    <col min="37" max="16384" width="6.85546875" style="1"/>
  </cols>
  <sheetData>
    <row r="1" spans="2:12" ht="17.25" customHeight="1">
      <c r="B1" s="2" t="str">
        <f>Client1</f>
        <v>AIRPORTS COMPANY - SOUTH AFRICA</v>
      </c>
      <c r="F1" s="676" t="str">
        <f>"Contract No. "&amp;ContractNo</f>
        <v>Contract No. KSIA7806/2025/RFP</v>
      </c>
      <c r="G1" s="676"/>
      <c r="H1" s="676"/>
    </row>
    <row r="2" spans="2:12">
      <c r="B2" s="90" t="str">
        <f>Client2</f>
        <v>ACSA</v>
      </c>
    </row>
    <row r="3" spans="2:12">
      <c r="B3" s="71"/>
      <c r="C3" s="71"/>
      <c r="D3" s="72"/>
      <c r="E3" s="72"/>
      <c r="F3" s="72"/>
      <c r="G3" s="400"/>
      <c r="H3" s="401"/>
    </row>
    <row r="4" spans="2:12">
      <c r="B4" s="695" t="s">
        <v>3196</v>
      </c>
      <c r="C4" s="696"/>
      <c r="D4" s="696"/>
      <c r="E4" s="696"/>
      <c r="F4" s="696"/>
      <c r="G4" s="696"/>
      <c r="H4" s="742" t="str">
        <f>"CHAPTER "&amp;B10</f>
        <v>CHAPTER C1.7</v>
      </c>
      <c r="I4" s="676" t="s">
        <v>100</v>
      </c>
    </row>
    <row r="5" spans="2:12"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12" ht="12.75" customHeight="1">
      <c r="B6" s="690"/>
      <c r="C6" s="691"/>
      <c r="D6" s="691"/>
      <c r="E6" s="691"/>
      <c r="F6" s="691"/>
      <c r="G6" s="691"/>
      <c r="H6" s="743"/>
      <c r="I6" s="676"/>
    </row>
    <row r="7" spans="2:12" ht="18" customHeight="1">
      <c r="B7" s="692"/>
      <c r="C7" s="693"/>
      <c r="D7" s="693"/>
      <c r="E7" s="693"/>
      <c r="F7" s="693"/>
      <c r="G7" s="693"/>
      <c r="H7" s="744"/>
      <c r="I7" s="676"/>
    </row>
    <row r="8" spans="2:12" s="9" customFormat="1" ht="24.95" customHeight="1">
      <c r="B8" s="10" t="s">
        <v>11</v>
      </c>
      <c r="C8" s="11" t="s">
        <v>12</v>
      </c>
      <c r="D8" s="11" t="s">
        <v>13</v>
      </c>
      <c r="E8" s="11" t="s">
        <v>14</v>
      </c>
      <c r="F8" s="11" t="s">
        <v>15</v>
      </c>
      <c r="G8" s="409" t="s">
        <v>16</v>
      </c>
      <c r="H8" s="364" t="s">
        <v>17</v>
      </c>
      <c r="I8" s="676"/>
    </row>
    <row r="9" spans="2:12">
      <c r="B9" s="48"/>
      <c r="C9" s="14"/>
      <c r="D9" s="15"/>
      <c r="E9" s="15"/>
      <c r="F9" s="15"/>
      <c r="G9" s="427"/>
      <c r="H9" s="363" t="str">
        <f t="shared" ref="H9:H59" si="0">IF(D9="","",F9*G9)</f>
        <v/>
      </c>
      <c r="I9" s="239"/>
    </row>
    <row r="10" spans="2:12">
      <c r="B10" s="69" t="s">
        <v>380</v>
      </c>
      <c r="C10" s="20" t="s">
        <v>381</v>
      </c>
      <c r="D10" s="22"/>
      <c r="E10" s="22"/>
      <c r="F10" s="22"/>
      <c r="G10" s="410"/>
      <c r="H10" s="363" t="str">
        <f t="shared" si="0"/>
        <v/>
      </c>
      <c r="I10" s="277"/>
    </row>
    <row r="11" spans="2:12">
      <c r="B11" s="48"/>
      <c r="C11" s="14"/>
      <c r="D11" s="22"/>
      <c r="E11" s="22"/>
      <c r="F11" s="22"/>
      <c r="G11" s="410"/>
      <c r="H11" s="363" t="str">
        <f t="shared" si="0"/>
        <v/>
      </c>
      <c r="I11" s="277"/>
    </row>
    <row r="12" spans="2:12">
      <c r="B12" s="48" t="s">
        <v>382</v>
      </c>
      <c r="C12" s="14" t="s">
        <v>383</v>
      </c>
      <c r="D12" s="22"/>
      <c r="E12" s="22"/>
      <c r="F12" s="22"/>
      <c r="G12" s="410"/>
      <c r="H12" s="363" t="str">
        <f t="shared" si="0"/>
        <v/>
      </c>
      <c r="I12" s="277"/>
    </row>
    <row r="13" spans="2:12">
      <c r="B13" s="48"/>
      <c r="C13" s="14"/>
      <c r="D13" s="22"/>
      <c r="E13" s="22"/>
      <c r="F13" s="22"/>
      <c r="G13" s="410"/>
      <c r="H13" s="363" t="str">
        <f t="shared" si="0"/>
        <v/>
      </c>
      <c r="I13" s="277"/>
    </row>
    <row r="14" spans="2:12" ht="25.5">
      <c r="B14" s="48" t="s">
        <v>384</v>
      </c>
      <c r="C14" s="14" t="s">
        <v>385</v>
      </c>
      <c r="D14" s="22" t="s">
        <v>386</v>
      </c>
      <c r="E14" s="22"/>
      <c r="F14" s="240">
        <v>250</v>
      </c>
      <c r="G14" s="587"/>
      <c r="H14" s="363">
        <f t="shared" si="0"/>
        <v>0</v>
      </c>
      <c r="I14" s="278"/>
      <c r="L14" s="1" t="s">
        <v>2944</v>
      </c>
    </row>
    <row r="15" spans="2:12">
      <c r="B15" s="48"/>
      <c r="C15" s="14"/>
      <c r="D15" s="22"/>
      <c r="E15" s="22"/>
      <c r="F15" s="240"/>
      <c r="G15" s="587"/>
      <c r="H15" s="363" t="str">
        <f t="shared" si="0"/>
        <v/>
      </c>
      <c r="I15" s="278"/>
    </row>
    <row r="16" spans="2:12">
      <c r="B16" s="48" t="s">
        <v>391</v>
      </c>
      <c r="C16" s="14" t="s">
        <v>392</v>
      </c>
      <c r="D16" s="22"/>
      <c r="E16" s="22"/>
      <c r="F16" s="240"/>
      <c r="G16" s="586"/>
      <c r="H16" s="363" t="str">
        <f t="shared" si="0"/>
        <v/>
      </c>
      <c r="I16" s="277"/>
    </row>
    <row r="17" spans="2:17">
      <c r="B17" s="48"/>
      <c r="C17" s="14"/>
      <c r="D17" s="22"/>
      <c r="E17" s="22"/>
      <c r="F17" s="240"/>
      <c r="G17" s="585"/>
      <c r="H17" s="363" t="str">
        <f t="shared" si="0"/>
        <v/>
      </c>
      <c r="I17" s="277"/>
    </row>
    <row r="18" spans="2:17" ht="25.5">
      <c r="B18" s="48" t="s">
        <v>393</v>
      </c>
      <c r="C18" s="14" t="s">
        <v>394</v>
      </c>
      <c r="D18" s="22"/>
      <c r="E18" s="22"/>
      <c r="F18" s="240"/>
      <c r="G18" s="586"/>
      <c r="H18" s="363"/>
      <c r="I18" s="279"/>
    </row>
    <row r="19" spans="2:17">
      <c r="B19" s="48"/>
      <c r="C19" s="14"/>
      <c r="D19" s="22"/>
      <c r="E19" s="22"/>
      <c r="F19" s="240"/>
      <c r="G19" s="586"/>
      <c r="H19" s="363" t="str">
        <f t="shared" si="0"/>
        <v/>
      </c>
      <c r="I19" s="279"/>
    </row>
    <row r="20" spans="2:17" ht="25.5">
      <c r="B20" s="48" t="s">
        <v>83</v>
      </c>
      <c r="C20" s="14" t="s">
        <v>395</v>
      </c>
      <c r="D20" s="22" t="s">
        <v>396</v>
      </c>
      <c r="E20" s="36"/>
      <c r="F20" s="240">
        <v>10000</v>
      </c>
      <c r="G20" s="590"/>
      <c r="H20" s="363">
        <f t="shared" si="0"/>
        <v>0</v>
      </c>
      <c r="M20" s="428"/>
    </row>
    <row r="21" spans="2:17">
      <c r="B21" s="48"/>
      <c r="C21" s="14"/>
      <c r="D21" s="22"/>
      <c r="E21" s="36"/>
      <c r="F21" s="240"/>
      <c r="G21" s="590"/>
      <c r="H21" s="363" t="str">
        <f t="shared" si="0"/>
        <v/>
      </c>
    </row>
    <row r="22" spans="2:17" ht="25.5">
      <c r="B22" s="48" t="s">
        <v>397</v>
      </c>
      <c r="C22" s="14" t="s">
        <v>398</v>
      </c>
      <c r="D22" s="22"/>
      <c r="E22" s="36"/>
      <c r="F22" s="240"/>
      <c r="G22" s="587"/>
      <c r="H22" s="363" t="str">
        <f t="shared" si="0"/>
        <v/>
      </c>
    </row>
    <row r="23" spans="2:17">
      <c r="B23" s="48"/>
      <c r="C23" s="14"/>
      <c r="D23" s="22"/>
      <c r="E23" s="36"/>
      <c r="F23" s="240"/>
      <c r="G23" s="587"/>
      <c r="H23" s="363" t="str">
        <f t="shared" si="0"/>
        <v/>
      </c>
      <c r="I23" s="4"/>
    </row>
    <row r="24" spans="2:17" ht="25.5">
      <c r="B24" s="48" t="s">
        <v>83</v>
      </c>
      <c r="C24" s="14" t="s">
        <v>2945</v>
      </c>
      <c r="D24" s="22" t="s">
        <v>396</v>
      </c>
      <c r="E24" s="36"/>
      <c r="F24" s="240">
        <v>80000</v>
      </c>
      <c r="G24" s="590"/>
      <c r="H24" s="363">
        <f t="shared" si="0"/>
        <v>0</v>
      </c>
      <c r="I24" s="4" t="s">
        <v>3197</v>
      </c>
      <c r="L24" s="1">
        <f>120000*0.2</f>
        <v>24000</v>
      </c>
      <c r="O24" s="428">
        <f>20000*0.15</f>
        <v>3000</v>
      </c>
      <c r="P24" s="1">
        <f>O24*10</f>
        <v>30000</v>
      </c>
      <c r="Q24" s="428"/>
    </row>
    <row r="25" spans="2:17">
      <c r="B25" s="48"/>
      <c r="C25" s="100"/>
      <c r="D25" s="22"/>
      <c r="E25" s="36"/>
      <c r="F25" s="240"/>
      <c r="G25" s="590"/>
      <c r="H25" s="363" t="str">
        <f t="shared" si="0"/>
        <v/>
      </c>
      <c r="I25" s="4"/>
      <c r="L25" s="1">
        <f>L24*5</f>
        <v>120000</v>
      </c>
      <c r="O25" s="428"/>
    </row>
    <row r="26" spans="2:17" ht="14.25">
      <c r="B26" s="48" t="s">
        <v>86</v>
      </c>
      <c r="C26" s="100" t="s">
        <v>399</v>
      </c>
      <c r="D26" s="22" t="s">
        <v>396</v>
      </c>
      <c r="E26" s="36"/>
      <c r="F26" s="240">
        <v>180000</v>
      </c>
      <c r="G26" s="585"/>
      <c r="H26" s="363">
        <f t="shared" si="0"/>
        <v>0</v>
      </c>
      <c r="I26" s="4" t="s">
        <v>3197</v>
      </c>
      <c r="L26" s="1">
        <f>45000*5</f>
        <v>225000</v>
      </c>
      <c r="O26" s="428"/>
    </row>
    <row r="27" spans="2:17">
      <c r="B27" s="48"/>
      <c r="C27" s="100"/>
      <c r="D27" s="22"/>
      <c r="E27" s="36"/>
      <c r="F27" s="240"/>
      <c r="G27" s="585"/>
      <c r="H27" s="363" t="str">
        <f t="shared" si="0"/>
        <v/>
      </c>
      <c r="I27" s="4"/>
      <c r="O27" s="1">
        <f>15000*3</f>
        <v>45000</v>
      </c>
    </row>
    <row r="28" spans="2:17" ht="14.25">
      <c r="B28" s="48" t="s">
        <v>117</v>
      </c>
      <c r="C28" s="100" t="s">
        <v>401</v>
      </c>
      <c r="D28" s="22" t="s">
        <v>396</v>
      </c>
      <c r="E28" s="36"/>
      <c r="F28" s="240">
        <f>2000*5</f>
        <v>10000</v>
      </c>
      <c r="G28" s="590"/>
      <c r="H28" s="363">
        <f t="shared" si="0"/>
        <v>0</v>
      </c>
      <c r="I28" s="4" t="s">
        <v>3197</v>
      </c>
      <c r="O28" s="428"/>
      <c r="Q28" s="428"/>
    </row>
    <row r="29" spans="2:17">
      <c r="B29" s="48"/>
      <c r="C29" s="14"/>
      <c r="D29" s="22"/>
      <c r="E29" s="22"/>
      <c r="F29" s="240"/>
      <c r="G29" s="410"/>
      <c r="H29" s="363" t="str">
        <f t="shared" si="0"/>
        <v/>
      </c>
      <c r="I29" s="331"/>
    </row>
    <row r="30" spans="2:17">
      <c r="B30" s="48"/>
      <c r="C30" s="14"/>
      <c r="D30" s="22"/>
      <c r="E30" s="22"/>
      <c r="F30" s="240"/>
      <c r="G30" s="410"/>
      <c r="H30" s="363" t="str">
        <f t="shared" si="0"/>
        <v/>
      </c>
      <c r="I30" s="331"/>
    </row>
    <row r="31" spans="2:17">
      <c r="B31" s="48"/>
      <c r="C31" s="14"/>
      <c r="D31" s="22"/>
      <c r="E31" s="22"/>
      <c r="F31" s="240"/>
      <c r="G31" s="351"/>
      <c r="H31" s="363" t="str">
        <f t="shared" si="0"/>
        <v/>
      </c>
      <c r="I31" s="278"/>
    </row>
    <row r="32" spans="2:17">
      <c r="B32" s="48"/>
      <c r="C32" s="14"/>
      <c r="D32" s="15"/>
      <c r="E32" s="15"/>
      <c r="F32" s="249"/>
      <c r="G32" s="427"/>
      <c r="H32" s="363" t="str">
        <f t="shared" si="0"/>
        <v/>
      </c>
      <c r="I32" s="239"/>
    </row>
    <row r="33" spans="2:9" s="35" customFormat="1">
      <c r="B33" s="48"/>
      <c r="C33" s="14"/>
      <c r="D33" s="15"/>
      <c r="E33" s="15"/>
      <c r="F33" s="249"/>
      <c r="G33" s="427"/>
      <c r="H33" s="363" t="str">
        <f t="shared" si="0"/>
        <v/>
      </c>
      <c r="I33" s="239"/>
    </row>
    <row r="34" spans="2:9">
      <c r="B34" s="48"/>
      <c r="C34" s="14"/>
      <c r="D34" s="22"/>
      <c r="E34" s="22"/>
      <c r="F34" s="240"/>
      <c r="G34" s="351"/>
      <c r="H34" s="363" t="str">
        <f t="shared" si="0"/>
        <v/>
      </c>
      <c r="I34" s="278"/>
    </row>
    <row r="35" spans="2:9">
      <c r="B35" s="48"/>
      <c r="C35" s="14"/>
      <c r="D35" s="22"/>
      <c r="E35" s="22"/>
      <c r="F35" s="240"/>
      <c r="G35" s="351"/>
      <c r="H35" s="363" t="str">
        <f t="shared" si="0"/>
        <v/>
      </c>
      <c r="I35" s="278"/>
    </row>
    <row r="36" spans="2:9">
      <c r="B36" s="48"/>
      <c r="C36" s="14"/>
      <c r="D36" s="22"/>
      <c r="E36" s="22"/>
      <c r="F36" s="240"/>
      <c r="G36" s="410"/>
      <c r="H36" s="363" t="str">
        <f t="shared" si="0"/>
        <v/>
      </c>
      <c r="I36" s="277"/>
    </row>
    <row r="37" spans="2:9">
      <c r="B37" s="48"/>
      <c r="C37" s="14"/>
      <c r="D37" s="22"/>
      <c r="E37" s="22"/>
      <c r="F37" s="240"/>
      <c r="G37" s="410"/>
      <c r="H37" s="363" t="str">
        <f t="shared" si="0"/>
        <v/>
      </c>
      <c r="I37" s="277"/>
    </row>
    <row r="38" spans="2:9">
      <c r="B38" s="48"/>
      <c r="C38" s="14"/>
      <c r="D38" s="22"/>
      <c r="E38" s="22"/>
      <c r="F38" s="240"/>
      <c r="G38" s="379"/>
      <c r="H38" s="363" t="str">
        <f t="shared" si="0"/>
        <v/>
      </c>
      <c r="I38" s="277"/>
    </row>
    <row r="39" spans="2:9">
      <c r="B39" s="48"/>
      <c r="C39" s="50"/>
      <c r="D39" s="22"/>
      <c r="E39" s="22"/>
      <c r="F39" s="240"/>
      <c r="G39" s="379"/>
      <c r="H39" s="363" t="str">
        <f t="shared" si="0"/>
        <v/>
      </c>
      <c r="I39" s="277"/>
    </row>
    <row r="40" spans="2:9">
      <c r="B40" s="48"/>
      <c r="C40" s="14"/>
      <c r="D40" s="22"/>
      <c r="E40" s="22"/>
      <c r="F40" s="22"/>
      <c r="G40" s="410"/>
      <c r="H40" s="363" t="str">
        <f t="shared" si="0"/>
        <v/>
      </c>
      <c r="I40" s="277"/>
    </row>
    <row r="41" spans="2:9">
      <c r="B41" s="48"/>
      <c r="C41" s="14"/>
      <c r="D41" s="22"/>
      <c r="E41" s="22"/>
      <c r="F41" s="22"/>
      <c r="G41" s="410"/>
      <c r="H41" s="363" t="str">
        <f t="shared" si="0"/>
        <v/>
      </c>
      <c r="I41" s="277"/>
    </row>
    <row r="42" spans="2:9">
      <c r="B42" s="48"/>
      <c r="C42" s="14"/>
      <c r="D42" s="22"/>
      <c r="E42" s="22"/>
      <c r="F42" s="22"/>
      <c r="G42" s="351"/>
      <c r="H42" s="363" t="str">
        <f t="shared" si="0"/>
        <v/>
      </c>
      <c r="I42" s="277"/>
    </row>
    <row r="43" spans="2:9">
      <c r="B43" s="48"/>
      <c r="C43" s="14"/>
      <c r="D43" s="22"/>
      <c r="E43" s="22"/>
      <c r="F43" s="22"/>
      <c r="G43" s="351"/>
      <c r="H43" s="363" t="str">
        <f t="shared" si="0"/>
        <v/>
      </c>
      <c r="I43" s="277"/>
    </row>
    <row r="44" spans="2:9">
      <c r="B44" s="48"/>
      <c r="C44" s="14"/>
      <c r="D44" s="22"/>
      <c r="E44" s="22"/>
      <c r="F44" s="22"/>
      <c r="G44" s="351"/>
      <c r="H44" s="363" t="str">
        <f t="shared" si="0"/>
        <v/>
      </c>
      <c r="I44" s="277"/>
    </row>
    <row r="45" spans="2:9">
      <c r="B45" s="48"/>
      <c r="C45" s="14"/>
      <c r="D45" s="22"/>
      <c r="E45" s="22"/>
      <c r="F45" s="22"/>
      <c r="G45" s="351"/>
      <c r="H45" s="363" t="str">
        <f t="shared" si="0"/>
        <v/>
      </c>
      <c r="I45" s="277"/>
    </row>
    <row r="46" spans="2:9">
      <c r="B46" s="48"/>
      <c r="C46" s="14"/>
      <c r="D46" s="22"/>
      <c r="E46" s="22"/>
      <c r="F46" s="22"/>
      <c r="G46" s="351"/>
      <c r="H46" s="363" t="str">
        <f t="shared" si="0"/>
        <v/>
      </c>
      <c r="I46" s="277"/>
    </row>
    <row r="47" spans="2:9">
      <c r="B47" s="48"/>
      <c r="C47" s="14"/>
      <c r="D47" s="22"/>
      <c r="E47" s="22"/>
      <c r="F47" s="22"/>
      <c r="G47" s="351"/>
      <c r="H47" s="363" t="str">
        <f t="shared" si="0"/>
        <v/>
      </c>
      <c r="I47" s="277"/>
    </row>
    <row r="48" spans="2:9">
      <c r="B48" s="48"/>
      <c r="C48" s="14"/>
      <c r="D48" s="22"/>
      <c r="E48" s="22"/>
      <c r="F48" s="22"/>
      <c r="G48" s="351"/>
      <c r="H48" s="363" t="str">
        <f t="shared" si="0"/>
        <v/>
      </c>
      <c r="I48" s="277"/>
    </row>
    <row r="49" spans="2:9">
      <c r="B49" s="48"/>
      <c r="C49" s="14"/>
      <c r="D49" s="22"/>
      <c r="E49" s="22"/>
      <c r="F49" s="22"/>
      <c r="G49" s="351"/>
      <c r="H49" s="363" t="str">
        <f t="shared" si="0"/>
        <v/>
      </c>
      <c r="I49" s="277"/>
    </row>
    <row r="50" spans="2:9">
      <c r="B50" s="48"/>
      <c r="C50" s="14"/>
      <c r="D50" s="22"/>
      <c r="E50" s="22"/>
      <c r="F50" s="22"/>
      <c r="G50" s="351"/>
      <c r="H50" s="363" t="str">
        <f t="shared" si="0"/>
        <v/>
      </c>
      <c r="I50" s="277"/>
    </row>
    <row r="51" spans="2:9">
      <c r="B51" s="48"/>
      <c r="C51" s="14"/>
      <c r="D51" s="22"/>
      <c r="E51" s="22"/>
      <c r="F51" s="22"/>
      <c r="G51" s="351"/>
      <c r="H51" s="363" t="str">
        <f t="shared" si="0"/>
        <v/>
      </c>
      <c r="I51" s="277"/>
    </row>
    <row r="52" spans="2:9">
      <c r="B52" s="48"/>
      <c r="C52" s="14"/>
      <c r="D52" s="22"/>
      <c r="E52" s="22"/>
      <c r="F52" s="22"/>
      <c r="G52" s="351"/>
      <c r="H52" s="363" t="str">
        <f t="shared" si="0"/>
        <v/>
      </c>
      <c r="I52" s="277"/>
    </row>
    <row r="53" spans="2:9">
      <c r="B53" s="48"/>
      <c r="C53" s="14"/>
      <c r="D53" s="22"/>
      <c r="E53" s="22"/>
      <c r="F53" s="22"/>
      <c r="G53" s="351"/>
      <c r="H53" s="363" t="str">
        <f t="shared" si="0"/>
        <v/>
      </c>
      <c r="I53" s="277"/>
    </row>
    <row r="54" spans="2:9">
      <c r="B54" s="48"/>
      <c r="C54" s="14"/>
      <c r="D54" s="22"/>
      <c r="E54" s="22"/>
      <c r="F54" s="22"/>
      <c r="G54" s="351"/>
      <c r="H54" s="363" t="str">
        <f t="shared" si="0"/>
        <v/>
      </c>
      <c r="I54" s="277"/>
    </row>
    <row r="55" spans="2:9">
      <c r="B55" s="48"/>
      <c r="C55" s="14"/>
      <c r="D55" s="22"/>
      <c r="E55" s="22"/>
      <c r="F55" s="22"/>
      <c r="G55" s="351"/>
      <c r="H55" s="363" t="str">
        <f t="shared" si="0"/>
        <v/>
      </c>
      <c r="I55" s="277"/>
    </row>
    <row r="56" spans="2:9">
      <c r="B56" s="48"/>
      <c r="C56" s="14"/>
      <c r="D56" s="22"/>
      <c r="E56" s="22"/>
      <c r="F56" s="22"/>
      <c r="G56" s="351"/>
      <c r="H56" s="363" t="str">
        <f t="shared" si="0"/>
        <v/>
      </c>
      <c r="I56" s="277"/>
    </row>
    <row r="57" spans="2:9">
      <c r="B57" s="48"/>
      <c r="C57" s="100"/>
      <c r="D57" s="22"/>
      <c r="E57" s="22"/>
      <c r="F57" s="22"/>
      <c r="G57" s="351"/>
      <c r="H57" s="363" t="str">
        <f t="shared" si="0"/>
        <v/>
      </c>
      <c r="I57" s="277"/>
    </row>
    <row r="58" spans="2:9">
      <c r="B58" s="48"/>
      <c r="C58" s="100"/>
      <c r="D58" s="36"/>
      <c r="E58" s="36"/>
      <c r="F58" s="36"/>
      <c r="G58" s="351"/>
      <c r="H58" s="363" t="str">
        <f t="shared" si="0"/>
        <v/>
      </c>
    </row>
    <row r="59" spans="2:9">
      <c r="B59" s="48"/>
      <c r="C59" s="14"/>
      <c r="D59" s="22"/>
      <c r="E59" s="22"/>
      <c r="F59" s="22"/>
      <c r="G59" s="351"/>
      <c r="H59" s="363" t="str">
        <f t="shared" si="0"/>
        <v/>
      </c>
      <c r="I59" s="277"/>
    </row>
    <row r="60" spans="2:9">
      <c r="B60" s="48"/>
      <c r="C60" s="100"/>
      <c r="D60" s="36"/>
      <c r="E60" s="36"/>
      <c r="F60" s="36"/>
      <c r="G60" s="351"/>
      <c r="H60" s="363"/>
      <c r="I60" s="47"/>
    </row>
    <row r="61" spans="2:9">
      <c r="B61" s="48"/>
      <c r="C61" s="252"/>
      <c r="D61" s="36"/>
      <c r="E61" s="36"/>
      <c r="F61" s="36"/>
      <c r="G61" s="351"/>
      <c r="H61" s="363"/>
    </row>
    <row r="62" spans="2:9">
      <c r="B62" s="48"/>
      <c r="C62" s="14"/>
      <c r="D62" s="22"/>
      <c r="E62" s="22"/>
      <c r="F62" s="22"/>
      <c r="G62" s="351"/>
      <c r="H62" s="363"/>
      <c r="I62" s="277"/>
    </row>
    <row r="63" spans="2:9">
      <c r="B63" s="48"/>
      <c r="C63" s="14"/>
      <c r="D63" s="22"/>
      <c r="E63" s="22"/>
      <c r="F63" s="22"/>
      <c r="G63" s="351"/>
      <c r="H63" s="363"/>
      <c r="I63" s="277"/>
    </row>
    <row r="64" spans="2:9">
      <c r="B64" s="48"/>
      <c r="C64" s="14"/>
      <c r="D64" s="22"/>
      <c r="E64" s="22"/>
      <c r="F64" s="22"/>
      <c r="G64" s="351"/>
      <c r="H64" s="363"/>
      <c r="I64" s="277"/>
    </row>
    <row r="65" spans="2:9" s="28" customFormat="1" ht="24.95" customHeight="1">
      <c r="B65" s="82" t="str">
        <f>B10</f>
        <v>C1.7</v>
      </c>
      <c r="C65" s="29" t="s">
        <v>125</v>
      </c>
      <c r="D65" s="30"/>
      <c r="E65" s="30"/>
      <c r="F65" s="31"/>
      <c r="G65" s="412"/>
      <c r="H65" s="364">
        <f>SUM(H4:H64)</f>
        <v>0</v>
      </c>
      <c r="I65" s="236"/>
    </row>
  </sheetData>
  <sheetProtection algorithmName="SHA-512" hashValue="TBVPd682G9oUutvLjGPAprAycM420Ha+R3QWaXuZc9RbZEd7wIZyRbhyCYK/+kVtS2fdMRGYLIYhRiMOPAG0Qg==" saltValue="Cf63EE65aleKaJbdrlj50w=="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9"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FBF0-E384-454A-9E22-B1B42EB18776}">
  <sheetPr codeName="Sheet108">
    <tabColor rgb="FF00B0F0"/>
  </sheetPr>
  <dimension ref="B1:T224"/>
  <sheetViews>
    <sheetView view="pageBreakPreview" zoomScaleNormal="130" zoomScaleSheetLayoutView="100" workbookViewId="0">
      <selection activeCell="G13" sqref="G13"/>
    </sheetView>
  </sheetViews>
  <sheetFormatPr defaultColWidth="8.85546875" defaultRowHeight="12.75"/>
  <cols>
    <col min="1" max="1" width="0.71093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9.28515625" style="398" customWidth="1"/>
    <col min="8" max="8" width="21.7109375" style="399" customWidth="1"/>
    <col min="9" max="9" width="48" style="3" hidden="1" customWidth="1"/>
    <col min="10" max="36" width="0" style="3" hidden="1" customWidth="1"/>
    <col min="37" max="16384" width="8.85546875" style="3"/>
  </cols>
  <sheetData>
    <row r="1" spans="2:9" ht="20.25" customHeight="1">
      <c r="B1" s="2" t="str">
        <f>Client1</f>
        <v>AIRPORTS COMPANY - SOUTH AFRICA</v>
      </c>
      <c r="F1" s="676" t="str">
        <f>"Contract No. "&amp;ContractNo</f>
        <v>Contract No. KSIA7806/2025/RFP</v>
      </c>
      <c r="G1" s="676"/>
      <c r="H1" s="676"/>
    </row>
    <row r="2" spans="2:9">
      <c r="B2" s="2" t="str">
        <f>Client2</f>
        <v>ACSA</v>
      </c>
    </row>
    <row r="3" spans="2:9">
      <c r="B3" s="3"/>
    </row>
    <row r="4" spans="2:9" ht="12.75" customHeight="1">
      <c r="B4" s="695" t="s">
        <v>3196</v>
      </c>
      <c r="C4" s="696"/>
      <c r="D4" s="696"/>
      <c r="E4" s="696"/>
      <c r="F4" s="696"/>
      <c r="G4" s="696"/>
      <c r="H4" s="708" t="str">
        <f>"CHAPTER "&amp;B10</f>
        <v>CHAPTER C2.1</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09"/>
      <c r="I5" s="676"/>
    </row>
    <row r="6" spans="2:9" ht="12.75" customHeight="1">
      <c r="B6" s="690"/>
      <c r="C6" s="691"/>
      <c r="D6" s="691"/>
      <c r="E6" s="691"/>
      <c r="F6" s="691"/>
      <c r="G6" s="691"/>
      <c r="H6" s="709"/>
      <c r="I6" s="676"/>
    </row>
    <row r="7" spans="2:9" s="2" customFormat="1" ht="7.5" customHeight="1">
      <c r="B7" s="692"/>
      <c r="C7" s="693"/>
      <c r="D7" s="693"/>
      <c r="E7" s="693"/>
      <c r="F7" s="693"/>
      <c r="G7" s="693"/>
      <c r="H7" s="710"/>
      <c r="I7" s="676"/>
    </row>
    <row r="8" spans="2:9" s="2" customFormat="1" ht="24.95" customHeight="1">
      <c r="B8" s="282" t="s">
        <v>11</v>
      </c>
      <c r="C8" s="280" t="s">
        <v>12</v>
      </c>
      <c r="D8" s="280" t="s">
        <v>13</v>
      </c>
      <c r="E8" s="280" t="s">
        <v>14</v>
      </c>
      <c r="F8" s="11" t="s">
        <v>15</v>
      </c>
      <c r="G8" s="409" t="s">
        <v>16</v>
      </c>
      <c r="H8" s="364" t="s">
        <v>17</v>
      </c>
      <c r="I8" s="676"/>
    </row>
    <row r="9" spans="2:9">
      <c r="B9" s="13"/>
      <c r="C9" s="14"/>
      <c r="D9" s="14"/>
      <c r="E9" s="14"/>
      <c r="F9" s="22"/>
      <c r="G9" s="410"/>
      <c r="H9" s="363" t="str">
        <f t="shared" ref="H9:H131" si="0">IF(D9="","",F9*G9)</f>
        <v/>
      </c>
      <c r="I9" s="284"/>
    </row>
    <row r="10" spans="2:9" ht="25.5">
      <c r="B10" s="19" t="s">
        <v>323</v>
      </c>
      <c r="C10" s="20" t="s">
        <v>324</v>
      </c>
      <c r="D10" s="14"/>
      <c r="E10" s="14"/>
      <c r="F10" s="22"/>
      <c r="G10" s="410"/>
      <c r="H10" s="363" t="str">
        <f t="shared" si="0"/>
        <v/>
      </c>
      <c r="I10" s="331" t="s">
        <v>3198</v>
      </c>
    </row>
    <row r="11" spans="2:9">
      <c r="B11" s="48" t="s">
        <v>3199</v>
      </c>
      <c r="C11" s="14" t="s">
        <v>3200</v>
      </c>
      <c r="D11" s="36"/>
      <c r="E11" s="36"/>
      <c r="F11" s="240"/>
      <c r="G11" s="379"/>
      <c r="H11" s="363" t="str">
        <f t="shared" si="0"/>
        <v/>
      </c>
      <c r="I11" s="284"/>
    </row>
    <row r="12" spans="2:9">
      <c r="B12" s="48"/>
      <c r="C12" s="14"/>
      <c r="D12" s="22"/>
      <c r="E12" s="22"/>
      <c r="F12" s="22"/>
      <c r="G12" s="410"/>
      <c r="H12" s="363"/>
      <c r="I12" s="284"/>
    </row>
    <row r="13" spans="2:9" ht="25.5">
      <c r="B13" s="48" t="s">
        <v>335</v>
      </c>
      <c r="C13" s="14" t="s">
        <v>336</v>
      </c>
      <c r="D13" s="22" t="s">
        <v>478</v>
      </c>
      <c r="E13" s="22" t="s">
        <v>14</v>
      </c>
      <c r="F13" s="323">
        <v>100</v>
      </c>
      <c r="G13" s="587"/>
      <c r="H13" s="363">
        <f t="shared" ref="H13" si="1">IF(D13="","",F13*G13)</f>
        <v>0</v>
      </c>
      <c r="I13" s="284"/>
    </row>
    <row r="14" spans="2:9">
      <c r="B14" s="48"/>
      <c r="C14" s="14"/>
      <c r="D14" s="22"/>
      <c r="E14" s="22"/>
      <c r="F14" s="323"/>
      <c r="G14" s="586"/>
      <c r="H14" s="363"/>
      <c r="I14" s="284"/>
    </row>
    <row r="15" spans="2:9" ht="25.5">
      <c r="B15" s="48" t="s">
        <v>2948</v>
      </c>
      <c r="C15" s="14" t="s">
        <v>3201</v>
      </c>
      <c r="D15" s="62"/>
      <c r="E15" s="62"/>
      <c r="F15" s="430"/>
      <c r="G15" s="587"/>
      <c r="H15" s="363" t="str">
        <f t="shared" ref="H15:H26" si="2">IF(D15="","",F15*G15)</f>
        <v/>
      </c>
      <c r="I15" s="284"/>
    </row>
    <row r="16" spans="2:9">
      <c r="B16" s="59"/>
      <c r="C16" s="14"/>
      <c r="D16" s="15"/>
      <c r="E16" s="15"/>
      <c r="F16" s="324"/>
      <c r="G16" s="587"/>
      <c r="H16" s="363" t="str">
        <f t="shared" si="2"/>
        <v/>
      </c>
      <c r="I16" s="284"/>
    </row>
    <row r="17" spans="2:11">
      <c r="B17" s="48" t="s">
        <v>2950</v>
      </c>
      <c r="C17" s="252" t="s">
        <v>2951</v>
      </c>
      <c r="D17" s="62"/>
      <c r="E17" s="62"/>
      <c r="F17" s="430"/>
      <c r="G17" s="587"/>
      <c r="H17" s="363" t="str">
        <f t="shared" si="2"/>
        <v/>
      </c>
      <c r="I17" s="284"/>
    </row>
    <row r="18" spans="2:11">
      <c r="B18" s="59"/>
      <c r="C18" s="252"/>
      <c r="D18" s="62"/>
      <c r="E18" s="62"/>
      <c r="F18" s="430"/>
      <c r="G18" s="586"/>
      <c r="H18" s="363" t="str">
        <f t="shared" si="2"/>
        <v/>
      </c>
      <c r="I18" s="284"/>
    </row>
    <row r="19" spans="2:11">
      <c r="B19" s="59" t="s">
        <v>83</v>
      </c>
      <c r="C19" s="14" t="s">
        <v>2952</v>
      </c>
      <c r="D19" s="22" t="s">
        <v>478</v>
      </c>
      <c r="E19" s="15"/>
      <c r="F19" s="324">
        <v>1900</v>
      </c>
      <c r="G19" s="586"/>
      <c r="H19" s="363">
        <f t="shared" si="2"/>
        <v>0</v>
      </c>
      <c r="I19" s="284"/>
      <c r="K19" s="3">
        <f>340*1*2.5</f>
        <v>850</v>
      </c>
    </row>
    <row r="20" spans="2:11">
      <c r="B20" s="59"/>
      <c r="C20" s="14"/>
      <c r="D20" s="15"/>
      <c r="E20" s="15"/>
      <c r="F20" s="324"/>
      <c r="G20" s="586"/>
      <c r="H20" s="363" t="str">
        <f t="shared" si="2"/>
        <v/>
      </c>
      <c r="I20" s="284"/>
    </row>
    <row r="21" spans="2:11">
      <c r="B21" s="84" t="s">
        <v>86</v>
      </c>
      <c r="C21" s="14" t="s">
        <v>2953</v>
      </c>
      <c r="D21" s="22" t="s">
        <v>478</v>
      </c>
      <c r="E21" s="15"/>
      <c r="F21" s="324">
        <v>1650</v>
      </c>
      <c r="G21" s="586"/>
      <c r="H21" s="363">
        <f t="shared" si="2"/>
        <v>0</v>
      </c>
      <c r="I21" s="284"/>
    </row>
    <row r="22" spans="2:11">
      <c r="B22" s="59"/>
      <c r="C22" s="14"/>
      <c r="D22" s="15"/>
      <c r="E22" s="15"/>
      <c r="F22" s="324"/>
      <c r="G22" s="586"/>
      <c r="H22" s="363" t="str">
        <f t="shared" si="2"/>
        <v/>
      </c>
      <c r="I22" s="284"/>
    </row>
    <row r="23" spans="2:11">
      <c r="B23" s="59" t="s">
        <v>117</v>
      </c>
      <c r="C23" s="14" t="s">
        <v>3202</v>
      </c>
      <c r="D23" s="22" t="s">
        <v>478</v>
      </c>
      <c r="E23" s="15"/>
      <c r="F23" s="324">
        <v>1500</v>
      </c>
      <c r="G23" s="586"/>
      <c r="H23" s="363">
        <f t="shared" si="2"/>
        <v>0</v>
      </c>
      <c r="I23" s="284"/>
    </row>
    <row r="24" spans="2:11">
      <c r="B24" s="59"/>
      <c r="C24" s="14"/>
      <c r="D24" s="22"/>
      <c r="E24" s="15"/>
      <c r="F24" s="324"/>
      <c r="G24" s="586"/>
      <c r="H24" s="363"/>
      <c r="I24" s="284"/>
    </row>
    <row r="25" spans="2:11">
      <c r="B25" s="59" t="s">
        <v>119</v>
      </c>
      <c r="C25" s="14" t="s">
        <v>3203</v>
      </c>
      <c r="D25" s="22" t="s">
        <v>478</v>
      </c>
      <c r="E25" s="15"/>
      <c r="F25" s="324">
        <v>500</v>
      </c>
      <c r="G25" s="586"/>
      <c r="H25" s="363">
        <f t="shared" si="2"/>
        <v>0</v>
      </c>
      <c r="I25" s="284"/>
    </row>
    <row r="26" spans="2:11">
      <c r="B26" s="48"/>
      <c r="C26" s="14"/>
      <c r="D26" s="15"/>
      <c r="E26" s="15"/>
      <c r="F26" s="324"/>
      <c r="G26" s="586"/>
      <c r="H26" s="363" t="str">
        <f t="shared" si="2"/>
        <v/>
      </c>
      <c r="I26" s="284"/>
    </row>
    <row r="27" spans="2:11" ht="25.5">
      <c r="B27" s="48" t="s">
        <v>2954</v>
      </c>
      <c r="C27" s="14" t="s">
        <v>2955</v>
      </c>
      <c r="D27" s="22"/>
      <c r="E27" s="15"/>
      <c r="F27" s="323"/>
      <c r="G27" s="587"/>
      <c r="H27" s="363"/>
      <c r="I27" s="284"/>
    </row>
    <row r="28" spans="2:11">
      <c r="B28" s="59"/>
      <c r="C28" s="14"/>
      <c r="D28" s="15"/>
      <c r="E28" s="15"/>
      <c r="F28" s="323"/>
      <c r="G28" s="587"/>
      <c r="H28" s="363" t="str">
        <f t="shared" ref="H28:H33" si="3">IF(D28="","",F28*G28)</f>
        <v/>
      </c>
      <c r="I28" s="284"/>
    </row>
    <row r="29" spans="2:11">
      <c r="B29" s="48" t="s">
        <v>2956</v>
      </c>
      <c r="C29" s="14" t="s">
        <v>2957</v>
      </c>
      <c r="D29" s="22" t="s">
        <v>478</v>
      </c>
      <c r="E29" s="15"/>
      <c r="F29" s="323">
        <f>3000*25%</f>
        <v>750</v>
      </c>
      <c r="G29" s="585"/>
      <c r="H29" s="363">
        <f t="shared" si="3"/>
        <v>0</v>
      </c>
      <c r="I29" s="284"/>
    </row>
    <row r="30" spans="2:11">
      <c r="B30" s="59"/>
      <c r="C30" s="14"/>
      <c r="D30" s="15"/>
      <c r="E30" s="15"/>
      <c r="F30" s="323"/>
      <c r="G30" s="586"/>
      <c r="H30" s="363" t="str">
        <f t="shared" si="3"/>
        <v/>
      </c>
      <c r="I30" s="284"/>
    </row>
    <row r="31" spans="2:11">
      <c r="B31" s="48" t="s">
        <v>2958</v>
      </c>
      <c r="C31" s="14" t="s">
        <v>2959</v>
      </c>
      <c r="D31" s="22" t="s">
        <v>478</v>
      </c>
      <c r="E31" s="15"/>
      <c r="F31" s="323">
        <v>780</v>
      </c>
      <c r="G31" s="586"/>
      <c r="H31" s="363">
        <f t="shared" si="3"/>
        <v>0</v>
      </c>
      <c r="I31" s="284"/>
      <c r="K31" s="3">
        <f>70*1*3</f>
        <v>210</v>
      </c>
    </row>
    <row r="32" spans="2:11">
      <c r="B32" s="59"/>
      <c r="C32" s="14"/>
      <c r="D32" s="15"/>
      <c r="E32" s="15"/>
      <c r="F32" s="323"/>
      <c r="G32" s="586"/>
      <c r="H32" s="363" t="str">
        <f t="shared" si="3"/>
        <v/>
      </c>
      <c r="I32" s="284"/>
    </row>
    <row r="33" spans="2:9">
      <c r="B33" s="48" t="s">
        <v>2960</v>
      </c>
      <c r="C33" s="14" t="s">
        <v>2961</v>
      </c>
      <c r="D33" s="22" t="s">
        <v>478</v>
      </c>
      <c r="E33" s="15"/>
      <c r="F33" s="323">
        <v>2500</v>
      </c>
      <c r="G33" s="587"/>
      <c r="H33" s="363">
        <f t="shared" si="3"/>
        <v>0</v>
      </c>
      <c r="I33" s="284"/>
    </row>
    <row r="34" spans="2:9">
      <c r="B34" s="59"/>
      <c r="C34" s="14"/>
      <c r="D34" s="15"/>
      <c r="E34" s="15"/>
      <c r="F34" s="324"/>
      <c r="G34" s="587"/>
      <c r="H34" s="363"/>
      <c r="I34" s="284"/>
    </row>
    <row r="35" spans="2:9">
      <c r="B35" s="48" t="s">
        <v>2962</v>
      </c>
      <c r="C35" s="14" t="s">
        <v>2963</v>
      </c>
      <c r="D35" s="22"/>
      <c r="E35" s="36"/>
      <c r="F35" s="323"/>
      <c r="G35" s="585"/>
      <c r="H35" s="363"/>
      <c r="I35" s="284"/>
    </row>
    <row r="36" spans="2:9">
      <c r="B36" s="48"/>
      <c r="C36" s="14"/>
      <c r="D36" s="22"/>
      <c r="E36" s="36"/>
      <c r="F36" s="323"/>
      <c r="G36" s="590"/>
      <c r="H36" s="363" t="str">
        <f t="shared" ref="H36" si="4">IF(D36="","",F36*G36)</f>
        <v/>
      </c>
      <c r="I36" s="284"/>
    </row>
    <row r="37" spans="2:9" ht="25.5">
      <c r="B37" s="48" t="s">
        <v>2964</v>
      </c>
      <c r="C37" s="14" t="s">
        <v>2965</v>
      </c>
      <c r="D37" s="22"/>
      <c r="E37" s="22"/>
      <c r="F37" s="323"/>
      <c r="G37" s="586"/>
      <c r="H37" s="363"/>
      <c r="I37" s="284"/>
    </row>
    <row r="38" spans="2:9">
      <c r="B38" s="48"/>
      <c r="C38" s="14"/>
      <c r="D38" s="22"/>
      <c r="E38" s="22"/>
      <c r="F38" s="323"/>
      <c r="G38" s="586"/>
      <c r="H38" s="363" t="str">
        <f t="shared" ref="H38:H47" si="5">IF(D38="","",F38*G38)</f>
        <v/>
      </c>
      <c r="I38" s="284"/>
    </row>
    <row r="39" spans="2:9">
      <c r="B39" s="48" t="s">
        <v>83</v>
      </c>
      <c r="C39" s="14" t="s">
        <v>477</v>
      </c>
      <c r="D39" s="22" t="s">
        <v>478</v>
      </c>
      <c r="E39" s="22"/>
      <c r="F39" s="323">
        <v>3500</v>
      </c>
      <c r="G39" s="587"/>
      <c r="H39" s="363">
        <f t="shared" si="5"/>
        <v>0</v>
      </c>
      <c r="I39" s="284"/>
    </row>
    <row r="40" spans="2:9">
      <c r="B40" s="48"/>
      <c r="C40" s="14"/>
      <c r="D40" s="22"/>
      <c r="E40" s="22"/>
      <c r="F40" s="323"/>
      <c r="G40" s="587"/>
      <c r="H40" s="363" t="str">
        <f t="shared" si="5"/>
        <v/>
      </c>
      <c r="I40" s="284"/>
    </row>
    <row r="41" spans="2:9" ht="25.5">
      <c r="B41" s="48" t="s">
        <v>306</v>
      </c>
      <c r="C41" s="14" t="s">
        <v>3204</v>
      </c>
      <c r="D41" s="22" t="s">
        <v>478</v>
      </c>
      <c r="E41" s="22"/>
      <c r="F41" s="323">
        <v>2000</v>
      </c>
      <c r="G41" s="587"/>
      <c r="H41" s="363">
        <f t="shared" si="5"/>
        <v>0</v>
      </c>
      <c r="I41" s="284"/>
    </row>
    <row r="42" spans="2:9">
      <c r="B42" s="48"/>
      <c r="C42" s="14"/>
      <c r="D42" s="22"/>
      <c r="E42" s="22"/>
      <c r="F42" s="323"/>
      <c r="G42" s="587"/>
      <c r="H42" s="363"/>
      <c r="I42" s="284"/>
    </row>
    <row r="43" spans="2:9" ht="25.5">
      <c r="B43" s="48" t="s">
        <v>306</v>
      </c>
      <c r="C43" s="14" t="s">
        <v>3205</v>
      </c>
      <c r="D43" s="22" t="s">
        <v>478</v>
      </c>
      <c r="E43" s="22"/>
      <c r="F43" s="323">
        <v>350</v>
      </c>
      <c r="G43" s="587"/>
      <c r="H43" s="363">
        <f t="shared" ref="H43" si="6">IF(D43="","",F43*G43)</f>
        <v>0</v>
      </c>
      <c r="I43" s="284"/>
    </row>
    <row r="44" spans="2:9">
      <c r="B44" s="48"/>
      <c r="C44" s="14"/>
      <c r="D44" s="22"/>
      <c r="E44" s="22"/>
      <c r="F44" s="324"/>
      <c r="G44" s="587"/>
      <c r="H44" s="363" t="str">
        <f t="shared" si="5"/>
        <v/>
      </c>
      <c r="I44" s="284"/>
    </row>
    <row r="45" spans="2:9" ht="38.25">
      <c r="B45" s="48" t="s">
        <v>3206</v>
      </c>
      <c r="C45" s="14" t="s">
        <v>3207</v>
      </c>
      <c r="D45" s="22"/>
      <c r="E45" s="22"/>
      <c r="F45" s="323"/>
      <c r="G45" s="585"/>
      <c r="H45" s="363" t="str">
        <f t="shared" si="5"/>
        <v/>
      </c>
      <c r="I45" s="284"/>
    </row>
    <row r="46" spans="2:9">
      <c r="B46" s="48"/>
      <c r="C46" s="14"/>
      <c r="D46" s="22"/>
      <c r="E46" s="22"/>
      <c r="F46" s="323"/>
      <c r="G46" s="586"/>
      <c r="H46" s="363" t="str">
        <f t="shared" si="5"/>
        <v/>
      </c>
      <c r="I46" s="284"/>
    </row>
    <row r="47" spans="2:9" ht="25.5">
      <c r="B47" s="48" t="s">
        <v>3208</v>
      </c>
      <c r="C47" s="14" t="s">
        <v>3209</v>
      </c>
      <c r="D47" s="22" t="s">
        <v>478</v>
      </c>
      <c r="E47" s="36"/>
      <c r="F47" s="323">
        <v>125</v>
      </c>
      <c r="G47" s="590"/>
      <c r="H47" s="363">
        <f t="shared" si="5"/>
        <v>0</v>
      </c>
      <c r="I47" s="284"/>
    </row>
    <row r="48" spans="2:9">
      <c r="B48" s="48"/>
      <c r="C48" s="14"/>
      <c r="D48" s="22"/>
      <c r="E48" s="36"/>
      <c r="F48" s="323"/>
      <c r="G48" s="590"/>
      <c r="H48" s="363"/>
      <c r="I48" s="284"/>
    </row>
    <row r="49" spans="2:20">
      <c r="B49" s="48" t="s">
        <v>3210</v>
      </c>
      <c r="C49" s="100" t="s">
        <v>3211</v>
      </c>
      <c r="D49" s="22" t="s">
        <v>764</v>
      </c>
      <c r="E49" s="36"/>
      <c r="F49" s="323">
        <v>20</v>
      </c>
      <c r="G49" s="587"/>
      <c r="H49" s="363">
        <f t="shared" ref="H49" si="7">IF(D49="","",F49*G49)</f>
        <v>0</v>
      </c>
      <c r="I49" s="284"/>
    </row>
    <row r="50" spans="2:20">
      <c r="B50" s="59"/>
      <c r="C50" s="14"/>
      <c r="D50" s="15"/>
      <c r="E50" s="15"/>
      <c r="F50" s="324"/>
      <c r="G50" s="586"/>
      <c r="H50" s="363"/>
      <c r="I50" s="284"/>
    </row>
    <row r="51" spans="2:20">
      <c r="B51" s="48" t="s">
        <v>3212</v>
      </c>
      <c r="C51" s="100" t="s">
        <v>3213</v>
      </c>
      <c r="D51" s="22"/>
      <c r="E51" s="15"/>
      <c r="F51" s="15"/>
      <c r="G51" s="607"/>
      <c r="H51" s="363" t="str">
        <f t="shared" ref="H51:H59" si="8">IF(D51="","",F51*G51)</f>
        <v/>
      </c>
      <c r="I51" s="284"/>
    </row>
    <row r="52" spans="2:20">
      <c r="B52" s="59"/>
      <c r="C52" s="14"/>
      <c r="D52" s="15"/>
      <c r="E52" s="15"/>
      <c r="F52" s="15"/>
      <c r="G52" s="607"/>
      <c r="H52" s="363" t="str">
        <f t="shared" si="8"/>
        <v/>
      </c>
      <c r="I52" s="284"/>
    </row>
    <row r="53" spans="2:20">
      <c r="B53" s="84" t="s">
        <v>3214</v>
      </c>
      <c r="C53" s="14" t="s">
        <v>3215</v>
      </c>
      <c r="D53" s="22" t="s">
        <v>33</v>
      </c>
      <c r="E53" s="15"/>
      <c r="F53" s="15">
        <v>1</v>
      </c>
      <c r="G53" s="593"/>
      <c r="H53" s="363">
        <f t="shared" si="8"/>
        <v>0</v>
      </c>
      <c r="I53" s="284"/>
    </row>
    <row r="54" spans="2:20">
      <c r="B54" s="48"/>
      <c r="C54" s="14"/>
      <c r="D54" s="15"/>
      <c r="E54" s="15"/>
      <c r="F54" s="15"/>
      <c r="G54" s="593"/>
      <c r="H54" s="363" t="str">
        <f t="shared" si="8"/>
        <v/>
      </c>
      <c r="I54" s="284"/>
    </row>
    <row r="55" spans="2:20">
      <c r="B55" s="48" t="s">
        <v>3216</v>
      </c>
      <c r="C55" s="14" t="s">
        <v>3217</v>
      </c>
      <c r="D55" s="22" t="s">
        <v>33</v>
      </c>
      <c r="E55" s="15"/>
      <c r="F55" s="15">
        <v>1</v>
      </c>
      <c r="G55" s="593"/>
      <c r="H55" s="363">
        <f t="shared" si="8"/>
        <v>0</v>
      </c>
      <c r="I55" s="284"/>
    </row>
    <row r="56" spans="2:20">
      <c r="B56" s="59"/>
      <c r="C56" s="14"/>
      <c r="D56" s="22"/>
      <c r="E56" s="15"/>
      <c r="F56" s="249"/>
      <c r="G56" s="605"/>
      <c r="H56" s="363" t="str">
        <f t="shared" si="8"/>
        <v/>
      </c>
      <c r="I56" s="284"/>
    </row>
    <row r="57" spans="2:20" ht="25.5">
      <c r="B57" s="48" t="s">
        <v>2967</v>
      </c>
      <c r="C57" s="100" t="s">
        <v>2968</v>
      </c>
      <c r="D57" s="22"/>
      <c r="E57" s="62"/>
      <c r="F57" s="62"/>
      <c r="G57" s="607"/>
      <c r="H57" s="363" t="str">
        <f t="shared" si="8"/>
        <v/>
      </c>
      <c r="I57" s="284"/>
    </row>
    <row r="58" spans="2:20">
      <c r="B58" s="59"/>
      <c r="C58" s="14"/>
      <c r="D58" s="15"/>
      <c r="E58" s="15"/>
      <c r="F58" s="15"/>
      <c r="G58" s="607"/>
      <c r="H58" s="363" t="str">
        <f t="shared" si="8"/>
        <v/>
      </c>
      <c r="I58" s="285"/>
    </row>
    <row r="59" spans="2:20" ht="51">
      <c r="B59" s="48" t="s">
        <v>3218</v>
      </c>
      <c r="C59" s="14" t="s">
        <v>3219</v>
      </c>
      <c r="D59" s="22" t="s">
        <v>478</v>
      </c>
      <c r="E59" s="36"/>
      <c r="F59" s="36">
        <v>300</v>
      </c>
      <c r="G59" s="587"/>
      <c r="H59" s="363">
        <f t="shared" si="8"/>
        <v>0</v>
      </c>
      <c r="I59" s="284"/>
      <c r="K59" s="3">
        <f>70*1*0.3</f>
        <v>21</v>
      </c>
    </row>
    <row r="60" spans="2:20">
      <c r="B60" s="59"/>
      <c r="C60" s="14"/>
      <c r="D60" s="15"/>
      <c r="E60" s="15"/>
      <c r="F60" s="15"/>
      <c r="G60" s="607"/>
      <c r="H60" s="363"/>
      <c r="I60" s="284"/>
    </row>
    <row r="61" spans="2:20" ht="51">
      <c r="B61" s="48" t="s">
        <v>3220</v>
      </c>
      <c r="C61" s="14" t="s">
        <v>3221</v>
      </c>
      <c r="D61" s="22" t="s">
        <v>478</v>
      </c>
      <c r="E61" s="36"/>
      <c r="F61" s="36">
        <v>300</v>
      </c>
      <c r="G61" s="587"/>
      <c r="H61" s="363">
        <f t="shared" ref="H61:H63" si="9">IF(D61="","",F61*G61)</f>
        <v>0</v>
      </c>
    </row>
    <row r="62" spans="2:20">
      <c r="B62" s="48"/>
      <c r="C62" s="252"/>
      <c r="D62" s="36"/>
      <c r="E62" s="36"/>
      <c r="F62" s="36"/>
      <c r="G62" s="587"/>
      <c r="H62" s="363" t="str">
        <f t="shared" si="9"/>
        <v/>
      </c>
      <c r="T62" s="3" t="s">
        <v>3222</v>
      </c>
    </row>
    <row r="63" spans="2:20" ht="51">
      <c r="B63" s="48" t="s">
        <v>2971</v>
      </c>
      <c r="C63" s="100" t="s">
        <v>3223</v>
      </c>
      <c r="D63" s="22" t="s">
        <v>478</v>
      </c>
      <c r="E63" s="22" t="s">
        <v>3224</v>
      </c>
      <c r="F63" s="22">
        <v>300</v>
      </c>
      <c r="G63" s="587"/>
      <c r="H63" s="363">
        <f t="shared" si="9"/>
        <v>0</v>
      </c>
    </row>
    <row r="64" spans="2:20">
      <c r="B64" s="48"/>
      <c r="C64" s="100"/>
      <c r="D64" s="22"/>
      <c r="E64" s="22"/>
      <c r="F64" s="22"/>
      <c r="G64" s="587"/>
      <c r="H64" s="363"/>
    </row>
    <row r="65" spans="2:13" ht="38.25">
      <c r="B65" s="48" t="s">
        <v>3225</v>
      </c>
      <c r="C65" s="100" t="s">
        <v>3226</v>
      </c>
      <c r="D65" s="22" t="s">
        <v>478</v>
      </c>
      <c r="E65" s="22"/>
      <c r="F65" s="22">
        <v>50</v>
      </c>
      <c r="G65" s="587"/>
      <c r="H65" s="363">
        <f t="shared" ref="H65" si="10">IF(D65="","",F65*G65)</f>
        <v>0</v>
      </c>
    </row>
    <row r="66" spans="2:13">
      <c r="B66" s="48"/>
      <c r="C66" s="100"/>
      <c r="D66" s="22"/>
      <c r="E66" s="22"/>
      <c r="F66" s="22"/>
      <c r="G66" s="587"/>
      <c r="H66" s="363"/>
    </row>
    <row r="67" spans="2:13" ht="25.5">
      <c r="B67" s="48" t="s">
        <v>2973</v>
      </c>
      <c r="C67" s="14" t="s">
        <v>2974</v>
      </c>
      <c r="D67" s="22" t="s">
        <v>1403</v>
      </c>
      <c r="E67" s="15"/>
      <c r="F67" s="15">
        <v>250</v>
      </c>
      <c r="G67" s="593"/>
      <c r="H67" s="363">
        <f t="shared" ref="H67:H69" si="11">IF(D67="","",F67*G67)</f>
        <v>0</v>
      </c>
    </row>
    <row r="68" spans="2:13">
      <c r="B68" s="48"/>
      <c r="C68" s="14"/>
      <c r="D68" s="15"/>
      <c r="E68" s="15"/>
      <c r="F68" s="15"/>
      <c r="G68" s="593"/>
      <c r="H68" s="363" t="str">
        <f t="shared" si="11"/>
        <v/>
      </c>
      <c r="M68" s="3">
        <f>140*25</f>
        <v>3500</v>
      </c>
    </row>
    <row r="69" spans="2:13" ht="25.5">
      <c r="B69" s="48" t="s">
        <v>2975</v>
      </c>
      <c r="C69" s="14" t="s">
        <v>2976</v>
      </c>
      <c r="D69" s="22" t="s">
        <v>1403</v>
      </c>
      <c r="E69" s="15"/>
      <c r="F69" s="15">
        <v>250</v>
      </c>
      <c r="G69" s="593"/>
      <c r="H69" s="363">
        <f t="shared" si="11"/>
        <v>0</v>
      </c>
      <c r="M69" s="3">
        <f>M68/F67</f>
        <v>14</v>
      </c>
    </row>
    <row r="70" spans="2:13">
      <c r="B70" s="48"/>
      <c r="C70" s="100"/>
      <c r="D70" s="22"/>
      <c r="E70" s="22"/>
      <c r="F70" s="22"/>
      <c r="G70" s="587"/>
      <c r="H70" s="363"/>
    </row>
    <row r="71" spans="2:13" ht="63.75">
      <c r="B71" s="48" t="s">
        <v>2977</v>
      </c>
      <c r="C71" s="14" t="s">
        <v>2978</v>
      </c>
      <c r="D71" s="22" t="s">
        <v>903</v>
      </c>
      <c r="E71" s="22"/>
      <c r="F71" s="240">
        <v>40</v>
      </c>
      <c r="G71" s="587"/>
      <c r="H71" s="363">
        <f t="shared" ref="H71" si="12">IF(D71="","",F71*G71)</f>
        <v>0</v>
      </c>
      <c r="M71" s="3">
        <f>70*2.5*0.12*2.45</f>
        <v>51.45</v>
      </c>
    </row>
    <row r="72" spans="2:13">
      <c r="B72" s="48"/>
      <c r="C72" s="100"/>
      <c r="D72" s="22"/>
      <c r="E72" s="22"/>
      <c r="F72" s="240"/>
      <c r="G72" s="587"/>
      <c r="H72" s="363"/>
    </row>
    <row r="73" spans="2:13" ht="63.75">
      <c r="B73" s="48" t="s">
        <v>2979</v>
      </c>
      <c r="C73" s="100" t="s">
        <v>2980</v>
      </c>
      <c r="D73" s="22" t="s">
        <v>903</v>
      </c>
      <c r="E73" s="22"/>
      <c r="F73" s="240">
        <v>65</v>
      </c>
      <c r="G73" s="587"/>
      <c r="H73" s="363">
        <f>G73*F73</f>
        <v>0</v>
      </c>
    </row>
    <row r="74" spans="2:13">
      <c r="B74" s="48"/>
      <c r="C74" s="100"/>
      <c r="D74" s="22"/>
      <c r="E74" s="22"/>
      <c r="F74" s="22"/>
      <c r="G74" s="587"/>
      <c r="H74" s="363"/>
    </row>
    <row r="75" spans="2:13" ht="25.5">
      <c r="B75" s="48" t="s">
        <v>2981</v>
      </c>
      <c r="C75" s="100" t="s">
        <v>2982</v>
      </c>
      <c r="D75" s="22"/>
      <c r="E75" s="15"/>
      <c r="F75" s="15"/>
      <c r="G75" s="607"/>
      <c r="H75" s="363" t="str">
        <f t="shared" ref="H75:H81" si="13">IF(D75="","",F75*G75)</f>
        <v/>
      </c>
    </row>
    <row r="76" spans="2:13">
      <c r="B76" s="59"/>
      <c r="C76" s="14"/>
      <c r="D76" s="15"/>
      <c r="E76" s="15"/>
      <c r="F76" s="15"/>
      <c r="G76" s="607"/>
      <c r="H76" s="363" t="str">
        <f t="shared" si="13"/>
        <v/>
      </c>
    </row>
    <row r="77" spans="2:13">
      <c r="B77" s="48" t="s">
        <v>83</v>
      </c>
      <c r="C77" s="14" t="s">
        <v>805</v>
      </c>
      <c r="D77" s="22" t="s">
        <v>347</v>
      </c>
      <c r="E77" s="15"/>
      <c r="F77" s="15">
        <v>150</v>
      </c>
      <c r="G77" s="607"/>
      <c r="H77" s="363">
        <f t="shared" si="13"/>
        <v>0</v>
      </c>
    </row>
    <row r="78" spans="2:13">
      <c r="B78" s="59"/>
      <c r="C78" s="14"/>
      <c r="D78" s="15"/>
      <c r="E78" s="15"/>
      <c r="F78" s="15"/>
      <c r="G78" s="607"/>
      <c r="H78" s="363" t="str">
        <f t="shared" si="13"/>
        <v/>
      </c>
    </row>
    <row r="79" spans="2:13">
      <c r="B79" s="48" t="s">
        <v>86</v>
      </c>
      <c r="C79" s="14" t="s">
        <v>807</v>
      </c>
      <c r="D79" s="22" t="s">
        <v>347</v>
      </c>
      <c r="E79" s="15"/>
      <c r="F79" s="15">
        <v>150</v>
      </c>
      <c r="G79" s="607"/>
      <c r="H79" s="363">
        <f t="shared" si="13"/>
        <v>0</v>
      </c>
    </row>
    <row r="80" spans="2:13">
      <c r="B80" s="59"/>
      <c r="C80" s="14"/>
      <c r="D80" s="15"/>
      <c r="E80" s="15"/>
      <c r="F80" s="15"/>
      <c r="G80" s="607"/>
      <c r="H80" s="363" t="str">
        <f t="shared" si="13"/>
        <v/>
      </c>
    </row>
    <row r="81" spans="2:20">
      <c r="B81" s="48" t="s">
        <v>2983</v>
      </c>
      <c r="C81" s="14" t="s">
        <v>2984</v>
      </c>
      <c r="D81" s="22" t="s">
        <v>347</v>
      </c>
      <c r="E81" s="15"/>
      <c r="F81" s="15">
        <v>150</v>
      </c>
      <c r="G81" s="607"/>
      <c r="H81" s="363">
        <f t="shared" si="13"/>
        <v>0</v>
      </c>
    </row>
    <row r="82" spans="2:20">
      <c r="B82" s="13"/>
      <c r="C82" s="14"/>
      <c r="D82" s="14"/>
      <c r="E82" s="296"/>
      <c r="F82" s="241"/>
      <c r="G82" s="585"/>
      <c r="H82" s="363"/>
      <c r="I82" s="284"/>
      <c r="T82" s="3" t="s">
        <v>3227</v>
      </c>
    </row>
    <row r="83" spans="2:20" ht="25.5">
      <c r="B83" s="48" t="s">
        <v>2992</v>
      </c>
      <c r="C83" s="14" t="s">
        <v>2993</v>
      </c>
      <c r="D83" s="22"/>
      <c r="E83" s="15"/>
      <c r="F83" s="249"/>
      <c r="G83" s="605"/>
      <c r="H83" s="363" t="str">
        <f t="shared" ref="H83:H89" si="14">IF(D83="","",F83*G83)</f>
        <v/>
      </c>
      <c r="I83" s="284"/>
      <c r="T83" s="3" t="s">
        <v>3228</v>
      </c>
    </row>
    <row r="84" spans="2:20">
      <c r="B84" s="59"/>
      <c r="C84" s="14"/>
      <c r="D84" s="15"/>
      <c r="E84" s="15"/>
      <c r="F84" s="249"/>
      <c r="G84" s="593"/>
      <c r="H84" s="363" t="str">
        <f t="shared" si="14"/>
        <v/>
      </c>
      <c r="I84" s="285"/>
      <c r="T84" s="3" t="s">
        <v>3229</v>
      </c>
    </row>
    <row r="85" spans="2:20">
      <c r="B85" s="48" t="s">
        <v>2994</v>
      </c>
      <c r="C85" s="14" t="s">
        <v>2995</v>
      </c>
      <c r="D85" s="22" t="s">
        <v>478</v>
      </c>
      <c r="E85" s="62"/>
      <c r="F85" s="249">
        <v>130</v>
      </c>
      <c r="G85" s="606"/>
      <c r="H85" s="363">
        <f t="shared" si="14"/>
        <v>0</v>
      </c>
      <c r="I85" s="284"/>
      <c r="T85" s="3" t="s">
        <v>3230</v>
      </c>
    </row>
    <row r="86" spans="2:20">
      <c r="B86" s="48"/>
      <c r="C86" s="14"/>
      <c r="D86" s="15"/>
      <c r="E86" s="62"/>
      <c r="F86" s="249"/>
      <c r="G86" s="606"/>
      <c r="H86" s="363" t="str">
        <f t="shared" si="14"/>
        <v/>
      </c>
      <c r="I86" s="284"/>
      <c r="T86" s="3" t="s">
        <v>3231</v>
      </c>
    </row>
    <row r="87" spans="2:20">
      <c r="B87" s="48" t="s">
        <v>2996</v>
      </c>
      <c r="C87" s="100" t="s">
        <v>1058</v>
      </c>
      <c r="D87" s="22" t="s">
        <v>478</v>
      </c>
      <c r="E87" s="62"/>
      <c r="F87" s="249">
        <v>225</v>
      </c>
      <c r="G87" s="607"/>
      <c r="H87" s="363">
        <f t="shared" si="14"/>
        <v>0</v>
      </c>
      <c r="I87" s="284"/>
      <c r="T87" s="3" t="s">
        <v>3232</v>
      </c>
    </row>
    <row r="88" spans="2:20">
      <c r="B88" s="59"/>
      <c r="C88" s="14"/>
      <c r="D88" s="15"/>
      <c r="E88" s="62"/>
      <c r="F88" s="249"/>
      <c r="G88" s="606"/>
      <c r="H88" s="363" t="str">
        <f t="shared" si="14"/>
        <v/>
      </c>
      <c r="O88" s="3">
        <f>75000/5000</f>
        <v>15</v>
      </c>
      <c r="T88" s="3" t="s">
        <v>3233</v>
      </c>
    </row>
    <row r="89" spans="2:20">
      <c r="B89" s="48" t="s">
        <v>2997</v>
      </c>
      <c r="C89" s="14" t="s">
        <v>2998</v>
      </c>
      <c r="D89" s="22" t="s">
        <v>478</v>
      </c>
      <c r="E89" s="62"/>
      <c r="F89" s="249">
        <v>225</v>
      </c>
      <c r="G89" s="605"/>
      <c r="H89" s="363">
        <f t="shared" si="14"/>
        <v>0</v>
      </c>
      <c r="T89" s="3" t="s">
        <v>3234</v>
      </c>
    </row>
    <row r="90" spans="2:20">
      <c r="B90" s="13"/>
      <c r="C90" s="14"/>
      <c r="D90" s="22"/>
      <c r="E90" s="22"/>
      <c r="F90" s="240"/>
      <c r="G90" s="585"/>
      <c r="H90" s="363"/>
      <c r="T90" s="3" t="s">
        <v>3235</v>
      </c>
    </row>
    <row r="91" spans="2:20" ht="25.5">
      <c r="B91" s="13"/>
      <c r="C91" s="14" t="s">
        <v>3236</v>
      </c>
      <c r="D91" s="22"/>
      <c r="E91" s="22"/>
      <c r="F91" s="240"/>
      <c r="G91" s="585"/>
      <c r="H91" s="363"/>
      <c r="T91" s="3" t="s">
        <v>3237</v>
      </c>
    </row>
    <row r="92" spans="2:20">
      <c r="B92" s="13"/>
      <c r="C92" s="14"/>
      <c r="D92" s="22"/>
      <c r="E92" s="22"/>
      <c r="F92" s="240"/>
      <c r="G92" s="585"/>
      <c r="H92" s="363"/>
    </row>
    <row r="93" spans="2:20">
      <c r="B93" s="13" t="s">
        <v>3238</v>
      </c>
      <c r="C93" s="14" t="s">
        <v>3239</v>
      </c>
      <c r="D93" s="22"/>
      <c r="E93" s="22"/>
      <c r="F93" s="240"/>
      <c r="G93" s="585"/>
      <c r="H93" s="363"/>
    </row>
    <row r="94" spans="2:20">
      <c r="B94" s="13"/>
      <c r="C94" s="14"/>
      <c r="D94" s="22"/>
      <c r="E94" s="22"/>
      <c r="F94" s="240"/>
      <c r="G94" s="585"/>
      <c r="H94" s="363"/>
    </row>
    <row r="95" spans="2:20" ht="12" customHeight="1">
      <c r="B95" s="13" t="s">
        <v>83</v>
      </c>
      <c r="C95" s="14" t="s">
        <v>3240</v>
      </c>
      <c r="D95" s="14" t="s">
        <v>347</v>
      </c>
      <c r="E95" s="14"/>
      <c r="F95" s="240">
        <v>264</v>
      </c>
      <c r="G95" s="585"/>
      <c r="H95" s="363">
        <f t="shared" si="0"/>
        <v>0</v>
      </c>
    </row>
    <row r="96" spans="2:20" ht="12" customHeight="1">
      <c r="B96" s="13"/>
      <c r="C96" s="14"/>
      <c r="D96" s="14"/>
      <c r="E96" s="14"/>
      <c r="F96" s="240"/>
      <c r="G96" s="585"/>
      <c r="H96" s="363"/>
    </row>
    <row r="97" spans="2:8" ht="12" customHeight="1">
      <c r="B97" s="19" t="s">
        <v>3241</v>
      </c>
      <c r="C97" s="20" t="s">
        <v>3242</v>
      </c>
      <c r="D97" s="14"/>
      <c r="E97" s="14"/>
      <c r="F97" s="240"/>
      <c r="G97" s="585"/>
      <c r="H97" s="363"/>
    </row>
    <row r="98" spans="2:8" ht="12" customHeight="1">
      <c r="B98" s="19"/>
      <c r="C98" s="20"/>
      <c r="D98" s="14"/>
      <c r="E98" s="14"/>
      <c r="F98" s="240"/>
      <c r="G98" s="585"/>
      <c r="H98" s="363"/>
    </row>
    <row r="99" spans="2:8" ht="12" customHeight="1">
      <c r="B99" s="19" t="s">
        <v>3243</v>
      </c>
      <c r="C99" s="20" t="s">
        <v>3244</v>
      </c>
      <c r="D99" s="14"/>
      <c r="E99" s="14"/>
      <c r="F99" s="240"/>
      <c r="G99" s="585"/>
      <c r="H99" s="363"/>
    </row>
    <row r="100" spans="2:8" ht="12" customHeight="1">
      <c r="B100" s="13"/>
      <c r="C100" s="14"/>
      <c r="D100" s="14"/>
      <c r="E100" s="14"/>
      <c r="F100" s="240"/>
      <c r="G100" s="585"/>
      <c r="H100" s="363"/>
    </row>
    <row r="101" spans="2:8" ht="27.6" customHeight="1">
      <c r="B101" s="13"/>
      <c r="C101" s="14" t="s">
        <v>3245</v>
      </c>
      <c r="D101" s="14"/>
      <c r="E101" s="14"/>
      <c r="F101" s="240"/>
      <c r="G101" s="585"/>
      <c r="H101" s="363"/>
    </row>
    <row r="102" spans="2:8" ht="36.6" customHeight="1">
      <c r="B102" s="13"/>
      <c r="C102" s="14" t="s">
        <v>3246</v>
      </c>
      <c r="D102" s="14"/>
      <c r="E102" s="14"/>
      <c r="F102" s="240"/>
      <c r="G102" s="585"/>
      <c r="H102" s="363"/>
    </row>
    <row r="103" spans="2:8" ht="36" customHeight="1">
      <c r="B103" s="13"/>
      <c r="C103" s="14" t="s">
        <v>3247</v>
      </c>
      <c r="D103" s="14"/>
      <c r="E103" s="14"/>
      <c r="F103" s="240"/>
      <c r="G103" s="585"/>
      <c r="H103" s="363"/>
    </row>
    <row r="104" spans="2:8" ht="33.75" customHeight="1">
      <c r="B104" s="106" t="s">
        <v>83</v>
      </c>
      <c r="C104" s="51" t="s">
        <v>3248</v>
      </c>
      <c r="D104" s="22" t="s">
        <v>33</v>
      </c>
      <c r="E104" s="22" t="s">
        <v>14</v>
      </c>
      <c r="F104" s="22">
        <v>1</v>
      </c>
      <c r="G104" s="586"/>
      <c r="H104" s="363">
        <f t="shared" si="0"/>
        <v>0</v>
      </c>
    </row>
    <row r="105" spans="2:8" ht="42.75" customHeight="1">
      <c r="B105" s="102" t="s">
        <v>86</v>
      </c>
      <c r="C105" s="52" t="s">
        <v>3249</v>
      </c>
      <c r="D105" s="22" t="s">
        <v>3250</v>
      </c>
      <c r="E105" s="22" t="s">
        <v>14</v>
      </c>
      <c r="F105" s="240">
        <v>5</v>
      </c>
      <c r="G105" s="586"/>
      <c r="H105" s="363">
        <f t="shared" si="0"/>
        <v>0</v>
      </c>
    </row>
    <row r="106" spans="2:8" ht="12" customHeight="1">
      <c r="B106" s="421"/>
      <c r="C106" s="52" t="s">
        <v>3251</v>
      </c>
      <c r="D106" s="22" t="s">
        <v>347</v>
      </c>
      <c r="E106" s="22" t="s">
        <v>14</v>
      </c>
      <c r="F106" s="240">
        <v>250</v>
      </c>
      <c r="G106" s="586"/>
      <c r="H106" s="363">
        <f t="shared" si="0"/>
        <v>0</v>
      </c>
    </row>
    <row r="107" spans="2:8" ht="12" customHeight="1">
      <c r="B107" s="340" t="s">
        <v>117</v>
      </c>
      <c r="C107" s="52" t="s">
        <v>3252</v>
      </c>
      <c r="D107" s="22"/>
      <c r="E107" s="22"/>
      <c r="F107" s="240"/>
      <c r="G107" s="586"/>
      <c r="H107" s="363" t="str">
        <f t="shared" si="0"/>
        <v/>
      </c>
    </row>
    <row r="108" spans="2:8" ht="12" customHeight="1">
      <c r="B108" s="340" t="s">
        <v>119</v>
      </c>
      <c r="C108" s="52" t="s">
        <v>3253</v>
      </c>
      <c r="D108" s="22"/>
      <c r="E108" s="22"/>
      <c r="F108" s="240"/>
      <c r="G108" s="586"/>
      <c r="H108" s="363" t="str">
        <f t="shared" si="0"/>
        <v/>
      </c>
    </row>
    <row r="109" spans="2:8" ht="12" customHeight="1">
      <c r="B109" s="339" t="s">
        <v>3254</v>
      </c>
      <c r="C109" s="1" t="s">
        <v>3255</v>
      </c>
      <c r="D109" s="22" t="s">
        <v>33</v>
      </c>
      <c r="E109" s="22" t="s">
        <v>14</v>
      </c>
      <c r="F109" s="240">
        <v>1</v>
      </c>
      <c r="G109" s="586"/>
      <c r="H109" s="363">
        <f t="shared" si="0"/>
        <v>0</v>
      </c>
    </row>
    <row r="110" spans="2:8" ht="12" customHeight="1">
      <c r="B110" s="339" t="s">
        <v>3256</v>
      </c>
      <c r="C110" s="1" t="s">
        <v>3257</v>
      </c>
      <c r="D110" s="22" t="s">
        <v>33</v>
      </c>
      <c r="E110" s="22" t="s">
        <v>14</v>
      </c>
      <c r="F110" s="240">
        <v>1</v>
      </c>
      <c r="G110" s="586"/>
      <c r="H110" s="363">
        <f t="shared" si="0"/>
        <v>0</v>
      </c>
    </row>
    <row r="111" spans="2:8" ht="12" customHeight="1">
      <c r="B111" s="339" t="s">
        <v>3258</v>
      </c>
      <c r="C111" s="1" t="s">
        <v>3259</v>
      </c>
      <c r="D111" s="22" t="s">
        <v>33</v>
      </c>
      <c r="E111" s="22" t="s">
        <v>14</v>
      </c>
      <c r="F111" s="240">
        <v>1</v>
      </c>
      <c r="G111" s="586"/>
      <c r="H111" s="363">
        <f t="shared" si="0"/>
        <v>0</v>
      </c>
    </row>
    <row r="112" spans="2:8" ht="12" customHeight="1">
      <c r="B112" s="339" t="s">
        <v>3260</v>
      </c>
      <c r="C112" s="1" t="s">
        <v>3261</v>
      </c>
      <c r="D112" s="22" t="s">
        <v>33</v>
      </c>
      <c r="E112" s="22" t="s">
        <v>14</v>
      </c>
      <c r="F112" s="240">
        <v>1</v>
      </c>
      <c r="G112" s="586"/>
      <c r="H112" s="363">
        <f t="shared" si="0"/>
        <v>0</v>
      </c>
    </row>
    <row r="113" spans="2:10" ht="12" customHeight="1">
      <c r="B113" s="13"/>
      <c r="C113" s="14"/>
      <c r="D113" s="14"/>
      <c r="E113" s="14"/>
      <c r="F113" s="240"/>
      <c r="G113" s="585"/>
      <c r="H113" s="363"/>
    </row>
    <row r="114" spans="2:10" ht="12" customHeight="1">
      <c r="B114" s="19" t="s">
        <v>3262</v>
      </c>
      <c r="C114" s="20" t="s">
        <v>3263</v>
      </c>
      <c r="D114" s="14"/>
      <c r="E114" s="14"/>
      <c r="F114" s="240"/>
      <c r="G114" s="585"/>
      <c r="H114" s="363"/>
    </row>
    <row r="115" spans="2:10" ht="12" customHeight="1">
      <c r="B115" s="13"/>
      <c r="C115" s="14"/>
      <c r="D115" s="14"/>
      <c r="E115" s="14"/>
      <c r="F115" s="240"/>
      <c r="G115" s="585"/>
      <c r="H115" s="363"/>
    </row>
    <row r="116" spans="2:10" ht="32.450000000000003" customHeight="1">
      <c r="B116" s="340"/>
      <c r="C116" s="52" t="s">
        <v>3264</v>
      </c>
      <c r="D116" s="36"/>
      <c r="E116" s="22"/>
      <c r="F116" s="240"/>
      <c r="G116" s="586"/>
      <c r="H116" s="363"/>
    </row>
    <row r="117" spans="2:10" ht="96" customHeight="1">
      <c r="B117" s="339"/>
      <c r="C117" s="51" t="s">
        <v>3247</v>
      </c>
      <c r="D117" s="22"/>
      <c r="E117" s="22"/>
      <c r="F117" s="240"/>
      <c r="G117" s="586"/>
      <c r="H117" s="363"/>
    </row>
    <row r="118" spans="2:10" ht="12" customHeight="1">
      <c r="B118" s="339" t="s">
        <v>271</v>
      </c>
      <c r="C118" s="51" t="s">
        <v>3253</v>
      </c>
      <c r="D118" s="22"/>
      <c r="E118" s="22"/>
      <c r="F118" s="240"/>
      <c r="G118" s="586"/>
      <c r="H118" s="363"/>
    </row>
    <row r="119" spans="2:10" ht="12" customHeight="1">
      <c r="B119" s="339"/>
      <c r="C119" s="1" t="s">
        <v>3265</v>
      </c>
      <c r="D119" s="22" t="s">
        <v>33</v>
      </c>
      <c r="E119" s="22" t="s">
        <v>14</v>
      </c>
      <c r="F119" s="240">
        <v>1</v>
      </c>
      <c r="G119" s="586"/>
      <c r="H119" s="363">
        <f t="shared" si="0"/>
        <v>0</v>
      </c>
    </row>
    <row r="120" spans="2:10" ht="12" customHeight="1">
      <c r="B120" s="339"/>
      <c r="C120" s="1" t="s">
        <v>3266</v>
      </c>
      <c r="D120" s="22" t="s">
        <v>33</v>
      </c>
      <c r="E120" s="22" t="s">
        <v>14</v>
      </c>
      <c r="F120" s="240">
        <v>1</v>
      </c>
      <c r="G120" s="586"/>
      <c r="H120" s="363">
        <f t="shared" si="0"/>
        <v>0</v>
      </c>
    </row>
    <row r="121" spans="2:10" ht="12" customHeight="1">
      <c r="B121" s="339"/>
      <c r="C121" s="1" t="s">
        <v>3267</v>
      </c>
      <c r="D121" s="22" t="s">
        <v>33</v>
      </c>
      <c r="E121" s="22" t="s">
        <v>14</v>
      </c>
      <c r="F121" s="240">
        <v>1</v>
      </c>
      <c r="G121" s="586"/>
      <c r="H121" s="363">
        <f t="shared" si="0"/>
        <v>0</v>
      </c>
      <c r="J121" s="3">
        <v>730</v>
      </c>
    </row>
    <row r="122" spans="2:10" ht="12" customHeight="1">
      <c r="B122" s="339"/>
      <c r="C122" s="1" t="s">
        <v>3268</v>
      </c>
      <c r="D122" s="22" t="s">
        <v>33</v>
      </c>
      <c r="E122" s="22" t="s">
        <v>14</v>
      </c>
      <c r="F122" s="240">
        <v>1</v>
      </c>
      <c r="G122" s="586"/>
      <c r="H122" s="363">
        <f t="shared" si="0"/>
        <v>0</v>
      </c>
      <c r="J122" s="3">
        <v>450</v>
      </c>
    </row>
    <row r="123" spans="2:10" ht="12" customHeight="1">
      <c r="B123" s="339"/>
      <c r="C123" s="1" t="s">
        <v>3269</v>
      </c>
      <c r="D123" s="22" t="s">
        <v>33</v>
      </c>
      <c r="E123" s="22" t="s">
        <v>14</v>
      </c>
      <c r="F123" s="240">
        <v>1</v>
      </c>
      <c r="G123" s="586"/>
      <c r="H123" s="363">
        <f t="shared" si="0"/>
        <v>0</v>
      </c>
      <c r="J123" s="3">
        <v>65</v>
      </c>
    </row>
    <row r="124" spans="2:10" ht="12" customHeight="1">
      <c r="B124" s="339"/>
      <c r="C124" s="1" t="s">
        <v>3270</v>
      </c>
      <c r="D124" s="22" t="s">
        <v>33</v>
      </c>
      <c r="E124" s="22" t="s">
        <v>14</v>
      </c>
      <c r="F124" s="240">
        <v>1</v>
      </c>
      <c r="G124" s="586"/>
      <c r="H124" s="363">
        <f t="shared" si="0"/>
        <v>0</v>
      </c>
      <c r="J124" s="3">
        <v>1031</v>
      </c>
    </row>
    <row r="125" spans="2:10" ht="12" customHeight="1">
      <c r="B125" s="339"/>
      <c r="C125" s="1" t="s">
        <v>3271</v>
      </c>
      <c r="D125" s="22" t="s">
        <v>33</v>
      </c>
      <c r="E125" s="22" t="s">
        <v>14</v>
      </c>
      <c r="F125" s="240">
        <v>1</v>
      </c>
      <c r="G125" s="586"/>
      <c r="H125" s="363">
        <f t="shared" si="0"/>
        <v>0</v>
      </c>
      <c r="J125" s="3">
        <v>740</v>
      </c>
    </row>
    <row r="126" spans="2:10" ht="12" customHeight="1">
      <c r="B126" s="339"/>
      <c r="C126" s="1" t="s">
        <v>3272</v>
      </c>
      <c r="D126" s="22" t="s">
        <v>33</v>
      </c>
      <c r="E126" s="22" t="s">
        <v>14</v>
      </c>
      <c r="F126" s="240">
        <v>1</v>
      </c>
      <c r="G126" s="586"/>
      <c r="H126" s="363">
        <f t="shared" si="0"/>
        <v>0</v>
      </c>
      <c r="J126" s="3">
        <f>SUM(J121:J125)</f>
        <v>3016</v>
      </c>
    </row>
    <row r="127" spans="2:10" ht="12" customHeight="1">
      <c r="B127" s="339"/>
      <c r="C127" s="1" t="s">
        <v>3273</v>
      </c>
      <c r="D127" s="22" t="s">
        <v>33</v>
      </c>
      <c r="E127" s="22" t="s">
        <v>14</v>
      </c>
      <c r="F127" s="240">
        <v>1</v>
      </c>
      <c r="G127" s="586"/>
      <c r="H127" s="363">
        <f t="shared" si="0"/>
        <v>0</v>
      </c>
    </row>
    <row r="128" spans="2:10" ht="56.45" customHeight="1">
      <c r="B128" s="340" t="s">
        <v>273</v>
      </c>
      <c r="C128" s="52" t="s">
        <v>3274</v>
      </c>
      <c r="D128" s="22" t="s">
        <v>347</v>
      </c>
      <c r="E128" s="22" t="s">
        <v>14</v>
      </c>
      <c r="F128" s="240">
        <v>250</v>
      </c>
      <c r="G128" s="586"/>
      <c r="H128" s="363">
        <f t="shared" si="0"/>
        <v>0</v>
      </c>
    </row>
    <row r="129" spans="2:9" ht="12" customHeight="1">
      <c r="B129" s="340"/>
      <c r="C129" s="52" t="s">
        <v>3275</v>
      </c>
      <c r="D129" s="22"/>
      <c r="E129" s="22"/>
      <c r="F129" s="240"/>
      <c r="G129" s="586"/>
      <c r="H129" s="363"/>
    </row>
    <row r="130" spans="2:9" ht="12" customHeight="1">
      <c r="B130" s="13"/>
      <c r="C130" s="14"/>
      <c r="D130" s="14"/>
      <c r="E130" s="14"/>
      <c r="F130" s="240"/>
      <c r="G130" s="379"/>
      <c r="H130" s="363"/>
    </row>
    <row r="131" spans="2:9">
      <c r="B131" s="13"/>
      <c r="C131" s="14"/>
      <c r="D131" s="14"/>
      <c r="E131" s="14"/>
      <c r="F131" s="240"/>
      <c r="G131" s="410"/>
      <c r="H131" s="363" t="str">
        <f t="shared" si="0"/>
        <v/>
      </c>
    </row>
    <row r="132" spans="2:9" s="2" customFormat="1" ht="24.95" customHeight="1">
      <c r="B132" s="290" t="str">
        <f>$B$10</f>
        <v>C2.1</v>
      </c>
      <c r="C132" s="276" t="s">
        <v>125</v>
      </c>
      <c r="D132" s="287"/>
      <c r="E132" s="287"/>
      <c r="F132" s="31"/>
      <c r="G132" s="412"/>
      <c r="H132" s="364">
        <f>SUM(H10:H131)</f>
        <v>0</v>
      </c>
      <c r="I132" s="289"/>
    </row>
    <row r="190" spans="3:3">
      <c r="C190" s="3" t="s">
        <v>99</v>
      </c>
    </row>
    <row r="215" spans="6:6">
      <c r="F215" s="352"/>
    </row>
    <row r="216" spans="6:6">
      <c r="F216" s="352"/>
    </row>
    <row r="217" spans="6:6">
      <c r="F217" s="352"/>
    </row>
    <row r="218" spans="6:6">
      <c r="F218" s="352"/>
    </row>
    <row r="219" spans="6:6">
      <c r="F219" s="352"/>
    </row>
    <row r="220" spans="6:6">
      <c r="F220" s="352"/>
    </row>
    <row r="221" spans="6:6">
      <c r="F221" s="352"/>
    </row>
    <row r="222" spans="6:6">
      <c r="F222" s="352"/>
    </row>
    <row r="223" spans="6:6">
      <c r="F223" s="352"/>
    </row>
    <row r="224" spans="6:6">
      <c r="F224" s="352"/>
    </row>
  </sheetData>
  <sheetProtection algorithmName="SHA-512" hashValue="rtLCPplqgIjPw7bc/BGFJ5fDVqXi7RwENZS/q88AzMrGvBCPfLm5ZrC1/kLMF/2FfIGwiC5MLD5RkVT2OCl3iQ==" saltValue="GypdV2Um87COH/H+OJbOKA=="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6" firstPageNumber="31" fitToHeight="0" orientation="portrait" cellComments="asDisplayed" useFirstPageNumber="1" r:id="rId1"/>
  <headerFooter>
    <oddHeader xml:space="preserve">&amp;CPREPARED BY NANKHOO CONSULTING ENGINEERS&amp;R&amp;"Arial,Bold Italic"
</oddHeader>
    <oddFooter>&amp;C&amp;F</oddFooter>
  </headerFooter>
  <rowBreaks count="1" manualBreakCount="1">
    <brk id="72" max="8"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B1:I99"/>
  <sheetViews>
    <sheetView view="pageBreakPreview" topLeftCell="A9" zoomScaleNormal="100" zoomScaleSheetLayoutView="100" workbookViewId="0">
      <selection activeCell="G30" sqref="G30"/>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24.28515625" style="399" customWidth="1"/>
    <col min="9" max="9" width="35.140625" style="3" hidden="1" customWidth="1"/>
    <col min="10" max="36" width="0" style="3" hidden="1" customWidth="1"/>
    <col min="37" max="16384" width="6.85546875" style="3"/>
  </cols>
  <sheetData>
    <row r="1" spans="2:9" ht="20.25" customHeight="1">
      <c r="B1" s="2" t="str">
        <f>Client1</f>
        <v>AIRPORTS COMPANY - SOUTH AFRICA</v>
      </c>
      <c r="F1" s="676" t="str">
        <f>"Contract No. "&amp;ContractNo</f>
        <v>Contract No. KSIA7806/2025/RFP</v>
      </c>
      <c r="G1" s="676"/>
      <c r="H1" s="676"/>
    </row>
    <row r="2" spans="2:9">
      <c r="B2" s="2" t="str">
        <f>Client2</f>
        <v>ACSA</v>
      </c>
    </row>
    <row r="3" spans="2:9">
      <c r="B3" s="71"/>
      <c r="C3" s="71"/>
      <c r="D3" s="71"/>
      <c r="E3" s="71"/>
      <c r="F3" s="72"/>
      <c r="G3" s="400"/>
      <c r="H3" s="401"/>
    </row>
    <row r="4" spans="2:9">
      <c r="B4" s="695" t="s">
        <v>366</v>
      </c>
      <c r="C4" s="696"/>
      <c r="D4" s="696"/>
      <c r="E4" s="696"/>
      <c r="F4" s="696"/>
      <c r="G4" s="696"/>
      <c r="H4" s="684" t="str">
        <f>"CHAPTER "&amp;B10</f>
        <v>CHAPTER C1.7</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c r="I5" s="676"/>
    </row>
    <row r="6" spans="2:9" ht="24" customHeight="1">
      <c r="B6" s="690"/>
      <c r="C6" s="691"/>
      <c r="D6" s="691"/>
      <c r="E6" s="691"/>
      <c r="F6" s="691"/>
      <c r="G6" s="691"/>
      <c r="H6" s="694"/>
      <c r="I6" s="676"/>
    </row>
    <row r="7" spans="2:9" ht="24" customHeight="1">
      <c r="B7" s="692"/>
      <c r="C7" s="693"/>
      <c r="D7" s="693"/>
      <c r="E7" s="693"/>
      <c r="F7" s="693"/>
      <c r="G7" s="693"/>
      <c r="H7" s="686"/>
      <c r="I7" s="676"/>
    </row>
    <row r="8" spans="2:9" s="2" customFormat="1" ht="24.95" customHeight="1">
      <c r="B8" s="282" t="s">
        <v>11</v>
      </c>
      <c r="C8" s="280" t="s">
        <v>12</v>
      </c>
      <c r="D8" s="280" t="s">
        <v>13</v>
      </c>
      <c r="E8" s="280" t="s">
        <v>14</v>
      </c>
      <c r="F8" s="11" t="s">
        <v>15</v>
      </c>
      <c r="G8" s="409" t="s">
        <v>16</v>
      </c>
      <c r="H8" s="364" t="s">
        <v>17</v>
      </c>
      <c r="I8" s="676"/>
    </row>
    <row r="9" spans="2:9">
      <c r="B9" s="13"/>
      <c r="C9" s="14"/>
      <c r="D9" s="14"/>
      <c r="E9" s="14"/>
      <c r="F9" s="22"/>
      <c r="G9" s="410"/>
      <c r="H9" s="363" t="str">
        <f t="shared" ref="H9:H34" si="0">IF(D9="","",F9*G9)</f>
        <v/>
      </c>
      <c r="I9" s="284"/>
    </row>
    <row r="10" spans="2:9">
      <c r="B10" s="19" t="s">
        <v>380</v>
      </c>
      <c r="C10" s="20" t="s">
        <v>381</v>
      </c>
      <c r="D10" s="14"/>
      <c r="E10" s="14"/>
      <c r="F10" s="22"/>
      <c r="G10" s="410"/>
      <c r="H10" s="363" t="str">
        <f t="shared" si="0"/>
        <v/>
      </c>
      <c r="I10" s="284"/>
    </row>
    <row r="11" spans="2:9">
      <c r="B11" s="13"/>
      <c r="C11" s="14"/>
      <c r="D11" s="14"/>
      <c r="E11" s="14"/>
      <c r="F11" s="22"/>
      <c r="G11" s="410"/>
      <c r="H11" s="363" t="str">
        <f t="shared" si="0"/>
        <v/>
      </c>
      <c r="I11" s="284"/>
    </row>
    <row r="12" spans="2:9">
      <c r="B12" s="13" t="s">
        <v>382</v>
      </c>
      <c r="C12" s="14" t="s">
        <v>383</v>
      </c>
      <c r="D12" s="14"/>
      <c r="E12" s="14"/>
      <c r="F12" s="22"/>
      <c r="G12" s="410"/>
      <c r="H12" s="363" t="str">
        <f t="shared" si="0"/>
        <v/>
      </c>
      <c r="I12" s="284"/>
    </row>
    <row r="13" spans="2:9">
      <c r="B13" s="13"/>
      <c r="C13" s="14"/>
      <c r="D13" s="14"/>
      <c r="E13" s="14"/>
      <c r="F13" s="22"/>
      <c r="G13" s="586"/>
      <c r="H13" s="363" t="str">
        <f t="shared" si="0"/>
        <v/>
      </c>
      <c r="I13" s="284"/>
    </row>
    <row r="14" spans="2:9" ht="25.5">
      <c r="B14" s="13" t="s">
        <v>384</v>
      </c>
      <c r="C14" s="14" t="s">
        <v>385</v>
      </c>
      <c r="D14" s="14" t="s">
        <v>386</v>
      </c>
      <c r="E14" s="14"/>
      <c r="F14" s="240">
        <v>1000</v>
      </c>
      <c r="G14" s="585"/>
      <c r="H14" s="363">
        <f t="shared" si="0"/>
        <v>0</v>
      </c>
      <c r="I14" s="285"/>
    </row>
    <row r="15" spans="2:9">
      <c r="B15" s="13"/>
      <c r="C15" s="14"/>
      <c r="D15" s="14"/>
      <c r="E15" s="14"/>
      <c r="F15" s="240"/>
      <c r="G15" s="587"/>
      <c r="H15" s="363" t="str">
        <f t="shared" si="0"/>
        <v/>
      </c>
      <c r="I15" s="285"/>
    </row>
    <row r="16" spans="2:9" ht="25.5">
      <c r="B16" s="13" t="s">
        <v>387</v>
      </c>
      <c r="C16" s="14" t="s">
        <v>388</v>
      </c>
      <c r="D16" s="14" t="s">
        <v>386</v>
      </c>
      <c r="E16" s="14"/>
      <c r="F16" s="240">
        <v>1000</v>
      </c>
      <c r="G16" s="585"/>
      <c r="H16" s="363">
        <f t="shared" si="0"/>
        <v>0</v>
      </c>
      <c r="I16" s="285"/>
    </row>
    <row r="17" spans="2:9">
      <c r="B17" s="13"/>
      <c r="C17" s="14"/>
      <c r="D17" s="14"/>
      <c r="E17" s="14"/>
      <c r="F17" s="240"/>
      <c r="G17" s="585"/>
      <c r="H17" s="363" t="str">
        <f t="shared" si="0"/>
        <v/>
      </c>
      <c r="I17" s="285"/>
    </row>
    <row r="18" spans="2:9" ht="36.75" customHeight="1">
      <c r="B18" s="13" t="s">
        <v>389</v>
      </c>
      <c r="C18" s="14" t="s">
        <v>390</v>
      </c>
      <c r="D18" s="14" t="s">
        <v>386</v>
      </c>
      <c r="E18" s="14" t="s">
        <v>14</v>
      </c>
      <c r="F18" s="240">
        <v>500</v>
      </c>
      <c r="G18" s="590"/>
      <c r="H18" s="363">
        <f t="shared" si="0"/>
        <v>0</v>
      </c>
      <c r="I18" s="285"/>
    </row>
    <row r="19" spans="2:9">
      <c r="B19" s="13"/>
      <c r="C19" s="14"/>
      <c r="D19" s="14"/>
      <c r="E19" s="14"/>
      <c r="F19" s="240"/>
      <c r="G19" s="587"/>
      <c r="H19" s="363" t="str">
        <f t="shared" si="0"/>
        <v/>
      </c>
      <c r="I19" s="285"/>
    </row>
    <row r="20" spans="2:9">
      <c r="B20" s="13" t="s">
        <v>391</v>
      </c>
      <c r="C20" s="14" t="s">
        <v>392</v>
      </c>
      <c r="D20" s="14"/>
      <c r="E20" s="14"/>
      <c r="F20" s="240"/>
      <c r="G20" s="586"/>
      <c r="H20" s="363" t="str">
        <f t="shared" si="0"/>
        <v/>
      </c>
      <c r="I20" s="284"/>
    </row>
    <row r="21" spans="2:9">
      <c r="B21" s="13"/>
      <c r="C21" s="14"/>
      <c r="D21" s="14"/>
      <c r="E21" s="14"/>
      <c r="F21" s="240"/>
      <c r="G21" s="585"/>
      <c r="H21" s="363" t="str">
        <f t="shared" si="0"/>
        <v/>
      </c>
      <c r="I21" s="284"/>
    </row>
    <row r="22" spans="2:9" ht="25.5">
      <c r="B22" s="13" t="s">
        <v>393</v>
      </c>
      <c r="C22" s="14" t="s">
        <v>394</v>
      </c>
      <c r="D22" s="14"/>
      <c r="E22" s="14"/>
      <c r="F22" s="240"/>
      <c r="G22" s="586"/>
      <c r="H22" s="363" t="str">
        <f t="shared" si="0"/>
        <v/>
      </c>
      <c r="I22" s="284"/>
    </row>
    <row r="23" spans="2:9">
      <c r="B23" s="13"/>
      <c r="C23" s="14"/>
      <c r="D23" s="14"/>
      <c r="E23" s="14"/>
      <c r="F23" s="240"/>
      <c r="G23" s="586"/>
      <c r="H23" s="363" t="str">
        <f t="shared" si="0"/>
        <v/>
      </c>
      <c r="I23" s="284"/>
    </row>
    <row r="24" spans="2:9" ht="25.5">
      <c r="B24" s="13" t="s">
        <v>83</v>
      </c>
      <c r="C24" s="14" t="s">
        <v>395</v>
      </c>
      <c r="D24" s="14" t="s">
        <v>396</v>
      </c>
      <c r="E24" s="50"/>
      <c r="F24" s="240">
        <v>5000</v>
      </c>
      <c r="G24" s="590"/>
      <c r="H24" s="363">
        <f t="shared" si="0"/>
        <v>0</v>
      </c>
    </row>
    <row r="25" spans="2:9">
      <c r="B25" s="13"/>
      <c r="C25" s="14"/>
      <c r="D25" s="14"/>
      <c r="E25" s="50"/>
      <c r="F25" s="240"/>
      <c r="G25" s="590"/>
      <c r="H25" s="363"/>
    </row>
    <row r="26" spans="2:9" ht="25.5">
      <c r="B26" s="13" t="s">
        <v>397</v>
      </c>
      <c r="C26" s="14" t="s">
        <v>398</v>
      </c>
      <c r="D26" s="14"/>
      <c r="E26" s="50"/>
      <c r="F26" s="240"/>
      <c r="G26" s="587"/>
      <c r="H26" s="363" t="str">
        <f t="shared" si="0"/>
        <v/>
      </c>
    </row>
    <row r="27" spans="2:9">
      <c r="B27" s="13"/>
      <c r="C27" s="14"/>
      <c r="D27" s="14"/>
      <c r="E27" s="50"/>
      <c r="F27" s="240"/>
      <c r="G27" s="587"/>
      <c r="H27" s="363" t="str">
        <f t="shared" si="0"/>
        <v/>
      </c>
    </row>
    <row r="28" spans="2:9" ht="14.25">
      <c r="B28" s="13" t="s">
        <v>86</v>
      </c>
      <c r="C28" s="100" t="s">
        <v>399</v>
      </c>
      <c r="D28" s="14" t="s">
        <v>396</v>
      </c>
      <c r="E28" s="50"/>
      <c r="F28" s="240">
        <v>40000</v>
      </c>
      <c r="G28" s="585"/>
      <c r="H28" s="363">
        <f t="shared" si="0"/>
        <v>0</v>
      </c>
      <c r="I28" s="332" t="s">
        <v>400</v>
      </c>
    </row>
    <row r="29" spans="2:9">
      <c r="B29" s="13"/>
      <c r="C29" s="100"/>
      <c r="D29" s="14"/>
      <c r="E29" s="50"/>
      <c r="F29" s="240"/>
      <c r="G29" s="585"/>
      <c r="H29" s="363" t="str">
        <f t="shared" si="0"/>
        <v/>
      </c>
    </row>
    <row r="30" spans="2:9" ht="14.25">
      <c r="B30" s="13" t="s">
        <v>117</v>
      </c>
      <c r="C30" s="100" t="s">
        <v>401</v>
      </c>
      <c r="D30" s="14" t="s">
        <v>396</v>
      </c>
      <c r="E30" s="50"/>
      <c r="F30" s="240">
        <v>7500</v>
      </c>
      <c r="G30" s="585"/>
      <c r="H30" s="363">
        <f t="shared" si="0"/>
        <v>0</v>
      </c>
      <c r="I30" s="332" t="s">
        <v>400</v>
      </c>
    </row>
    <row r="31" spans="2:9">
      <c r="B31" s="13"/>
      <c r="C31" s="14"/>
      <c r="D31" s="14"/>
      <c r="E31" s="14"/>
      <c r="F31" s="240"/>
      <c r="G31" s="586"/>
      <c r="H31" s="363" t="str">
        <f t="shared" si="0"/>
        <v/>
      </c>
      <c r="I31" s="284"/>
    </row>
    <row r="32" spans="2:9">
      <c r="B32" s="13"/>
      <c r="C32" s="14"/>
      <c r="D32" s="14"/>
      <c r="E32" s="14"/>
      <c r="F32" s="240"/>
      <c r="G32" s="586"/>
      <c r="H32" s="363" t="str">
        <f t="shared" si="0"/>
        <v/>
      </c>
      <c r="I32" s="284"/>
    </row>
    <row r="33" spans="2:9">
      <c r="B33" s="13"/>
      <c r="C33" s="14"/>
      <c r="D33" s="14"/>
      <c r="E33" s="14"/>
      <c r="F33" s="240"/>
      <c r="G33" s="587"/>
      <c r="H33" s="363" t="str">
        <f t="shared" si="0"/>
        <v/>
      </c>
      <c r="I33" s="285"/>
    </row>
    <row r="34" spans="2:9">
      <c r="B34" s="13"/>
      <c r="C34" s="14"/>
      <c r="D34" s="14"/>
      <c r="E34" s="14"/>
      <c r="F34" s="240"/>
      <c r="G34" s="410"/>
      <c r="H34" s="363" t="str">
        <f t="shared" si="0"/>
        <v/>
      </c>
      <c r="I34" s="284"/>
    </row>
    <row r="35" spans="2:9">
      <c r="B35" s="13"/>
      <c r="C35" s="252"/>
      <c r="D35" s="50"/>
      <c r="E35" s="50"/>
      <c r="F35" s="36"/>
      <c r="G35" s="351"/>
      <c r="H35" s="363"/>
    </row>
    <row r="36" spans="2:9">
      <c r="B36" s="13"/>
      <c r="C36" s="14"/>
      <c r="D36" s="14"/>
      <c r="E36" s="14"/>
      <c r="F36" s="22"/>
      <c r="G36" s="351"/>
      <c r="H36" s="363"/>
      <c r="I36" s="284"/>
    </row>
    <row r="37" spans="2:9">
      <c r="B37" s="13"/>
      <c r="C37" s="14"/>
      <c r="D37" s="14"/>
      <c r="E37" s="14"/>
      <c r="F37" s="22"/>
      <c r="G37" s="351"/>
      <c r="H37" s="363"/>
      <c r="I37" s="284"/>
    </row>
    <row r="38" spans="2:9">
      <c r="B38" s="13"/>
      <c r="C38" s="14"/>
      <c r="D38" s="14"/>
      <c r="E38" s="14"/>
      <c r="F38" s="22"/>
      <c r="G38" s="351"/>
      <c r="H38" s="363"/>
      <c r="I38" s="284"/>
    </row>
    <row r="39" spans="2:9" s="2" customFormat="1" ht="24.95" customHeight="1">
      <c r="B39" s="290" t="str">
        <f>B10</f>
        <v>C1.7</v>
      </c>
      <c r="C39" s="276" t="s">
        <v>125</v>
      </c>
      <c r="D39" s="287"/>
      <c r="E39" s="287"/>
      <c r="F39" s="31"/>
      <c r="G39" s="412"/>
      <c r="H39" s="364">
        <f>SUM(H11:H38)</f>
        <v>0</v>
      </c>
      <c r="I39" s="289"/>
    </row>
    <row r="65" spans="3:3">
      <c r="C65" s="3" t="s">
        <v>99</v>
      </c>
    </row>
    <row r="90" spans="6:6">
      <c r="F90" s="352"/>
    </row>
    <row r="91" spans="6:6">
      <c r="F91" s="352"/>
    </row>
    <row r="92" spans="6:6">
      <c r="F92" s="352"/>
    </row>
    <row r="93" spans="6:6">
      <c r="F93" s="352"/>
    </row>
    <row r="94" spans="6:6">
      <c r="F94" s="352"/>
    </row>
    <row r="95" spans="6:6">
      <c r="F95" s="352"/>
    </row>
    <row r="96" spans="6:6">
      <c r="F96" s="352"/>
    </row>
    <row r="97" spans="6:6">
      <c r="F97" s="352"/>
    </row>
    <row r="98" spans="6:6">
      <c r="F98" s="352"/>
    </row>
    <row r="99" spans="6:6">
      <c r="F99" s="352"/>
    </row>
  </sheetData>
  <sheetProtection algorithmName="SHA-512" hashValue="GIPyY/+Ut5Jj8MyzsCz9W9ldjgge6s2Afs7ufiYmIE3nuLqI0nOW14kABR3Vz8jliiq6BAH2XQneDUXP2eKlrw==" saltValue="KeYB5cuHgu0YiQ9XbnvB8w==" spinCount="100000" sheet="1" objects="1" scenarios="1"/>
  <mergeCells count="5">
    <mergeCell ref="F1:H1"/>
    <mergeCell ref="B5:G7"/>
    <mergeCell ref="H4:H7"/>
    <mergeCell ref="B4:G4"/>
    <mergeCell ref="I4:I8"/>
  </mergeCells>
  <phoneticPr fontId="17" type="noConversion"/>
  <pageMargins left="0.43307086614173229" right="0.31496062992125984" top="0.43307086614173229" bottom="0.62992125984251968" header="0.35433070866141736" footer="0.31496062992125984"/>
  <pageSetup paperSize="9" scale="55"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9">
    <tabColor rgb="FF00B0F0"/>
    <pageSetUpPr fitToPage="1"/>
  </sheetPr>
  <dimension ref="B1:L74"/>
  <sheetViews>
    <sheetView view="pageBreakPreview" zoomScaleNormal="100" zoomScaleSheetLayoutView="100" workbookViewId="0">
      <selection activeCell="C27" sqref="C27"/>
    </sheetView>
  </sheetViews>
  <sheetFormatPr defaultColWidth="8.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8.42578125" style="398" customWidth="1"/>
    <col min="8" max="8" width="21.28515625" style="399" customWidth="1"/>
    <col min="9" max="9" width="44.5703125" style="5" hidden="1" customWidth="1"/>
    <col min="10" max="36" width="0" style="1" hidden="1" customWidth="1"/>
    <col min="37" max="16384" width="8.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3"/>
    </row>
    <row r="4" spans="2:9" ht="12.75" customHeight="1">
      <c r="B4" s="695" t="s">
        <v>3196</v>
      </c>
      <c r="C4" s="696"/>
      <c r="D4" s="696"/>
      <c r="E4" s="696"/>
      <c r="F4" s="696"/>
      <c r="G4" s="696"/>
      <c r="H4" s="708" t="str">
        <f>"CHAPTER "&amp;B10</f>
        <v>CHAPTER C2.2</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09"/>
      <c r="I5" s="676"/>
    </row>
    <row r="6" spans="2:9" ht="12.75" customHeight="1">
      <c r="B6" s="690"/>
      <c r="C6" s="691"/>
      <c r="D6" s="691"/>
      <c r="E6" s="691"/>
      <c r="F6" s="691"/>
      <c r="G6" s="691"/>
      <c r="H6" s="709"/>
      <c r="I6" s="676"/>
    </row>
    <row r="7" spans="2:9" s="9" customFormat="1" ht="7.5" customHeight="1">
      <c r="B7" s="692"/>
      <c r="C7" s="693"/>
      <c r="D7" s="693"/>
      <c r="E7" s="693"/>
      <c r="F7" s="693"/>
      <c r="G7" s="693"/>
      <c r="H7" s="710"/>
      <c r="I7" s="676"/>
    </row>
    <row r="8" spans="2:9" s="9" customFormat="1" ht="24.95" customHeight="1">
      <c r="B8" s="10" t="s">
        <v>11</v>
      </c>
      <c r="C8" s="11" t="s">
        <v>12</v>
      </c>
      <c r="D8" s="11" t="s">
        <v>13</v>
      </c>
      <c r="E8" s="11" t="s">
        <v>14</v>
      </c>
      <c r="F8" s="11" t="s">
        <v>15</v>
      </c>
      <c r="G8" s="409" t="s">
        <v>16</v>
      </c>
      <c r="H8" s="364" t="s">
        <v>17</v>
      </c>
      <c r="I8" s="676"/>
    </row>
    <row r="9" spans="2:9">
      <c r="B9" s="48"/>
      <c r="C9" s="14"/>
      <c r="D9" s="15"/>
      <c r="E9" s="15"/>
      <c r="F9" s="15"/>
      <c r="G9" s="427"/>
      <c r="H9" s="367" t="str">
        <f t="shared" ref="H9:H18" si="0">IF(D9="","",F9*G9)</f>
        <v/>
      </c>
      <c r="I9" s="239"/>
    </row>
    <row r="10" spans="2:9">
      <c r="B10" s="69" t="s">
        <v>2999</v>
      </c>
      <c r="C10" s="20" t="s">
        <v>3000</v>
      </c>
      <c r="D10" s="15"/>
      <c r="E10" s="15"/>
      <c r="F10" s="15"/>
      <c r="G10" s="427"/>
      <c r="H10" s="367" t="str">
        <f t="shared" si="0"/>
        <v/>
      </c>
      <c r="I10" s="331" t="s">
        <v>3276</v>
      </c>
    </row>
    <row r="11" spans="2:9">
      <c r="B11" s="48"/>
      <c r="C11" s="14"/>
      <c r="D11" s="15"/>
      <c r="E11" s="15"/>
      <c r="F11" s="15"/>
      <c r="G11" s="427"/>
      <c r="H11" s="367" t="str">
        <f t="shared" si="0"/>
        <v/>
      </c>
      <c r="I11" s="239"/>
    </row>
    <row r="12" spans="2:9" ht="25.5">
      <c r="B12" s="48" t="s">
        <v>3018</v>
      </c>
      <c r="C12" s="14" t="s">
        <v>3019</v>
      </c>
      <c r="D12" s="22"/>
      <c r="E12" s="15"/>
      <c r="F12" s="249"/>
      <c r="G12" s="377"/>
      <c r="H12" s="363" t="str">
        <f t="shared" si="0"/>
        <v/>
      </c>
      <c r="I12" s="239"/>
    </row>
    <row r="13" spans="2:9">
      <c r="B13" s="59"/>
      <c r="C13" s="14"/>
      <c r="D13" s="15"/>
      <c r="E13" s="15"/>
      <c r="F13" s="15"/>
      <c r="G13" s="427"/>
      <c r="H13" s="363" t="str">
        <f t="shared" si="0"/>
        <v/>
      </c>
      <c r="I13" s="239"/>
    </row>
    <row r="14" spans="2:9" ht="25.5">
      <c r="B14" s="48" t="s">
        <v>3020</v>
      </c>
      <c r="C14" s="14" t="s">
        <v>3277</v>
      </c>
      <c r="D14" s="22" t="s">
        <v>85</v>
      </c>
      <c r="E14" s="22"/>
      <c r="F14" s="22">
        <v>10</v>
      </c>
      <c r="G14" s="587"/>
      <c r="H14" s="363">
        <f t="shared" si="0"/>
        <v>0</v>
      </c>
      <c r="I14" s="248"/>
    </row>
    <row r="15" spans="2:9">
      <c r="B15" s="48"/>
      <c r="C15" s="14"/>
      <c r="D15" s="22"/>
      <c r="E15" s="15"/>
      <c r="F15" s="15"/>
      <c r="G15" s="607"/>
      <c r="H15" s="363"/>
      <c r="I15" s="248"/>
    </row>
    <row r="16" spans="2:9" ht="25.5">
      <c r="B16" s="48" t="s">
        <v>3278</v>
      </c>
      <c r="C16" s="14" t="s">
        <v>3279</v>
      </c>
      <c r="D16" s="22" t="s">
        <v>85</v>
      </c>
      <c r="E16" s="22"/>
      <c r="F16" s="22">
        <v>12</v>
      </c>
      <c r="G16" s="587"/>
      <c r="H16" s="363">
        <f t="shared" ref="H16" si="1">IF(D16="","",F16*G16)</f>
        <v>0</v>
      </c>
      <c r="I16" s="248"/>
    </row>
    <row r="17" spans="2:12">
      <c r="B17" s="48"/>
      <c r="C17" s="14"/>
      <c r="D17" s="22"/>
      <c r="E17" s="22"/>
      <c r="F17" s="22"/>
      <c r="G17" s="587"/>
      <c r="H17" s="363" t="str">
        <f t="shared" si="0"/>
        <v/>
      </c>
      <c r="I17" s="239"/>
    </row>
    <row r="18" spans="2:12" ht="25.5">
      <c r="B18" s="48" t="s">
        <v>3280</v>
      </c>
      <c r="C18" s="14" t="s">
        <v>3281</v>
      </c>
      <c r="D18" s="22" t="s">
        <v>85</v>
      </c>
      <c r="E18" s="22"/>
      <c r="F18" s="22">
        <v>4</v>
      </c>
      <c r="G18" s="587"/>
      <c r="H18" s="363">
        <f t="shared" si="0"/>
        <v>0</v>
      </c>
      <c r="I18" s="239"/>
      <c r="K18" s="1">
        <f>0.5*3*4</f>
        <v>6</v>
      </c>
      <c r="L18" s="1">
        <f>K18*21</f>
        <v>126</v>
      </c>
    </row>
    <row r="19" spans="2:12">
      <c r="B19" s="48"/>
      <c r="C19" s="14"/>
      <c r="D19" s="22"/>
      <c r="E19" s="22"/>
      <c r="F19" s="22"/>
      <c r="G19" s="587"/>
      <c r="H19" s="363"/>
      <c r="I19" s="239"/>
    </row>
    <row r="20" spans="2:12" ht="25.5">
      <c r="B20" s="48" t="s">
        <v>3282</v>
      </c>
      <c r="C20" s="14" t="s">
        <v>3283</v>
      </c>
      <c r="D20" s="22" t="s">
        <v>1236</v>
      </c>
      <c r="E20" s="22"/>
      <c r="F20" s="22">
        <v>13</v>
      </c>
      <c r="G20" s="587"/>
      <c r="H20" s="363">
        <f>G20*F20</f>
        <v>0</v>
      </c>
      <c r="I20" s="239"/>
    </row>
    <row r="21" spans="2:12">
      <c r="B21" s="48"/>
      <c r="C21" s="14"/>
      <c r="D21" s="22"/>
      <c r="E21" s="22"/>
      <c r="F21" s="22"/>
      <c r="G21" s="587"/>
      <c r="H21" s="363"/>
      <c r="I21" s="251"/>
    </row>
    <row r="22" spans="2:12">
      <c r="B22" s="48" t="s">
        <v>3284</v>
      </c>
      <c r="C22" s="14" t="s">
        <v>3285</v>
      </c>
      <c r="D22" s="22" t="s">
        <v>782</v>
      </c>
      <c r="E22" s="22"/>
      <c r="F22" s="22">
        <v>150</v>
      </c>
      <c r="G22" s="587"/>
      <c r="H22" s="363">
        <f t="shared" ref="H22" si="2">IF(D22="","",F22*G22)</f>
        <v>0</v>
      </c>
      <c r="I22" s="64"/>
    </row>
    <row r="23" spans="2:12">
      <c r="B23" s="48"/>
      <c r="C23" s="14"/>
      <c r="D23" s="22"/>
      <c r="E23" s="22"/>
      <c r="F23" s="22"/>
      <c r="G23" s="587"/>
      <c r="H23" s="363"/>
      <c r="I23" s="64"/>
    </row>
    <row r="24" spans="2:12">
      <c r="B24" s="48"/>
      <c r="C24" s="14"/>
      <c r="D24" s="22"/>
      <c r="E24" s="22"/>
      <c r="F24" s="22"/>
      <c r="G24" s="587"/>
      <c r="H24" s="363"/>
      <c r="I24" s="239"/>
    </row>
    <row r="25" spans="2:12" ht="25.5">
      <c r="B25" s="48"/>
      <c r="C25" s="20" t="s">
        <v>3236</v>
      </c>
      <c r="D25" s="22"/>
      <c r="E25" s="22"/>
      <c r="F25" s="22"/>
      <c r="G25" s="587"/>
      <c r="H25" s="363"/>
      <c r="I25" s="248"/>
    </row>
    <row r="26" spans="2:12">
      <c r="B26" s="48"/>
      <c r="C26" s="14"/>
      <c r="D26" s="22"/>
      <c r="E26" s="22"/>
      <c r="F26" s="22"/>
      <c r="G26" s="587"/>
      <c r="H26" s="363"/>
      <c r="I26" s="248"/>
    </row>
    <row r="27" spans="2:12" ht="25.5">
      <c r="B27" s="48" t="s">
        <v>3286</v>
      </c>
      <c r="C27" s="14" t="s">
        <v>3287</v>
      </c>
      <c r="D27" s="22"/>
      <c r="E27" s="22"/>
      <c r="F27" s="22"/>
      <c r="G27" s="587"/>
      <c r="H27" s="363"/>
      <c r="I27" s="248"/>
    </row>
    <row r="28" spans="2:12">
      <c r="B28" s="48"/>
      <c r="C28" s="14"/>
      <c r="D28" s="22"/>
      <c r="E28" s="22"/>
      <c r="F28" s="22"/>
      <c r="G28" s="587"/>
      <c r="H28" s="363"/>
      <c r="I28" s="248"/>
    </row>
    <row r="29" spans="2:12" ht="25.5">
      <c r="B29" s="48" t="s">
        <v>3288</v>
      </c>
      <c r="C29" s="14" t="s">
        <v>3289</v>
      </c>
      <c r="D29" s="22" t="s">
        <v>1403</v>
      </c>
      <c r="E29" s="22"/>
      <c r="F29" s="22">
        <v>100</v>
      </c>
      <c r="G29" s="587"/>
      <c r="H29" s="363">
        <f t="shared" ref="H29:H31" si="3">IF(D29="","",F29*G29)</f>
        <v>0</v>
      </c>
      <c r="I29" s="248"/>
    </row>
    <row r="30" spans="2:12">
      <c r="B30" s="48"/>
      <c r="C30" s="14"/>
      <c r="D30" s="22"/>
      <c r="E30" s="22"/>
      <c r="F30" s="22"/>
      <c r="G30" s="587"/>
      <c r="H30" s="363" t="str">
        <f t="shared" si="3"/>
        <v/>
      </c>
      <c r="I30" s="248"/>
    </row>
    <row r="31" spans="2:12" ht="25.5">
      <c r="B31" s="48" t="s">
        <v>3290</v>
      </c>
      <c r="C31" s="14" t="s">
        <v>3291</v>
      </c>
      <c r="D31" s="22" t="s">
        <v>1403</v>
      </c>
      <c r="E31" s="22"/>
      <c r="F31" s="22">
        <v>150</v>
      </c>
      <c r="G31" s="587"/>
      <c r="H31" s="363">
        <f t="shared" si="3"/>
        <v>0</v>
      </c>
      <c r="I31" s="248"/>
    </row>
    <row r="32" spans="2:12">
      <c r="B32" s="48"/>
      <c r="C32" s="14"/>
      <c r="D32" s="22"/>
      <c r="E32" s="22"/>
      <c r="F32" s="22"/>
      <c r="G32" s="587"/>
      <c r="H32" s="363"/>
      <c r="I32" s="248"/>
    </row>
    <row r="33" spans="2:9">
      <c r="B33" s="48" t="s">
        <v>3292</v>
      </c>
      <c r="C33" s="14" t="s">
        <v>3293</v>
      </c>
      <c r="D33" s="22" t="s">
        <v>1403</v>
      </c>
      <c r="E33" s="22"/>
      <c r="F33" s="22">
        <v>300</v>
      </c>
      <c r="G33" s="587"/>
      <c r="H33" s="363">
        <f>G33*F33</f>
        <v>0</v>
      </c>
      <c r="I33" s="248"/>
    </row>
    <row r="34" spans="2:9">
      <c r="B34" s="48"/>
      <c r="C34" s="14"/>
      <c r="D34" s="22"/>
      <c r="E34" s="22"/>
      <c r="F34" s="22"/>
      <c r="G34" s="587"/>
      <c r="H34" s="363"/>
      <c r="I34" s="239"/>
    </row>
    <row r="35" spans="2:9" ht="38.25">
      <c r="B35" s="48" t="s">
        <v>3024</v>
      </c>
      <c r="C35" s="14" t="s">
        <v>3294</v>
      </c>
      <c r="D35" s="22"/>
      <c r="E35" s="22"/>
      <c r="F35" s="22"/>
      <c r="G35" s="587"/>
      <c r="H35" s="363"/>
      <c r="I35" s="239"/>
    </row>
    <row r="36" spans="2:9">
      <c r="B36" s="48"/>
      <c r="C36" s="14"/>
      <c r="D36" s="22"/>
      <c r="E36" s="22"/>
      <c r="F36" s="22"/>
      <c r="G36" s="587"/>
      <c r="H36" s="363"/>
      <c r="I36" s="239"/>
    </row>
    <row r="37" spans="2:9">
      <c r="B37" s="48" t="s">
        <v>83</v>
      </c>
      <c r="C37" s="14" t="s">
        <v>3295</v>
      </c>
      <c r="D37" s="22" t="s">
        <v>145</v>
      </c>
      <c r="E37" s="22"/>
      <c r="F37" s="22">
        <v>550</v>
      </c>
      <c r="G37" s="587"/>
      <c r="H37" s="363">
        <f>G37*F37</f>
        <v>0</v>
      </c>
      <c r="I37" s="239"/>
    </row>
    <row r="38" spans="2:9">
      <c r="B38" s="48"/>
      <c r="C38" s="14"/>
      <c r="D38" s="22"/>
      <c r="E38" s="22"/>
      <c r="F38" s="22"/>
      <c r="G38" s="587"/>
      <c r="H38" s="363"/>
      <c r="I38" s="239"/>
    </row>
    <row r="39" spans="2:9">
      <c r="B39" s="48" t="s">
        <v>86</v>
      </c>
      <c r="C39" s="14" t="s">
        <v>3296</v>
      </c>
      <c r="D39" s="22" t="s">
        <v>145</v>
      </c>
      <c r="E39" s="22"/>
      <c r="F39" s="22">
        <v>100</v>
      </c>
      <c r="G39" s="587"/>
      <c r="H39" s="363">
        <f>G39*F39</f>
        <v>0</v>
      </c>
      <c r="I39" s="239"/>
    </row>
    <row r="40" spans="2:9">
      <c r="B40" s="48"/>
      <c r="C40" s="14"/>
      <c r="D40" s="22"/>
      <c r="E40" s="22"/>
      <c r="F40" s="22"/>
      <c r="G40" s="587"/>
      <c r="H40" s="363"/>
      <c r="I40" s="239"/>
    </row>
    <row r="41" spans="2:9">
      <c r="B41" s="48"/>
      <c r="C41" s="14"/>
      <c r="D41" s="22"/>
      <c r="E41" s="22"/>
      <c r="F41" s="22"/>
      <c r="G41" s="587"/>
      <c r="H41" s="363"/>
      <c r="I41" s="239"/>
    </row>
    <row r="42" spans="2:9" ht="25.5">
      <c r="B42" s="48" t="s">
        <v>3026</v>
      </c>
      <c r="C42" s="14" t="s">
        <v>3297</v>
      </c>
      <c r="D42" s="22"/>
      <c r="E42" s="22"/>
      <c r="F42" s="22"/>
      <c r="G42" s="587"/>
      <c r="H42" s="363"/>
      <c r="I42" s="239"/>
    </row>
    <row r="43" spans="2:9">
      <c r="B43" s="48"/>
      <c r="C43" s="14"/>
      <c r="D43" s="22"/>
      <c r="E43" s="22"/>
      <c r="F43" s="22"/>
      <c r="G43" s="587"/>
      <c r="H43" s="363"/>
      <c r="I43" s="239"/>
    </row>
    <row r="44" spans="2:9">
      <c r="B44" s="48" t="s">
        <v>83</v>
      </c>
      <c r="C44" s="14" t="s">
        <v>2281</v>
      </c>
      <c r="D44" s="22" t="s">
        <v>903</v>
      </c>
      <c r="E44" s="22"/>
      <c r="F44" s="22">
        <v>3</v>
      </c>
      <c r="G44" s="587"/>
      <c r="H44" s="363">
        <f>G44*F44</f>
        <v>0</v>
      </c>
      <c r="I44" s="239"/>
    </row>
    <row r="45" spans="2:9">
      <c r="B45" s="48"/>
      <c r="C45" s="14"/>
      <c r="D45" s="22"/>
      <c r="E45" s="22"/>
      <c r="F45" s="22"/>
      <c r="G45" s="587"/>
      <c r="H45" s="363"/>
      <c r="I45" s="64"/>
    </row>
    <row r="46" spans="2:9">
      <c r="B46" s="48" t="s">
        <v>86</v>
      </c>
      <c r="C46" s="14" t="s">
        <v>3298</v>
      </c>
      <c r="D46" s="22" t="s">
        <v>903</v>
      </c>
      <c r="E46" s="22"/>
      <c r="F46" s="22">
        <v>25</v>
      </c>
      <c r="G46" s="587"/>
      <c r="H46" s="363">
        <f>G46*F46</f>
        <v>0</v>
      </c>
      <c r="I46" s="239"/>
    </row>
    <row r="47" spans="2:9">
      <c r="B47" s="48"/>
      <c r="C47" s="14"/>
      <c r="D47" s="22"/>
      <c r="E47" s="22"/>
      <c r="F47" s="22"/>
      <c r="G47" s="587"/>
      <c r="H47" s="363"/>
      <c r="I47" s="67"/>
    </row>
    <row r="48" spans="2:9" ht="25.5">
      <c r="B48" s="48" t="s">
        <v>3028</v>
      </c>
      <c r="C48" s="14" t="s">
        <v>2356</v>
      </c>
      <c r="D48" s="22"/>
      <c r="E48" s="22"/>
      <c r="F48" s="22"/>
      <c r="G48" s="587"/>
      <c r="H48" s="363"/>
      <c r="I48" s="64"/>
    </row>
    <row r="49" spans="2:9">
      <c r="B49" s="48"/>
      <c r="C49" s="14"/>
      <c r="D49" s="22"/>
      <c r="E49" s="22"/>
      <c r="F49" s="22"/>
      <c r="G49" s="587"/>
      <c r="H49" s="363"/>
      <c r="I49" s="239"/>
    </row>
    <row r="50" spans="2:9" ht="38.25">
      <c r="B50" s="48" t="s">
        <v>83</v>
      </c>
      <c r="C50" s="14" t="s">
        <v>3299</v>
      </c>
      <c r="D50" s="22" t="s">
        <v>478</v>
      </c>
      <c r="E50" s="22"/>
      <c r="F50" s="22">
        <v>239</v>
      </c>
      <c r="G50" s="587"/>
      <c r="H50" s="363">
        <f>G50*F50</f>
        <v>0</v>
      </c>
      <c r="I50" s="239"/>
    </row>
    <row r="51" spans="2:9">
      <c r="B51" s="48"/>
      <c r="C51" s="14"/>
      <c r="D51" s="22"/>
      <c r="E51" s="22"/>
      <c r="F51" s="22"/>
      <c r="G51" s="587"/>
      <c r="H51" s="363"/>
      <c r="I51" s="239"/>
    </row>
    <row r="52" spans="2:9" ht="25.5">
      <c r="B52" s="48" t="s">
        <v>86</v>
      </c>
      <c r="C52" s="14" t="s">
        <v>3300</v>
      </c>
      <c r="D52" s="22" t="s">
        <v>478</v>
      </c>
      <c r="E52" s="22"/>
      <c r="F52" s="22">
        <v>250</v>
      </c>
      <c r="G52" s="587"/>
      <c r="H52" s="363">
        <f>G52*F52</f>
        <v>0</v>
      </c>
      <c r="I52" s="239"/>
    </row>
    <row r="53" spans="2:9">
      <c r="B53" s="48"/>
      <c r="C53" s="14"/>
      <c r="D53" s="22"/>
      <c r="E53" s="22"/>
      <c r="F53" s="22"/>
      <c r="G53" s="587"/>
      <c r="H53" s="363"/>
      <c r="I53" s="239"/>
    </row>
    <row r="54" spans="2:9" ht="51">
      <c r="B54" s="48" t="s">
        <v>3301</v>
      </c>
      <c r="C54" s="14" t="s">
        <v>3302</v>
      </c>
      <c r="D54" s="22" t="s">
        <v>145</v>
      </c>
      <c r="E54" s="22"/>
      <c r="F54" s="22">
        <v>500</v>
      </c>
      <c r="G54" s="587"/>
      <c r="H54" s="363">
        <f>G54*F54</f>
        <v>0</v>
      </c>
    </row>
    <row r="55" spans="2:9">
      <c r="B55" s="48"/>
      <c r="C55" s="14"/>
      <c r="D55" s="22"/>
      <c r="E55" s="22"/>
      <c r="F55" s="22"/>
      <c r="G55" s="587"/>
      <c r="H55" s="363"/>
    </row>
    <row r="56" spans="2:9" ht="25.5">
      <c r="B56" s="48" t="s">
        <v>3303</v>
      </c>
      <c r="C56" s="14" t="s">
        <v>3304</v>
      </c>
      <c r="D56" s="15" t="s">
        <v>347</v>
      </c>
      <c r="E56" s="15"/>
      <c r="F56" s="15">
        <v>20</v>
      </c>
      <c r="G56" s="593"/>
      <c r="H56" s="367">
        <f>G56*F56</f>
        <v>0</v>
      </c>
    </row>
    <row r="57" spans="2:9">
      <c r="B57" s="48"/>
      <c r="C57" s="14"/>
      <c r="D57" s="22"/>
      <c r="E57" s="15"/>
      <c r="F57" s="15"/>
      <c r="G57" s="427"/>
      <c r="H57" s="367"/>
    </row>
    <row r="58" spans="2:9">
      <c r="B58" s="48"/>
      <c r="C58" s="14"/>
      <c r="D58" s="15"/>
      <c r="E58" s="15"/>
      <c r="F58" s="15"/>
      <c r="G58" s="427"/>
      <c r="H58" s="367"/>
    </row>
    <row r="59" spans="2:9">
      <c r="B59" s="48"/>
      <c r="C59" s="14"/>
      <c r="D59" s="22"/>
      <c r="E59" s="22"/>
      <c r="F59" s="240"/>
      <c r="G59" s="351"/>
      <c r="H59" s="363"/>
    </row>
    <row r="60" spans="2:9">
      <c r="B60" s="48"/>
      <c r="C60" s="14"/>
      <c r="D60" s="15"/>
      <c r="E60" s="15"/>
      <c r="F60" s="249"/>
      <c r="G60" s="427"/>
      <c r="H60" s="363"/>
    </row>
    <row r="61" spans="2:9">
      <c r="B61" s="48"/>
      <c r="C61" s="14"/>
      <c r="D61" s="22"/>
      <c r="E61" s="15"/>
      <c r="F61" s="249"/>
      <c r="G61" s="377"/>
      <c r="H61" s="363"/>
    </row>
    <row r="62" spans="2:9">
      <c r="B62" s="48"/>
      <c r="C62" s="14"/>
      <c r="D62" s="15"/>
      <c r="E62" s="15"/>
      <c r="F62" s="249"/>
      <c r="G62" s="427"/>
      <c r="H62" s="363"/>
    </row>
    <row r="63" spans="2:9">
      <c r="B63" s="48"/>
      <c r="C63" s="100"/>
      <c r="D63" s="22"/>
      <c r="E63" s="62"/>
      <c r="F63" s="249"/>
      <c r="G63" s="429"/>
      <c r="H63" s="363"/>
    </row>
    <row r="64" spans="2:9">
      <c r="B64" s="48"/>
      <c r="C64" s="14"/>
      <c r="D64" s="15"/>
      <c r="E64" s="62"/>
      <c r="F64" s="249"/>
      <c r="G64" s="429"/>
      <c r="H64" s="363"/>
    </row>
    <row r="65" spans="2:9">
      <c r="B65" s="48"/>
      <c r="C65" s="14"/>
      <c r="D65" s="22"/>
      <c r="E65" s="62"/>
      <c r="F65" s="249"/>
      <c r="G65" s="378"/>
      <c r="H65" s="363"/>
    </row>
    <row r="66" spans="2:9">
      <c r="B66" s="48"/>
      <c r="C66" s="14"/>
      <c r="D66" s="15"/>
      <c r="E66" s="62"/>
      <c r="F66" s="249"/>
      <c r="G66" s="429"/>
      <c r="H66" s="363"/>
    </row>
    <row r="67" spans="2:9">
      <c r="B67" s="48"/>
      <c r="C67" s="14"/>
      <c r="D67" s="22"/>
      <c r="E67" s="62"/>
      <c r="F67" s="249"/>
      <c r="G67" s="377"/>
      <c r="H67" s="363"/>
    </row>
    <row r="68" spans="2:9">
      <c r="B68" s="48"/>
      <c r="C68" s="14"/>
      <c r="D68" s="15"/>
      <c r="E68" s="62"/>
      <c r="F68" s="249"/>
      <c r="G68" s="429"/>
      <c r="H68" s="363"/>
    </row>
    <row r="69" spans="2:9">
      <c r="B69" s="48"/>
      <c r="C69" s="14"/>
      <c r="D69" s="22"/>
      <c r="E69" s="15"/>
      <c r="F69" s="249"/>
      <c r="G69" s="427"/>
      <c r="H69" s="363"/>
    </row>
    <row r="70" spans="2:9">
      <c r="B70" s="48"/>
      <c r="C70" s="14"/>
      <c r="D70" s="15"/>
      <c r="E70" s="15"/>
      <c r="F70" s="249"/>
      <c r="G70" s="427"/>
      <c r="H70" s="363"/>
    </row>
    <row r="71" spans="2:9">
      <c r="B71" s="48"/>
      <c r="C71" s="14"/>
      <c r="D71" s="22"/>
      <c r="E71" s="15"/>
      <c r="F71" s="249"/>
      <c r="G71" s="378"/>
      <c r="H71" s="363"/>
    </row>
    <row r="72" spans="2:9">
      <c r="B72" s="48"/>
      <c r="C72" s="14"/>
      <c r="D72" s="22"/>
      <c r="E72" s="15"/>
      <c r="F72" s="249"/>
      <c r="G72" s="378"/>
      <c r="H72" s="363"/>
    </row>
    <row r="73" spans="2:9">
      <c r="B73" s="48"/>
      <c r="C73" s="14"/>
      <c r="D73" s="15"/>
      <c r="E73" s="15"/>
      <c r="F73" s="249"/>
      <c r="G73" s="378"/>
      <c r="H73" s="363" t="str">
        <f t="shared" ref="H73" si="4">IF(D73="","",F73*G73)</f>
        <v/>
      </c>
    </row>
    <row r="74" spans="2:9" s="28" customFormat="1" ht="20.100000000000001" customHeight="1">
      <c r="B74" s="101" t="str">
        <f>$B$10</f>
        <v>C2.2</v>
      </c>
      <c r="C74" s="29" t="s">
        <v>99</v>
      </c>
      <c r="D74" s="30"/>
      <c r="E74" s="30"/>
      <c r="F74" s="31"/>
      <c r="G74" s="412"/>
      <c r="H74" s="364">
        <f>SUM(H9:H73)</f>
        <v>0</v>
      </c>
      <c r="I74" s="236"/>
    </row>
  </sheetData>
  <sheetProtection algorithmName="SHA-512" hashValue="dgIqbmjcksRtHUTm+BIs4oHlo/hzyUfVhHeqc8UYpn0KLoCIMTEwG0vnJ5h0csfg4N7sFwEZGaaPPQuoXwIC0Q==" saltValue="xhsLjHus/72bTUvuyJkgoA==" spinCount="100000" sheet="1" objects="1" scenarios="1"/>
  <mergeCells count="5">
    <mergeCell ref="F1:H1"/>
    <mergeCell ref="H4:H7"/>
    <mergeCell ref="B4:G4"/>
    <mergeCell ref="B5:G7"/>
    <mergeCell ref="I4:I8"/>
  </mergeCells>
  <pageMargins left="0.43307086614173229" right="0.31496062992125984" top="0.43307086614173229" bottom="0.62992125984251968" header="0.35433070866141736" footer="0.31496062992125984"/>
  <pageSetup paperSize="9" scale="72" firstPageNumber="31"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A12C-C665-461E-AA39-C5FBCDBE84F0}">
  <sheetPr codeName="Sheet109">
    <tabColor rgb="FF00B0F0"/>
  </sheetPr>
  <dimension ref="B1:R41"/>
  <sheetViews>
    <sheetView view="pageBreakPreview" topLeftCell="A7" zoomScaleNormal="100" zoomScaleSheetLayoutView="100" workbookViewId="0">
      <selection activeCell="G35" sqref="G35"/>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15.7109375" style="399" customWidth="1"/>
    <col min="9" max="9" width="44.42578125" style="5" hidden="1" customWidth="1"/>
    <col min="10" max="12" width="0" style="1" hidden="1" customWidth="1"/>
    <col min="13" max="13" width="9" style="1" hidden="1" customWidth="1"/>
    <col min="14" max="36" width="0" style="1" hidden="1" customWidth="1"/>
    <col min="37" max="16384" width="6.85546875" style="1"/>
  </cols>
  <sheetData>
    <row r="1" spans="2:18">
      <c r="B1" s="2" t="str">
        <f>Client1</f>
        <v>AIRPORTS COMPANY - SOUTH AFRICA</v>
      </c>
      <c r="F1" s="676" t="str">
        <f>"Contract No. "&amp;ContractNo</f>
        <v>Contract No. KSIA7806/2025/RFP</v>
      </c>
      <c r="G1" s="676"/>
      <c r="H1" s="676"/>
    </row>
    <row r="2" spans="2:18">
      <c r="B2" s="90" t="str">
        <f>Client2</f>
        <v>ACSA</v>
      </c>
    </row>
    <row r="3" spans="2:18">
      <c r="B3" s="71"/>
      <c r="C3" s="71"/>
      <c r="D3" s="72"/>
      <c r="E3" s="72"/>
      <c r="F3" s="72"/>
      <c r="G3" s="400"/>
      <c r="H3" s="401"/>
    </row>
    <row r="4" spans="2:18">
      <c r="B4" s="695" t="s">
        <v>3196</v>
      </c>
      <c r="C4" s="696"/>
      <c r="D4" s="696"/>
      <c r="E4" s="696"/>
      <c r="F4" s="696"/>
      <c r="G4" s="696"/>
      <c r="H4" s="742" t="str">
        <f>"CHAPTER "&amp;B10</f>
        <v>CHAPTER C4.2</v>
      </c>
      <c r="I4" s="676" t="s">
        <v>100</v>
      </c>
    </row>
    <row r="5" spans="2:18"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18" ht="12.75" customHeight="1">
      <c r="B6" s="690"/>
      <c r="C6" s="691"/>
      <c r="D6" s="691"/>
      <c r="E6" s="691"/>
      <c r="F6" s="691"/>
      <c r="G6" s="691"/>
      <c r="H6" s="743"/>
      <c r="I6" s="676"/>
    </row>
    <row r="7" spans="2:18" ht="14.25" customHeight="1">
      <c r="B7" s="692"/>
      <c r="C7" s="693"/>
      <c r="D7" s="693"/>
      <c r="E7" s="693"/>
      <c r="F7" s="693"/>
      <c r="G7" s="693"/>
      <c r="H7" s="744"/>
      <c r="I7" s="676"/>
    </row>
    <row r="8" spans="2:18" s="9" customFormat="1" ht="24.95" customHeight="1">
      <c r="B8" s="10" t="s">
        <v>11</v>
      </c>
      <c r="C8" s="11" t="s">
        <v>12</v>
      </c>
      <c r="D8" s="11" t="s">
        <v>13</v>
      </c>
      <c r="E8" s="11" t="s">
        <v>14</v>
      </c>
      <c r="F8" s="11" t="s">
        <v>15</v>
      </c>
      <c r="G8" s="409" t="s">
        <v>16</v>
      </c>
      <c r="H8" s="364" t="s">
        <v>17</v>
      </c>
      <c r="I8" s="676"/>
    </row>
    <row r="9" spans="2:18">
      <c r="B9" s="105"/>
      <c r="C9" s="52"/>
      <c r="D9" s="78"/>
      <c r="E9" s="15"/>
      <c r="F9" s="15"/>
      <c r="G9" s="427"/>
      <c r="H9" s="367" t="str">
        <f>IF(D9="","",F9*G9)</f>
        <v/>
      </c>
      <c r="I9" s="239"/>
    </row>
    <row r="10" spans="2:18">
      <c r="B10" s="69" t="s">
        <v>765</v>
      </c>
      <c r="C10" s="7" t="s">
        <v>766</v>
      </c>
      <c r="D10" s="15"/>
      <c r="E10" s="15"/>
      <c r="F10" s="15"/>
      <c r="G10" s="427"/>
      <c r="H10" s="367" t="str">
        <f t="shared" ref="H10:H40" si="0">IF(D10="","",F10*G10)</f>
        <v/>
      </c>
      <c r="I10" s="239"/>
    </row>
    <row r="11" spans="2:18">
      <c r="B11" s="48"/>
      <c r="C11" s="52"/>
      <c r="D11" s="15"/>
      <c r="E11" s="15"/>
      <c r="F11" s="15"/>
      <c r="G11" s="427"/>
      <c r="H11" s="367" t="str">
        <f t="shared" si="0"/>
        <v/>
      </c>
      <c r="I11" s="239"/>
    </row>
    <row r="12" spans="2:18">
      <c r="B12" s="21"/>
      <c r="C12" s="52"/>
      <c r="D12" s="22"/>
      <c r="E12" s="22"/>
      <c r="F12" s="22"/>
      <c r="G12" s="410"/>
      <c r="H12" s="363" t="str">
        <f t="shared" si="0"/>
        <v/>
      </c>
      <c r="I12" s="277"/>
    </row>
    <row r="13" spans="2:18" ht="25.5">
      <c r="B13" s="106" t="s">
        <v>767</v>
      </c>
      <c r="C13" s="55" t="s">
        <v>768</v>
      </c>
      <c r="D13" s="22"/>
      <c r="E13" s="22"/>
      <c r="F13" s="240"/>
      <c r="G13" s="351"/>
      <c r="H13" s="367" t="str">
        <f t="shared" si="0"/>
        <v/>
      </c>
      <c r="I13" s="278"/>
      <c r="L13" s="1" t="s">
        <v>3305</v>
      </c>
      <c r="Q13" s="1" t="s">
        <v>3306</v>
      </c>
    </row>
    <row r="14" spans="2:18">
      <c r="B14" s="89"/>
      <c r="D14" s="22"/>
      <c r="E14" s="22"/>
      <c r="F14" s="240"/>
      <c r="G14" s="410"/>
      <c r="H14" s="363" t="str">
        <f t="shared" si="0"/>
        <v/>
      </c>
      <c r="I14" s="278"/>
      <c r="Q14" s="1">
        <v>7000</v>
      </c>
      <c r="R14" s="1" t="s">
        <v>3307</v>
      </c>
    </row>
    <row r="15" spans="2:18">
      <c r="B15" s="36" t="s">
        <v>769</v>
      </c>
      <c r="C15" s="1" t="s">
        <v>770</v>
      </c>
      <c r="D15" s="22" t="s">
        <v>724</v>
      </c>
      <c r="E15" s="22"/>
      <c r="F15" s="240">
        <v>20000</v>
      </c>
      <c r="G15" s="586"/>
      <c r="H15" s="363">
        <f t="shared" si="0"/>
        <v>0</v>
      </c>
      <c r="I15" s="332" t="s">
        <v>3308</v>
      </c>
      <c r="L15" s="240">
        <v>43000</v>
      </c>
      <c r="M15" s="428"/>
      <c r="Q15" s="1" t="s">
        <v>3309</v>
      </c>
    </row>
    <row r="16" spans="2:18">
      <c r="B16" s="89"/>
      <c r="D16" s="36"/>
      <c r="E16" s="22"/>
      <c r="F16" s="240"/>
      <c r="G16" s="586"/>
      <c r="H16" s="363" t="str">
        <f t="shared" si="0"/>
        <v/>
      </c>
      <c r="I16" s="277"/>
      <c r="L16" s="240"/>
    </row>
    <row r="17" spans="2:12">
      <c r="B17" s="36" t="s">
        <v>771</v>
      </c>
      <c r="C17" s="1" t="s">
        <v>772</v>
      </c>
      <c r="D17" s="22" t="s">
        <v>724</v>
      </c>
      <c r="E17" s="22"/>
      <c r="F17" s="240">
        <v>500</v>
      </c>
      <c r="G17" s="586"/>
      <c r="H17" s="363">
        <f t="shared" si="0"/>
        <v>0</v>
      </c>
      <c r="I17" s="277"/>
      <c r="L17" s="240">
        <v>1000</v>
      </c>
    </row>
    <row r="18" spans="2:12">
      <c r="B18" s="36"/>
      <c r="C18" s="1"/>
      <c r="D18" s="22"/>
      <c r="E18" s="22"/>
      <c r="F18" s="240"/>
      <c r="G18" s="586"/>
      <c r="H18" s="363" t="str">
        <f t="shared" si="0"/>
        <v/>
      </c>
      <c r="I18" s="279"/>
      <c r="L18" s="240"/>
    </row>
    <row r="19" spans="2:12">
      <c r="B19" s="36" t="s">
        <v>773</v>
      </c>
      <c r="C19" s="1" t="s">
        <v>774</v>
      </c>
      <c r="D19" s="22" t="s">
        <v>724</v>
      </c>
      <c r="E19" s="22"/>
      <c r="F19" s="240">
        <v>500</v>
      </c>
      <c r="G19" s="586"/>
      <c r="H19" s="363">
        <f t="shared" si="0"/>
        <v>0</v>
      </c>
      <c r="L19" s="240">
        <v>1000</v>
      </c>
    </row>
    <row r="20" spans="2:12">
      <c r="B20" s="89"/>
      <c r="D20" s="36"/>
      <c r="E20" s="22"/>
      <c r="F20" s="240"/>
      <c r="G20" s="586"/>
      <c r="H20" s="363" t="str">
        <f t="shared" si="0"/>
        <v/>
      </c>
      <c r="L20" s="240"/>
    </row>
    <row r="21" spans="2:12">
      <c r="B21" s="36" t="s">
        <v>775</v>
      </c>
      <c r="C21" s="1" t="s">
        <v>776</v>
      </c>
      <c r="D21" s="22" t="s">
        <v>724</v>
      </c>
      <c r="E21" s="22"/>
      <c r="F21" s="240">
        <v>1500</v>
      </c>
      <c r="G21" s="586"/>
      <c r="H21" s="363">
        <f t="shared" si="0"/>
        <v>0</v>
      </c>
      <c r="L21" s="240">
        <v>2500</v>
      </c>
    </row>
    <row r="22" spans="2:12">
      <c r="B22" s="102"/>
      <c r="D22" s="22"/>
      <c r="E22" s="22"/>
      <c r="F22" s="240"/>
      <c r="G22" s="586"/>
      <c r="H22" s="363" t="str">
        <f t="shared" si="0"/>
        <v/>
      </c>
      <c r="L22" s="240"/>
    </row>
    <row r="23" spans="2:12">
      <c r="B23" s="36" t="s">
        <v>3043</v>
      </c>
      <c r="C23" s="51" t="s">
        <v>3044</v>
      </c>
      <c r="D23" s="22"/>
      <c r="E23" s="22"/>
      <c r="F23" s="22"/>
      <c r="G23" s="587"/>
      <c r="H23" s="363" t="str">
        <f t="shared" si="0"/>
        <v/>
      </c>
      <c r="L23" s="22"/>
    </row>
    <row r="24" spans="2:12">
      <c r="B24" s="89"/>
      <c r="D24" s="22" t="s">
        <v>3045</v>
      </c>
      <c r="E24" s="22"/>
      <c r="F24" s="240"/>
      <c r="G24" s="587"/>
      <c r="H24" s="363"/>
      <c r="L24" s="240"/>
    </row>
    <row r="25" spans="2:12">
      <c r="B25" s="36" t="s">
        <v>3046</v>
      </c>
      <c r="C25" s="1" t="s">
        <v>3047</v>
      </c>
      <c r="D25" s="22" t="s">
        <v>724</v>
      </c>
      <c r="E25" s="22"/>
      <c r="F25" s="240">
        <v>200</v>
      </c>
      <c r="G25" s="586"/>
      <c r="H25" s="363">
        <f t="shared" si="0"/>
        <v>0</v>
      </c>
      <c r="I25" s="277"/>
      <c r="L25" s="240">
        <v>250</v>
      </c>
    </row>
    <row r="26" spans="2:12">
      <c r="B26" s="89"/>
      <c r="D26" s="22"/>
      <c r="E26" s="22"/>
      <c r="F26" s="240"/>
      <c r="G26" s="586"/>
      <c r="H26" s="363" t="str">
        <f t="shared" si="0"/>
        <v/>
      </c>
      <c r="I26" s="277"/>
      <c r="L26" s="240"/>
    </row>
    <row r="27" spans="2:12">
      <c r="B27" s="36" t="s">
        <v>3048</v>
      </c>
      <c r="C27" s="1" t="s">
        <v>3049</v>
      </c>
      <c r="D27" s="22" t="s">
        <v>724</v>
      </c>
      <c r="E27" s="22"/>
      <c r="F27" s="240">
        <v>200</v>
      </c>
      <c r="G27" s="586"/>
      <c r="H27" s="363">
        <f t="shared" si="0"/>
        <v>0</v>
      </c>
      <c r="I27" s="278"/>
      <c r="L27" s="240">
        <v>250</v>
      </c>
    </row>
    <row r="28" spans="2:12">
      <c r="B28" s="102"/>
      <c r="D28" s="22"/>
      <c r="E28" s="22"/>
      <c r="F28" s="22"/>
      <c r="G28" s="587"/>
      <c r="H28" s="363" t="str">
        <f t="shared" si="0"/>
        <v/>
      </c>
      <c r="I28" s="277"/>
      <c r="L28" s="22"/>
    </row>
    <row r="29" spans="2:12">
      <c r="B29" s="36" t="s">
        <v>777</v>
      </c>
      <c r="C29" s="1" t="s">
        <v>778</v>
      </c>
      <c r="D29" s="22"/>
      <c r="E29" s="22"/>
      <c r="F29" s="22"/>
      <c r="G29" s="587"/>
      <c r="H29" s="363" t="str">
        <f t="shared" si="0"/>
        <v/>
      </c>
      <c r="I29" s="277"/>
      <c r="L29" s="22"/>
    </row>
    <row r="30" spans="2:12">
      <c r="B30" s="89"/>
      <c r="C30" s="52"/>
      <c r="D30" s="22"/>
      <c r="E30" s="22"/>
      <c r="F30" s="22"/>
      <c r="G30" s="587"/>
      <c r="H30" s="363" t="str">
        <f t="shared" si="0"/>
        <v/>
      </c>
      <c r="I30" s="239"/>
      <c r="L30" s="22"/>
    </row>
    <row r="31" spans="2:12">
      <c r="B31" s="36" t="s">
        <v>779</v>
      </c>
      <c r="C31" s="1" t="s">
        <v>780</v>
      </c>
      <c r="D31" s="22"/>
      <c r="E31" s="22"/>
      <c r="F31" s="22"/>
      <c r="G31" s="587"/>
      <c r="H31" s="363" t="str">
        <f t="shared" si="0"/>
        <v/>
      </c>
      <c r="I31" s="239"/>
      <c r="L31" s="22"/>
    </row>
    <row r="32" spans="2:12" s="35" customFormat="1">
      <c r="B32" s="21"/>
      <c r="C32" s="52"/>
      <c r="D32" s="22"/>
      <c r="E32" s="22"/>
      <c r="F32" s="22"/>
      <c r="G32" s="587"/>
      <c r="H32" s="363" t="str">
        <f t="shared" si="0"/>
        <v/>
      </c>
      <c r="I32" s="239"/>
      <c r="L32" s="22"/>
    </row>
    <row r="33" spans="2:12">
      <c r="B33" s="21" t="s">
        <v>3050</v>
      </c>
      <c r="C33" s="1" t="s">
        <v>781</v>
      </c>
      <c r="D33" s="22" t="s">
        <v>782</v>
      </c>
      <c r="E33" s="22"/>
      <c r="F33" s="240">
        <v>2000</v>
      </c>
      <c r="G33" s="587"/>
      <c r="H33" s="363">
        <f t="shared" si="0"/>
        <v>0</v>
      </c>
      <c r="I33" s="278"/>
      <c r="L33" s="240">
        <v>2000</v>
      </c>
    </row>
    <row r="34" spans="2:12">
      <c r="B34" s="106"/>
      <c r="C34" s="35"/>
      <c r="D34" s="22"/>
      <c r="E34" s="22"/>
      <c r="F34" s="22"/>
      <c r="G34" s="587"/>
      <c r="H34" s="363" t="str">
        <f t="shared" si="0"/>
        <v/>
      </c>
      <c r="I34" s="278"/>
      <c r="L34" s="22"/>
    </row>
    <row r="35" spans="2:12" ht="25.5">
      <c r="B35" s="48" t="s">
        <v>3051</v>
      </c>
      <c r="C35" s="52" t="s">
        <v>3052</v>
      </c>
      <c r="D35" s="22" t="s">
        <v>33</v>
      </c>
      <c r="E35" s="22"/>
      <c r="F35" s="22">
        <v>1</v>
      </c>
      <c r="G35" s="587"/>
      <c r="H35" s="363">
        <f t="shared" si="0"/>
        <v>0</v>
      </c>
      <c r="I35" s="277"/>
      <c r="L35" s="22">
        <v>1</v>
      </c>
    </row>
    <row r="36" spans="2:12">
      <c r="B36" s="102"/>
      <c r="D36" s="22"/>
      <c r="E36" s="22"/>
      <c r="F36" s="22"/>
      <c r="G36" s="351"/>
      <c r="H36" s="367" t="str">
        <f t="shared" si="0"/>
        <v/>
      </c>
      <c r="I36" s="277"/>
    </row>
    <row r="37" spans="2:12">
      <c r="B37" s="102"/>
      <c r="D37" s="22"/>
      <c r="E37" s="22"/>
      <c r="F37" s="22"/>
      <c r="G37" s="351"/>
      <c r="H37" s="367" t="str">
        <f t="shared" si="0"/>
        <v/>
      </c>
      <c r="I37" s="277"/>
    </row>
    <row r="38" spans="2:12">
      <c r="B38" s="102"/>
      <c r="D38" s="22"/>
      <c r="E38" s="22"/>
      <c r="F38" s="22"/>
      <c r="G38" s="351"/>
      <c r="H38" s="367" t="str">
        <f t="shared" si="0"/>
        <v/>
      </c>
      <c r="I38" s="277"/>
    </row>
    <row r="39" spans="2:12">
      <c r="B39" s="102"/>
      <c r="D39" s="22"/>
      <c r="E39" s="22"/>
      <c r="F39" s="22"/>
      <c r="G39" s="351"/>
      <c r="H39" s="367" t="str">
        <f t="shared" si="0"/>
        <v/>
      </c>
      <c r="I39" s="277"/>
    </row>
    <row r="40" spans="2:12">
      <c r="B40" s="102"/>
      <c r="D40" s="22"/>
      <c r="E40" s="22"/>
      <c r="F40" s="22"/>
      <c r="G40" s="351"/>
      <c r="H40" s="367" t="str">
        <f t="shared" si="0"/>
        <v/>
      </c>
      <c r="I40" s="277"/>
    </row>
    <row r="41" spans="2:12" s="28" customFormat="1" ht="19.5" customHeight="1">
      <c r="B41" s="82" t="str">
        <f>$B$10</f>
        <v>C4.2</v>
      </c>
      <c r="C41" s="29" t="s">
        <v>125</v>
      </c>
      <c r="D41" s="30"/>
      <c r="E41" s="30"/>
      <c r="F41" s="31"/>
      <c r="G41" s="412"/>
      <c r="H41" s="364">
        <f>SUM(H7:H40)</f>
        <v>0</v>
      </c>
      <c r="I41" s="236"/>
    </row>
  </sheetData>
  <sheetProtection algorithmName="SHA-512" hashValue="6HG8rg4ZgWIObN4bx7atcIO8wipDb/uRSUB+r1i6J16aEmd3d64A16CAvH60T29/P5P50nx2YzOdr1+qzUqFmA==" saltValue="zWj9KBXX7LO9I5u82tIpXQ=="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7DBA-ACEC-40E7-BE0A-78D3CA4C0949}">
  <sheetPr codeName="Sheet110">
    <tabColor rgb="FF00B0F0"/>
  </sheetPr>
  <dimension ref="B1:O100"/>
  <sheetViews>
    <sheetView view="pageBreakPreview" zoomScaleNormal="100" zoomScaleSheetLayoutView="100" workbookViewId="0">
      <selection activeCell="G16" sqref="G16"/>
    </sheetView>
  </sheetViews>
  <sheetFormatPr defaultColWidth="8.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18.28515625" style="399" bestFit="1" customWidth="1"/>
    <col min="9" max="9" width="28" style="3" hidden="1" customWidth="1"/>
    <col min="10" max="10" width="0" style="3" hidden="1" customWidth="1"/>
    <col min="11" max="11" width="16.7109375" style="297" hidden="1" customWidth="1"/>
    <col min="12" max="12" width="0" style="3" hidden="1" customWidth="1"/>
    <col min="13" max="13" width="17.85546875" style="414" hidden="1" customWidth="1"/>
    <col min="14" max="14" width="0" style="3" hidden="1" customWidth="1"/>
    <col min="15" max="15" width="26" style="3" hidden="1" customWidth="1"/>
    <col min="16" max="36" width="0" style="3" hidden="1" customWidth="1"/>
    <col min="37" max="16384" width="8.85546875" style="3"/>
  </cols>
  <sheetData>
    <row r="1" spans="2:15" ht="25.5" customHeight="1">
      <c r="B1" s="2" t="str">
        <f>Client1</f>
        <v>AIRPORTS COMPANY - SOUTH AFRICA</v>
      </c>
      <c r="F1" s="9" t="str">
        <f>"Contract No. "&amp;ContractNo</f>
        <v>Contract No. KSIA7806/2025/RFP</v>
      </c>
      <c r="G1" s="413"/>
      <c r="H1" s="408"/>
    </row>
    <row r="2" spans="2:15">
      <c r="B2" s="2" t="str">
        <f>Client2</f>
        <v>ACSA</v>
      </c>
    </row>
    <row r="3" spans="2:15">
      <c r="B3" s="3"/>
    </row>
    <row r="4" spans="2:15">
      <c r="B4" s="695" t="s">
        <v>3196</v>
      </c>
      <c r="C4" s="696"/>
      <c r="D4" s="696"/>
      <c r="E4" s="696"/>
      <c r="F4" s="696"/>
      <c r="G4" s="696"/>
      <c r="H4" s="415" t="str">
        <f>"CHAPTER "&amp;B10</f>
        <v>CHAPTER C4.4</v>
      </c>
      <c r="I4" s="676" t="s">
        <v>100</v>
      </c>
    </row>
    <row r="5" spans="2:15"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416"/>
      <c r="I5" s="676"/>
    </row>
    <row r="6" spans="2:15" ht="24" customHeight="1">
      <c r="B6" s="690"/>
      <c r="C6" s="691"/>
      <c r="D6" s="691"/>
      <c r="E6" s="691"/>
      <c r="F6" s="691"/>
      <c r="G6" s="691"/>
      <c r="H6" s="416"/>
      <c r="I6" s="676"/>
    </row>
    <row r="7" spans="2:15" s="2" customFormat="1" ht="7.5" customHeight="1">
      <c r="B7" s="692"/>
      <c r="C7" s="693"/>
      <c r="D7" s="693"/>
      <c r="E7" s="693"/>
      <c r="F7" s="693"/>
      <c r="G7" s="693"/>
      <c r="H7" s="417"/>
      <c r="I7" s="676"/>
      <c r="K7" s="298"/>
      <c r="M7" s="418"/>
    </row>
    <row r="8" spans="2:15" s="2" customFormat="1" ht="24.95" customHeight="1">
      <c r="B8" s="282" t="s">
        <v>11</v>
      </c>
      <c r="C8" s="280" t="s">
        <v>12</v>
      </c>
      <c r="D8" s="280" t="s">
        <v>13</v>
      </c>
      <c r="E8" s="280" t="s">
        <v>14</v>
      </c>
      <c r="F8" s="11" t="s">
        <v>15</v>
      </c>
      <c r="G8" s="409" t="s">
        <v>16</v>
      </c>
      <c r="H8" s="364" t="s">
        <v>17</v>
      </c>
      <c r="I8" s="676"/>
      <c r="K8" s="298"/>
      <c r="M8" s="418"/>
    </row>
    <row r="9" spans="2:15">
      <c r="B9" s="50"/>
      <c r="D9" s="14"/>
      <c r="E9" s="14"/>
      <c r="F9" s="22"/>
      <c r="G9" s="351"/>
      <c r="H9" s="363" t="str">
        <f t="shared" ref="H9:H17" si="0">IF(D9="","",F9*G9)</f>
        <v/>
      </c>
      <c r="I9" s="284"/>
    </row>
    <row r="10" spans="2:15">
      <c r="B10" s="419" t="s">
        <v>836</v>
      </c>
      <c r="C10" s="2" t="s">
        <v>837</v>
      </c>
      <c r="D10" s="14"/>
      <c r="E10" s="14"/>
      <c r="F10" s="22"/>
      <c r="G10" s="351"/>
      <c r="H10" s="363"/>
      <c r="I10" s="284"/>
    </row>
    <row r="11" spans="2:15">
      <c r="B11" s="50"/>
      <c r="D11" s="14"/>
      <c r="E11" s="14"/>
      <c r="F11" s="22"/>
      <c r="G11" s="351"/>
      <c r="H11" s="363"/>
      <c r="I11" s="284"/>
    </row>
    <row r="12" spans="2:15" ht="38.25">
      <c r="B12" s="50" t="s">
        <v>838</v>
      </c>
      <c r="C12" s="52" t="s">
        <v>839</v>
      </c>
      <c r="D12" s="14"/>
      <c r="E12" s="14"/>
      <c r="F12" s="22"/>
      <c r="G12" s="351"/>
      <c r="H12" s="363" t="str">
        <f t="shared" si="0"/>
        <v/>
      </c>
      <c r="I12" s="284"/>
    </row>
    <row r="13" spans="2:15">
      <c r="B13" s="50"/>
      <c r="D13" s="14"/>
      <c r="E13" s="14"/>
      <c r="F13" s="22"/>
      <c r="G13" s="351"/>
      <c r="H13" s="363" t="str">
        <f t="shared" si="0"/>
        <v/>
      </c>
      <c r="I13" s="284"/>
      <c r="O13" s="3">
        <f>1500*2*0.2</f>
        <v>600</v>
      </c>
    </row>
    <row r="14" spans="2:15">
      <c r="B14" s="50" t="s">
        <v>840</v>
      </c>
      <c r="C14" s="3" t="s">
        <v>841</v>
      </c>
      <c r="D14" s="14"/>
      <c r="E14" s="14"/>
      <c r="F14" s="22"/>
      <c r="G14" s="351"/>
      <c r="H14" s="363" t="str">
        <f t="shared" si="0"/>
        <v/>
      </c>
      <c r="I14" s="284"/>
    </row>
    <row r="15" spans="2:15">
      <c r="B15" s="50"/>
      <c r="D15" s="14"/>
      <c r="E15" s="14"/>
      <c r="F15" s="22"/>
      <c r="G15" s="351"/>
      <c r="H15" s="363" t="str">
        <f t="shared" si="0"/>
        <v/>
      </c>
      <c r="I15" s="284"/>
    </row>
    <row r="16" spans="2:15" ht="14.25">
      <c r="B16" s="50" t="s">
        <v>842</v>
      </c>
      <c r="C16" s="3" t="s">
        <v>843</v>
      </c>
      <c r="D16" s="14" t="s">
        <v>386</v>
      </c>
      <c r="E16" s="50"/>
      <c r="F16" s="323">
        <v>250</v>
      </c>
      <c r="G16" s="587"/>
      <c r="H16" s="363">
        <f t="shared" si="0"/>
        <v>0</v>
      </c>
      <c r="I16" s="420"/>
      <c r="K16" s="297">
        <f>23000*2*0.15</f>
        <v>6900</v>
      </c>
      <c r="O16" s="414"/>
    </row>
    <row r="17" spans="2:15">
      <c r="B17" s="50"/>
      <c r="D17" s="14"/>
      <c r="E17" s="50"/>
      <c r="F17" s="354"/>
      <c r="G17" s="587"/>
      <c r="H17" s="363" t="str">
        <f t="shared" si="0"/>
        <v/>
      </c>
      <c r="I17" s="420"/>
      <c r="O17" s="414"/>
    </row>
    <row r="18" spans="2:15" ht="12.95" hidden="1" customHeight="1">
      <c r="B18" s="421"/>
      <c r="D18" s="14"/>
      <c r="E18" s="14"/>
      <c r="F18" s="31"/>
      <c r="G18" s="587"/>
      <c r="H18" s="363" t="str">
        <f>IF(D18="","",#REF!*G18)</f>
        <v/>
      </c>
      <c r="I18" s="284"/>
      <c r="O18" s="414"/>
    </row>
    <row r="19" spans="2:15" s="2" customFormat="1" ht="19.5" hidden="1" customHeight="1">
      <c r="B19" s="411" t="str">
        <f>$B$10</f>
        <v>C4.4</v>
      </c>
      <c r="C19" s="276" t="s">
        <v>99</v>
      </c>
      <c r="D19" s="287"/>
      <c r="E19" s="287"/>
      <c r="F19" s="9" t="str">
        <f>"Contract No. "&amp;ContractNo</f>
        <v>Contract No. KSIA7806/2025/RFP</v>
      </c>
      <c r="G19" s="594"/>
      <c r="H19" s="363" t="str">
        <f t="shared" ref="H19:H31" si="1">IF(D19="","",F18*G19)</f>
        <v/>
      </c>
      <c r="I19" s="289"/>
      <c r="K19" s="298"/>
      <c r="L19" s="3"/>
      <c r="M19" s="418"/>
      <c r="O19" s="414"/>
    </row>
    <row r="20" spans="2:15" ht="12.95" hidden="1" customHeight="1">
      <c r="B20" s="2" t="str">
        <f>Client1</f>
        <v>AIRPORTS COMPANY - SOUTH AFRICA</v>
      </c>
      <c r="C20" s="2"/>
      <c r="D20" s="2"/>
      <c r="E20" s="2"/>
      <c r="F20" s="9"/>
      <c r="G20" s="595"/>
      <c r="H20" s="363" t="str">
        <f t="shared" si="1"/>
        <v/>
      </c>
      <c r="O20" s="414"/>
    </row>
    <row r="21" spans="2:15" ht="12.95" hidden="1" customHeight="1">
      <c r="B21" s="2" t="str">
        <f>Client2</f>
        <v>ACSA</v>
      </c>
      <c r="C21" s="2"/>
      <c r="D21" s="2"/>
      <c r="E21" s="2"/>
      <c r="F21" s="386"/>
      <c r="G21" s="595"/>
      <c r="H21" s="363" t="str">
        <f t="shared" si="1"/>
        <v/>
      </c>
      <c r="O21" s="414"/>
    </row>
    <row r="22" spans="2:15" ht="12.95" hidden="1" customHeight="1">
      <c r="B22" s="71"/>
      <c r="C22" s="71"/>
      <c r="D22" s="71"/>
      <c r="E22" s="71"/>
      <c r="F22" s="422"/>
      <c r="G22" s="596"/>
      <c r="H22" s="363" t="str">
        <f t="shared" si="1"/>
        <v/>
      </c>
      <c r="O22" s="414"/>
    </row>
    <row r="23" spans="2:15" ht="12.95" hidden="1" customHeight="1">
      <c r="B23" s="390" t="s">
        <v>456</v>
      </c>
      <c r="C23" s="391"/>
      <c r="D23" s="391"/>
      <c r="E23" s="391"/>
      <c r="F23" s="12"/>
      <c r="G23" s="597"/>
      <c r="H23" s="363" t="str">
        <f t="shared" si="1"/>
        <v/>
      </c>
      <c r="I23" s="2"/>
      <c r="O23" s="414"/>
    </row>
    <row r="24" spans="2:15" ht="12.95" hidden="1" customHeight="1">
      <c r="B24" s="387" t="str">
        <f>ContractDescription</f>
        <v>PROCUREMENT OF A CIDB GRADE 9 CE CONTRACTOR THE COMPLETION OF BRAVO TAXIWAY EXTENSION AT KING SHAKA INTERNATIONAL AIRPORT FOR A PERIOD OF 12 MONTHS AT KING SHAKA INTERNATIONAL AIRPORT</v>
      </c>
      <c r="C24" s="7"/>
      <c r="D24" s="7"/>
      <c r="E24" s="7"/>
      <c r="F24" s="12"/>
      <c r="G24" s="598"/>
      <c r="H24" s="363" t="str">
        <f t="shared" si="1"/>
        <v/>
      </c>
      <c r="I24" s="8"/>
      <c r="O24" s="414"/>
    </row>
    <row r="25" spans="2:15" ht="12.95" hidden="1" customHeight="1">
      <c r="B25" s="387"/>
      <c r="C25" s="7"/>
      <c r="D25" s="7"/>
      <c r="E25" s="7"/>
      <c r="F25" s="407"/>
      <c r="G25" s="598"/>
      <c r="H25" s="363" t="str">
        <f t="shared" si="1"/>
        <v/>
      </c>
      <c r="I25" s="8"/>
      <c r="O25" s="414"/>
    </row>
    <row r="26" spans="2:15" ht="12.95" hidden="1" customHeight="1">
      <c r="B26" s="388"/>
      <c r="C26" s="389"/>
      <c r="D26" s="389"/>
      <c r="E26" s="389"/>
      <c r="F26" s="11" t="s">
        <v>15</v>
      </c>
      <c r="G26" s="599"/>
      <c r="H26" s="363" t="str">
        <f t="shared" si="1"/>
        <v/>
      </c>
      <c r="I26" s="8"/>
      <c r="O26" s="414"/>
    </row>
    <row r="27" spans="2:15" s="2" customFormat="1" ht="24.95" hidden="1" customHeight="1">
      <c r="B27" s="282" t="s">
        <v>11</v>
      </c>
      <c r="C27" s="280" t="s">
        <v>12</v>
      </c>
      <c r="D27" s="280" t="s">
        <v>13</v>
      </c>
      <c r="E27" s="280" t="s">
        <v>14</v>
      </c>
      <c r="F27" s="31"/>
      <c r="G27" s="600"/>
      <c r="H27" s="363" t="e">
        <f t="shared" si="1"/>
        <v>#VALUE!</v>
      </c>
      <c r="I27" s="7"/>
      <c r="K27" s="298"/>
      <c r="L27" s="3"/>
      <c r="M27" s="418"/>
      <c r="O27" s="414"/>
    </row>
    <row r="28" spans="2:15" s="2" customFormat="1" ht="19.5" hidden="1" customHeight="1">
      <c r="B28" s="411"/>
      <c r="C28" s="276" t="s">
        <v>140</v>
      </c>
      <c r="D28" s="287"/>
      <c r="E28" s="287"/>
      <c r="F28" s="22"/>
      <c r="G28" s="594"/>
      <c r="H28" s="363" t="str">
        <f t="shared" si="1"/>
        <v/>
      </c>
      <c r="I28" s="289"/>
      <c r="K28" s="298"/>
      <c r="L28" s="3"/>
      <c r="M28" s="418"/>
      <c r="O28" s="414"/>
    </row>
    <row r="29" spans="2:15" ht="12.95" hidden="1" customHeight="1">
      <c r="B29" s="421"/>
      <c r="D29" s="14"/>
      <c r="E29" s="14"/>
      <c r="F29" s="22"/>
      <c r="G29" s="587"/>
      <c r="H29" s="363" t="str">
        <f t="shared" si="1"/>
        <v/>
      </c>
      <c r="I29" s="284"/>
      <c r="O29" s="414"/>
    </row>
    <row r="30" spans="2:15">
      <c r="B30" s="50" t="s">
        <v>844</v>
      </c>
      <c r="C30" s="3" t="s">
        <v>845</v>
      </c>
      <c r="D30" s="14"/>
      <c r="E30" s="14"/>
      <c r="F30" s="22"/>
      <c r="G30" s="587"/>
      <c r="H30" s="363" t="str">
        <f t="shared" si="1"/>
        <v/>
      </c>
      <c r="I30" s="284"/>
      <c r="O30" s="414"/>
    </row>
    <row r="31" spans="2:15">
      <c r="B31" s="50"/>
      <c r="D31" s="14"/>
      <c r="E31" s="14"/>
      <c r="F31" s="240"/>
      <c r="G31" s="587"/>
      <c r="H31" s="363" t="str">
        <f t="shared" si="1"/>
        <v/>
      </c>
      <c r="I31" s="284"/>
      <c r="O31" s="414"/>
    </row>
    <row r="32" spans="2:15" ht="14.25">
      <c r="B32" s="13" t="s">
        <v>83</v>
      </c>
      <c r="C32" s="3" t="s">
        <v>846</v>
      </c>
      <c r="D32" s="14" t="s">
        <v>386</v>
      </c>
      <c r="E32" s="14"/>
      <c r="F32" s="240">
        <v>12500</v>
      </c>
      <c r="G32" s="587"/>
      <c r="H32" s="363">
        <f>G32*F32</f>
        <v>0</v>
      </c>
      <c r="I32" s="284"/>
      <c r="K32" s="297" t="s">
        <v>847</v>
      </c>
      <c r="L32" s="3">
        <f>440*15*3</f>
        <v>19800</v>
      </c>
      <c r="O32" s="414"/>
    </row>
    <row r="33" spans="2:15">
      <c r="B33" s="13"/>
      <c r="D33" s="14"/>
      <c r="E33" s="14"/>
      <c r="F33" s="240"/>
      <c r="G33" s="351"/>
      <c r="H33" s="363"/>
      <c r="I33" s="284"/>
      <c r="O33" s="414"/>
    </row>
    <row r="34" spans="2:15" ht="27.6" customHeight="1">
      <c r="B34" s="50"/>
      <c r="C34" s="53"/>
      <c r="D34" s="50"/>
      <c r="E34" s="14"/>
      <c r="F34" s="240"/>
      <c r="G34" s="351"/>
      <c r="H34" s="363"/>
      <c r="I34" s="284"/>
      <c r="O34" s="414"/>
    </row>
    <row r="35" spans="2:15">
      <c r="B35" s="421"/>
      <c r="D35" s="14"/>
      <c r="E35" s="14"/>
      <c r="F35" s="240"/>
      <c r="G35" s="351"/>
      <c r="H35" s="363"/>
      <c r="I35" s="284"/>
      <c r="O35" s="414"/>
    </row>
    <row r="36" spans="2:15">
      <c r="B36" s="50"/>
      <c r="C36" s="34"/>
      <c r="D36" s="50"/>
      <c r="E36" s="14"/>
      <c r="F36" s="240"/>
      <c r="G36" s="351"/>
      <c r="H36" s="363"/>
      <c r="I36" s="284"/>
      <c r="O36" s="414"/>
    </row>
    <row r="37" spans="2:15">
      <c r="B37" s="421"/>
      <c r="D37" s="14"/>
      <c r="E37" s="14"/>
      <c r="F37" s="240"/>
      <c r="G37" s="351"/>
      <c r="H37" s="363"/>
      <c r="I37" s="284"/>
      <c r="O37" s="414"/>
    </row>
    <row r="38" spans="2:15">
      <c r="B38" s="421"/>
      <c r="D38" s="421"/>
      <c r="E38" s="14"/>
      <c r="F38" s="240"/>
      <c r="G38" s="351"/>
      <c r="H38" s="363"/>
      <c r="I38" s="284"/>
      <c r="O38" s="414"/>
    </row>
    <row r="39" spans="2:15">
      <c r="B39" s="424"/>
      <c r="C39" s="71"/>
      <c r="D39" s="424"/>
      <c r="E39" s="425"/>
      <c r="F39" s="355"/>
      <c r="G39" s="376"/>
      <c r="H39" s="365"/>
      <c r="I39" s="284"/>
      <c r="O39" s="414"/>
    </row>
    <row r="40" spans="2:15" s="2" customFormat="1" ht="24.95" customHeight="1">
      <c r="B40" s="426" t="str">
        <f>$B$10</f>
        <v>C4.4</v>
      </c>
      <c r="C40" s="392" t="s">
        <v>125</v>
      </c>
      <c r="D40" s="392"/>
      <c r="E40" s="392"/>
      <c r="F40" s="386"/>
      <c r="G40" s="423"/>
      <c r="H40" s="366">
        <f>H16+H32+H36+H38</f>
        <v>0</v>
      </c>
      <c r="I40" s="289"/>
      <c r="K40" s="298"/>
      <c r="M40" s="418"/>
      <c r="O40" s="414"/>
    </row>
    <row r="41" spans="2:15">
      <c r="O41" s="414"/>
    </row>
    <row r="42" spans="2:15">
      <c r="O42" s="414"/>
    </row>
    <row r="43" spans="2:15">
      <c r="O43" s="414"/>
    </row>
    <row r="44" spans="2:15">
      <c r="O44" s="414"/>
    </row>
    <row r="45" spans="2:15">
      <c r="O45" s="414"/>
    </row>
    <row r="91" spans="6:6">
      <c r="F91" s="352"/>
    </row>
    <row r="92" spans="6:6">
      <c r="F92" s="352"/>
    </row>
    <row r="93" spans="6:6">
      <c r="F93" s="352"/>
    </row>
    <row r="94" spans="6:6">
      <c r="F94" s="352"/>
    </row>
    <row r="95" spans="6:6">
      <c r="F95" s="352"/>
    </row>
    <row r="96" spans="6:6">
      <c r="F96" s="352"/>
    </row>
    <row r="97" spans="6:6">
      <c r="F97" s="352"/>
    </row>
    <row r="98" spans="6:6">
      <c r="F98" s="352"/>
    </row>
    <row r="99" spans="6:6">
      <c r="F99" s="352"/>
    </row>
    <row r="100" spans="6:6">
      <c r="F100" s="352"/>
    </row>
  </sheetData>
  <sheetProtection algorithmName="SHA-512" hashValue="bT2KrIPHBNi0QHLmloLeKQw8K20D+tX7lS2cx+Kwd5o1spVMZvIh8PbkfdhNxTI0vjL1C6jPM4zfte4cwPYadw==" saltValue="xjt9CCGJ8Ci32Tsvzn2oQw==" spinCount="100000" sheet="1" objects="1" scenarios="1"/>
  <mergeCells count="3">
    <mergeCell ref="B4:G4"/>
    <mergeCell ref="B5:G7"/>
    <mergeCell ref="I4:I8"/>
  </mergeCells>
  <pageMargins left="0.43307086614173229" right="0.31496062992125984" top="0.43307086614173229" bottom="0.62992125984251968" header="0.35433070866141736" footer="0.31496062992125984"/>
  <pageSetup paperSize="9" scale="62"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C77C-8796-4E6D-8BDC-6E171BFCB300}">
  <sheetPr codeName="Sheet111">
    <tabColor rgb="FF00B0F0"/>
  </sheetPr>
  <dimension ref="B1:I98"/>
  <sheetViews>
    <sheetView view="pageBreakPreview" zoomScaleNormal="100" zoomScaleSheetLayoutView="100" workbookViewId="0">
      <selection activeCell="G16" sqref="G16"/>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7.7109375" style="398" customWidth="1"/>
    <col min="8" max="8" width="21.85546875" style="399" customWidth="1"/>
    <col min="9" max="9" width="41" style="3" hidden="1" customWidth="1"/>
    <col min="10" max="36" width="0" style="3" hidden="1" customWidth="1"/>
    <col min="37" max="16384" width="6.85546875" style="3"/>
  </cols>
  <sheetData>
    <row r="1" spans="2:9" ht="25.5" customHeight="1">
      <c r="B1" s="2" t="str">
        <f>Client1</f>
        <v>AIRPORTS COMPANY - SOUTH AFRICA</v>
      </c>
      <c r="F1" s="676" t="str">
        <f>"Contract No. "&amp;ContractNo</f>
        <v>Contract No. KSIA7806/2025/RFP</v>
      </c>
      <c r="G1" s="676"/>
      <c r="H1" s="676"/>
    </row>
    <row r="2" spans="2:9">
      <c r="B2" s="2" t="str">
        <f>Client2</f>
        <v>ACSA</v>
      </c>
    </row>
    <row r="3" spans="2:9">
      <c r="B3" s="71"/>
      <c r="C3" s="71"/>
      <c r="D3" s="71"/>
      <c r="E3" s="71"/>
      <c r="F3" s="72"/>
      <c r="G3" s="400"/>
      <c r="H3" s="401"/>
    </row>
    <row r="4" spans="2:9">
      <c r="B4" s="695" t="s">
        <v>3196</v>
      </c>
      <c r="C4" s="696"/>
      <c r="D4" s="696"/>
      <c r="E4" s="696"/>
      <c r="F4" s="696"/>
      <c r="G4" s="696"/>
      <c r="H4" s="684" t="str">
        <f>"CHAPTER "&amp;B10</f>
        <v>CHAPTER C5.2</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c r="I5" s="676"/>
    </row>
    <row r="6" spans="2:9" ht="12.75" customHeight="1">
      <c r="B6" s="690"/>
      <c r="C6" s="691"/>
      <c r="D6" s="691"/>
      <c r="E6" s="691"/>
      <c r="F6" s="691"/>
      <c r="G6" s="691"/>
      <c r="H6" s="694"/>
      <c r="I6" s="676"/>
    </row>
    <row r="7" spans="2:9" ht="7.5" customHeight="1">
      <c r="B7" s="692"/>
      <c r="C7" s="693"/>
      <c r="D7" s="693"/>
      <c r="E7" s="693"/>
      <c r="F7" s="693"/>
      <c r="G7" s="693"/>
      <c r="H7" s="686"/>
      <c r="I7" s="676"/>
    </row>
    <row r="8" spans="2:9" s="2" customFormat="1" ht="24.95" customHeight="1">
      <c r="B8" s="282" t="s">
        <v>11</v>
      </c>
      <c r="C8" s="280" t="s">
        <v>12</v>
      </c>
      <c r="D8" s="280" t="s">
        <v>13</v>
      </c>
      <c r="E8" s="280" t="s">
        <v>14</v>
      </c>
      <c r="F8" s="11" t="s">
        <v>15</v>
      </c>
      <c r="G8" s="409" t="s">
        <v>16</v>
      </c>
      <c r="H8" s="364" t="s">
        <v>17</v>
      </c>
      <c r="I8" s="676"/>
    </row>
    <row r="9" spans="2:9">
      <c r="B9" s="13"/>
      <c r="C9" s="14"/>
      <c r="D9" s="14"/>
      <c r="E9" s="14"/>
      <c r="F9" s="22"/>
      <c r="G9" s="410"/>
      <c r="H9" s="363" t="str">
        <f t="shared" ref="H9:H20" si="0">IF(D9="","",F9*G9)</f>
        <v/>
      </c>
      <c r="I9" s="284"/>
    </row>
    <row r="10" spans="2:9">
      <c r="B10" s="19" t="s">
        <v>867</v>
      </c>
      <c r="C10" s="20" t="s">
        <v>868</v>
      </c>
      <c r="D10" s="14"/>
      <c r="E10" s="14"/>
      <c r="F10" s="22"/>
      <c r="G10" s="410"/>
      <c r="H10" s="363" t="str">
        <f t="shared" si="0"/>
        <v/>
      </c>
      <c r="I10" s="284"/>
    </row>
    <row r="11" spans="2:9">
      <c r="B11" s="13"/>
      <c r="C11" s="14"/>
      <c r="D11" s="14"/>
      <c r="E11" s="14"/>
      <c r="F11" s="22"/>
      <c r="G11" s="410"/>
      <c r="H11" s="363" t="str">
        <f t="shared" si="0"/>
        <v/>
      </c>
      <c r="I11" s="284"/>
    </row>
    <row r="12" spans="2:9">
      <c r="B12" s="13" t="s">
        <v>869</v>
      </c>
      <c r="C12" s="14" t="s">
        <v>870</v>
      </c>
      <c r="D12" s="14"/>
      <c r="E12" s="14"/>
      <c r="F12" s="240"/>
      <c r="G12" s="410"/>
      <c r="H12" s="363" t="str">
        <f t="shared" si="0"/>
        <v/>
      </c>
      <c r="I12" s="284"/>
    </row>
    <row r="13" spans="2:9">
      <c r="B13" s="13"/>
      <c r="C13" s="14"/>
      <c r="D13" s="14"/>
      <c r="E13" s="14"/>
      <c r="F13" s="240"/>
      <c r="G13" s="410"/>
      <c r="H13" s="363" t="str">
        <f t="shared" si="0"/>
        <v/>
      </c>
      <c r="I13" s="284"/>
    </row>
    <row r="14" spans="2:9" ht="25.5">
      <c r="B14" s="13" t="s">
        <v>871</v>
      </c>
      <c r="C14" s="14" t="s">
        <v>872</v>
      </c>
      <c r="D14" s="14"/>
      <c r="E14" s="14"/>
      <c r="F14" s="240"/>
      <c r="G14" s="410"/>
      <c r="H14" s="363" t="str">
        <f t="shared" si="0"/>
        <v/>
      </c>
      <c r="I14" s="284"/>
    </row>
    <row r="15" spans="2:9">
      <c r="B15" s="13"/>
      <c r="C15" s="14"/>
      <c r="D15" s="14"/>
      <c r="E15" s="14"/>
      <c r="F15" s="240"/>
      <c r="G15" s="410"/>
      <c r="H15" s="363" t="str">
        <f t="shared" si="0"/>
        <v/>
      </c>
      <c r="I15" s="284"/>
    </row>
    <row r="16" spans="2:9" ht="14.25">
      <c r="B16" s="13" t="s">
        <v>83</v>
      </c>
      <c r="C16" s="14" t="s">
        <v>873</v>
      </c>
      <c r="D16" s="14" t="s">
        <v>386</v>
      </c>
      <c r="E16" s="14"/>
      <c r="F16" s="240">
        <f>'C4.4D'!F32</f>
        <v>12500</v>
      </c>
      <c r="G16" s="586"/>
      <c r="H16" s="363">
        <f t="shared" si="0"/>
        <v>0</v>
      </c>
      <c r="I16" s="284"/>
    </row>
    <row r="17" spans="2:9">
      <c r="B17" s="13"/>
      <c r="C17" s="100"/>
      <c r="D17" s="14"/>
      <c r="E17" s="14"/>
      <c r="F17" s="240"/>
      <c r="G17" s="586"/>
      <c r="H17" s="363"/>
      <c r="I17" s="284"/>
    </row>
    <row r="18" spans="2:9" ht="38.25">
      <c r="B18" s="13" t="s">
        <v>874</v>
      </c>
      <c r="C18" s="14" t="s">
        <v>875</v>
      </c>
      <c r="D18" s="14" t="s">
        <v>386</v>
      </c>
      <c r="E18" s="14"/>
      <c r="F18" s="324">
        <f>'C4.4D'!F16</f>
        <v>250</v>
      </c>
      <c r="G18" s="586"/>
      <c r="H18" s="363">
        <f t="shared" ref="H18" si="1">IF(D18="","",F18*G18)</f>
        <v>0</v>
      </c>
      <c r="I18" s="284"/>
    </row>
    <row r="19" spans="2:9">
      <c r="B19" s="13"/>
      <c r="C19" s="100"/>
      <c r="D19" s="14"/>
      <c r="E19" s="14"/>
      <c r="F19" s="240"/>
      <c r="G19" s="410"/>
      <c r="H19" s="363" t="str">
        <f t="shared" si="0"/>
        <v/>
      </c>
      <c r="I19" s="284"/>
    </row>
    <row r="20" spans="2:9" hidden="1">
      <c r="B20" s="13"/>
      <c r="C20" s="14"/>
      <c r="D20" s="14"/>
      <c r="E20" s="14"/>
      <c r="F20" s="22"/>
      <c r="G20" s="351"/>
      <c r="H20" s="363" t="str">
        <f t="shared" si="0"/>
        <v/>
      </c>
      <c r="I20" s="284"/>
    </row>
    <row r="21" spans="2:9" hidden="1">
      <c r="B21" s="13"/>
      <c r="C21" s="14"/>
      <c r="D21" s="14"/>
      <c r="E21" s="14"/>
      <c r="F21" s="22"/>
      <c r="G21" s="351"/>
      <c r="H21" s="363"/>
      <c r="I21" s="284"/>
    </row>
    <row r="22" spans="2:9" hidden="1">
      <c r="B22" s="13"/>
      <c r="C22" s="14"/>
      <c r="D22" s="14"/>
      <c r="E22" s="14"/>
      <c r="F22" s="22"/>
      <c r="G22" s="351"/>
      <c r="H22" s="363"/>
      <c r="I22" s="284"/>
    </row>
    <row r="23" spans="2:9" hidden="1">
      <c r="B23" s="13"/>
      <c r="C23" s="14"/>
      <c r="D23" s="14"/>
      <c r="E23" s="14"/>
      <c r="F23" s="22"/>
      <c r="G23" s="351"/>
      <c r="H23" s="363"/>
      <c r="I23" s="284"/>
    </row>
    <row r="24" spans="2:9" hidden="1">
      <c r="B24" s="13"/>
      <c r="C24" s="14"/>
      <c r="D24" s="14"/>
      <c r="E24" s="14"/>
      <c r="F24" s="22"/>
      <c r="G24" s="351"/>
      <c r="H24" s="363"/>
      <c r="I24" s="284"/>
    </row>
    <row r="25" spans="2:9" hidden="1">
      <c r="B25" s="13"/>
      <c r="C25" s="14"/>
      <c r="D25" s="14"/>
      <c r="E25" s="14"/>
      <c r="F25" s="22"/>
      <c r="G25" s="351"/>
      <c r="H25" s="363"/>
      <c r="I25" s="284"/>
    </row>
    <row r="26" spans="2:9" hidden="1">
      <c r="B26" s="13"/>
      <c r="C26" s="14"/>
      <c r="D26" s="14"/>
      <c r="E26" s="14"/>
      <c r="F26" s="22"/>
      <c r="G26" s="351"/>
      <c r="H26" s="363"/>
      <c r="I26" s="284"/>
    </row>
    <row r="27" spans="2:9" s="2" customFormat="1" ht="19.5" hidden="1" customHeight="1">
      <c r="B27" s="411" t="str">
        <f>$B$10</f>
        <v>C5.2</v>
      </c>
      <c r="C27" s="276" t="s">
        <v>99</v>
      </c>
      <c r="D27" s="287"/>
      <c r="E27" s="287"/>
      <c r="F27" s="31"/>
      <c r="G27" s="412"/>
      <c r="H27" s="364">
        <f>SUM(H9:H26)</f>
        <v>0</v>
      </c>
      <c r="I27" s="289"/>
    </row>
    <row r="28" spans="2:9" hidden="1">
      <c r="B28" s="697" t="str">
        <f>Client1</f>
        <v>AIRPORTS COMPANY - SOUTH AFRICA</v>
      </c>
      <c r="C28" s="697"/>
      <c r="D28" s="697"/>
      <c r="E28" s="697"/>
      <c r="F28" s="676" t="str">
        <f>"Contract No. "&amp;ContractNo</f>
        <v>Contract No. KSIA7806/2025/RFP</v>
      </c>
      <c r="G28" s="676"/>
      <c r="H28" s="676"/>
    </row>
    <row r="29" spans="2:9" hidden="1">
      <c r="B29" s="697" t="str">
        <f>Client2</f>
        <v>ACSA</v>
      </c>
      <c r="C29" s="697"/>
      <c r="D29" s="697"/>
      <c r="E29" s="697"/>
      <c r="F29" s="676"/>
      <c r="G29" s="676"/>
      <c r="H29" s="676"/>
    </row>
    <row r="30" spans="2:9" hidden="1">
      <c r="B30" s="700"/>
      <c r="C30" s="700"/>
      <c r="D30" s="700"/>
      <c r="E30" s="700"/>
      <c r="F30" s="677"/>
      <c r="G30" s="677"/>
      <c r="H30" s="677"/>
    </row>
    <row r="31" spans="2:9" hidden="1">
      <c r="B31" s="695" t="s">
        <v>456</v>
      </c>
      <c r="C31" s="696"/>
      <c r="D31" s="696"/>
      <c r="E31" s="696"/>
      <c r="F31" s="696"/>
      <c r="G31" s="696"/>
      <c r="H31" s="684" t="str">
        <f>$H$4</f>
        <v>CHAPTER C5.2</v>
      </c>
      <c r="I31" s="2"/>
    </row>
    <row r="32" spans="2:9" hidden="1">
      <c r="B32" s="690" t="str">
        <f>ContractDescription</f>
        <v>PROCUREMENT OF A CIDB GRADE 9 CE CONTRACTOR THE COMPLETION OF BRAVO TAXIWAY EXTENSION AT KING SHAKA INTERNATIONAL AIRPORT FOR A PERIOD OF 12 MONTHS AT KING SHAKA INTERNATIONAL AIRPORT</v>
      </c>
      <c r="C32" s="691"/>
      <c r="D32" s="691"/>
      <c r="E32" s="691"/>
      <c r="F32" s="691"/>
      <c r="G32" s="691"/>
      <c r="H32" s="694"/>
      <c r="I32" s="8"/>
    </row>
    <row r="33" spans="2:9" hidden="1">
      <c r="B33" s="690"/>
      <c r="C33" s="691"/>
      <c r="D33" s="691"/>
      <c r="E33" s="691"/>
      <c r="F33" s="691"/>
      <c r="G33" s="691"/>
      <c r="H33" s="694"/>
      <c r="I33" s="8"/>
    </row>
    <row r="34" spans="2:9" hidden="1">
      <c r="B34" s="692"/>
      <c r="C34" s="693"/>
      <c r="D34" s="693"/>
      <c r="E34" s="693"/>
      <c r="F34" s="693"/>
      <c r="G34" s="693"/>
      <c r="H34" s="686"/>
      <c r="I34" s="8"/>
    </row>
    <row r="35" spans="2:9" s="2" customFormat="1" ht="24.95" hidden="1" customHeight="1">
      <c r="B35" s="282" t="s">
        <v>11</v>
      </c>
      <c r="C35" s="280" t="s">
        <v>12</v>
      </c>
      <c r="D35" s="280" t="s">
        <v>13</v>
      </c>
      <c r="E35" s="280" t="s">
        <v>14</v>
      </c>
      <c r="F35" s="11" t="s">
        <v>15</v>
      </c>
      <c r="G35" s="409" t="s">
        <v>16</v>
      </c>
      <c r="H35" s="364" t="s">
        <v>17</v>
      </c>
      <c r="I35" s="7"/>
    </row>
    <row r="36" spans="2:9" s="2" customFormat="1" ht="19.5" hidden="1" customHeight="1">
      <c r="B36" s="411"/>
      <c r="C36" s="276" t="s">
        <v>140</v>
      </c>
      <c r="D36" s="287"/>
      <c r="E36" s="287"/>
      <c r="F36" s="31"/>
      <c r="G36" s="412"/>
      <c r="H36" s="364">
        <f>H27</f>
        <v>0</v>
      </c>
      <c r="I36" s="289"/>
    </row>
    <row r="37" spans="2:9" hidden="1">
      <c r="B37" s="13"/>
      <c r="C37" s="14"/>
      <c r="D37" s="14"/>
      <c r="E37" s="14"/>
      <c r="F37" s="22"/>
      <c r="G37" s="351"/>
      <c r="H37" s="363"/>
      <c r="I37" s="284"/>
    </row>
    <row r="38" spans="2:9" ht="25.5">
      <c r="B38" s="13" t="s">
        <v>876</v>
      </c>
      <c r="C38" s="14" t="s">
        <v>877</v>
      </c>
      <c r="D38" s="14"/>
      <c r="E38" s="14"/>
      <c r="F38" s="22"/>
      <c r="G38" s="351"/>
      <c r="H38" s="363" t="str">
        <f t="shared" ref="H38:H42" si="2">IF(D38="","",F38*G38)</f>
        <v/>
      </c>
      <c r="I38" s="284"/>
    </row>
    <row r="39" spans="2:9">
      <c r="B39" s="13"/>
      <c r="C39" s="50"/>
      <c r="D39" s="14"/>
      <c r="E39" s="14"/>
      <c r="F39" s="22"/>
      <c r="G39" s="351"/>
      <c r="H39" s="363" t="str">
        <f t="shared" si="2"/>
        <v/>
      </c>
      <c r="I39" s="284"/>
    </row>
    <row r="40" spans="2:9" ht="14.25">
      <c r="B40" s="13" t="s">
        <v>878</v>
      </c>
      <c r="C40" s="14" t="s">
        <v>879</v>
      </c>
      <c r="D40" s="14" t="s">
        <v>124</v>
      </c>
      <c r="E40" s="14"/>
      <c r="F40" s="240">
        <v>2000</v>
      </c>
      <c r="G40" s="587"/>
      <c r="H40" s="363">
        <f t="shared" si="2"/>
        <v>0</v>
      </c>
      <c r="I40" s="284"/>
    </row>
    <row r="41" spans="2:9">
      <c r="B41" s="13"/>
      <c r="C41" s="14"/>
      <c r="D41" s="14"/>
      <c r="E41" s="14"/>
      <c r="F41" s="22"/>
      <c r="G41" s="351"/>
      <c r="H41" s="363" t="str">
        <f t="shared" si="2"/>
        <v/>
      </c>
      <c r="I41" s="284"/>
    </row>
    <row r="42" spans="2:9">
      <c r="B42" s="13"/>
      <c r="C42" s="14"/>
      <c r="D42" s="14"/>
      <c r="E42" s="14"/>
      <c r="F42" s="22"/>
      <c r="G42" s="351"/>
      <c r="H42" s="363" t="str">
        <f t="shared" si="2"/>
        <v/>
      </c>
      <c r="I42" s="284"/>
    </row>
    <row r="43" spans="2:9" s="2" customFormat="1" ht="24.95" customHeight="1">
      <c r="B43" s="290" t="str">
        <f>$B$10</f>
        <v>C5.2</v>
      </c>
      <c r="C43" s="276" t="s">
        <v>125</v>
      </c>
      <c r="D43" s="287"/>
      <c r="E43" s="287"/>
      <c r="F43" s="31"/>
      <c r="G43" s="412"/>
      <c r="H43" s="364">
        <f>H16+H18+H40</f>
        <v>0</v>
      </c>
      <c r="I43" s="289"/>
    </row>
    <row r="89" spans="6:6">
      <c r="F89" s="352"/>
    </row>
    <row r="90" spans="6:6">
      <c r="F90" s="352"/>
    </row>
    <row r="91" spans="6:6">
      <c r="F91" s="352"/>
    </row>
    <row r="92" spans="6:6">
      <c r="F92" s="352"/>
    </row>
    <row r="93" spans="6:6">
      <c r="F93" s="352"/>
    </row>
    <row r="94" spans="6:6">
      <c r="F94" s="352"/>
    </row>
    <row r="95" spans="6:6">
      <c r="F95" s="352"/>
    </row>
    <row r="96" spans="6:6">
      <c r="F96" s="352"/>
    </row>
    <row r="97" spans="6:6">
      <c r="F97" s="352"/>
    </row>
    <row r="98" spans="6:6">
      <c r="F98" s="352"/>
    </row>
  </sheetData>
  <sheetProtection algorithmName="SHA-512" hashValue="iTDKBS75bEre1xL5LLkA5ukj+Eot+CUWNQQrCXM2zzgoeeyvuoRFf3cSTpISXoifp6XyPAG6biZOQeKHP1JU8w==" saltValue="dCUVFoE9rEOEQFYMuJ1Z/w==" spinCount="100000" sheet="1" objects="1" scenarios="1"/>
  <mergeCells count="12">
    <mergeCell ref="I4:I8"/>
    <mergeCell ref="B31:G31"/>
    <mergeCell ref="H31:H34"/>
    <mergeCell ref="B32:G34"/>
    <mergeCell ref="F1:H1"/>
    <mergeCell ref="B4:G4"/>
    <mergeCell ref="H4:H7"/>
    <mergeCell ref="B5:G7"/>
    <mergeCell ref="B28:E28"/>
    <mergeCell ref="F28:H30"/>
    <mergeCell ref="B29:E29"/>
    <mergeCell ref="B30:E30"/>
  </mergeCells>
  <pageMargins left="0.43307086614173229" right="0.31496062992125984" top="0.43307086614173229" bottom="0.62992125984251968" header="0.35433070866141736" footer="0.31496062992125984"/>
  <pageSetup paperSize="9" scale="52"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65FF1-F0AD-4314-A241-3CD4A281B7A7}">
  <sheetPr codeName="Sheet112">
    <tabColor rgb="FF00B0F0"/>
  </sheetPr>
  <dimension ref="B1:O36"/>
  <sheetViews>
    <sheetView view="pageBreakPreview" zoomScaleNormal="100" zoomScaleSheetLayoutView="100" workbookViewId="0">
      <selection activeCell="C27" sqref="C27"/>
    </sheetView>
  </sheetViews>
  <sheetFormatPr defaultColWidth="8.85546875" defaultRowHeight="12.75"/>
  <cols>
    <col min="1" max="1" width="0.85546875" style="51" customWidth="1"/>
    <col min="2" max="2" width="11.7109375" style="54" customWidth="1"/>
    <col min="3" max="3" width="45.7109375" style="52" customWidth="1"/>
    <col min="4" max="4" width="15.28515625" style="52" customWidth="1"/>
    <col min="5" max="5" width="5.7109375" style="237" customWidth="1"/>
    <col min="6" max="6" width="15.7109375" style="54" customWidth="1"/>
    <col min="7" max="7" width="15.7109375" style="403" customWidth="1"/>
    <col min="8" max="8" width="15.7109375" style="404" customWidth="1"/>
    <col min="9" max="9" width="0.85546875" style="51" hidden="1" customWidth="1"/>
    <col min="10" max="10" width="0" style="51" hidden="1" customWidth="1"/>
    <col min="11" max="11" width="15.42578125" style="51" hidden="1" customWidth="1"/>
    <col min="12" max="12" width="12.5703125" style="51" hidden="1" customWidth="1"/>
    <col min="13" max="13" width="9.42578125" style="51" hidden="1" customWidth="1"/>
    <col min="14" max="36" width="0" style="51" hidden="1" customWidth="1"/>
    <col min="37" max="16384" width="8.85546875" style="51"/>
  </cols>
  <sheetData>
    <row r="1" spans="2:15">
      <c r="B1" s="2" t="str">
        <f>Client1</f>
        <v>AIRPORTS COMPANY - SOUTH AFRICA</v>
      </c>
      <c r="D1" s="4"/>
      <c r="E1" s="4"/>
      <c r="F1" s="676" t="str">
        <f>"Contract No. "&amp;ContractNo</f>
        <v>Contract No. KSIA7806/2025/RFP</v>
      </c>
      <c r="G1" s="676"/>
      <c r="H1" s="676"/>
    </row>
    <row r="2" spans="2:15" s="1" customFormat="1" ht="18" customHeight="1">
      <c r="B2" s="90" t="str">
        <f>Client2</f>
        <v>ACSA</v>
      </c>
      <c r="C2" s="52"/>
      <c r="D2" s="4"/>
      <c r="E2" s="4"/>
      <c r="F2" s="4"/>
      <c r="G2" s="398"/>
      <c r="H2" s="399"/>
      <c r="L2" s="4"/>
    </row>
    <row r="3" spans="2:15" s="1" customFormat="1" ht="16.5" customHeight="1">
      <c r="B3" s="71"/>
      <c r="C3" s="92"/>
      <c r="D3" s="72"/>
      <c r="E3" s="72"/>
      <c r="F3" s="72"/>
      <c r="G3" s="400"/>
      <c r="H3" s="401"/>
      <c r="J3" s="5"/>
      <c r="K3" s="5"/>
      <c r="L3" s="4"/>
    </row>
    <row r="4" spans="2:15" s="1" customFormat="1" ht="7.5" customHeight="1">
      <c r="B4" s="690" t="str">
        <f>ContractDescription</f>
        <v>PROCUREMENT OF A CIDB GRADE 9 CE CONTRACTOR THE COMPLETION OF BRAVO TAXIWAY EXTENSION AT KING SHAKA INTERNATIONAL AIRPORT FOR A PERIOD OF 12 MONTHS AT KING SHAKA INTERNATIONAL AIRPORT</v>
      </c>
      <c r="C4" s="691"/>
      <c r="D4" s="691"/>
      <c r="E4" s="691"/>
      <c r="F4" s="691"/>
      <c r="G4" s="691"/>
      <c r="H4" s="711"/>
      <c r="J4" s="5"/>
      <c r="K4" s="5"/>
      <c r="L4" s="4"/>
    </row>
    <row r="5" spans="2:15" ht="18" customHeight="1">
      <c r="B5" s="690"/>
      <c r="C5" s="691"/>
      <c r="D5" s="691"/>
      <c r="E5" s="691"/>
      <c r="F5" s="691"/>
      <c r="G5" s="691"/>
      <c r="H5" s="711"/>
    </row>
    <row r="6" spans="2:15" ht="9" customHeight="1">
      <c r="B6" s="692"/>
      <c r="C6" s="693"/>
      <c r="D6" s="693"/>
      <c r="E6" s="693"/>
      <c r="F6" s="693"/>
      <c r="G6" s="693"/>
      <c r="H6" s="712"/>
    </row>
    <row r="7" spans="2:15" ht="25.5" customHeight="1">
      <c r="B7" s="819" t="s">
        <v>3310</v>
      </c>
      <c r="C7" s="820"/>
      <c r="D7" s="820"/>
      <c r="E7" s="820"/>
      <c r="F7" s="820"/>
      <c r="G7" s="820"/>
      <c r="H7" s="821"/>
    </row>
    <row r="8" spans="2:15">
      <c r="B8" s="11" t="s">
        <v>356</v>
      </c>
      <c r="C8" s="822" t="s">
        <v>12</v>
      </c>
      <c r="D8" s="719"/>
      <c r="E8" s="720"/>
      <c r="F8" s="85" t="s">
        <v>357</v>
      </c>
      <c r="G8" s="719" t="s">
        <v>17</v>
      </c>
      <c r="H8" s="720"/>
      <c r="O8" s="406"/>
    </row>
    <row r="9" spans="2:15" ht="12.75" customHeight="1">
      <c r="B9" s="22" t="str">
        <f>'C1.6C'!B10</f>
        <v>C1.6</v>
      </c>
      <c r="C9" s="721" t="s">
        <v>368</v>
      </c>
      <c r="D9" s="722">
        <v>0</v>
      </c>
      <c r="E9" s="722">
        <v>0</v>
      </c>
      <c r="F9" s="528" t="s">
        <v>3311</v>
      </c>
      <c r="G9" s="723">
        <f>'C1.6D'!H60</f>
        <v>0</v>
      </c>
      <c r="H9" s="724"/>
    </row>
    <row r="10" spans="2:15" ht="12.75" customHeight="1">
      <c r="B10" s="22" t="str">
        <f>'C1.7C'!B10</f>
        <v>C1.7</v>
      </c>
      <c r="C10" s="721" t="s">
        <v>381</v>
      </c>
      <c r="D10" s="722">
        <v>0</v>
      </c>
      <c r="E10" s="722">
        <v>0</v>
      </c>
      <c r="F10" s="528" t="s">
        <v>3312</v>
      </c>
      <c r="G10" s="723">
        <f>'C1.7D'!H65</f>
        <v>0</v>
      </c>
      <c r="H10" s="724"/>
    </row>
    <row r="11" spans="2:15" ht="12.75" customHeight="1">
      <c r="B11" s="22" t="s">
        <v>323</v>
      </c>
      <c r="C11" s="721" t="s">
        <v>324</v>
      </c>
      <c r="D11" s="722" t="e">
        <v>#REF!</v>
      </c>
      <c r="E11" s="722" t="e">
        <v>#REF!</v>
      </c>
      <c r="F11" s="528" t="s">
        <v>3313</v>
      </c>
      <c r="G11" s="723">
        <f>'C2.1D'!H132</f>
        <v>0</v>
      </c>
      <c r="H11" s="724"/>
    </row>
    <row r="12" spans="2:15" ht="12.75" customHeight="1">
      <c r="B12" s="22" t="s">
        <v>2999</v>
      </c>
      <c r="C12" s="275" t="s">
        <v>3000</v>
      </c>
      <c r="E12" s="52"/>
      <c r="F12" s="528" t="s">
        <v>3314</v>
      </c>
      <c r="G12" s="723">
        <f>'C2.2D'!H74</f>
        <v>0</v>
      </c>
      <c r="H12" s="724"/>
    </row>
    <row r="13" spans="2:15" ht="12.75" customHeight="1">
      <c r="B13" s="22" t="s">
        <v>765</v>
      </c>
      <c r="C13" s="275" t="s">
        <v>766</v>
      </c>
      <c r="E13" s="52"/>
      <c r="F13" s="528" t="s">
        <v>3315</v>
      </c>
      <c r="G13" s="723">
        <f>'C4.2D'!H41</f>
        <v>0</v>
      </c>
      <c r="H13" s="724"/>
    </row>
    <row r="14" spans="2:15" ht="12.75" customHeight="1">
      <c r="B14" s="22" t="str">
        <f>'C4.4C'!B10</f>
        <v>C4.4</v>
      </c>
      <c r="C14" s="721" t="s">
        <v>837</v>
      </c>
      <c r="D14" s="722">
        <v>0</v>
      </c>
      <c r="E14" s="722">
        <v>0</v>
      </c>
      <c r="F14" s="528" t="s">
        <v>3316</v>
      </c>
      <c r="G14" s="723">
        <f>'C4.4D'!H40</f>
        <v>0</v>
      </c>
      <c r="H14" s="724"/>
    </row>
    <row r="15" spans="2:15" ht="12.75" customHeight="1">
      <c r="B15" s="22" t="s">
        <v>867</v>
      </c>
      <c r="C15" s="275" t="s">
        <v>868</v>
      </c>
      <c r="E15" s="52"/>
      <c r="F15" s="528" t="s">
        <v>3317</v>
      </c>
      <c r="G15" s="723">
        <f>'C5.2D'!H43</f>
        <v>0</v>
      </c>
      <c r="H15" s="724"/>
    </row>
    <row r="16" spans="2:15" ht="12.75" customHeight="1">
      <c r="B16" s="22"/>
      <c r="C16" s="721"/>
      <c r="D16" s="722"/>
      <c r="E16" s="827"/>
      <c r="F16" s="22"/>
      <c r="G16" s="828"/>
      <c r="H16" s="724"/>
    </row>
    <row r="17" spans="2:9" ht="12.75" customHeight="1">
      <c r="B17" s="22"/>
      <c r="C17" s="721"/>
      <c r="D17" s="722"/>
      <c r="E17" s="827"/>
      <c r="F17" s="22"/>
      <c r="G17" s="828"/>
      <c r="H17" s="724"/>
    </row>
    <row r="18" spans="2:9">
      <c r="B18" s="22"/>
      <c r="C18" s="721"/>
      <c r="D18" s="722"/>
      <c r="E18" s="827"/>
      <c r="F18" s="22"/>
      <c r="G18" s="828"/>
      <c r="H18" s="724"/>
    </row>
    <row r="19" spans="2:9">
      <c r="B19" s="22"/>
      <c r="C19" s="721"/>
      <c r="D19" s="722"/>
      <c r="E19" s="827"/>
      <c r="F19" s="22"/>
      <c r="G19" s="828"/>
      <c r="H19" s="724"/>
    </row>
    <row r="20" spans="2:9">
      <c r="B20" s="22"/>
      <c r="C20" s="721"/>
      <c r="D20" s="722"/>
      <c r="E20" s="827"/>
      <c r="F20" s="22"/>
      <c r="G20" s="828"/>
      <c r="H20" s="724"/>
    </row>
    <row r="21" spans="2:9">
      <c r="B21" s="22"/>
      <c r="C21" s="721"/>
      <c r="D21" s="722"/>
      <c r="E21" s="827"/>
      <c r="F21" s="22"/>
      <c r="G21" s="828"/>
      <c r="H21" s="724"/>
    </row>
    <row r="22" spans="2:9">
      <c r="B22" s="75"/>
      <c r="C22" s="823"/>
      <c r="D22" s="824"/>
      <c r="E22" s="829"/>
      <c r="F22" s="75"/>
      <c r="G22" s="830"/>
      <c r="H22" s="775"/>
    </row>
    <row r="23" spans="2:9" s="28" customFormat="1" ht="19.5" customHeight="1">
      <c r="B23" s="793" t="s">
        <v>3195</v>
      </c>
      <c r="C23" s="794"/>
      <c r="D23" s="794"/>
      <c r="E23" s="794"/>
      <c r="F23" s="794"/>
      <c r="G23" s="825">
        <f>SUM(G9:H22)</f>
        <v>0</v>
      </c>
      <c r="H23" s="826"/>
      <c r="I23" s="236"/>
    </row>
    <row r="36" spans="2:15" s="52" customFormat="1">
      <c r="B36" s="54"/>
      <c r="C36" s="3"/>
      <c r="E36" s="237"/>
      <c r="F36" s="54"/>
      <c r="G36" s="403"/>
      <c r="H36" s="404"/>
      <c r="I36" s="51"/>
      <c r="J36" s="51"/>
      <c r="K36" s="51"/>
      <c r="L36" s="51"/>
      <c r="M36" s="51"/>
      <c r="N36" s="51"/>
      <c r="O36" s="51"/>
    </row>
  </sheetData>
  <sheetProtection algorithmName="SHA-512" hashValue="fPntODae9JDcdV9Kfn+H6LBmGjmcVAESQHDEkrz7Oa/tcw3atGSwqfzhboawxZkjXPFNhttFNgLp2ZreZR7ZNQ==" saltValue="nmWmoji/JJnlwQYMlrlAyw==" spinCount="100000" sheet="1" objects="1" scenarios="1"/>
  <mergeCells count="33">
    <mergeCell ref="B23:F23"/>
    <mergeCell ref="G23:H23"/>
    <mergeCell ref="C20:E20"/>
    <mergeCell ref="G20:H20"/>
    <mergeCell ref="C21:E21"/>
    <mergeCell ref="G21:H21"/>
    <mergeCell ref="C22:E22"/>
    <mergeCell ref="G22:H22"/>
    <mergeCell ref="C17:E17"/>
    <mergeCell ref="G17:H17"/>
    <mergeCell ref="C18:E18"/>
    <mergeCell ref="G18:H18"/>
    <mergeCell ref="C19:E19"/>
    <mergeCell ref="G19:H19"/>
    <mergeCell ref="C14:E14"/>
    <mergeCell ref="G14:H14"/>
    <mergeCell ref="G15:H15"/>
    <mergeCell ref="C16:E16"/>
    <mergeCell ref="G16:H16"/>
    <mergeCell ref="G13:H13"/>
    <mergeCell ref="C9:E9"/>
    <mergeCell ref="G9:H9"/>
    <mergeCell ref="C10:E10"/>
    <mergeCell ref="G10:H10"/>
    <mergeCell ref="C11:E11"/>
    <mergeCell ref="G11:H11"/>
    <mergeCell ref="G12:H12"/>
    <mergeCell ref="F1:H1"/>
    <mergeCell ref="B4:G6"/>
    <mergeCell ref="H4:H6"/>
    <mergeCell ref="B7:H7"/>
    <mergeCell ref="C8:E8"/>
    <mergeCell ref="G8:H8"/>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4">
    <tabColor rgb="FFFF0000"/>
  </sheetPr>
  <dimension ref="B1:P31"/>
  <sheetViews>
    <sheetView tabSelected="1" view="pageBreakPreview" zoomScaleNormal="100" zoomScaleSheetLayoutView="100" workbookViewId="0">
      <selection activeCell="C27" sqref="C27"/>
    </sheetView>
  </sheetViews>
  <sheetFormatPr defaultColWidth="8.85546875" defaultRowHeight="12.75"/>
  <cols>
    <col min="1" max="1" width="0.85546875" style="51" customWidth="1"/>
    <col min="2" max="2" width="11.7109375" style="54" customWidth="1"/>
    <col min="3" max="3" width="45.7109375" style="52" customWidth="1"/>
    <col min="4" max="4" width="15.28515625" style="52" customWidth="1"/>
    <col min="5" max="5" width="5.7109375" style="237" customWidth="1"/>
    <col min="6" max="6" width="15.7109375" style="54" customWidth="1"/>
    <col min="7" max="7" width="30.7109375" style="403" customWidth="1"/>
    <col min="8" max="8" width="0.140625" style="404" customWidth="1"/>
    <col min="9" max="9" width="0.85546875" style="51" hidden="1" customWidth="1"/>
    <col min="10" max="11" width="16.140625" style="51" hidden="1" customWidth="1"/>
    <col min="12" max="12" width="23.7109375" style="51" hidden="1" customWidth="1"/>
    <col min="13" max="13" width="9.42578125" style="51" hidden="1" customWidth="1"/>
    <col min="14" max="14" width="0" style="51" hidden="1" customWidth="1"/>
    <col min="15" max="15" width="16.85546875" style="51" hidden="1" customWidth="1"/>
    <col min="16" max="16" width="28.140625" style="51" hidden="1" customWidth="1"/>
    <col min="17" max="36" width="0" style="51" hidden="1" customWidth="1"/>
    <col min="37" max="16384" width="8.85546875" style="51"/>
  </cols>
  <sheetData>
    <row r="1" spans="2:16">
      <c r="B1" s="2" t="str">
        <f>Client1</f>
        <v>AIRPORTS COMPANY - SOUTH AFRICA</v>
      </c>
      <c r="D1" s="4"/>
      <c r="E1" s="4"/>
      <c r="F1" s="676" t="str">
        <f>"Contract No. "&amp;ContractNo</f>
        <v>Contract No. KSIA7806/2025/RFP</v>
      </c>
      <c r="G1" s="676"/>
      <c r="H1" s="676"/>
    </row>
    <row r="2" spans="2:16" s="1" customFormat="1" ht="18" customHeight="1">
      <c r="B2" s="90" t="str">
        <f>Client2</f>
        <v>ACSA</v>
      </c>
      <c r="C2" s="52"/>
      <c r="D2" s="4"/>
      <c r="E2" s="4"/>
      <c r="F2" s="4"/>
      <c r="G2" s="398"/>
      <c r="H2" s="399"/>
      <c r="L2" s="4"/>
    </row>
    <row r="3" spans="2:16" s="1" customFormat="1" ht="16.5" customHeight="1">
      <c r="B3" s="71"/>
      <c r="C3" s="92"/>
      <c r="D3" s="72"/>
      <c r="E3" s="72"/>
      <c r="F3" s="72"/>
      <c r="G3" s="400"/>
      <c r="H3" s="401"/>
      <c r="J3" s="5"/>
      <c r="K3" s="5"/>
      <c r="L3" s="4"/>
    </row>
    <row r="4" spans="2:16" s="1" customFormat="1" ht="7.5" customHeight="1">
      <c r="B4" s="832" t="str">
        <f>ContractDescription</f>
        <v>PROCUREMENT OF A CIDB GRADE 9 CE CONTRACTOR THE COMPLETION OF BRAVO TAXIWAY EXTENSION AT KING SHAKA INTERNATIONAL AIRPORT FOR A PERIOD OF 12 MONTHS AT KING SHAKA INTERNATIONAL AIRPORT</v>
      </c>
      <c r="C4" s="833"/>
      <c r="D4" s="833"/>
      <c r="E4" s="833"/>
      <c r="F4" s="833"/>
      <c r="G4" s="833"/>
      <c r="H4" s="773"/>
      <c r="J4" s="5"/>
      <c r="K4" s="5"/>
      <c r="L4" s="4"/>
    </row>
    <row r="5" spans="2:16" ht="12.75" customHeight="1">
      <c r="B5" s="834"/>
      <c r="C5" s="788"/>
      <c r="D5" s="788"/>
      <c r="E5" s="788"/>
      <c r="F5" s="788"/>
      <c r="G5" s="788"/>
      <c r="H5" s="774"/>
    </row>
    <row r="6" spans="2:16" ht="7.5" customHeight="1">
      <c r="B6" s="835"/>
      <c r="C6" s="830"/>
      <c r="D6" s="830"/>
      <c r="E6" s="830"/>
      <c r="F6" s="830"/>
      <c r="G6" s="830"/>
      <c r="H6" s="775"/>
    </row>
    <row r="7" spans="2:16" ht="25.5" customHeight="1">
      <c r="B7" s="819" t="s">
        <v>3318</v>
      </c>
      <c r="C7" s="820"/>
      <c r="D7" s="820"/>
      <c r="E7" s="820"/>
      <c r="F7" s="820"/>
      <c r="G7" s="820"/>
      <c r="H7" s="821"/>
      <c r="K7" s="235"/>
    </row>
    <row r="8" spans="2:16">
      <c r="B8" s="822" t="s">
        <v>3319</v>
      </c>
      <c r="C8" s="719"/>
      <c r="D8" s="719"/>
      <c r="E8" s="720"/>
      <c r="F8" s="85" t="s">
        <v>357</v>
      </c>
      <c r="G8" s="405" t="s">
        <v>17</v>
      </c>
      <c r="H8" s="580"/>
      <c r="O8" s="274"/>
      <c r="P8" s="259"/>
    </row>
    <row r="9" spans="2:16" ht="12.75" customHeight="1">
      <c r="B9" s="716" t="s">
        <v>3320</v>
      </c>
      <c r="C9" s="717"/>
      <c r="D9" s="717"/>
      <c r="E9" s="718"/>
      <c r="F9" s="528" t="s">
        <v>3321</v>
      </c>
      <c r="G9" s="576">
        <f>' A - PnGs'!G15:H15</f>
        <v>9844000</v>
      </c>
      <c r="H9" s="579"/>
      <c r="J9" s="259"/>
      <c r="K9" s="305"/>
      <c r="L9" s="259"/>
      <c r="O9" s="274"/>
      <c r="P9" s="259"/>
    </row>
    <row r="10" spans="2:16" ht="12.75" customHeight="1">
      <c r="B10" s="716" t="s">
        <v>3322</v>
      </c>
      <c r="C10" s="717"/>
      <c r="D10" s="717"/>
      <c r="E10" s="718"/>
      <c r="F10" s="528" t="s">
        <v>3323</v>
      </c>
      <c r="G10" s="576">
        <f>' B BRAVO'!G23:H23</f>
        <v>175000</v>
      </c>
      <c r="H10" s="579"/>
      <c r="K10" s="259"/>
      <c r="L10" s="259"/>
      <c r="O10" s="259"/>
      <c r="P10" s="259"/>
    </row>
    <row r="11" spans="2:16" ht="12.75" customHeight="1">
      <c r="B11" s="716" t="s">
        <v>2943</v>
      </c>
      <c r="C11" s="717"/>
      <c r="D11" s="717"/>
      <c r="E11" s="718"/>
      <c r="F11" s="528" t="s">
        <v>3324</v>
      </c>
      <c r="G11" s="576">
        <f>'C - NEW TIE IN'!G27:H27</f>
        <v>150000</v>
      </c>
      <c r="H11" s="579"/>
      <c r="K11" s="259"/>
      <c r="L11" s="259"/>
      <c r="O11" s="259"/>
      <c r="P11" s="259"/>
    </row>
    <row r="12" spans="2:16" ht="12.75" customHeight="1">
      <c r="B12" s="716" t="s">
        <v>3325</v>
      </c>
      <c r="C12" s="717"/>
      <c r="D12" s="717"/>
      <c r="E12" s="718"/>
      <c r="F12" s="528" t="s">
        <v>3326</v>
      </c>
      <c r="G12" s="576">
        <f>'D - APRON &amp; C'!G23:H23</f>
        <v>0</v>
      </c>
      <c r="H12" s="579"/>
      <c r="K12" s="259"/>
      <c r="L12" s="259"/>
      <c r="O12" s="259"/>
      <c r="P12" s="259"/>
    </row>
    <row r="13" spans="2:16" s="28" customFormat="1" ht="19.899999999999999" customHeight="1">
      <c r="B13" s="793" t="s">
        <v>3327</v>
      </c>
      <c r="C13" s="794"/>
      <c r="D13" s="794"/>
      <c r="E13" s="794"/>
      <c r="F13" s="831"/>
      <c r="G13" s="353">
        <f>+G12+G11+G10+G9</f>
        <v>10169000</v>
      </c>
      <c r="H13" s="578"/>
      <c r="I13" s="236"/>
      <c r="K13" s="306"/>
      <c r="L13" s="402"/>
      <c r="O13" s="245"/>
      <c r="P13" s="245"/>
    </row>
    <row r="14" spans="2:16">
      <c r="O14" s="259"/>
    </row>
    <row r="17" spans="3:11">
      <c r="K17" s="259"/>
    </row>
    <row r="18" spans="3:11">
      <c r="K18" s="259"/>
    </row>
    <row r="19" spans="3:11">
      <c r="K19" s="259"/>
    </row>
    <row r="24" spans="3:11">
      <c r="D24" s="52" t="s">
        <v>3328</v>
      </c>
    </row>
    <row r="31" spans="3:11">
      <c r="C31" s="3"/>
    </row>
  </sheetData>
  <sheetProtection algorithmName="SHA-512" hashValue="zqy4E0R+v1wWBUyfG0R7ClOxytLr/O0gfvbaZLCjqhaBBR5byln1qMyRX8iud+YNDde0LnbudtGbZb3n/ARjrA==" saltValue="zgh7ipK2lCH+U3KrJmm6gA==" spinCount="100000" sheet="1" objects="1" scenarios="1"/>
  <mergeCells count="9">
    <mergeCell ref="B13:F13"/>
    <mergeCell ref="F1:H1"/>
    <mergeCell ref="B7:H7"/>
    <mergeCell ref="B8:E8"/>
    <mergeCell ref="B9:E9"/>
    <mergeCell ref="B4:H6"/>
    <mergeCell ref="B10:E10"/>
    <mergeCell ref="B11:E11"/>
    <mergeCell ref="B12:E12"/>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69E9-11C8-4BA2-B4C1-6E134B8E6BB8}">
  <sheetPr>
    <tabColor rgb="FFFFFF00"/>
  </sheetPr>
  <dimension ref="A24:I24"/>
  <sheetViews>
    <sheetView zoomScaleNormal="100" workbookViewId="0">
      <selection activeCell="C27" sqref="C27"/>
    </sheetView>
  </sheetViews>
  <sheetFormatPr defaultRowHeight="12.75"/>
  <sheetData>
    <row r="24" spans="1:9" ht="96.75" customHeight="1">
      <c r="A24" s="674" t="s">
        <v>3329</v>
      </c>
      <c r="B24" s="674"/>
      <c r="C24" s="674"/>
      <c r="D24" s="674"/>
      <c r="E24" s="674"/>
      <c r="F24" s="674"/>
      <c r="G24" s="674"/>
      <c r="H24" s="674"/>
      <c r="I24" s="674"/>
    </row>
  </sheetData>
  <sheetProtection algorithmName="SHA-512" hashValue="fXAEVP9LX0pm+pXNwzxYimDu6Fn/h2FCqRbnKFu53Ccfw2HvPCQBh6ea8stm6H6DdH4pH2ec97rtp15bXUtS9w==" saltValue="Pa13BJU1K3wY/P4zxVLqGQ==" spinCount="100000" sheet="1" objects="1" scenarios="1"/>
  <mergeCells count="1">
    <mergeCell ref="A24:I24"/>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A77D-900B-4BF3-B03E-5340E84AEA10}">
  <sheetPr>
    <tabColor rgb="FFFFFF00"/>
  </sheetPr>
  <dimension ref="B1:M50"/>
  <sheetViews>
    <sheetView view="pageBreakPreview" zoomScaleNormal="70" zoomScaleSheetLayoutView="100" workbookViewId="0">
      <pane ySplit="8" topLeftCell="A12" activePane="bottomLeft" state="frozen"/>
      <selection pane="bottomLeft" activeCell="G12" sqref="G12"/>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8" width="15.7109375" style="4" customWidth="1"/>
    <col min="9" max="9" width="36" style="5" hidden="1" customWidth="1"/>
    <col min="10" max="10" width="0" style="1" hidden="1" customWidth="1"/>
    <col min="11" max="11" width="14.28515625" style="1" hidden="1" customWidth="1"/>
    <col min="12" max="12" width="0" style="1" hidden="1" customWidth="1"/>
    <col min="13" max="13" width="9" style="1" hidden="1" customWidth="1"/>
    <col min="14" max="36" width="0" style="1" hidden="1" customWidth="1"/>
    <col min="37" max="16384" width="6.85546875" style="1"/>
  </cols>
  <sheetData>
    <row r="1" spans="2:13">
      <c r="B1" s="2" t="str">
        <f>Client1</f>
        <v>AIRPORTS COMPANY - SOUTH AFRICA</v>
      </c>
      <c r="F1" s="676" t="str">
        <f>"Contract No. "&amp;ContractNo</f>
        <v>Contract No. KSIA7806/2025/RFP</v>
      </c>
      <c r="G1" s="676"/>
      <c r="H1" s="676"/>
    </row>
    <row r="2" spans="2:13">
      <c r="B2" s="90" t="str">
        <f>Client2</f>
        <v>ACSA</v>
      </c>
    </row>
    <row r="3" spans="2:13">
      <c r="B3" s="71"/>
      <c r="C3" s="71"/>
      <c r="D3" s="72"/>
      <c r="E3" s="72"/>
      <c r="F3" s="72"/>
      <c r="G3" s="72"/>
      <c r="H3" s="72"/>
    </row>
    <row r="4" spans="2:13">
      <c r="B4" s="695"/>
      <c r="C4" s="696"/>
      <c r="D4" s="696"/>
      <c r="E4" s="696"/>
      <c r="F4" s="696"/>
      <c r="G4" s="696"/>
      <c r="H4" s="770"/>
      <c r="I4" s="676" t="s">
        <v>3330</v>
      </c>
    </row>
    <row r="5" spans="2:13"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676"/>
    </row>
    <row r="6" spans="2:13" ht="12.75" customHeight="1">
      <c r="B6" s="690"/>
      <c r="C6" s="691"/>
      <c r="D6" s="691"/>
      <c r="E6" s="691"/>
      <c r="F6" s="691"/>
      <c r="G6" s="691"/>
      <c r="H6" s="771"/>
      <c r="I6" s="676"/>
    </row>
    <row r="7" spans="2:13" ht="14.25" customHeight="1">
      <c r="B7" s="692"/>
      <c r="C7" s="693"/>
      <c r="D7" s="693"/>
      <c r="E7" s="693"/>
      <c r="F7" s="693"/>
      <c r="G7" s="693"/>
      <c r="H7" s="772"/>
      <c r="I7" s="676"/>
    </row>
    <row r="8" spans="2:13" s="9" customFormat="1" ht="24.95" customHeight="1">
      <c r="B8" s="10" t="s">
        <v>11</v>
      </c>
      <c r="C8" s="11" t="s">
        <v>12</v>
      </c>
      <c r="D8" s="11" t="s">
        <v>13</v>
      </c>
      <c r="E8" s="11" t="s">
        <v>14</v>
      </c>
      <c r="F8" s="11" t="s">
        <v>15</v>
      </c>
      <c r="G8" s="11" t="s">
        <v>16</v>
      </c>
      <c r="H8" s="11" t="s">
        <v>17</v>
      </c>
      <c r="I8" s="12"/>
    </row>
    <row r="9" spans="2:13">
      <c r="B9" s="105"/>
      <c r="C9" s="52"/>
      <c r="D9" s="78"/>
      <c r="E9" s="15"/>
      <c r="F9" s="15"/>
      <c r="G9" s="15"/>
      <c r="H9" s="529" t="str">
        <f>IF(D9="","",F9*G9)</f>
        <v/>
      </c>
      <c r="I9" s="239"/>
    </row>
    <row r="10" spans="2:13">
      <c r="B10" s="69" t="s">
        <v>3331</v>
      </c>
      <c r="C10" s="7" t="s">
        <v>3332</v>
      </c>
      <c r="D10" s="15"/>
      <c r="E10" s="15"/>
      <c r="F10" s="15"/>
      <c r="G10" s="15"/>
      <c r="H10" s="529" t="str">
        <f t="shared" ref="H10:H49" si="0">IF(D10="","",F10*G10)</f>
        <v/>
      </c>
      <c r="I10" s="239"/>
    </row>
    <row r="11" spans="2:13">
      <c r="B11" s="48"/>
      <c r="C11" s="52"/>
      <c r="D11" s="15"/>
      <c r="E11" s="15"/>
      <c r="F11" s="15"/>
      <c r="G11" s="530"/>
      <c r="H11" s="529" t="str">
        <f t="shared" si="0"/>
        <v/>
      </c>
      <c r="I11" s="239"/>
      <c r="K11" s="1">
        <f>'ELECTRICAL BOQ SUMMARY'!J9</f>
        <v>6225</v>
      </c>
    </row>
    <row r="12" spans="2:13" ht="10.5" customHeight="1">
      <c r="B12" s="81">
        <v>1</v>
      </c>
      <c r="C12" s="531" t="s">
        <v>3333</v>
      </c>
      <c r="D12" s="532" t="s">
        <v>33</v>
      </c>
      <c r="E12" s="22"/>
      <c r="F12" s="22">
        <v>1</v>
      </c>
      <c r="G12" s="622"/>
      <c r="H12" s="529">
        <f t="shared" si="0"/>
        <v>0</v>
      </c>
      <c r="I12" s="277"/>
    </row>
    <row r="13" spans="2:13">
      <c r="B13" s="81"/>
      <c r="C13" s="531"/>
      <c r="D13" s="533"/>
      <c r="E13" s="22"/>
      <c r="F13" s="22"/>
      <c r="G13" s="622"/>
      <c r="H13" s="529"/>
      <c r="I13" s="277"/>
      <c r="K13" s="306">
        <f>H12+H14</f>
        <v>0</v>
      </c>
    </row>
    <row r="14" spans="2:13" s="5" customFormat="1">
      <c r="B14" s="106">
        <v>2</v>
      </c>
      <c r="C14" s="531" t="s">
        <v>3334</v>
      </c>
      <c r="D14" s="534" t="s">
        <v>3335</v>
      </c>
      <c r="E14" s="22"/>
      <c r="F14" s="240">
        <v>12</v>
      </c>
      <c r="G14" s="623"/>
      <c r="H14" s="529">
        <f t="shared" si="0"/>
        <v>0</v>
      </c>
      <c r="J14" s="1"/>
      <c r="K14" s="306">
        <f>K13-K11</f>
        <v>-6225</v>
      </c>
      <c r="L14" s="1"/>
      <c r="M14" s="1"/>
    </row>
    <row r="15" spans="2:13" s="5" customFormat="1">
      <c r="B15" s="106"/>
      <c r="C15" s="536"/>
      <c r="D15" s="534"/>
      <c r="E15" s="22"/>
      <c r="F15" s="240"/>
      <c r="G15" s="535"/>
      <c r="H15" s="529" t="str">
        <f t="shared" si="0"/>
        <v/>
      </c>
      <c r="J15" s="1"/>
      <c r="K15" s="1"/>
      <c r="L15" s="1"/>
      <c r="M15" s="1"/>
    </row>
    <row r="16" spans="2:13" s="5" customFormat="1">
      <c r="B16" s="106"/>
      <c r="C16" s="537"/>
      <c r="D16" s="538"/>
      <c r="E16" s="22"/>
      <c r="F16" s="240"/>
      <c r="G16" s="535"/>
      <c r="H16" s="529"/>
      <c r="J16" s="1"/>
      <c r="K16" s="1"/>
      <c r="L16" s="1"/>
      <c r="M16" s="1"/>
    </row>
    <row r="17" spans="2:13" s="5" customFormat="1">
      <c r="B17" s="106"/>
      <c r="C17" s="537"/>
      <c r="D17" s="538"/>
      <c r="E17" s="22"/>
      <c r="F17" s="240"/>
      <c r="G17" s="535"/>
      <c r="H17" s="529"/>
      <c r="J17" s="1"/>
      <c r="K17" s="1"/>
      <c r="L17" s="1"/>
      <c r="M17" s="1"/>
    </row>
    <row r="18" spans="2:13" s="5" customFormat="1" ht="24" customHeight="1">
      <c r="B18" s="106"/>
      <c r="C18" s="38"/>
      <c r="D18" s="538"/>
      <c r="E18" s="22"/>
      <c r="F18" s="240"/>
      <c r="G18" s="535"/>
      <c r="H18" s="529"/>
      <c r="J18" s="1"/>
      <c r="K18" s="1"/>
      <c r="L18" s="1"/>
      <c r="M18" s="1"/>
    </row>
    <row r="19" spans="2:13" s="5" customFormat="1">
      <c r="B19" s="106"/>
      <c r="C19" s="539"/>
      <c r="D19" s="540"/>
      <c r="E19" s="22"/>
      <c r="F19" s="240"/>
      <c r="G19" s="535"/>
      <c r="H19" s="529"/>
      <c r="J19" s="1"/>
      <c r="K19" s="1"/>
      <c r="L19" s="1"/>
      <c r="M19" s="1"/>
    </row>
    <row r="20" spans="2:13" s="5" customFormat="1">
      <c r="B20" s="106"/>
      <c r="C20" s="539"/>
      <c r="D20" s="533"/>
      <c r="E20" s="22"/>
      <c r="F20" s="240"/>
      <c r="G20" s="535"/>
      <c r="H20" s="529"/>
      <c r="J20" s="1"/>
      <c r="K20" s="1"/>
      <c r="L20" s="1"/>
      <c r="M20" s="1"/>
    </row>
    <row r="21" spans="2:13" s="5" customFormat="1">
      <c r="B21" s="106"/>
      <c r="C21" s="539"/>
      <c r="D21" s="541"/>
      <c r="E21" s="22"/>
      <c r="F21" s="240"/>
      <c r="G21" s="535"/>
      <c r="H21" s="529"/>
      <c r="J21" s="1"/>
      <c r="K21" s="1"/>
      <c r="L21" s="1"/>
      <c r="M21" s="1"/>
    </row>
    <row r="22" spans="2:13" s="5" customFormat="1">
      <c r="B22" s="106"/>
      <c r="C22" s="539"/>
      <c r="D22" s="532"/>
      <c r="E22" s="22"/>
      <c r="F22" s="240"/>
      <c r="G22" s="535"/>
      <c r="H22" s="529"/>
      <c r="J22" s="1"/>
      <c r="K22" s="1"/>
      <c r="L22" s="1"/>
      <c r="M22" s="1"/>
    </row>
    <row r="23" spans="2:13" s="5" customFormat="1">
      <c r="B23" s="106"/>
      <c r="C23" s="539"/>
      <c r="D23" s="532"/>
      <c r="E23" s="22"/>
      <c r="F23" s="240"/>
      <c r="G23" s="535"/>
      <c r="H23" s="529"/>
      <c r="J23" s="1"/>
      <c r="K23" s="1"/>
      <c r="L23" s="1"/>
      <c r="M23" s="1"/>
    </row>
    <row r="24" spans="2:13" s="5" customFormat="1">
      <c r="B24" s="106"/>
      <c r="C24" s="539"/>
      <c r="D24" s="541"/>
      <c r="E24" s="22"/>
      <c r="F24" s="240"/>
      <c r="G24" s="535"/>
      <c r="H24" s="529"/>
      <c r="J24" s="1"/>
      <c r="K24" s="1"/>
      <c r="L24" s="1"/>
      <c r="M24" s="1"/>
    </row>
    <row r="25" spans="2:13" s="5" customFormat="1">
      <c r="B25" s="106"/>
      <c r="C25" s="539"/>
      <c r="D25" s="541"/>
      <c r="E25" s="22"/>
      <c r="F25" s="240"/>
      <c r="G25" s="535"/>
      <c r="H25" s="529"/>
      <c r="J25" s="1"/>
      <c r="K25" s="1"/>
      <c r="L25" s="1"/>
      <c r="M25" s="1"/>
    </row>
    <row r="26" spans="2:13" s="5" customFormat="1">
      <c r="B26" s="106"/>
      <c r="C26" s="539"/>
      <c r="D26" s="541"/>
      <c r="E26" s="22"/>
      <c r="F26" s="240"/>
      <c r="G26" s="535"/>
      <c r="H26" s="529"/>
      <c r="J26" s="1"/>
      <c r="K26" s="1"/>
      <c r="L26" s="1"/>
      <c r="M26" s="1"/>
    </row>
    <row r="27" spans="2:13" s="5" customFormat="1">
      <c r="B27" s="106"/>
      <c r="C27" s="536"/>
      <c r="D27" s="541"/>
      <c r="E27" s="22"/>
      <c r="F27" s="240"/>
      <c r="G27" s="535"/>
      <c r="H27" s="529" t="str">
        <f t="shared" si="0"/>
        <v/>
      </c>
      <c r="J27" s="1"/>
      <c r="K27" s="1"/>
      <c r="L27" s="1"/>
      <c r="M27" s="1"/>
    </row>
    <row r="28" spans="2:13" s="5" customFormat="1">
      <c r="B28" s="106"/>
      <c r="C28" s="309"/>
      <c r="D28" s="538"/>
      <c r="E28" s="22"/>
      <c r="F28" s="240"/>
      <c r="G28" s="535"/>
      <c r="H28" s="529"/>
      <c r="J28" s="1"/>
      <c r="K28" s="1"/>
      <c r="L28" s="1"/>
      <c r="M28" s="1"/>
    </row>
    <row r="29" spans="2:13" s="5" customFormat="1">
      <c r="B29" s="106"/>
      <c r="C29" s="542"/>
      <c r="D29" s="538"/>
      <c r="E29" s="22"/>
      <c r="F29" s="240"/>
      <c r="G29" s="535"/>
      <c r="H29" s="529"/>
      <c r="J29" s="1"/>
      <c r="K29" s="1"/>
      <c r="L29" s="1"/>
      <c r="M29" s="1"/>
    </row>
    <row r="30" spans="2:13" s="5" customFormat="1">
      <c r="B30" s="106"/>
      <c r="C30" s="38"/>
      <c r="D30" s="538"/>
      <c r="E30" s="22"/>
      <c r="F30" s="240"/>
      <c r="G30" s="535"/>
      <c r="H30" s="529"/>
      <c r="J30" s="1"/>
      <c r="K30" s="1"/>
      <c r="L30" s="1"/>
      <c r="M30" s="1"/>
    </row>
    <row r="31" spans="2:13" s="5" customFormat="1">
      <c r="B31" s="106"/>
      <c r="C31" s="38"/>
      <c r="D31" s="543"/>
      <c r="E31" s="22"/>
      <c r="F31" s="240"/>
      <c r="G31" s="535"/>
      <c r="H31" s="529"/>
      <c r="J31" s="1"/>
      <c r="K31" s="1"/>
      <c r="L31" s="1"/>
      <c r="M31" s="1"/>
    </row>
    <row r="32" spans="2:13" s="5" customFormat="1">
      <c r="B32" s="106"/>
      <c r="C32" s="544"/>
      <c r="D32" s="543"/>
      <c r="E32" s="22"/>
      <c r="F32" s="240"/>
      <c r="G32" s="535"/>
      <c r="H32" s="529"/>
      <c r="J32" s="1"/>
      <c r="K32" s="1"/>
      <c r="L32" s="1"/>
      <c r="M32" s="1"/>
    </row>
    <row r="33" spans="2:13" s="5" customFormat="1">
      <c r="B33" s="106"/>
      <c r="C33" s="544"/>
      <c r="D33" s="543"/>
      <c r="E33" s="22"/>
      <c r="F33" s="240"/>
      <c r="G33" s="535"/>
      <c r="H33" s="529"/>
      <c r="J33" s="1"/>
      <c r="K33" s="1"/>
      <c r="L33" s="1"/>
      <c r="M33" s="1"/>
    </row>
    <row r="34" spans="2:13" s="5" customFormat="1">
      <c r="B34" s="106"/>
      <c r="C34" s="544"/>
      <c r="D34" s="543"/>
      <c r="E34" s="22"/>
      <c r="F34" s="240"/>
      <c r="G34" s="535"/>
      <c r="H34" s="529"/>
      <c r="J34" s="1"/>
      <c r="K34" s="1"/>
      <c r="L34" s="1"/>
      <c r="M34" s="1"/>
    </row>
    <row r="35" spans="2:13" s="5" customFormat="1">
      <c r="B35" s="106"/>
      <c r="C35" s="544"/>
      <c r="D35" s="543"/>
      <c r="E35" s="22"/>
      <c r="F35" s="240"/>
      <c r="G35" s="535"/>
      <c r="H35" s="529"/>
      <c r="J35" s="1"/>
      <c r="K35" s="1"/>
      <c r="L35" s="1"/>
      <c r="M35" s="1"/>
    </row>
    <row r="36" spans="2:13" s="5" customFormat="1">
      <c r="B36" s="106"/>
      <c r="C36" s="544"/>
      <c r="D36" s="543"/>
      <c r="E36" s="22"/>
      <c r="F36" s="240"/>
      <c r="G36" s="535"/>
      <c r="H36" s="529"/>
      <c r="J36" s="1"/>
      <c r="K36" s="1"/>
      <c r="L36" s="1"/>
      <c r="M36" s="1"/>
    </row>
    <row r="37" spans="2:13" s="5" customFormat="1">
      <c r="B37" s="106"/>
      <c r="C37" s="544"/>
      <c r="D37" s="543"/>
      <c r="E37" s="22"/>
      <c r="F37" s="240"/>
      <c r="G37" s="535"/>
      <c r="H37" s="529"/>
      <c r="J37" s="1"/>
      <c r="K37" s="1"/>
      <c r="L37" s="1"/>
      <c r="M37" s="1"/>
    </row>
    <row r="38" spans="2:13" s="5" customFormat="1">
      <c r="B38" s="106"/>
      <c r="C38" s="309"/>
      <c r="D38" s="543"/>
      <c r="E38" s="22"/>
      <c r="F38" s="240"/>
      <c r="G38" s="535"/>
      <c r="H38" s="529"/>
      <c r="J38" s="1"/>
      <c r="K38" s="1"/>
      <c r="L38" s="1"/>
      <c r="M38" s="1"/>
    </row>
    <row r="39" spans="2:13" s="5" customFormat="1">
      <c r="B39" s="106"/>
      <c r="C39" s="537"/>
      <c r="D39" s="543"/>
      <c r="E39" s="22"/>
      <c r="F39" s="240"/>
      <c r="G39" s="535"/>
      <c r="H39" s="529"/>
      <c r="J39" s="1"/>
      <c r="K39" s="1"/>
      <c r="L39" s="1"/>
      <c r="M39" s="1"/>
    </row>
    <row r="40" spans="2:13" s="5" customFormat="1">
      <c r="B40" s="106"/>
      <c r="C40" s="309"/>
      <c r="D40" s="543"/>
      <c r="E40" s="22"/>
      <c r="F40" s="240"/>
      <c r="G40" s="535"/>
      <c r="H40" s="529"/>
      <c r="J40" s="1"/>
      <c r="K40" s="1"/>
      <c r="L40" s="1"/>
      <c r="M40" s="1"/>
    </row>
    <row r="41" spans="2:13" s="5" customFormat="1">
      <c r="B41" s="106"/>
      <c r="C41" s="309"/>
      <c r="D41" s="543"/>
      <c r="E41" s="22"/>
      <c r="F41" s="240"/>
      <c r="G41" s="535"/>
      <c r="H41" s="529"/>
      <c r="J41" s="1"/>
      <c r="K41" s="1"/>
      <c r="L41" s="1"/>
      <c r="M41" s="1"/>
    </row>
    <row r="42" spans="2:13" s="5" customFormat="1">
      <c r="B42" s="106"/>
      <c r="C42" s="1"/>
      <c r="D42" s="22"/>
      <c r="E42" s="22"/>
      <c r="F42" s="240"/>
      <c r="G42" s="535"/>
      <c r="H42" s="529"/>
      <c r="J42" s="1"/>
      <c r="K42" s="1"/>
      <c r="L42" s="1"/>
      <c r="M42" s="1"/>
    </row>
    <row r="43" spans="2:13" s="5" customFormat="1">
      <c r="B43" s="106"/>
      <c r="C43" s="1"/>
      <c r="D43" s="22"/>
      <c r="E43" s="22"/>
      <c r="F43" s="240"/>
      <c r="G43" s="535"/>
      <c r="H43" s="529"/>
      <c r="J43" s="1"/>
      <c r="K43" s="1"/>
      <c r="L43" s="1"/>
      <c r="M43" s="1"/>
    </row>
    <row r="44" spans="2:13" s="5" customFormat="1">
      <c r="B44" s="106"/>
      <c r="C44" s="1"/>
      <c r="D44" s="22"/>
      <c r="E44" s="22"/>
      <c r="F44" s="240"/>
      <c r="G44" s="535"/>
      <c r="H44" s="529" t="str">
        <f t="shared" si="0"/>
        <v/>
      </c>
      <c r="J44" s="1"/>
      <c r="K44" s="1"/>
      <c r="L44" s="1"/>
      <c r="M44" s="1"/>
    </row>
    <row r="45" spans="2:13" s="5" customFormat="1">
      <c r="B45" s="106"/>
      <c r="C45" s="1"/>
      <c r="D45" s="22"/>
      <c r="E45" s="22"/>
      <c r="F45" s="240"/>
      <c r="G45" s="535"/>
      <c r="H45" s="529" t="str">
        <f t="shared" si="0"/>
        <v/>
      </c>
      <c r="J45" s="1"/>
      <c r="K45" s="1"/>
      <c r="L45" s="1"/>
      <c r="M45" s="1"/>
    </row>
    <row r="46" spans="2:13" s="5" customFormat="1">
      <c r="B46" s="106"/>
      <c r="C46" s="1"/>
      <c r="D46" s="22"/>
      <c r="E46" s="22"/>
      <c r="F46" s="240"/>
      <c r="G46" s="535"/>
      <c r="H46" s="529" t="str">
        <f t="shared" si="0"/>
        <v/>
      </c>
      <c r="J46" s="1"/>
      <c r="K46" s="1"/>
      <c r="L46" s="1"/>
      <c r="M46" s="1"/>
    </row>
    <row r="47" spans="2:13" s="5" customFormat="1">
      <c r="B47" s="106"/>
      <c r="C47" s="1"/>
      <c r="D47" s="22"/>
      <c r="E47" s="22"/>
      <c r="F47" s="240"/>
      <c r="G47" s="535"/>
      <c r="H47" s="529" t="str">
        <f t="shared" si="0"/>
        <v/>
      </c>
      <c r="J47" s="1"/>
      <c r="K47" s="1"/>
      <c r="L47" s="1"/>
      <c r="M47" s="1"/>
    </row>
    <row r="48" spans="2:13" s="5" customFormat="1">
      <c r="B48" s="106"/>
      <c r="C48" s="1"/>
      <c r="D48" s="22"/>
      <c r="E48" s="22"/>
      <c r="F48" s="240"/>
      <c r="G48" s="535"/>
      <c r="H48" s="529" t="str">
        <f t="shared" si="0"/>
        <v/>
      </c>
      <c r="J48" s="1"/>
      <c r="K48" s="1"/>
      <c r="L48" s="1"/>
      <c r="M48" s="1"/>
    </row>
    <row r="49" spans="2:13" s="5" customFormat="1">
      <c r="B49" s="106"/>
      <c r="C49" s="1"/>
      <c r="D49" s="22"/>
      <c r="E49" s="22"/>
      <c r="F49" s="240"/>
      <c r="G49" s="535"/>
      <c r="H49" s="529" t="str">
        <f t="shared" si="0"/>
        <v/>
      </c>
      <c r="J49" s="1"/>
      <c r="K49" s="1"/>
      <c r="L49" s="1"/>
      <c r="M49" s="1"/>
    </row>
    <row r="50" spans="2:13" s="28" customFormat="1" ht="19.5" customHeight="1">
      <c r="B50" s="82" t="str">
        <f>$B$10</f>
        <v>P&amp;G</v>
      </c>
      <c r="C50" s="29" t="s">
        <v>125</v>
      </c>
      <c r="D50" s="30"/>
      <c r="E50" s="30"/>
      <c r="F50" s="31"/>
      <c r="G50" s="31"/>
      <c r="H50" s="359">
        <f>SUM(H7:H49)</f>
        <v>0</v>
      </c>
      <c r="I50" s="236"/>
    </row>
  </sheetData>
  <sheetProtection algorithmName="SHA-512" hashValue="ZcORNPH923JRl/DuuCkSQwtDQRGrXfe6N5/ujRLsYXRLfdFtK0FPX/jgRMAgORgwhS4PIDHlG0P71gIhD7hzfA==" saltValue="9tYcuAsAOzio5pHU4a5fRQ==" spinCount="100000" sheet="1" objects="1" scenarios="1"/>
  <mergeCells count="5">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FE77-6245-49B4-8053-37E93568C27B}">
  <sheetPr>
    <tabColor rgb="FFFFFF00"/>
  </sheetPr>
  <dimension ref="B1:I23"/>
  <sheetViews>
    <sheetView view="pageBreakPreview" zoomScaleNormal="100" zoomScaleSheetLayoutView="100" workbookViewId="0">
      <selection activeCell="C27" sqref="C27"/>
    </sheetView>
  </sheetViews>
  <sheetFormatPr defaultColWidth="8.85546875" defaultRowHeight="12.75"/>
  <cols>
    <col min="1" max="1" width="0.85546875" style="52" customWidth="1"/>
    <col min="2" max="2" width="11.7109375" style="52" customWidth="1"/>
    <col min="3" max="3" width="39.140625" style="52" customWidth="1"/>
    <col min="4" max="4" width="13.7109375" style="52" hidden="1" customWidth="1"/>
    <col min="5" max="5" width="24" style="291" customWidth="1"/>
    <col min="6" max="6" width="10.140625" style="54" customWidth="1"/>
    <col min="7" max="7" width="15.7109375" style="54" customWidth="1"/>
    <col min="8" max="8" width="4.42578125" style="54" customWidth="1"/>
    <col min="9" max="9" width="0.85546875" style="52" hidden="1" customWidth="1"/>
    <col min="10" max="36" width="0" style="52" hidden="1" customWidth="1"/>
    <col min="37" max="16384" width="8.85546875" style="52"/>
  </cols>
  <sheetData>
    <row r="1" spans="2:8" ht="22.5" customHeight="1">
      <c r="B1" s="2" t="str">
        <f>Client1</f>
        <v>AIRPORTS COMPANY - SOUTH AFRICA</v>
      </c>
      <c r="D1" s="3"/>
      <c r="E1" s="3"/>
      <c r="F1" s="676" t="str">
        <f>"Contract No. "&amp;ContractNo</f>
        <v>Contract No. KSIA7806/2025/RFP</v>
      </c>
      <c r="G1" s="676"/>
      <c r="H1" s="676"/>
    </row>
    <row r="2" spans="2:8" s="3" customFormat="1" ht="18" customHeight="1">
      <c r="B2" s="90" t="str">
        <f>Client2</f>
        <v>ACSA</v>
      </c>
      <c r="C2" s="52"/>
      <c r="F2" s="4"/>
      <c r="G2" s="4"/>
      <c r="H2" s="4"/>
    </row>
    <row r="3" spans="2:8" s="3" customFormat="1" ht="16.5" customHeight="1">
      <c r="B3" s="71"/>
      <c r="C3" s="92"/>
      <c r="D3" s="71"/>
      <c r="E3" s="71"/>
      <c r="F3" s="72"/>
      <c r="G3" s="72"/>
      <c r="H3" s="72"/>
    </row>
    <row r="4" spans="2:8" s="3" customFormat="1" ht="7.5" customHeight="1">
      <c r="B4" s="690" t="s">
        <v>354</v>
      </c>
      <c r="C4" s="691"/>
      <c r="D4" s="691"/>
      <c r="E4" s="691"/>
      <c r="F4" s="691"/>
      <c r="G4" s="691"/>
      <c r="H4" s="836"/>
    </row>
    <row r="5" spans="2:8" ht="22.5" customHeight="1">
      <c r="B5" s="690"/>
      <c r="C5" s="691"/>
      <c r="D5" s="691"/>
      <c r="E5" s="691"/>
      <c r="F5" s="691"/>
      <c r="G5" s="691"/>
      <c r="H5" s="836"/>
    </row>
    <row r="6" spans="2:8" ht="7.5" customHeight="1">
      <c r="B6" s="692"/>
      <c r="C6" s="693"/>
      <c r="D6" s="693"/>
      <c r="E6" s="693"/>
      <c r="F6" s="693"/>
      <c r="G6" s="693"/>
      <c r="H6" s="837"/>
    </row>
    <row r="7" spans="2:8" ht="25.5" customHeight="1">
      <c r="B7" s="713" t="s">
        <v>2927</v>
      </c>
      <c r="C7" s="714"/>
      <c r="D7" s="714"/>
      <c r="E7" s="714"/>
      <c r="F7" s="714"/>
      <c r="G7" s="714"/>
      <c r="H7" s="715"/>
    </row>
    <row r="8" spans="2:8" ht="25.5">
      <c r="B8" s="280" t="s">
        <v>3336</v>
      </c>
      <c r="C8" s="716" t="s">
        <v>12</v>
      </c>
      <c r="D8" s="717"/>
      <c r="E8" s="718"/>
      <c r="F8" s="11" t="s">
        <v>357</v>
      </c>
      <c r="G8" s="719" t="s">
        <v>17</v>
      </c>
      <c r="H8" s="720"/>
    </row>
    <row r="9" spans="2:8" ht="15.75" customHeight="1">
      <c r="B9" s="14" t="s">
        <v>3337</v>
      </c>
      <c r="C9" s="721" t="s">
        <v>3338</v>
      </c>
      <c r="D9" s="722"/>
      <c r="E9" s="827"/>
      <c r="F9" s="22"/>
      <c r="G9" s="723">
        <f>'P&amp;G - ELECTRICAL'!H50</f>
        <v>0</v>
      </c>
      <c r="H9" s="724"/>
    </row>
    <row r="10" spans="2:8" ht="15.75" customHeight="1">
      <c r="B10" s="14"/>
      <c r="C10" s="721"/>
      <c r="D10" s="722"/>
      <c r="E10" s="827"/>
      <c r="F10" s="22"/>
      <c r="G10" s="723"/>
      <c r="H10" s="724"/>
    </row>
    <row r="11" spans="2:8" ht="15.75" customHeight="1">
      <c r="B11" s="14"/>
      <c r="C11" s="721"/>
      <c r="D11" s="722"/>
      <c r="E11" s="827"/>
      <c r="F11" s="22"/>
      <c r="G11" s="723"/>
      <c r="H11" s="724"/>
    </row>
    <row r="12" spans="2:8" ht="15.75" customHeight="1">
      <c r="B12" s="14"/>
      <c r="C12" s="721"/>
      <c r="D12" s="722"/>
      <c r="E12" s="827"/>
      <c r="F12" s="22"/>
      <c r="G12" s="723"/>
      <c r="H12" s="724"/>
    </row>
    <row r="13" spans="2:8" ht="15.75" customHeight="1">
      <c r="B13" s="14"/>
      <c r="C13" s="721"/>
      <c r="D13" s="722"/>
      <c r="E13" s="827"/>
      <c r="F13" s="22"/>
      <c r="G13" s="723"/>
      <c r="H13" s="724"/>
    </row>
    <row r="14" spans="2:8" ht="28.9" customHeight="1">
      <c r="B14" s="14"/>
      <c r="C14" s="275"/>
      <c r="E14" s="100"/>
      <c r="F14" s="22"/>
      <c r="G14" s="723"/>
      <c r="H14" s="724"/>
    </row>
    <row r="15" spans="2:8" ht="15.75" customHeight="1">
      <c r="B15" s="14"/>
      <c r="C15" s="721"/>
      <c r="D15" s="722"/>
      <c r="E15" s="827"/>
      <c r="F15" s="22"/>
      <c r="G15" s="723"/>
      <c r="H15" s="724"/>
    </row>
    <row r="16" spans="2:8" ht="15.75" customHeight="1">
      <c r="B16" s="14"/>
      <c r="C16" s="721"/>
      <c r="D16" s="722"/>
      <c r="E16" s="827"/>
      <c r="F16" s="22"/>
      <c r="G16" s="723"/>
      <c r="H16" s="724"/>
    </row>
    <row r="17" spans="2:9" ht="15.75" customHeight="1">
      <c r="B17" s="14"/>
      <c r="C17" s="275"/>
      <c r="E17" s="100"/>
      <c r="F17" s="22"/>
      <c r="G17" s="723"/>
      <c r="H17" s="724"/>
    </row>
    <row r="18" spans="2:9" ht="15.75" customHeight="1">
      <c r="B18" s="14"/>
      <c r="C18" s="721"/>
      <c r="D18" s="722"/>
      <c r="E18" s="827"/>
      <c r="F18" s="22"/>
      <c r="G18" s="723"/>
      <c r="H18" s="724"/>
    </row>
    <row r="19" spans="2:9" ht="15.75" customHeight="1">
      <c r="B19" s="14"/>
      <c r="C19" s="721"/>
      <c r="D19" s="722"/>
      <c r="E19" s="827"/>
      <c r="F19" s="22"/>
      <c r="G19" s="723"/>
      <c r="H19" s="724"/>
    </row>
    <row r="20" spans="2:9" ht="15.75" customHeight="1">
      <c r="B20" s="14"/>
      <c r="C20" s="721"/>
      <c r="D20" s="722"/>
      <c r="E20" s="827"/>
      <c r="F20" s="22"/>
      <c r="G20" s="828"/>
      <c r="H20" s="724"/>
    </row>
    <row r="21" spans="2:9" ht="15.75" customHeight="1">
      <c r="B21" s="14"/>
      <c r="C21" s="721"/>
      <c r="D21" s="722"/>
      <c r="E21" s="827"/>
      <c r="F21" s="22"/>
      <c r="G21" s="723"/>
      <c r="H21" s="724"/>
    </row>
    <row r="22" spans="2:9" ht="15.75" customHeight="1">
      <c r="B22" s="14"/>
      <c r="C22" s="721"/>
      <c r="D22" s="722"/>
      <c r="E22" s="827"/>
      <c r="F22" s="22"/>
      <c r="G22" s="723"/>
      <c r="H22" s="724"/>
    </row>
    <row r="23" spans="2:9" s="2" customFormat="1" ht="19.5" customHeight="1">
      <c r="B23" s="793" t="s">
        <v>2942</v>
      </c>
      <c r="C23" s="794"/>
      <c r="D23" s="794"/>
      <c r="E23" s="794"/>
      <c r="F23" s="794"/>
      <c r="G23" s="825">
        <f>SUM(G9:H22)</f>
        <v>0</v>
      </c>
      <c r="H23" s="826"/>
      <c r="I23" s="289"/>
    </row>
  </sheetData>
  <sheetProtection algorithmName="SHA-512" hashValue="uwuKUR2DZtChtvXnM22dt99W8jL3epF5W3hOvcQj0cA1VzK2CCZuewMiLDu/InMYl7QbffOit+lLTmUYFKBKJA==" saltValue="8zOXR/21FuLrhkdduHAv+w==" spinCount="100000" sheet="1" objects="1" scenarios="1"/>
  <mergeCells count="34">
    <mergeCell ref="F1:H1"/>
    <mergeCell ref="B4:G6"/>
    <mergeCell ref="H4:H6"/>
    <mergeCell ref="B7:H7"/>
    <mergeCell ref="C8:E8"/>
    <mergeCell ref="G8:H8"/>
    <mergeCell ref="C9:E9"/>
    <mergeCell ref="G9:H9"/>
    <mergeCell ref="C10:E10"/>
    <mergeCell ref="G10:H10"/>
    <mergeCell ref="C11:E11"/>
    <mergeCell ref="G11:H11"/>
    <mergeCell ref="C19:E19"/>
    <mergeCell ref="G19:H19"/>
    <mergeCell ref="C12:E12"/>
    <mergeCell ref="G12:H12"/>
    <mergeCell ref="C13:E13"/>
    <mergeCell ref="G13:H13"/>
    <mergeCell ref="G14:H14"/>
    <mergeCell ref="C15:E15"/>
    <mergeCell ref="G15:H15"/>
    <mergeCell ref="C16:E16"/>
    <mergeCell ref="G16:H16"/>
    <mergeCell ref="G17:H17"/>
    <mergeCell ref="C18:E18"/>
    <mergeCell ref="G18:H18"/>
    <mergeCell ref="B23:F23"/>
    <mergeCell ref="G23:H23"/>
    <mergeCell ref="C20:E20"/>
    <mergeCell ref="G20:H20"/>
    <mergeCell ref="C21:E21"/>
    <mergeCell ref="G21:H21"/>
    <mergeCell ref="C22:E22"/>
    <mergeCell ref="G22:H22"/>
  </mergeCells>
  <pageMargins left="0.43307086614173229" right="0.31496062992125984" top="0.43307086614173229" bottom="0.62992125984251968" header="0.35433070866141736" footer="0.31496062992125984"/>
  <pageSetup paperSize="9" scale="75" firstPageNumber="31" fitToHeight="0"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B4A3-84F3-421F-8472-40C91DE7023F}">
  <sheetPr>
    <tabColor rgb="FFFFFF00"/>
  </sheetPr>
  <dimension ref="B1:M49"/>
  <sheetViews>
    <sheetView view="pageBreakPreview" topLeftCell="A25" zoomScaleNormal="70" zoomScaleSheetLayoutView="100" workbookViewId="0">
      <selection activeCell="G46" sqref="G46"/>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3339</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3339</v>
      </c>
      <c r="C10" s="7" t="s">
        <v>3341</v>
      </c>
      <c r="D10" s="14"/>
      <c r="E10" s="14"/>
      <c r="F10" s="22"/>
      <c r="G10" s="348"/>
      <c r="H10" s="529" t="str">
        <f t="shared" ref="H10:H48" si="0">IF(D10="","",F10*G10)</f>
        <v/>
      </c>
      <c r="I10" s="277"/>
    </row>
    <row r="11" spans="2:11">
      <c r="B11" s="294"/>
      <c r="C11" s="52"/>
      <c r="D11" s="22"/>
      <c r="E11" s="22"/>
      <c r="F11" s="22"/>
      <c r="G11" s="348"/>
      <c r="H11" s="529" t="str">
        <f t="shared" si="0"/>
        <v/>
      </c>
      <c r="I11" s="277"/>
    </row>
    <row r="12" spans="2:11" ht="29.25" customHeight="1">
      <c r="B12" s="294" t="s">
        <v>3342</v>
      </c>
      <c r="C12" s="52" t="s">
        <v>3343</v>
      </c>
      <c r="D12" s="22"/>
      <c r="E12" s="22"/>
      <c r="F12" s="22"/>
      <c r="G12" s="348"/>
      <c r="H12" s="529"/>
      <c r="I12" s="277"/>
    </row>
    <row r="13" spans="2:11" ht="15">
      <c r="B13" s="294" t="s">
        <v>3344</v>
      </c>
      <c r="C13" s="52" t="s">
        <v>3345</v>
      </c>
      <c r="D13" s="22" t="s">
        <v>347</v>
      </c>
      <c r="E13" s="22"/>
      <c r="F13" s="22">
        <v>550</v>
      </c>
      <c r="G13" s="624"/>
      <c r="H13" s="529">
        <f>G13*F13</f>
        <v>0</v>
      </c>
      <c r="I13" s="277"/>
    </row>
    <row r="14" spans="2:11" ht="15">
      <c r="B14" s="294" t="s">
        <v>3346</v>
      </c>
      <c r="C14" s="52" t="s">
        <v>3347</v>
      </c>
      <c r="D14" s="22" t="s">
        <v>347</v>
      </c>
      <c r="E14" s="22"/>
      <c r="F14" s="22">
        <v>100</v>
      </c>
      <c r="G14" s="624"/>
      <c r="H14" s="529">
        <f t="shared" ref="H14:H46" si="1">G14*F14</f>
        <v>0</v>
      </c>
      <c r="I14" s="277"/>
    </row>
    <row r="15" spans="2:11" ht="25.5">
      <c r="B15" s="294" t="s">
        <v>3348</v>
      </c>
      <c r="C15" s="52" t="s">
        <v>3349</v>
      </c>
      <c r="D15" s="22" t="s">
        <v>347</v>
      </c>
      <c r="E15" s="22"/>
      <c r="F15" s="22">
        <v>1</v>
      </c>
      <c r="G15" s="624"/>
      <c r="H15" s="529" t="s">
        <v>266</v>
      </c>
      <c r="I15" s="277"/>
    </row>
    <row r="16" spans="2:11" ht="15">
      <c r="B16" s="294" t="s">
        <v>3350</v>
      </c>
      <c r="C16" s="52" t="s">
        <v>3351</v>
      </c>
      <c r="D16" s="22" t="s">
        <v>347</v>
      </c>
      <c r="E16" s="22"/>
      <c r="F16" s="22">
        <v>4</v>
      </c>
      <c r="G16" s="624"/>
      <c r="H16" s="529">
        <f t="shared" si="1"/>
        <v>0</v>
      </c>
      <c r="I16" s="277"/>
    </row>
    <row r="17" spans="2:9" ht="15">
      <c r="B17" s="294" t="s">
        <v>3352</v>
      </c>
      <c r="C17" s="52" t="s">
        <v>3347</v>
      </c>
      <c r="D17" s="22" t="s">
        <v>347</v>
      </c>
      <c r="E17" s="22"/>
      <c r="F17" s="22">
        <v>4</v>
      </c>
      <c r="G17" s="624"/>
      <c r="H17" s="529">
        <f t="shared" si="1"/>
        <v>0</v>
      </c>
      <c r="I17" s="277"/>
    </row>
    <row r="18" spans="2:9" ht="25.5">
      <c r="B18" s="294" t="s">
        <v>3353</v>
      </c>
      <c r="C18" s="52" t="s">
        <v>3354</v>
      </c>
      <c r="D18" s="22"/>
      <c r="E18" s="22"/>
      <c r="F18" s="22"/>
      <c r="G18" s="624"/>
      <c r="H18" s="529"/>
      <c r="I18" s="277"/>
    </row>
    <row r="19" spans="2:9">
      <c r="B19" s="294" t="s">
        <v>3355</v>
      </c>
      <c r="C19" s="52" t="s">
        <v>3356</v>
      </c>
      <c r="D19" s="22" t="s">
        <v>347</v>
      </c>
      <c r="E19" s="22"/>
      <c r="F19" s="22">
        <v>3</v>
      </c>
      <c r="G19" s="624"/>
      <c r="H19" s="529">
        <f t="shared" si="1"/>
        <v>0</v>
      </c>
      <c r="I19" s="277"/>
    </row>
    <row r="20" spans="2:9">
      <c r="B20" s="294" t="s">
        <v>3357</v>
      </c>
      <c r="C20" s="52" t="s">
        <v>3358</v>
      </c>
      <c r="D20" s="22" t="s">
        <v>347</v>
      </c>
      <c r="E20" s="22"/>
      <c r="F20" s="22">
        <v>1</v>
      </c>
      <c r="G20" s="624"/>
      <c r="H20" s="529">
        <f t="shared" si="1"/>
        <v>0</v>
      </c>
      <c r="I20" s="277"/>
    </row>
    <row r="21" spans="2:9" ht="38.25">
      <c r="B21" s="294" t="s">
        <v>3359</v>
      </c>
      <c r="C21" s="52" t="s">
        <v>3360</v>
      </c>
      <c r="D21" s="22"/>
      <c r="E21" s="22"/>
      <c r="F21" s="22"/>
      <c r="G21" s="624"/>
      <c r="H21" s="529"/>
      <c r="I21" s="277"/>
    </row>
    <row r="22" spans="2:9" ht="15">
      <c r="B22" s="294" t="s">
        <v>3361</v>
      </c>
      <c r="C22" s="52" t="s">
        <v>3362</v>
      </c>
      <c r="D22" s="22" t="s">
        <v>347</v>
      </c>
      <c r="E22" s="22"/>
      <c r="F22" s="22">
        <v>255</v>
      </c>
      <c r="G22" s="624"/>
      <c r="H22" s="529">
        <f>G22*F22</f>
        <v>0</v>
      </c>
      <c r="I22" s="277"/>
    </row>
    <row r="23" spans="2:9" ht="15">
      <c r="B23" s="294" t="s">
        <v>3363</v>
      </c>
      <c r="C23" s="52" t="s">
        <v>3364</v>
      </c>
      <c r="D23" s="22" t="s">
        <v>347</v>
      </c>
      <c r="E23" s="22"/>
      <c r="F23" s="22">
        <v>160</v>
      </c>
      <c r="G23" s="624"/>
      <c r="H23" s="529">
        <f>G23*F23</f>
        <v>0</v>
      </c>
      <c r="I23" s="277"/>
    </row>
    <row r="24" spans="2:9" ht="15">
      <c r="B24" s="294" t="s">
        <v>3365</v>
      </c>
      <c r="C24" s="52" t="s">
        <v>3366</v>
      </c>
      <c r="D24" s="22" t="s">
        <v>347</v>
      </c>
      <c r="E24" s="22"/>
      <c r="F24" s="22">
        <v>1</v>
      </c>
      <c r="G24" s="624"/>
      <c r="H24" s="529">
        <f t="shared" si="1"/>
        <v>0</v>
      </c>
      <c r="I24" s="277"/>
    </row>
    <row r="25" spans="2:9" ht="15">
      <c r="B25" s="294" t="s">
        <v>3367</v>
      </c>
      <c r="C25" s="52" t="s">
        <v>3368</v>
      </c>
      <c r="D25" s="22" t="s">
        <v>347</v>
      </c>
      <c r="E25" s="22"/>
      <c r="F25" s="22">
        <v>500</v>
      </c>
      <c r="G25" s="624"/>
      <c r="H25" s="529">
        <f t="shared" si="1"/>
        <v>0</v>
      </c>
      <c r="I25" s="277"/>
    </row>
    <row r="26" spans="2:9" ht="15">
      <c r="B26" s="294" t="s">
        <v>3369</v>
      </c>
      <c r="C26" s="52" t="s">
        <v>3370</v>
      </c>
      <c r="D26" s="22" t="s">
        <v>347</v>
      </c>
      <c r="E26" s="22"/>
      <c r="F26" s="22">
        <v>150</v>
      </c>
      <c r="G26" s="624"/>
      <c r="H26" s="529">
        <f t="shared" si="1"/>
        <v>0</v>
      </c>
      <c r="I26" s="277"/>
    </row>
    <row r="27" spans="2:9">
      <c r="B27" s="294" t="s">
        <v>3371</v>
      </c>
      <c r="C27" s="52" t="s">
        <v>3372</v>
      </c>
      <c r="D27" s="22"/>
      <c r="E27" s="22"/>
      <c r="F27" s="22"/>
      <c r="G27" s="624"/>
      <c r="H27" s="529"/>
      <c r="I27" s="277"/>
    </row>
    <row r="28" spans="2:9" ht="25.5">
      <c r="B28" s="294" t="s">
        <v>3373</v>
      </c>
      <c r="C28" s="52" t="s">
        <v>3374</v>
      </c>
      <c r="D28" s="22" t="s">
        <v>347</v>
      </c>
      <c r="E28" s="22"/>
      <c r="F28" s="22">
        <v>1</v>
      </c>
      <c r="G28" s="624"/>
      <c r="H28" s="529" t="s">
        <v>266</v>
      </c>
      <c r="I28" s="277"/>
    </row>
    <row r="29" spans="2:9" ht="25.5">
      <c r="B29" s="294" t="s">
        <v>3375</v>
      </c>
      <c r="C29" s="52" t="s">
        <v>3376</v>
      </c>
      <c r="D29" s="22" t="s">
        <v>85</v>
      </c>
      <c r="E29" s="22"/>
      <c r="F29" s="22">
        <v>1</v>
      </c>
      <c r="G29" s="624"/>
      <c r="H29" s="529" t="s">
        <v>266</v>
      </c>
      <c r="I29" s="277"/>
    </row>
    <row r="30" spans="2:9" ht="25.5">
      <c r="B30" s="294" t="s">
        <v>3377</v>
      </c>
      <c r="C30" s="52" t="s">
        <v>3378</v>
      </c>
      <c r="D30" s="22"/>
      <c r="E30" s="22"/>
      <c r="F30" s="22"/>
      <c r="G30" s="624"/>
      <c r="H30" s="529"/>
      <c r="I30" s="277"/>
    </row>
    <row r="31" spans="2:9" ht="15">
      <c r="B31" s="294" t="s">
        <v>3379</v>
      </c>
      <c r="C31" s="52" t="s">
        <v>3362</v>
      </c>
      <c r="D31" s="22" t="s">
        <v>85</v>
      </c>
      <c r="E31" s="22"/>
      <c r="F31" s="22">
        <v>26</v>
      </c>
      <c r="G31" s="624"/>
      <c r="H31" s="529">
        <f t="shared" si="1"/>
        <v>0</v>
      </c>
      <c r="I31" s="277"/>
    </row>
    <row r="32" spans="2:9">
      <c r="B32" s="294" t="s">
        <v>3380</v>
      </c>
      <c r="C32" s="52" t="s">
        <v>3381</v>
      </c>
      <c r="D32" s="22" t="s">
        <v>85</v>
      </c>
      <c r="E32" s="22"/>
      <c r="F32" s="22">
        <v>10</v>
      </c>
      <c r="G32" s="624"/>
      <c r="H32" s="529">
        <f t="shared" si="1"/>
        <v>0</v>
      </c>
      <c r="I32" s="277"/>
    </row>
    <row r="33" spans="2:12">
      <c r="B33" s="294" t="s">
        <v>3382</v>
      </c>
      <c r="C33" s="52" t="s">
        <v>3383</v>
      </c>
      <c r="D33" s="22" t="s">
        <v>85</v>
      </c>
      <c r="E33" s="22"/>
      <c r="F33" s="22">
        <v>5</v>
      </c>
      <c r="G33" s="624"/>
      <c r="H33" s="529">
        <f t="shared" si="1"/>
        <v>0</v>
      </c>
      <c r="I33" s="277"/>
    </row>
    <row r="34" spans="2:12" ht="15">
      <c r="B34" s="294" t="s">
        <v>3384</v>
      </c>
      <c r="C34" s="52" t="s">
        <v>3368</v>
      </c>
      <c r="D34" s="22" t="s">
        <v>85</v>
      </c>
      <c r="E34" s="22"/>
      <c r="F34" s="22">
        <v>20</v>
      </c>
      <c r="G34" s="624"/>
      <c r="H34" s="529">
        <f t="shared" si="1"/>
        <v>0</v>
      </c>
      <c r="I34" s="277"/>
    </row>
    <row r="35" spans="2:12" ht="15">
      <c r="B35" s="294" t="s">
        <v>3385</v>
      </c>
      <c r="C35" s="52" t="s">
        <v>3370</v>
      </c>
      <c r="D35" s="22" t="s">
        <v>85</v>
      </c>
      <c r="E35" s="22"/>
      <c r="F35" s="22">
        <v>40</v>
      </c>
      <c r="G35" s="624"/>
      <c r="H35" s="529">
        <f t="shared" si="1"/>
        <v>0</v>
      </c>
      <c r="I35" s="277"/>
    </row>
    <row r="36" spans="2:12">
      <c r="B36" s="294" t="s">
        <v>3386</v>
      </c>
      <c r="C36" s="52" t="s">
        <v>3387</v>
      </c>
      <c r="D36" s="22"/>
      <c r="E36" s="22"/>
      <c r="F36" s="22"/>
      <c r="G36" s="624"/>
      <c r="H36" s="529"/>
      <c r="I36" s="277"/>
    </row>
    <row r="37" spans="2:12" ht="15">
      <c r="B37" s="294" t="s">
        <v>3388</v>
      </c>
      <c r="C37" s="52" t="s">
        <v>3362</v>
      </c>
      <c r="D37" s="22" t="s">
        <v>347</v>
      </c>
      <c r="E37" s="22"/>
      <c r="F37" s="22">
        <v>255</v>
      </c>
      <c r="G37" s="624"/>
      <c r="H37" s="529">
        <f>G37*F37</f>
        <v>0</v>
      </c>
      <c r="I37" s="277"/>
      <c r="K37" s="306"/>
    </row>
    <row r="38" spans="2:12">
      <c r="B38" s="294" t="s">
        <v>3389</v>
      </c>
      <c r="C38" s="52" t="s">
        <v>3381</v>
      </c>
      <c r="D38" s="22" t="s">
        <v>347</v>
      </c>
      <c r="E38" s="22"/>
      <c r="F38" s="22">
        <v>610</v>
      </c>
      <c r="G38" s="624"/>
      <c r="H38" s="529">
        <f t="shared" ref="H38:H40" si="2">G38*F38</f>
        <v>0</v>
      </c>
      <c r="I38" s="277"/>
      <c r="K38" s="306"/>
    </row>
    <row r="39" spans="2:12" ht="15">
      <c r="B39" s="294" t="s">
        <v>3390</v>
      </c>
      <c r="C39" s="52" t="s">
        <v>3368</v>
      </c>
      <c r="D39" s="22" t="s">
        <v>347</v>
      </c>
      <c r="E39" s="22"/>
      <c r="F39" s="22">
        <v>1</v>
      </c>
      <c r="G39" s="624"/>
      <c r="H39" s="529" t="s">
        <v>266</v>
      </c>
      <c r="I39" s="277"/>
      <c r="K39" s="306"/>
    </row>
    <row r="40" spans="2:12">
      <c r="B40" s="294" t="s">
        <v>3391</v>
      </c>
      <c r="C40" s="52" t="s">
        <v>3392</v>
      </c>
      <c r="D40" s="22" t="s">
        <v>347</v>
      </c>
      <c r="E40" s="22"/>
      <c r="F40" s="22">
        <v>700</v>
      </c>
      <c r="G40" s="624"/>
      <c r="H40" s="529">
        <f t="shared" si="2"/>
        <v>0</v>
      </c>
      <c r="I40" s="277"/>
      <c r="K40" s="306"/>
    </row>
    <row r="41" spans="2:12">
      <c r="B41" s="294" t="s">
        <v>3393</v>
      </c>
      <c r="C41" s="52" t="s">
        <v>3394</v>
      </c>
      <c r="D41" s="22"/>
      <c r="E41" s="22"/>
      <c r="F41" s="22"/>
      <c r="G41" s="624"/>
      <c r="H41" s="529"/>
      <c r="I41" s="277"/>
    </row>
    <row r="42" spans="2:12" ht="15">
      <c r="B42" s="294" t="s">
        <v>3395</v>
      </c>
      <c r="C42" s="52" t="s">
        <v>3362</v>
      </c>
      <c r="D42" s="22" t="s">
        <v>85</v>
      </c>
      <c r="E42" s="22"/>
      <c r="F42" s="22">
        <v>26</v>
      </c>
      <c r="G42" s="624"/>
      <c r="H42" s="529">
        <f t="shared" si="1"/>
        <v>0</v>
      </c>
      <c r="I42" s="277"/>
      <c r="K42" s="1">
        <v>1725</v>
      </c>
      <c r="L42" s="306">
        <f>K42/F42</f>
        <v>66.34615384615384</v>
      </c>
    </row>
    <row r="43" spans="2:12">
      <c r="B43" s="294" t="s">
        <v>3396</v>
      </c>
      <c r="C43" s="52" t="s">
        <v>3381</v>
      </c>
      <c r="D43" s="22" t="s">
        <v>85</v>
      </c>
      <c r="E43" s="22"/>
      <c r="F43" s="22">
        <v>10</v>
      </c>
      <c r="G43" s="624"/>
      <c r="H43" s="529">
        <f t="shared" si="1"/>
        <v>0</v>
      </c>
      <c r="I43" s="277"/>
      <c r="K43" s="1">
        <v>100.5</v>
      </c>
      <c r="L43" s="306">
        <f t="shared" ref="L43:L46" si="3">K43/F43</f>
        <v>10.050000000000001</v>
      </c>
    </row>
    <row r="44" spans="2:12" ht="15">
      <c r="B44" s="294" t="s">
        <v>3397</v>
      </c>
      <c r="C44" s="52" t="s">
        <v>3368</v>
      </c>
      <c r="D44" s="22" t="s">
        <v>85</v>
      </c>
      <c r="E44" s="22"/>
      <c r="F44" s="22">
        <v>1</v>
      </c>
      <c r="G44" s="624"/>
      <c r="H44" s="529" t="s">
        <v>266</v>
      </c>
      <c r="I44" s="277"/>
      <c r="L44" s="306">
        <f t="shared" si="3"/>
        <v>0</v>
      </c>
    </row>
    <row r="45" spans="2:12" ht="15">
      <c r="B45" s="294" t="s">
        <v>3398</v>
      </c>
      <c r="C45" s="52" t="s">
        <v>3399</v>
      </c>
      <c r="D45" s="22" t="s">
        <v>85</v>
      </c>
      <c r="E45" s="22"/>
      <c r="F45" s="22">
        <v>42</v>
      </c>
      <c r="G45" s="624"/>
      <c r="H45" s="529">
        <f t="shared" si="1"/>
        <v>0</v>
      </c>
      <c r="I45" s="277"/>
      <c r="K45" s="1">
        <v>16905</v>
      </c>
      <c r="L45" s="306">
        <f t="shared" si="3"/>
        <v>402.5</v>
      </c>
    </row>
    <row r="46" spans="2:12" ht="25.5">
      <c r="B46" s="294" t="s">
        <v>3400</v>
      </c>
      <c r="C46" s="52" t="s">
        <v>3401</v>
      </c>
      <c r="D46" s="22" t="s">
        <v>542</v>
      </c>
      <c r="E46" s="22"/>
      <c r="F46" s="22">
        <v>1</v>
      </c>
      <c r="G46" s="624"/>
      <c r="H46" s="529">
        <f t="shared" si="1"/>
        <v>0</v>
      </c>
      <c r="I46" s="277"/>
      <c r="K46" s="1">
        <v>10300</v>
      </c>
      <c r="L46" s="306">
        <f t="shared" si="3"/>
        <v>10300</v>
      </c>
    </row>
    <row r="47" spans="2:12">
      <c r="B47" s="48"/>
      <c r="C47" s="52"/>
      <c r="D47" s="22"/>
      <c r="E47" s="22"/>
      <c r="F47" s="22"/>
      <c r="G47" s="348"/>
      <c r="H47" s="529"/>
      <c r="I47" s="277"/>
    </row>
    <row r="48" spans="2:12">
      <c r="B48" s="36"/>
      <c r="C48" s="1"/>
      <c r="D48" s="22"/>
      <c r="E48" s="22"/>
      <c r="F48" s="240"/>
      <c r="G48" s="348"/>
      <c r="H48" s="529" t="str">
        <f t="shared" si="0"/>
        <v/>
      </c>
    </row>
    <row r="49" spans="2:9" s="28" customFormat="1" ht="19.5" customHeight="1">
      <c r="B49" s="82" t="str">
        <f>$B$10</f>
        <v xml:space="preserve">SECTION ONE </v>
      </c>
      <c r="C49" s="29" t="s">
        <v>125</v>
      </c>
      <c r="D49" s="30"/>
      <c r="E49" s="30"/>
      <c r="F49" s="31"/>
      <c r="G49" s="547"/>
      <c r="H49" s="359">
        <f>SUM(H9:H48)</f>
        <v>0</v>
      </c>
      <c r="I49" s="236"/>
    </row>
  </sheetData>
  <sheetProtection algorithmName="SHA-512" hashValue="UGjPDibL9m2nR/bNRTL9zUsgVNfsMGTzZWjUbfV8oytXyyfUigY5Ueg57O12zw8p2gYGFUSDREOuUsbmCpdlEw==" saltValue="pK/0rl7gB6d+aDLQu296cw=="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00B0F0"/>
  </sheetPr>
  <dimension ref="B1:O60"/>
  <sheetViews>
    <sheetView view="pageBreakPreview" topLeftCell="A33" zoomScaleNormal="100" zoomScaleSheetLayoutView="100" workbookViewId="0">
      <selection activeCell="C27" sqref="C27"/>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3.7109375" style="4" customWidth="1"/>
    <col min="7" max="7" width="14.42578125" style="398" customWidth="1"/>
    <col min="8" max="8" width="24.7109375" style="399" customWidth="1"/>
    <col min="9" max="9" width="38.7109375" style="3" hidden="1" customWidth="1"/>
    <col min="10" max="36" width="0" style="3" hidden="1" customWidth="1"/>
    <col min="37" max="16384" width="6.85546875" style="3"/>
  </cols>
  <sheetData>
    <row r="1" spans="2:9" ht="19.5" customHeight="1">
      <c r="B1" s="2" t="str">
        <f>Client1</f>
        <v>AIRPORTS COMPANY - SOUTH AFRICA</v>
      </c>
      <c r="F1" s="676" t="str">
        <f>"Contract No. "&amp;ContractNo</f>
        <v>Contract No. KSIA7806/2025/RFP</v>
      </c>
      <c r="G1" s="676"/>
      <c r="H1" s="676"/>
    </row>
    <row r="2" spans="2:9">
      <c r="B2" s="2" t="str">
        <f>Client2</f>
        <v>ACSA</v>
      </c>
      <c r="F2" s="676"/>
      <c r="G2" s="676"/>
      <c r="H2" s="676"/>
    </row>
    <row r="3" spans="2:9">
      <c r="B3" s="71"/>
      <c r="C3" s="71"/>
      <c r="D3" s="71"/>
      <c r="E3" s="71"/>
      <c r="F3" s="677"/>
      <c r="G3" s="677"/>
      <c r="H3" s="677"/>
    </row>
    <row r="4" spans="2:9">
      <c r="B4" s="695" t="s">
        <v>366</v>
      </c>
      <c r="C4" s="696"/>
      <c r="D4" s="696"/>
      <c r="E4" s="696"/>
      <c r="F4" s="696"/>
      <c r="G4" s="696"/>
      <c r="H4" s="684" t="str">
        <f>"CHAPTER "&amp;B9</f>
        <v>CHAPTER C3.1</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c r="I5" s="676"/>
    </row>
    <row r="6" spans="2:9" ht="20.25" customHeight="1">
      <c r="B6" s="690"/>
      <c r="C6" s="691"/>
      <c r="D6" s="691"/>
      <c r="E6" s="691"/>
      <c r="F6" s="691"/>
      <c r="G6" s="691"/>
      <c r="H6" s="694"/>
      <c r="I6" s="676"/>
    </row>
    <row r="7" spans="2:9" ht="7.5" customHeight="1">
      <c r="B7" s="692"/>
      <c r="C7" s="693"/>
      <c r="D7" s="693"/>
      <c r="E7" s="693"/>
      <c r="F7" s="693"/>
      <c r="G7" s="693"/>
      <c r="H7" s="686"/>
      <c r="I7" s="676"/>
    </row>
    <row r="8" spans="2:9" s="2" customFormat="1" ht="24.95" customHeight="1">
      <c r="B8" s="282" t="s">
        <v>11</v>
      </c>
      <c r="C8" s="280" t="s">
        <v>12</v>
      </c>
      <c r="D8" s="280" t="s">
        <v>13</v>
      </c>
      <c r="E8" s="280" t="s">
        <v>14</v>
      </c>
      <c r="F8" s="11" t="s">
        <v>15</v>
      </c>
      <c r="G8" s="409" t="s">
        <v>16</v>
      </c>
      <c r="H8" s="364" t="s">
        <v>17</v>
      </c>
      <c r="I8" s="676"/>
    </row>
    <row r="9" spans="2:9">
      <c r="B9" s="19" t="s">
        <v>402</v>
      </c>
      <c r="C9" s="20" t="s">
        <v>403</v>
      </c>
      <c r="D9" s="14"/>
      <c r="E9" s="14"/>
      <c r="F9" s="22"/>
      <c r="G9" s="410"/>
      <c r="H9" s="363" t="str">
        <f t="shared" ref="H9:H29" si="0">IF(D9="","",F9*G9)</f>
        <v/>
      </c>
      <c r="I9" s="284"/>
    </row>
    <row r="10" spans="2:9">
      <c r="B10" s="13" t="s">
        <v>404</v>
      </c>
      <c r="C10" s="14" t="s">
        <v>405</v>
      </c>
      <c r="D10" s="14"/>
      <c r="E10" s="14"/>
      <c r="F10" s="22"/>
      <c r="G10" s="410"/>
      <c r="H10" s="363" t="str">
        <f t="shared" si="0"/>
        <v/>
      </c>
      <c r="I10" s="284"/>
    </row>
    <row r="11" spans="2:9" ht="38.25">
      <c r="B11" s="13" t="s">
        <v>406</v>
      </c>
      <c r="C11" s="14" t="s">
        <v>407</v>
      </c>
      <c r="D11" s="14"/>
      <c r="E11" s="14"/>
      <c r="F11" s="22"/>
      <c r="G11" s="586"/>
      <c r="H11" s="363" t="str">
        <f t="shared" si="0"/>
        <v/>
      </c>
      <c r="I11" s="285"/>
    </row>
    <row r="12" spans="2:9" ht="14.25">
      <c r="B12" s="13" t="s">
        <v>83</v>
      </c>
      <c r="C12" s="14" t="s">
        <v>408</v>
      </c>
      <c r="D12" s="14" t="s">
        <v>386</v>
      </c>
      <c r="E12" s="38"/>
      <c r="F12" s="22">
        <v>4500</v>
      </c>
      <c r="G12" s="586"/>
      <c r="H12" s="363">
        <f t="shared" si="0"/>
        <v>0</v>
      </c>
      <c r="I12" s="332" t="s">
        <v>400</v>
      </c>
    </row>
    <row r="13" spans="2:9">
      <c r="B13" s="13"/>
      <c r="C13" s="14"/>
      <c r="D13" s="14"/>
      <c r="E13" s="14"/>
      <c r="F13" s="22"/>
      <c r="G13" s="586"/>
      <c r="H13" s="363"/>
      <c r="I13" s="284"/>
    </row>
    <row r="14" spans="2:9" ht="14.25">
      <c r="B14" s="13" t="s">
        <v>86</v>
      </c>
      <c r="C14" s="14" t="s">
        <v>409</v>
      </c>
      <c r="D14" s="14" t="s">
        <v>386</v>
      </c>
      <c r="E14" s="14"/>
      <c r="F14" s="22">
        <v>100</v>
      </c>
      <c r="G14" s="586"/>
      <c r="H14" s="363">
        <f t="shared" si="0"/>
        <v>0</v>
      </c>
      <c r="I14" s="284"/>
    </row>
    <row r="15" spans="2:9">
      <c r="B15" s="13"/>
      <c r="C15" s="14"/>
      <c r="D15" s="14"/>
      <c r="E15" s="14"/>
      <c r="F15" s="22"/>
      <c r="G15" s="586"/>
      <c r="H15" s="363" t="str">
        <f t="shared" si="0"/>
        <v/>
      </c>
      <c r="I15" s="284"/>
    </row>
    <row r="16" spans="2:9" ht="25.5">
      <c r="B16" s="13" t="s">
        <v>410</v>
      </c>
      <c r="C16" s="14" t="s">
        <v>411</v>
      </c>
      <c r="D16" s="14" t="s">
        <v>386</v>
      </c>
      <c r="E16" s="14"/>
      <c r="F16" s="22">
        <v>100</v>
      </c>
      <c r="G16" s="586"/>
      <c r="H16" s="363">
        <f t="shared" si="0"/>
        <v>0</v>
      </c>
    </row>
    <row r="17" spans="2:9" ht="38.25">
      <c r="B17" s="13" t="s">
        <v>412</v>
      </c>
      <c r="C17" s="14" t="s">
        <v>413</v>
      </c>
      <c r="D17" s="14"/>
      <c r="E17" s="14"/>
      <c r="F17" s="22"/>
      <c r="G17" s="586"/>
      <c r="H17" s="363" t="str">
        <f t="shared" si="0"/>
        <v/>
      </c>
    </row>
    <row r="18" spans="2:9">
      <c r="B18" s="13" t="s">
        <v>414</v>
      </c>
      <c r="C18" s="14" t="s">
        <v>415</v>
      </c>
      <c r="D18" s="14"/>
      <c r="E18" s="14"/>
      <c r="F18" s="22"/>
      <c r="G18" s="586"/>
      <c r="H18" s="363" t="str">
        <f t="shared" si="0"/>
        <v/>
      </c>
    </row>
    <row r="19" spans="2:9" ht="14.25">
      <c r="B19" s="13" t="s">
        <v>83</v>
      </c>
      <c r="C19" s="14" t="s">
        <v>416</v>
      </c>
      <c r="D19" s="14" t="s">
        <v>386</v>
      </c>
      <c r="E19" s="14" t="s">
        <v>14</v>
      </c>
      <c r="F19" s="22">
        <v>300</v>
      </c>
      <c r="G19" s="586"/>
      <c r="H19" s="363">
        <f t="shared" si="0"/>
        <v>0</v>
      </c>
    </row>
    <row r="20" spans="2:9" ht="14.25" customHeight="1">
      <c r="B20" s="13"/>
      <c r="C20" s="14"/>
      <c r="D20" s="14"/>
      <c r="E20" s="14"/>
      <c r="F20" s="22"/>
      <c r="G20" s="586"/>
      <c r="H20" s="363" t="str">
        <f t="shared" si="0"/>
        <v/>
      </c>
    </row>
    <row r="21" spans="2:9" ht="14.25">
      <c r="B21" s="13" t="s">
        <v>117</v>
      </c>
      <c r="C21" s="14" t="s">
        <v>417</v>
      </c>
      <c r="D21" s="14" t="s">
        <v>386</v>
      </c>
      <c r="E21" s="14" t="s">
        <v>14</v>
      </c>
      <c r="F21" s="22">
        <v>100</v>
      </c>
      <c r="G21" s="586"/>
      <c r="H21" s="363">
        <f t="shared" si="0"/>
        <v>0</v>
      </c>
    </row>
    <row r="22" spans="2:9">
      <c r="B22" s="13"/>
      <c r="C22" s="14"/>
      <c r="D22" s="14"/>
      <c r="E22" s="14"/>
      <c r="F22" s="22"/>
      <c r="G22" s="586"/>
      <c r="H22" s="363" t="str">
        <f t="shared" si="0"/>
        <v/>
      </c>
    </row>
    <row r="23" spans="2:9">
      <c r="B23" s="500" t="s">
        <v>418</v>
      </c>
      <c r="C23" s="175" t="s">
        <v>419</v>
      </c>
      <c r="D23" s="14"/>
      <c r="E23" s="38"/>
      <c r="F23" s="186"/>
      <c r="G23" s="591"/>
      <c r="H23" s="363" t="str">
        <f t="shared" si="0"/>
        <v/>
      </c>
    </row>
    <row r="24" spans="2:9">
      <c r="B24" s="500"/>
      <c r="C24" s="175"/>
      <c r="D24" s="14"/>
      <c r="E24" s="38"/>
      <c r="F24" s="186"/>
      <c r="G24" s="591"/>
      <c r="H24" s="363" t="str">
        <f t="shared" si="0"/>
        <v/>
      </c>
    </row>
    <row r="25" spans="2:9" ht="25.5">
      <c r="B25" s="500" t="s">
        <v>420</v>
      </c>
      <c r="C25" s="175" t="s">
        <v>421</v>
      </c>
      <c r="D25" s="14"/>
      <c r="E25" s="38"/>
      <c r="F25" s="186"/>
      <c r="G25" s="591"/>
      <c r="H25" s="363" t="str">
        <f t="shared" si="0"/>
        <v/>
      </c>
    </row>
    <row r="26" spans="2:9">
      <c r="B26" s="500"/>
      <c r="C26" s="175"/>
      <c r="D26" s="14"/>
      <c r="E26" s="38"/>
      <c r="F26" s="186"/>
      <c r="G26" s="591"/>
      <c r="H26" s="363" t="str">
        <f t="shared" si="0"/>
        <v/>
      </c>
    </row>
    <row r="27" spans="2:9" ht="14.25">
      <c r="B27" s="500" t="s">
        <v>86</v>
      </c>
      <c r="C27" s="175" t="s">
        <v>409</v>
      </c>
      <c r="D27" s="14" t="s">
        <v>386</v>
      </c>
      <c r="E27" s="38"/>
      <c r="F27" s="186">
        <v>125</v>
      </c>
      <c r="G27" s="591"/>
      <c r="H27" s="363">
        <f t="shared" si="0"/>
        <v>0</v>
      </c>
      <c r="I27" s="689"/>
    </row>
    <row r="28" spans="2:9">
      <c r="B28" s="500"/>
      <c r="C28" s="175"/>
      <c r="D28" s="14"/>
      <c r="E28" s="38"/>
      <c r="F28" s="186"/>
      <c r="G28" s="591"/>
      <c r="H28" s="363" t="str">
        <f t="shared" si="0"/>
        <v/>
      </c>
      <c r="I28" s="689"/>
    </row>
    <row r="29" spans="2:9" ht="25.5">
      <c r="B29" s="500" t="s">
        <v>422</v>
      </c>
      <c r="C29" s="175" t="s">
        <v>423</v>
      </c>
      <c r="D29" s="14" t="s">
        <v>386</v>
      </c>
      <c r="E29" s="38" t="s">
        <v>14</v>
      </c>
      <c r="F29" s="186">
        <v>830</v>
      </c>
      <c r="G29" s="591"/>
      <c r="H29" s="363">
        <f t="shared" si="0"/>
        <v>0</v>
      </c>
      <c r="I29" s="689"/>
    </row>
    <row r="30" spans="2:9">
      <c r="B30" s="500"/>
      <c r="C30" s="175"/>
      <c r="D30" s="14"/>
      <c r="E30" s="38"/>
      <c r="F30" s="186"/>
      <c r="G30" s="591"/>
      <c r="H30" s="363"/>
      <c r="I30" s="689"/>
    </row>
    <row r="31" spans="2:9" ht="25.5">
      <c r="B31" s="500" t="s">
        <v>424</v>
      </c>
      <c r="C31" s="175" t="s">
        <v>425</v>
      </c>
      <c r="D31" s="14" t="s">
        <v>386</v>
      </c>
      <c r="E31" s="38"/>
      <c r="F31" s="186">
        <v>50</v>
      </c>
      <c r="G31" s="591"/>
      <c r="H31" s="363">
        <f t="shared" ref="H31" si="1">IF(D31="","",F31*G31)</f>
        <v>0</v>
      </c>
      <c r="I31" s="689"/>
    </row>
    <row r="32" spans="2:9">
      <c r="B32" s="500"/>
      <c r="C32" s="175"/>
      <c r="D32" s="14"/>
      <c r="E32" s="38"/>
      <c r="F32" s="186"/>
      <c r="G32" s="591"/>
      <c r="H32" s="363"/>
      <c r="I32" s="689"/>
    </row>
    <row r="33" spans="2:15" ht="25.5">
      <c r="B33" s="500" t="s">
        <v>426</v>
      </c>
      <c r="C33" s="175" t="s">
        <v>427</v>
      </c>
      <c r="D33" s="14"/>
      <c r="E33" s="38"/>
      <c r="F33" s="186"/>
      <c r="G33" s="591"/>
      <c r="H33" s="363" t="str">
        <f t="shared" ref="H33:H35" si="2">IF(D33="","",F33*G33)</f>
        <v/>
      </c>
      <c r="I33" s="689"/>
    </row>
    <row r="34" spans="2:15">
      <c r="B34" s="500"/>
      <c r="C34" s="175"/>
      <c r="D34" s="14"/>
      <c r="E34" s="38"/>
      <c r="F34" s="186"/>
      <c r="G34" s="591"/>
      <c r="H34" s="363" t="str">
        <f t="shared" si="2"/>
        <v/>
      </c>
      <c r="I34" s="689"/>
    </row>
    <row r="35" spans="2:15" ht="25.5">
      <c r="B35" s="500" t="s">
        <v>428</v>
      </c>
      <c r="C35" s="175" t="s">
        <v>429</v>
      </c>
      <c r="D35" s="14" t="s">
        <v>386</v>
      </c>
      <c r="E35" s="38" t="s">
        <v>14</v>
      </c>
      <c r="F35" s="186">
        <v>715</v>
      </c>
      <c r="G35" s="591"/>
      <c r="H35" s="363">
        <f t="shared" si="2"/>
        <v>0</v>
      </c>
      <c r="I35" s="689"/>
    </row>
    <row r="36" spans="2:15">
      <c r="B36" s="500"/>
      <c r="C36" s="175"/>
      <c r="D36" s="14"/>
      <c r="E36" s="38"/>
      <c r="F36" s="186"/>
      <c r="G36" s="591"/>
      <c r="H36" s="363"/>
      <c r="I36" s="689"/>
    </row>
    <row r="37" spans="2:15" ht="25.5">
      <c r="B37" s="500" t="s">
        <v>430</v>
      </c>
      <c r="C37" s="175" t="s">
        <v>431</v>
      </c>
      <c r="D37" s="14"/>
      <c r="E37" s="38"/>
      <c r="F37" s="186"/>
      <c r="G37" s="591"/>
      <c r="H37" s="363"/>
      <c r="I37" s="689"/>
      <c r="K37" s="2"/>
      <c r="O37" s="3">
        <v>504730</v>
      </c>
    </row>
    <row r="38" spans="2:15">
      <c r="B38" s="500"/>
      <c r="C38" s="175"/>
      <c r="D38" s="14"/>
      <c r="E38" s="38"/>
      <c r="F38" s="186"/>
      <c r="G38" s="591"/>
      <c r="H38" s="363" t="str">
        <f t="shared" ref="H38:H39" si="3">IF(D38="","",F38*G38)</f>
        <v/>
      </c>
      <c r="I38" s="689"/>
    </row>
    <row r="39" spans="2:15" ht="15">
      <c r="B39" s="500" t="s">
        <v>432</v>
      </c>
      <c r="C39" s="175" t="s">
        <v>433</v>
      </c>
      <c r="D39" s="14" t="s">
        <v>434</v>
      </c>
      <c r="E39" s="38" t="s">
        <v>14</v>
      </c>
      <c r="F39" s="186">
        <v>209</v>
      </c>
      <c r="G39" s="591"/>
      <c r="H39" s="363">
        <f t="shared" si="3"/>
        <v>0</v>
      </c>
      <c r="I39" s="689"/>
      <c r="O39" s="3">
        <v>438800</v>
      </c>
    </row>
    <row r="40" spans="2:15">
      <c r="B40" s="500"/>
      <c r="C40" s="175"/>
      <c r="D40" s="14"/>
      <c r="E40" s="38"/>
      <c r="F40" s="186"/>
      <c r="G40" s="591"/>
      <c r="H40" s="363"/>
      <c r="I40" s="689"/>
      <c r="O40" s="3">
        <f>O37+O39</f>
        <v>943530</v>
      </c>
    </row>
    <row r="41" spans="2:15">
      <c r="B41" s="500" t="s">
        <v>435</v>
      </c>
      <c r="C41" s="175" t="s">
        <v>436</v>
      </c>
      <c r="D41" s="14"/>
      <c r="E41" s="38"/>
      <c r="F41" s="186"/>
      <c r="G41" s="591"/>
      <c r="H41" s="363" t="str">
        <f t="shared" ref="H41:H43" si="4">IF(D41="","",F41*G41)</f>
        <v/>
      </c>
      <c r="I41" s="689"/>
    </row>
    <row r="42" spans="2:15">
      <c r="B42" s="500"/>
      <c r="C42" s="175"/>
      <c r="D42" s="14"/>
      <c r="E42" s="38"/>
      <c r="F42" s="186"/>
      <c r="G42" s="591"/>
      <c r="H42" s="363" t="str">
        <f t="shared" si="4"/>
        <v/>
      </c>
      <c r="I42" s="689"/>
    </row>
    <row r="43" spans="2:15" ht="38.25">
      <c r="B43" s="500" t="s">
        <v>437</v>
      </c>
      <c r="C43" s="175" t="s">
        <v>438</v>
      </c>
      <c r="D43" s="14" t="s">
        <v>347</v>
      </c>
      <c r="E43" s="14" t="s">
        <v>14</v>
      </c>
      <c r="F43" s="186">
        <f>1970*2</f>
        <v>3940</v>
      </c>
      <c r="G43" s="591"/>
      <c r="H43" s="363">
        <f t="shared" si="4"/>
        <v>0</v>
      </c>
      <c r="I43" s="689"/>
    </row>
    <row r="44" spans="2:15">
      <c r="B44" s="500"/>
      <c r="C44" s="175"/>
      <c r="D44" s="14"/>
      <c r="E44" s="38"/>
      <c r="F44" s="186"/>
      <c r="G44" s="591"/>
      <c r="H44" s="363"/>
      <c r="I44" s="689"/>
    </row>
    <row r="45" spans="2:15" ht="25.5">
      <c r="B45" s="500" t="s">
        <v>439</v>
      </c>
      <c r="C45" s="175" t="s">
        <v>440</v>
      </c>
      <c r="D45" s="14"/>
      <c r="E45" s="38"/>
      <c r="F45" s="186"/>
      <c r="G45" s="591"/>
      <c r="H45" s="363" t="str">
        <f t="shared" ref="H45:H47" si="5">IF(D45="","",F45*G45)</f>
        <v/>
      </c>
      <c r="I45" s="689"/>
    </row>
    <row r="46" spans="2:15">
      <c r="B46" s="500"/>
      <c r="C46" s="175"/>
      <c r="D46" s="14"/>
      <c r="E46" s="38"/>
      <c r="F46" s="186"/>
      <c r="G46" s="591"/>
      <c r="H46" s="363" t="str">
        <f t="shared" si="5"/>
        <v/>
      </c>
      <c r="I46" s="689"/>
    </row>
    <row r="47" spans="2:15" ht="15">
      <c r="B47" s="500" t="s">
        <v>441</v>
      </c>
      <c r="C47" s="175" t="s">
        <v>442</v>
      </c>
      <c r="D47" s="14" t="s">
        <v>443</v>
      </c>
      <c r="E47" s="38" t="s">
        <v>14</v>
      </c>
      <c r="F47" s="186">
        <v>6080</v>
      </c>
      <c r="G47" s="591"/>
      <c r="H47" s="363">
        <f t="shared" si="5"/>
        <v>0</v>
      </c>
      <c r="I47" s="689"/>
    </row>
    <row r="48" spans="2:15">
      <c r="B48" s="500"/>
      <c r="C48" s="175"/>
      <c r="D48" s="14"/>
      <c r="E48" s="38"/>
      <c r="F48" s="186"/>
      <c r="G48" s="591"/>
      <c r="H48" s="363"/>
      <c r="I48" s="689"/>
    </row>
    <row r="49" spans="2:10" ht="25.5">
      <c r="B49" s="500" t="s">
        <v>444</v>
      </c>
      <c r="C49" s="175" t="s">
        <v>445</v>
      </c>
      <c r="D49" s="14"/>
      <c r="E49" s="38"/>
      <c r="F49" s="186"/>
      <c r="G49" s="591"/>
      <c r="H49" s="363" t="str">
        <f t="shared" ref="H49:H59" si="6">IF(D49="","",F49*G49)</f>
        <v/>
      </c>
      <c r="I49" s="689"/>
    </row>
    <row r="50" spans="2:10">
      <c r="B50" s="500"/>
      <c r="C50" s="175"/>
      <c r="D50" s="14"/>
      <c r="E50" s="38"/>
      <c r="F50" s="186"/>
      <c r="G50" s="591"/>
      <c r="H50" s="363" t="str">
        <f t="shared" si="6"/>
        <v/>
      </c>
      <c r="I50" s="689"/>
    </row>
    <row r="51" spans="2:10">
      <c r="B51" s="500" t="s">
        <v>446</v>
      </c>
      <c r="C51" s="175" t="s">
        <v>447</v>
      </c>
      <c r="D51" s="14" t="s">
        <v>85</v>
      </c>
      <c r="E51" s="38" t="s">
        <v>14</v>
      </c>
      <c r="F51" s="186">
        <v>20</v>
      </c>
      <c r="G51" s="591"/>
      <c r="H51" s="363">
        <f t="shared" si="6"/>
        <v>0</v>
      </c>
      <c r="I51" s="689"/>
    </row>
    <row r="52" spans="2:10">
      <c r="B52" s="500"/>
      <c r="C52" s="175"/>
      <c r="D52" s="14"/>
      <c r="E52" s="38"/>
      <c r="F52" s="186"/>
      <c r="G52" s="591"/>
      <c r="H52" s="363" t="str">
        <f t="shared" si="6"/>
        <v/>
      </c>
      <c r="I52" s="689"/>
    </row>
    <row r="53" spans="2:10" ht="25.5">
      <c r="B53" s="500" t="s">
        <v>448</v>
      </c>
      <c r="C53" s="175" t="s">
        <v>449</v>
      </c>
      <c r="D53" s="14" t="s">
        <v>85</v>
      </c>
      <c r="E53" s="38" t="s">
        <v>14</v>
      </c>
      <c r="F53" s="186">
        <v>70</v>
      </c>
      <c r="G53" s="591"/>
      <c r="H53" s="363">
        <f t="shared" si="6"/>
        <v>0</v>
      </c>
      <c r="I53" s="689"/>
    </row>
    <row r="54" spans="2:10">
      <c r="B54" s="500"/>
      <c r="C54" s="175"/>
      <c r="D54" s="14"/>
      <c r="E54" s="38"/>
      <c r="F54" s="186"/>
      <c r="G54" s="591"/>
      <c r="H54" s="363" t="str">
        <f t="shared" si="6"/>
        <v/>
      </c>
      <c r="I54" s="689"/>
    </row>
    <row r="55" spans="2:10" ht="38.25">
      <c r="B55" s="500" t="s">
        <v>450</v>
      </c>
      <c r="C55" s="175" t="s">
        <v>451</v>
      </c>
      <c r="D55" s="14" t="s">
        <v>434</v>
      </c>
      <c r="E55" s="38" t="s">
        <v>14</v>
      </c>
      <c r="F55" s="186">
        <v>150</v>
      </c>
      <c r="G55" s="591"/>
      <c r="H55" s="363">
        <f t="shared" si="6"/>
        <v>0</v>
      </c>
      <c r="I55" s="689"/>
    </row>
    <row r="56" spans="2:10">
      <c r="B56" s="500"/>
      <c r="C56" s="175"/>
      <c r="D56" s="14"/>
      <c r="E56" s="38"/>
      <c r="F56" s="186"/>
      <c r="G56" s="591"/>
      <c r="H56" s="363" t="str">
        <f t="shared" si="6"/>
        <v/>
      </c>
      <c r="I56" s="689"/>
    </row>
    <row r="57" spans="2:10">
      <c r="B57" s="500" t="s">
        <v>452</v>
      </c>
      <c r="C57" s="175" t="s">
        <v>453</v>
      </c>
      <c r="D57" s="14" t="s">
        <v>85</v>
      </c>
      <c r="E57" s="38" t="s">
        <v>14</v>
      </c>
      <c r="F57" s="186">
        <v>1</v>
      </c>
      <c r="G57" s="591"/>
      <c r="H57" s="363">
        <f t="shared" si="6"/>
        <v>0</v>
      </c>
      <c r="I57" s="689"/>
    </row>
    <row r="58" spans="2:10">
      <c r="B58" s="500"/>
      <c r="C58" s="175"/>
      <c r="D58" s="14"/>
      <c r="E58" s="38"/>
      <c r="F58" s="186"/>
      <c r="G58" s="591"/>
      <c r="H58" s="363" t="str">
        <f t="shared" si="6"/>
        <v/>
      </c>
      <c r="I58" s="689"/>
    </row>
    <row r="59" spans="2:10">
      <c r="B59" s="500" t="s">
        <v>454</v>
      </c>
      <c r="C59" s="175" t="s">
        <v>455</v>
      </c>
      <c r="D59" s="14" t="s">
        <v>85</v>
      </c>
      <c r="E59" s="38" t="s">
        <v>14</v>
      </c>
      <c r="F59" s="186">
        <v>1</v>
      </c>
      <c r="G59" s="591"/>
      <c r="H59" s="363">
        <f t="shared" si="6"/>
        <v>0</v>
      </c>
      <c r="I59" s="689"/>
    </row>
    <row r="60" spans="2:10" s="2" customFormat="1" ht="19.5" customHeight="1">
      <c r="B60" s="411" t="str">
        <f>$B$9</f>
        <v>C3.1</v>
      </c>
      <c r="C60" s="276" t="s">
        <v>99</v>
      </c>
      <c r="D60" s="287"/>
      <c r="E60" s="287"/>
      <c r="F60" s="31"/>
      <c r="G60" s="412"/>
      <c r="H60" s="364">
        <f>SUM(H11:H59)</f>
        <v>0</v>
      </c>
      <c r="I60" s="289"/>
      <c r="J60" s="3"/>
    </row>
  </sheetData>
  <sheetProtection algorithmName="SHA-512" hashValue="4teZVMJ2xV8P/vN+r8+bn0a8BvdalHLSWTotDsIwqhWd3CI+A5o05tTxb8X5cyY+s+uQHA5HfHHuGEoo4d8VeQ==" saltValue="fLKe2Qr/L0+25Xj04bURwg==" spinCount="100000" sheet="1" objects="1" scenarios="1"/>
  <mergeCells count="6">
    <mergeCell ref="I27:I59"/>
    <mergeCell ref="F1:H3"/>
    <mergeCell ref="B5:G7"/>
    <mergeCell ref="H4:H7"/>
    <mergeCell ref="B4:G4"/>
    <mergeCell ref="I4:I8"/>
  </mergeCells>
  <pageMargins left="0.43307086614173229" right="0.31496062992125984" top="0.43307086614173229" bottom="0.62992125984251968" header="0.35433070866141736" footer="0.31496062992125984"/>
  <pageSetup paperSize="9" scale="56"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BBE1B-A851-4F69-9FED-75FE1AE5877C}">
  <sheetPr>
    <tabColor rgb="FFFFFF00"/>
  </sheetPr>
  <dimension ref="B1:M49"/>
  <sheetViews>
    <sheetView view="pageBreakPreview" topLeftCell="A17" zoomScaleNormal="70" zoomScaleSheetLayoutView="100" workbookViewId="0">
      <selection activeCell="G21" sqref="G21"/>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3402</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3402</v>
      </c>
      <c r="C10" s="7" t="s">
        <v>3403</v>
      </c>
      <c r="D10" s="14"/>
      <c r="E10" s="14"/>
      <c r="F10" s="22"/>
      <c r="G10" s="348"/>
      <c r="H10" s="529" t="str">
        <f t="shared" ref="H10:H11" si="0">IF(D10="","",F10*G10)</f>
        <v/>
      </c>
      <c r="I10" s="277"/>
    </row>
    <row r="11" spans="2:11">
      <c r="B11" s="294"/>
      <c r="C11" s="52"/>
      <c r="D11" s="22"/>
      <c r="E11" s="22"/>
      <c r="F11" s="22"/>
      <c r="G11" s="348"/>
      <c r="H11" s="529" t="str">
        <f t="shared" si="0"/>
        <v/>
      </c>
      <c r="I11" s="277"/>
    </row>
    <row r="12" spans="2:11" ht="55.5" customHeight="1">
      <c r="B12" s="294" t="s">
        <v>3404</v>
      </c>
      <c r="C12" s="52" t="s">
        <v>3405</v>
      </c>
      <c r="D12" s="22"/>
      <c r="E12" s="22"/>
      <c r="F12" s="22"/>
      <c r="G12" s="348"/>
      <c r="H12" s="529"/>
      <c r="I12" s="277"/>
    </row>
    <row r="13" spans="2:11">
      <c r="B13" s="294" t="s">
        <v>3406</v>
      </c>
      <c r="C13" s="52" t="s">
        <v>3407</v>
      </c>
      <c r="D13" s="22"/>
      <c r="E13" s="22"/>
      <c r="F13" s="22"/>
      <c r="G13" s="624"/>
      <c r="H13" s="529"/>
      <c r="I13" s="277"/>
    </row>
    <row r="14" spans="2:11">
      <c r="B14" s="294" t="s">
        <v>3408</v>
      </c>
      <c r="C14" s="52" t="s">
        <v>3409</v>
      </c>
      <c r="D14" s="22" t="s">
        <v>85</v>
      </c>
      <c r="E14" s="22"/>
      <c r="F14" s="22">
        <v>2</v>
      </c>
      <c r="G14" s="624"/>
      <c r="H14" s="529">
        <f>G14*F14</f>
        <v>0</v>
      </c>
      <c r="I14" s="277"/>
    </row>
    <row r="15" spans="2:11">
      <c r="B15" s="294" t="s">
        <v>3410</v>
      </c>
      <c r="C15" s="52" t="s">
        <v>3411</v>
      </c>
      <c r="D15" s="22"/>
      <c r="E15" s="22"/>
      <c r="F15" s="22"/>
      <c r="G15" s="624"/>
      <c r="H15" s="529"/>
      <c r="I15" s="277"/>
    </row>
    <row r="16" spans="2:11">
      <c r="B16" s="294" t="s">
        <v>3412</v>
      </c>
      <c r="C16" s="52" t="s">
        <v>3413</v>
      </c>
      <c r="D16" s="22" t="s">
        <v>85</v>
      </c>
      <c r="E16" s="22"/>
      <c r="F16" s="22">
        <v>2</v>
      </c>
      <c r="G16" s="624"/>
      <c r="H16" s="529" t="s">
        <v>266</v>
      </c>
      <c r="I16" s="277"/>
    </row>
    <row r="17" spans="2:9">
      <c r="B17" s="294" t="s">
        <v>3414</v>
      </c>
      <c r="C17" s="52" t="s">
        <v>3415</v>
      </c>
      <c r="D17" s="22"/>
      <c r="E17" s="22"/>
      <c r="F17" s="22"/>
      <c r="G17" s="624"/>
      <c r="H17" s="529"/>
      <c r="I17" s="277"/>
    </row>
    <row r="18" spans="2:9">
      <c r="B18" s="294" t="s">
        <v>3416</v>
      </c>
      <c r="C18" s="52" t="s">
        <v>3413</v>
      </c>
      <c r="D18" s="22" t="s">
        <v>85</v>
      </c>
      <c r="E18" s="22"/>
      <c r="F18" s="22">
        <v>2</v>
      </c>
      <c r="G18" s="624"/>
      <c r="H18" s="529" t="s">
        <v>266</v>
      </c>
      <c r="I18" s="277"/>
    </row>
    <row r="19" spans="2:9">
      <c r="B19" s="294" t="s">
        <v>3417</v>
      </c>
      <c r="C19" s="52" t="s">
        <v>3418</v>
      </c>
      <c r="D19" s="22" t="s">
        <v>85</v>
      </c>
      <c r="E19" s="22"/>
      <c r="F19" s="22">
        <v>2</v>
      </c>
      <c r="G19" s="624"/>
      <c r="H19" s="529">
        <f t="shared" ref="H19:H21" si="1">G19*F19</f>
        <v>0</v>
      </c>
      <c r="I19" s="277"/>
    </row>
    <row r="20" spans="2:9" ht="38.25">
      <c r="B20" s="294" t="s">
        <v>3419</v>
      </c>
      <c r="C20" s="52" t="s">
        <v>3420</v>
      </c>
      <c r="D20" s="22" t="s">
        <v>85</v>
      </c>
      <c r="E20" s="22"/>
      <c r="F20" s="22">
        <v>1</v>
      </c>
      <c r="G20" s="624"/>
      <c r="H20" s="529">
        <f t="shared" si="1"/>
        <v>0</v>
      </c>
      <c r="I20" s="277"/>
    </row>
    <row r="21" spans="2:9">
      <c r="B21" s="294" t="s">
        <v>3421</v>
      </c>
      <c r="C21" s="52" t="s">
        <v>3422</v>
      </c>
      <c r="D21" s="22" t="s">
        <v>85</v>
      </c>
      <c r="E21" s="22"/>
      <c r="F21" s="22">
        <v>2</v>
      </c>
      <c r="G21" s="624"/>
      <c r="H21" s="529">
        <f t="shared" si="1"/>
        <v>0</v>
      </c>
      <c r="I21" s="277"/>
    </row>
    <row r="22" spans="2:9">
      <c r="B22" s="294"/>
      <c r="C22" s="52"/>
      <c r="D22" s="22"/>
      <c r="E22" s="22"/>
      <c r="F22" s="22"/>
      <c r="G22" s="624"/>
      <c r="H22" s="529"/>
      <c r="I22" s="277"/>
    </row>
    <row r="23" spans="2:9">
      <c r="B23" s="294"/>
      <c r="C23" s="52"/>
      <c r="D23" s="22"/>
      <c r="E23" s="22"/>
      <c r="F23" s="22"/>
      <c r="G23" s="624"/>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12">
      <c r="B33" s="294"/>
      <c r="C33" s="52"/>
      <c r="D33" s="22"/>
      <c r="E33" s="22"/>
      <c r="F33" s="22"/>
      <c r="G33" s="348"/>
      <c r="H33" s="529"/>
      <c r="I33" s="277"/>
    </row>
    <row r="34" spans="2:12">
      <c r="B34" s="294"/>
      <c r="C34" s="52"/>
      <c r="D34" s="22"/>
      <c r="E34" s="22"/>
      <c r="F34" s="22"/>
      <c r="G34" s="348"/>
      <c r="H34" s="529"/>
      <c r="I34" s="277"/>
    </row>
    <row r="35" spans="2:12">
      <c r="B35" s="294"/>
      <c r="C35" s="52"/>
      <c r="D35" s="22"/>
      <c r="E35" s="22"/>
      <c r="F35" s="22"/>
      <c r="G35" s="348"/>
      <c r="H35" s="529"/>
      <c r="I35" s="277"/>
    </row>
    <row r="36" spans="2:12">
      <c r="B36" s="294"/>
      <c r="C36" s="52"/>
      <c r="D36" s="22"/>
      <c r="E36" s="22"/>
      <c r="F36" s="22"/>
      <c r="G36" s="348"/>
      <c r="H36" s="529"/>
      <c r="I36" s="277"/>
    </row>
    <row r="37" spans="2:12">
      <c r="B37" s="294"/>
      <c r="C37" s="52"/>
      <c r="D37" s="22"/>
      <c r="E37" s="22"/>
      <c r="F37" s="22"/>
      <c r="G37" s="348"/>
      <c r="H37" s="529"/>
      <c r="I37" s="277"/>
      <c r="K37" s="306"/>
    </row>
    <row r="38" spans="2:12">
      <c r="B38" s="294"/>
      <c r="C38" s="52"/>
      <c r="D38" s="22"/>
      <c r="E38" s="22"/>
      <c r="F38" s="22"/>
      <c r="G38" s="348"/>
      <c r="H38" s="529"/>
      <c r="I38" s="277"/>
      <c r="K38" s="306"/>
    </row>
    <row r="39" spans="2:12">
      <c r="B39" s="294"/>
      <c r="C39" s="52"/>
      <c r="D39" s="22"/>
      <c r="E39" s="22"/>
      <c r="F39" s="22"/>
      <c r="G39" s="348"/>
      <c r="H39" s="529"/>
      <c r="I39" s="277"/>
      <c r="K39" s="306"/>
    </row>
    <row r="40" spans="2:12">
      <c r="B40" s="294"/>
      <c r="C40" s="52"/>
      <c r="D40" s="22"/>
      <c r="E40" s="22"/>
      <c r="F40" s="22"/>
      <c r="G40" s="348"/>
      <c r="H40" s="529"/>
      <c r="I40" s="277"/>
      <c r="K40" s="306"/>
    </row>
    <row r="41" spans="2:12">
      <c r="B41" s="294"/>
      <c r="C41" s="52"/>
      <c r="D41" s="22"/>
      <c r="E41" s="22"/>
      <c r="F41" s="22"/>
      <c r="G41" s="348"/>
      <c r="H41" s="529"/>
      <c r="I41" s="277"/>
    </row>
    <row r="42" spans="2:12">
      <c r="B42" s="294"/>
      <c r="C42" s="52"/>
      <c r="D42" s="22"/>
      <c r="E42" s="22"/>
      <c r="F42" s="22"/>
      <c r="G42" s="348"/>
      <c r="H42" s="529"/>
      <c r="I42" s="277"/>
      <c r="L42" s="306"/>
    </row>
    <row r="43" spans="2:12">
      <c r="B43" s="294"/>
      <c r="C43" s="52"/>
      <c r="D43" s="22"/>
      <c r="E43" s="22"/>
      <c r="F43" s="22"/>
      <c r="G43" s="348"/>
      <c r="H43" s="529"/>
      <c r="I43" s="277"/>
      <c r="L43" s="306"/>
    </row>
    <row r="44" spans="2:12">
      <c r="B44" s="294"/>
      <c r="C44" s="52"/>
      <c r="D44" s="22"/>
      <c r="E44" s="22"/>
      <c r="F44" s="22"/>
      <c r="G44" s="348"/>
      <c r="H44" s="529"/>
      <c r="I44" s="277"/>
      <c r="L44" s="306"/>
    </row>
    <row r="45" spans="2:12">
      <c r="B45" s="294"/>
      <c r="C45" s="52"/>
      <c r="D45" s="22"/>
      <c r="E45" s="22"/>
      <c r="F45" s="22"/>
      <c r="G45" s="348"/>
      <c r="H45" s="529"/>
      <c r="I45" s="277"/>
      <c r="L45" s="306"/>
    </row>
    <row r="46" spans="2:12">
      <c r="B46" s="294"/>
      <c r="C46" s="52"/>
      <c r="D46" s="22"/>
      <c r="E46" s="22"/>
      <c r="F46" s="22"/>
      <c r="G46" s="348"/>
      <c r="H46" s="529"/>
      <c r="I46" s="277"/>
      <c r="L46" s="306"/>
    </row>
    <row r="47" spans="2:12">
      <c r="B47" s="48"/>
      <c r="C47" s="52"/>
      <c r="D47" s="22"/>
      <c r="E47" s="22"/>
      <c r="F47" s="22"/>
      <c r="G47" s="348"/>
      <c r="H47" s="529"/>
      <c r="I47" s="277"/>
    </row>
    <row r="48" spans="2:12">
      <c r="B48" s="36"/>
      <c r="C48" s="1"/>
      <c r="D48" s="22"/>
      <c r="E48" s="22"/>
      <c r="F48" s="240"/>
      <c r="G48" s="348"/>
      <c r="H48" s="529"/>
    </row>
    <row r="49" spans="2:9" s="28" customFormat="1" ht="19.5" customHeight="1">
      <c r="B49" s="82" t="str">
        <f>$B$10</f>
        <v xml:space="preserve">SECTION TWO </v>
      </c>
      <c r="C49" s="29" t="s">
        <v>125</v>
      </c>
      <c r="D49" s="30"/>
      <c r="E49" s="30"/>
      <c r="F49" s="31"/>
      <c r="G49" s="547"/>
      <c r="H49" s="359">
        <f>SUM(H9:H48)</f>
        <v>0</v>
      </c>
      <c r="I49" s="236"/>
    </row>
  </sheetData>
  <sheetProtection algorithmName="SHA-512" hashValue="wIy3v8/IePmeROzf301J2MNRuOUrmZFn797sU+Qa11kVHgqPxj5Rmc+1hbKrKB7/G+Z7VnIO8e79p5Wjtx5Y4w==" saltValue="VcvNphGT0MBXuRkGHwLDQA=="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1C6F-CAA3-4CA8-9B34-9F30A578AEA2}">
  <sheetPr>
    <tabColor rgb="FFFFFF00"/>
  </sheetPr>
  <dimension ref="B1:M41"/>
  <sheetViews>
    <sheetView view="pageBreakPreview"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3423</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3424</v>
      </c>
      <c r="C10" s="7" t="s">
        <v>3425</v>
      </c>
      <c r="D10" s="14"/>
      <c r="E10" s="14"/>
      <c r="F10" s="22"/>
      <c r="G10" s="348"/>
      <c r="H10" s="529" t="str">
        <f t="shared" ref="H10:H11" si="0">IF(D10="","",F10*G10)</f>
        <v/>
      </c>
      <c r="I10" s="277"/>
    </row>
    <row r="11" spans="2:11">
      <c r="B11" s="294"/>
      <c r="C11" s="52"/>
      <c r="D11" s="22"/>
      <c r="E11" s="22"/>
      <c r="F11" s="22"/>
      <c r="G11" s="348"/>
      <c r="H11" s="529" t="str">
        <f t="shared" si="0"/>
        <v/>
      </c>
      <c r="I11" s="277"/>
    </row>
    <row r="12" spans="2:11" ht="55.5" customHeight="1">
      <c r="B12" s="294" t="s">
        <v>3426</v>
      </c>
      <c r="C12" s="52" t="s">
        <v>3427</v>
      </c>
      <c r="D12" s="22"/>
      <c r="E12" s="22"/>
      <c r="F12" s="22"/>
      <c r="G12" s="348"/>
      <c r="H12" s="529"/>
      <c r="I12" s="277"/>
    </row>
    <row r="13" spans="2:11" ht="51">
      <c r="B13" s="294" t="s">
        <v>3428</v>
      </c>
      <c r="C13" s="52" t="s">
        <v>3429</v>
      </c>
      <c r="D13" s="22"/>
      <c r="E13" s="22"/>
      <c r="F13" s="22"/>
      <c r="G13" s="348"/>
      <c r="H13" s="529"/>
      <c r="I13" s="277"/>
    </row>
    <row r="14" spans="2:11" ht="25.5">
      <c r="B14" s="294" t="s">
        <v>3430</v>
      </c>
      <c r="C14" s="52" t="s">
        <v>3431</v>
      </c>
      <c r="D14" s="22" t="s">
        <v>85</v>
      </c>
      <c r="E14" s="22"/>
      <c r="F14" s="22">
        <v>80</v>
      </c>
      <c r="G14" s="624"/>
      <c r="H14" s="529">
        <f>G14*F14</f>
        <v>0</v>
      </c>
      <c r="I14" s="277"/>
    </row>
    <row r="15" spans="2:11">
      <c r="B15" s="294" t="s">
        <v>3432</v>
      </c>
      <c r="C15" s="52" t="s">
        <v>3433</v>
      </c>
      <c r="D15" s="22" t="s">
        <v>85</v>
      </c>
      <c r="E15" s="22"/>
      <c r="F15" s="22">
        <v>1</v>
      </c>
      <c r="G15" s="624"/>
      <c r="H15" s="529" t="s">
        <v>3434</v>
      </c>
      <c r="I15" s="277"/>
    </row>
    <row r="16" spans="2:11" ht="76.5">
      <c r="B16" s="294" t="s">
        <v>3435</v>
      </c>
      <c r="C16" s="52" t="s">
        <v>3436</v>
      </c>
      <c r="D16" s="22"/>
      <c r="E16" s="22"/>
      <c r="F16" s="22"/>
      <c r="G16" s="624"/>
      <c r="H16" s="529"/>
      <c r="I16" s="277"/>
    </row>
    <row r="17" spans="2:9">
      <c r="B17" s="294" t="s">
        <v>3437</v>
      </c>
      <c r="C17" s="52" t="s">
        <v>3438</v>
      </c>
      <c r="D17" s="22" t="s">
        <v>85</v>
      </c>
      <c r="E17" s="22"/>
      <c r="F17" s="22">
        <v>50</v>
      </c>
      <c r="G17" s="624"/>
      <c r="H17" s="529">
        <f t="shared" ref="H17:H34" si="1">G17*F17</f>
        <v>0</v>
      </c>
      <c r="I17" s="277"/>
    </row>
    <row r="18" spans="2:9">
      <c r="B18" s="294" t="s">
        <v>3439</v>
      </c>
      <c r="C18" s="52" t="s">
        <v>3440</v>
      </c>
      <c r="D18" s="22" t="s">
        <v>85</v>
      </c>
      <c r="E18" s="22"/>
      <c r="F18" s="22">
        <v>21</v>
      </c>
      <c r="G18" s="624"/>
      <c r="H18" s="529">
        <f t="shared" si="1"/>
        <v>0</v>
      </c>
      <c r="I18" s="277"/>
    </row>
    <row r="19" spans="2:9" ht="63.75">
      <c r="B19" s="294" t="s">
        <v>3441</v>
      </c>
      <c r="C19" s="52" t="s">
        <v>3442</v>
      </c>
      <c r="D19" s="22"/>
      <c r="E19" s="22"/>
      <c r="F19" s="22"/>
      <c r="G19" s="624"/>
      <c r="H19" s="529"/>
      <c r="I19" s="277"/>
    </row>
    <row r="20" spans="2:9">
      <c r="B20" s="294" t="s">
        <v>3443</v>
      </c>
      <c r="C20" s="52" t="s">
        <v>3444</v>
      </c>
      <c r="D20" s="22" t="s">
        <v>85</v>
      </c>
      <c r="E20" s="22"/>
      <c r="F20" s="22">
        <v>2</v>
      </c>
      <c r="G20" s="624"/>
      <c r="H20" s="529">
        <f t="shared" si="1"/>
        <v>0</v>
      </c>
      <c r="I20" s="277"/>
    </row>
    <row r="21" spans="2:9" ht="25.5">
      <c r="B21" s="294" t="s">
        <v>3445</v>
      </c>
      <c r="C21" s="55" t="s">
        <v>3446</v>
      </c>
      <c r="D21" s="22" t="s">
        <v>85</v>
      </c>
      <c r="E21" s="22"/>
      <c r="F21" s="22">
        <v>2</v>
      </c>
      <c r="G21" s="624"/>
      <c r="H21" s="529">
        <f t="shared" si="1"/>
        <v>0</v>
      </c>
      <c r="I21" s="277" t="s">
        <v>3447</v>
      </c>
    </row>
    <row r="22" spans="2:9" ht="25.5">
      <c r="B22" s="294" t="s">
        <v>3448</v>
      </c>
      <c r="C22" s="52" t="s">
        <v>3449</v>
      </c>
      <c r="D22" s="22" t="s">
        <v>542</v>
      </c>
      <c r="E22" s="22"/>
      <c r="F22" s="22">
        <v>1</v>
      </c>
      <c r="G22" s="624"/>
      <c r="H22" s="529">
        <f t="shared" si="1"/>
        <v>0</v>
      </c>
      <c r="I22" s="277"/>
    </row>
    <row r="23" spans="2:9" ht="51">
      <c r="B23" s="294" t="s">
        <v>3450</v>
      </c>
      <c r="C23" s="52" t="s">
        <v>3451</v>
      </c>
      <c r="D23" s="22" t="s">
        <v>85</v>
      </c>
      <c r="E23" s="22"/>
      <c r="F23" s="22">
        <v>1</v>
      </c>
      <c r="G23" s="624"/>
      <c r="H23" s="529">
        <f t="shared" si="1"/>
        <v>0</v>
      </c>
      <c r="I23" s="277"/>
    </row>
    <row r="24" spans="2:9" ht="51">
      <c r="B24" s="294" t="s">
        <v>3452</v>
      </c>
      <c r="C24" s="52" t="s">
        <v>3453</v>
      </c>
      <c r="D24" s="22" t="s">
        <v>85</v>
      </c>
      <c r="E24" s="22"/>
      <c r="F24" s="22">
        <v>1</v>
      </c>
      <c r="G24" s="624"/>
      <c r="H24" s="529">
        <f t="shared" si="1"/>
        <v>0</v>
      </c>
      <c r="I24" s="277"/>
    </row>
    <row r="25" spans="2:9" ht="25.5">
      <c r="B25" s="294" t="s">
        <v>3454</v>
      </c>
      <c r="C25" s="52" t="s">
        <v>3455</v>
      </c>
      <c r="D25" s="22" t="s">
        <v>85</v>
      </c>
      <c r="E25" s="22"/>
      <c r="F25" s="22">
        <v>1</v>
      </c>
      <c r="G25" s="624"/>
      <c r="H25" s="529">
        <f t="shared" si="1"/>
        <v>0</v>
      </c>
      <c r="I25" s="277"/>
    </row>
    <row r="26" spans="2:9">
      <c r="B26" s="294"/>
      <c r="C26" s="52"/>
      <c r="D26" s="22"/>
      <c r="E26" s="22"/>
      <c r="F26" s="22"/>
      <c r="G26" s="624"/>
      <c r="H26" s="529"/>
      <c r="I26" s="277"/>
    </row>
    <row r="27" spans="2:9">
      <c r="B27" s="294" t="s">
        <v>3456</v>
      </c>
      <c r="C27" s="52" t="s">
        <v>3457</v>
      </c>
      <c r="D27" s="22"/>
      <c r="E27" s="22"/>
      <c r="F27" s="22"/>
      <c r="G27" s="624"/>
      <c r="H27" s="529"/>
      <c r="I27" s="277"/>
    </row>
    <row r="28" spans="2:9" ht="51">
      <c r="B28" s="294" t="s">
        <v>3458</v>
      </c>
      <c r="C28" s="52" t="s">
        <v>3459</v>
      </c>
      <c r="D28" s="22"/>
      <c r="E28" s="22"/>
      <c r="F28" s="22"/>
      <c r="G28" s="624"/>
      <c r="H28" s="529"/>
      <c r="I28" s="277"/>
    </row>
    <row r="29" spans="2:9">
      <c r="B29" s="294" t="s">
        <v>3460</v>
      </c>
      <c r="C29" s="52" t="s">
        <v>3461</v>
      </c>
      <c r="D29" s="22" t="s">
        <v>85</v>
      </c>
      <c r="E29" s="22"/>
      <c r="F29" s="22">
        <v>2</v>
      </c>
      <c r="G29" s="624"/>
      <c r="H29" s="529">
        <f t="shared" si="1"/>
        <v>0</v>
      </c>
      <c r="I29" s="277"/>
    </row>
    <row r="30" spans="2:9">
      <c r="B30" s="294" t="s">
        <v>3462</v>
      </c>
      <c r="C30" s="52" t="s">
        <v>3440</v>
      </c>
      <c r="D30" s="22" t="s">
        <v>85</v>
      </c>
      <c r="E30" s="22"/>
      <c r="F30" s="22">
        <v>1</v>
      </c>
      <c r="G30" s="624"/>
      <c r="H30" s="529" t="s">
        <v>266</v>
      </c>
      <c r="I30" s="277"/>
    </row>
    <row r="31" spans="2:9">
      <c r="B31" s="294"/>
      <c r="C31" s="52"/>
      <c r="D31" s="22"/>
      <c r="E31" s="22"/>
      <c r="F31" s="22"/>
      <c r="G31" s="624"/>
      <c r="H31" s="529"/>
      <c r="I31" s="277"/>
    </row>
    <row r="32" spans="2:9" ht="63.75">
      <c r="B32" s="294" t="s">
        <v>3463</v>
      </c>
      <c r="C32" s="52" t="s">
        <v>3464</v>
      </c>
      <c r="D32" s="22"/>
      <c r="E32" s="22"/>
      <c r="F32" s="22"/>
      <c r="G32" s="624"/>
      <c r="H32" s="529"/>
      <c r="I32" s="277"/>
    </row>
    <row r="33" spans="2:9" ht="25.5">
      <c r="B33" s="294" t="s">
        <v>3465</v>
      </c>
      <c r="C33" s="52" t="s">
        <v>3466</v>
      </c>
      <c r="D33" s="22" t="s">
        <v>85</v>
      </c>
      <c r="E33" s="22"/>
      <c r="F33" s="22">
        <v>1</v>
      </c>
      <c r="G33" s="624"/>
      <c r="H33" s="529">
        <f t="shared" si="1"/>
        <v>0</v>
      </c>
      <c r="I33" s="277"/>
    </row>
    <row r="34" spans="2:9">
      <c r="B34" s="294" t="s">
        <v>3467</v>
      </c>
      <c r="C34" s="52" t="s">
        <v>3433</v>
      </c>
      <c r="D34" s="22" t="s">
        <v>85</v>
      </c>
      <c r="E34" s="22"/>
      <c r="F34" s="22">
        <v>2</v>
      </c>
      <c r="G34" s="624"/>
      <c r="H34" s="529">
        <f t="shared" si="1"/>
        <v>0</v>
      </c>
      <c r="I34" s="277"/>
    </row>
    <row r="35" spans="2:9">
      <c r="B35" s="294"/>
      <c r="C35" s="52"/>
      <c r="D35" s="22"/>
      <c r="E35" s="22"/>
      <c r="F35" s="22"/>
      <c r="G35" s="624"/>
      <c r="H35" s="529"/>
      <c r="I35" s="277"/>
    </row>
    <row r="36" spans="2:9">
      <c r="B36" s="294"/>
      <c r="C36" s="52"/>
      <c r="D36" s="22"/>
      <c r="E36" s="22"/>
      <c r="F36" s="22"/>
      <c r="G36" s="348"/>
      <c r="H36" s="529"/>
      <c r="I36" s="277"/>
    </row>
    <row r="37" spans="2:9" ht="63.75">
      <c r="B37" s="294"/>
      <c r="C37" s="7" t="s">
        <v>3468</v>
      </c>
      <c r="D37" s="22"/>
      <c r="E37" s="22"/>
      <c r="F37" s="22"/>
      <c r="G37" s="348"/>
      <c r="H37" s="529"/>
      <c r="I37" s="277"/>
    </row>
    <row r="38" spans="2:9">
      <c r="B38" s="294"/>
      <c r="C38" s="52"/>
      <c r="D38" s="22"/>
      <c r="E38" s="22"/>
      <c r="F38" s="22"/>
      <c r="G38" s="348"/>
      <c r="H38" s="529"/>
      <c r="I38" s="277"/>
    </row>
    <row r="39" spans="2:9">
      <c r="B39" s="48"/>
      <c r="C39" s="52"/>
      <c r="D39" s="22"/>
      <c r="E39" s="22"/>
      <c r="F39" s="22"/>
      <c r="G39" s="348"/>
      <c r="H39" s="529"/>
      <c r="I39" s="277"/>
    </row>
    <row r="40" spans="2:9">
      <c r="B40" s="36"/>
      <c r="C40" s="1"/>
      <c r="D40" s="22"/>
      <c r="E40" s="22"/>
      <c r="F40" s="240"/>
      <c r="G40" s="348"/>
      <c r="H40" s="529"/>
    </row>
    <row r="41" spans="2:9" s="28" customFormat="1" ht="19.5" customHeight="1">
      <c r="B41" s="82" t="str">
        <f>$B$10</f>
        <v>SECTION THREE</v>
      </c>
      <c r="C41" s="29" t="s">
        <v>125</v>
      </c>
      <c r="D41" s="30"/>
      <c r="E41" s="30"/>
      <c r="F41" s="31"/>
      <c r="G41" s="547"/>
      <c r="H41" s="359">
        <f>SUM(H9:H40)</f>
        <v>0</v>
      </c>
      <c r="I41" s="236"/>
    </row>
  </sheetData>
  <sheetProtection algorithmName="SHA-512" hashValue="GFkgKm5lJCsp8v12+5P+mUWFt0ks9CAfzf1t803sd0RAmo7D8I9CkXMWjMaMZ0CgbJCaT8yo5N3LxLqscUaHKg==" saltValue="Dfgno+/IIyRfSrGwBvPdTw=="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1132-ADE4-455C-BBCF-8B79DF090D63}">
  <sheetPr>
    <tabColor rgb="FFFFFF00"/>
  </sheetPr>
  <dimension ref="B1:M48"/>
  <sheetViews>
    <sheetView view="pageBreakPreview"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90" t="str">
        <f>Client2</f>
        <v>ACSA</v>
      </c>
    </row>
    <row r="3" spans="2:11">
      <c r="B3" s="71"/>
      <c r="C3" s="71"/>
      <c r="D3" s="72"/>
      <c r="E3" s="72"/>
      <c r="F3" s="72"/>
      <c r="G3" s="545"/>
      <c r="H3" s="72"/>
    </row>
    <row r="4" spans="2:11">
      <c r="B4" s="695"/>
      <c r="C4" s="696"/>
      <c r="D4" s="696"/>
      <c r="E4" s="696"/>
      <c r="F4" s="696"/>
      <c r="G4" s="696"/>
      <c r="H4" s="841" t="s">
        <v>3469</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39"/>
    </row>
    <row r="10" spans="2:11" ht="25.5">
      <c r="B10" s="295" t="s">
        <v>3470</v>
      </c>
      <c r="C10" s="7" t="s">
        <v>3471</v>
      </c>
      <c r="D10" s="14"/>
      <c r="E10" s="14"/>
      <c r="F10" s="22"/>
      <c r="G10" s="348"/>
      <c r="H10" s="529" t="str">
        <f t="shared" ref="H10:H11" si="0">IF(D10="","",F10*G10)</f>
        <v/>
      </c>
      <c r="I10" s="239"/>
    </row>
    <row r="11" spans="2:11">
      <c r="B11" s="548"/>
      <c r="C11" s="52"/>
      <c r="D11" s="15"/>
      <c r="E11" s="15"/>
      <c r="F11" s="15"/>
      <c r="G11" s="549"/>
      <c r="H11" s="529" t="str">
        <f t="shared" si="0"/>
        <v/>
      </c>
      <c r="I11" s="239"/>
    </row>
    <row r="12" spans="2:11" ht="55.5" customHeight="1">
      <c r="B12" s="548" t="s">
        <v>3472</v>
      </c>
      <c r="C12" s="52" t="s">
        <v>3473</v>
      </c>
      <c r="D12" s="15"/>
      <c r="E12" s="15"/>
      <c r="F12" s="15"/>
      <c r="G12" s="549"/>
      <c r="H12" s="529"/>
      <c r="I12" s="239"/>
    </row>
    <row r="13" spans="2:11">
      <c r="B13" s="548" t="s">
        <v>3474</v>
      </c>
      <c r="C13" s="52" t="s">
        <v>3475</v>
      </c>
      <c r="D13" s="15" t="s">
        <v>85</v>
      </c>
      <c r="E13" s="15"/>
      <c r="F13" s="15">
        <v>10</v>
      </c>
      <c r="G13" s="625"/>
      <c r="H13" s="529">
        <f>G13*F13</f>
        <v>0</v>
      </c>
      <c r="I13" s="239"/>
    </row>
    <row r="14" spans="2:11">
      <c r="B14" s="548" t="s">
        <v>3476</v>
      </c>
      <c r="C14" s="52" t="s">
        <v>3477</v>
      </c>
      <c r="D14" s="15" t="s">
        <v>85</v>
      </c>
      <c r="E14" s="15"/>
      <c r="F14" s="15">
        <v>6</v>
      </c>
      <c r="G14" s="625"/>
      <c r="H14" s="529">
        <f t="shared" ref="H14:H21" si="1">G14*F14</f>
        <v>0</v>
      </c>
      <c r="I14" s="239"/>
    </row>
    <row r="15" spans="2:11">
      <c r="B15" s="548" t="s">
        <v>3478</v>
      </c>
      <c r="C15" s="52" t="s">
        <v>3479</v>
      </c>
      <c r="D15" s="15" t="s">
        <v>85</v>
      </c>
      <c r="E15" s="15"/>
      <c r="F15" s="15">
        <v>13</v>
      </c>
      <c r="G15" s="625"/>
      <c r="H15" s="529">
        <f t="shared" si="1"/>
        <v>0</v>
      </c>
      <c r="I15" s="239"/>
    </row>
    <row r="16" spans="2:11">
      <c r="B16" s="548" t="s">
        <v>3480</v>
      </c>
      <c r="C16" s="52" t="s">
        <v>3481</v>
      </c>
      <c r="D16" s="15" t="s">
        <v>85</v>
      </c>
      <c r="E16" s="15"/>
      <c r="F16" s="15">
        <v>4</v>
      </c>
      <c r="G16" s="625"/>
      <c r="H16" s="529">
        <f t="shared" si="1"/>
        <v>0</v>
      </c>
      <c r="I16" s="239"/>
    </row>
    <row r="17" spans="2:9">
      <c r="B17" s="548" t="s">
        <v>3482</v>
      </c>
      <c r="C17" s="52" t="s">
        <v>3483</v>
      </c>
      <c r="D17" s="15" t="s">
        <v>85</v>
      </c>
      <c r="E17" s="15"/>
      <c r="F17" s="15">
        <v>2</v>
      </c>
      <c r="G17" s="625"/>
      <c r="H17" s="529">
        <f t="shared" si="1"/>
        <v>0</v>
      </c>
      <c r="I17" s="239"/>
    </row>
    <row r="18" spans="2:9">
      <c r="B18" s="548" t="s">
        <v>3484</v>
      </c>
      <c r="C18" s="52" t="s">
        <v>3485</v>
      </c>
      <c r="D18" s="15" t="s">
        <v>85</v>
      </c>
      <c r="E18" s="15"/>
      <c r="F18" s="15">
        <v>2</v>
      </c>
      <c r="G18" s="625"/>
      <c r="H18" s="529">
        <f t="shared" si="1"/>
        <v>0</v>
      </c>
      <c r="I18" s="239"/>
    </row>
    <row r="19" spans="2:9">
      <c r="B19" s="548" t="s">
        <v>3486</v>
      </c>
      <c r="C19" s="52" t="s">
        <v>3487</v>
      </c>
      <c r="D19" s="15" t="s">
        <v>85</v>
      </c>
      <c r="E19" s="15"/>
      <c r="F19" s="15">
        <v>2</v>
      </c>
      <c r="G19" s="625"/>
      <c r="H19" s="529">
        <f t="shared" si="1"/>
        <v>0</v>
      </c>
      <c r="I19" s="239"/>
    </row>
    <row r="20" spans="2:9">
      <c r="B20" s="548" t="s">
        <v>3488</v>
      </c>
      <c r="C20" s="52" t="s">
        <v>3489</v>
      </c>
      <c r="D20" s="15" t="s">
        <v>85</v>
      </c>
      <c r="E20" s="15"/>
      <c r="F20" s="15">
        <v>2</v>
      </c>
      <c r="G20" s="625"/>
      <c r="H20" s="529">
        <f t="shared" si="1"/>
        <v>0</v>
      </c>
      <c r="I20" s="239"/>
    </row>
    <row r="21" spans="2:9" ht="38.25">
      <c r="B21" s="548" t="s">
        <v>3490</v>
      </c>
      <c r="C21" s="52" t="s">
        <v>3491</v>
      </c>
      <c r="D21" s="15" t="s">
        <v>85</v>
      </c>
      <c r="E21" s="15"/>
      <c r="F21" s="22">
        <v>13</v>
      </c>
      <c r="G21" s="624"/>
      <c r="H21" s="529">
        <f t="shared" si="1"/>
        <v>0</v>
      </c>
      <c r="I21" s="239"/>
    </row>
    <row r="22" spans="2:9">
      <c r="B22" s="548"/>
      <c r="C22" s="52"/>
      <c r="D22" s="15"/>
      <c r="E22" s="15"/>
      <c r="F22" s="15"/>
      <c r="G22" s="549"/>
      <c r="H22" s="529"/>
      <c r="I22" s="239"/>
    </row>
    <row r="23" spans="2:9">
      <c r="B23" s="548"/>
      <c r="C23" s="52"/>
      <c r="D23" s="15"/>
      <c r="E23" s="15"/>
      <c r="F23" s="15"/>
      <c r="G23" s="549"/>
      <c r="H23" s="529"/>
      <c r="I23" s="239"/>
    </row>
    <row r="24" spans="2:9">
      <c r="B24" s="548"/>
      <c r="C24" s="52"/>
      <c r="D24" s="15"/>
      <c r="E24" s="15"/>
      <c r="F24" s="15"/>
      <c r="G24" s="549"/>
      <c r="H24" s="529"/>
      <c r="I24" s="239"/>
    </row>
    <row r="25" spans="2:9">
      <c r="B25" s="548"/>
      <c r="C25" s="52"/>
      <c r="D25" s="15"/>
      <c r="E25" s="15"/>
      <c r="F25" s="15"/>
      <c r="G25" s="549"/>
      <c r="H25" s="529"/>
      <c r="I25" s="239"/>
    </row>
    <row r="26" spans="2:9">
      <c r="B26" s="548"/>
      <c r="C26" s="52"/>
      <c r="D26" s="15"/>
      <c r="E26" s="15"/>
      <c r="F26" s="15"/>
      <c r="G26" s="549"/>
      <c r="H26" s="529"/>
      <c r="I26" s="239"/>
    </row>
    <row r="27" spans="2:9">
      <c r="B27" s="548"/>
      <c r="C27" s="52"/>
      <c r="D27" s="15"/>
      <c r="E27" s="15"/>
      <c r="F27" s="15"/>
      <c r="G27" s="549"/>
      <c r="H27" s="529"/>
      <c r="I27" s="239"/>
    </row>
    <row r="28" spans="2:9">
      <c r="B28" s="548"/>
      <c r="C28" s="52"/>
      <c r="D28" s="15"/>
      <c r="E28" s="15"/>
      <c r="F28" s="15"/>
      <c r="G28" s="549"/>
      <c r="H28" s="529"/>
      <c r="I28" s="239"/>
    </row>
    <row r="29" spans="2:9">
      <c r="B29" s="548"/>
      <c r="C29" s="52"/>
      <c r="D29" s="15"/>
      <c r="E29" s="15"/>
      <c r="F29" s="15"/>
      <c r="G29" s="549"/>
      <c r="H29" s="529"/>
      <c r="I29" s="239"/>
    </row>
    <row r="30" spans="2:9">
      <c r="B30" s="548"/>
      <c r="C30" s="52"/>
      <c r="D30" s="15"/>
      <c r="E30" s="15"/>
      <c r="F30" s="15"/>
      <c r="G30" s="549"/>
      <c r="H30" s="529"/>
      <c r="I30" s="239"/>
    </row>
    <row r="31" spans="2:9">
      <c r="B31" s="548"/>
      <c r="C31" s="52"/>
      <c r="D31" s="15"/>
      <c r="E31" s="15"/>
      <c r="F31" s="15"/>
      <c r="G31" s="549"/>
      <c r="H31" s="529"/>
      <c r="I31" s="239"/>
    </row>
    <row r="32" spans="2:9">
      <c r="B32" s="548"/>
      <c r="C32" s="52"/>
      <c r="D32" s="15"/>
      <c r="E32" s="15"/>
      <c r="F32" s="15"/>
      <c r="G32" s="549"/>
      <c r="H32" s="529"/>
      <c r="I32" s="239"/>
    </row>
    <row r="33" spans="2:9">
      <c r="B33" s="548"/>
      <c r="C33" s="52"/>
      <c r="D33" s="15"/>
      <c r="E33" s="15"/>
      <c r="F33" s="15"/>
      <c r="G33" s="549"/>
      <c r="H33" s="529"/>
      <c r="I33" s="239"/>
    </row>
    <row r="34" spans="2:9">
      <c r="B34" s="548"/>
      <c r="C34" s="52"/>
      <c r="D34" s="15"/>
      <c r="E34" s="15"/>
      <c r="F34" s="15"/>
      <c r="G34" s="549"/>
      <c r="H34" s="529"/>
      <c r="I34" s="239"/>
    </row>
    <row r="35" spans="2:9">
      <c r="B35" s="548"/>
      <c r="C35" s="52"/>
      <c r="D35" s="15"/>
      <c r="E35" s="15"/>
      <c r="F35" s="15"/>
      <c r="G35" s="549"/>
      <c r="H35" s="529"/>
      <c r="I35" s="239"/>
    </row>
    <row r="36" spans="2:9">
      <c r="B36" s="548"/>
      <c r="C36" s="52"/>
      <c r="D36" s="15"/>
      <c r="E36" s="15"/>
      <c r="F36" s="15"/>
      <c r="G36" s="549"/>
      <c r="H36" s="529"/>
      <c r="I36" s="239"/>
    </row>
    <row r="37" spans="2:9">
      <c r="B37" s="548"/>
      <c r="C37" s="52"/>
      <c r="D37" s="15"/>
      <c r="E37" s="15"/>
      <c r="F37" s="15"/>
      <c r="G37" s="549"/>
      <c r="H37" s="529"/>
      <c r="I37" s="239"/>
    </row>
    <row r="38" spans="2:9">
      <c r="B38" s="548"/>
      <c r="C38" s="52"/>
      <c r="D38" s="15"/>
      <c r="E38" s="15"/>
      <c r="F38" s="15"/>
      <c r="G38" s="549"/>
      <c r="H38" s="529"/>
      <c r="I38" s="239"/>
    </row>
    <row r="39" spans="2:9">
      <c r="B39" s="548"/>
      <c r="C39" s="52"/>
      <c r="D39" s="15"/>
      <c r="E39" s="15"/>
      <c r="F39" s="15"/>
      <c r="G39" s="549"/>
      <c r="H39" s="529"/>
      <c r="I39" s="239"/>
    </row>
    <row r="40" spans="2:9">
      <c r="B40" s="548"/>
      <c r="C40" s="52"/>
      <c r="D40" s="15"/>
      <c r="E40" s="15"/>
      <c r="F40" s="15"/>
      <c r="G40" s="549"/>
      <c r="H40" s="529"/>
      <c r="I40" s="239"/>
    </row>
    <row r="41" spans="2:9">
      <c r="B41" s="548"/>
      <c r="C41" s="52"/>
      <c r="D41" s="15"/>
      <c r="E41" s="15"/>
      <c r="F41" s="15"/>
      <c r="G41" s="549"/>
      <c r="H41" s="529"/>
      <c r="I41" s="239"/>
    </row>
    <row r="42" spans="2:9">
      <c r="B42" s="548"/>
      <c r="C42" s="52"/>
      <c r="D42" s="15"/>
      <c r="E42" s="15"/>
      <c r="F42" s="15"/>
      <c r="G42" s="549"/>
      <c r="H42" s="529"/>
      <c r="I42" s="239"/>
    </row>
    <row r="43" spans="2:9">
      <c r="B43" s="548"/>
      <c r="C43" s="52"/>
      <c r="D43" s="15"/>
      <c r="E43" s="15"/>
      <c r="F43" s="15"/>
      <c r="G43" s="549"/>
      <c r="H43" s="529"/>
      <c r="I43" s="239"/>
    </row>
    <row r="44" spans="2:9">
      <c r="B44" s="548"/>
      <c r="C44" s="52"/>
      <c r="D44" s="15"/>
      <c r="E44" s="15"/>
      <c r="F44" s="15"/>
      <c r="G44" s="549"/>
      <c r="H44" s="529"/>
      <c r="I44" s="239"/>
    </row>
    <row r="45" spans="2:9">
      <c r="B45" s="548"/>
      <c r="C45" s="52"/>
      <c r="D45" s="15"/>
      <c r="E45" s="15"/>
      <c r="F45" s="15"/>
      <c r="G45" s="549"/>
      <c r="H45" s="529"/>
      <c r="I45" s="239"/>
    </row>
    <row r="46" spans="2:9">
      <c r="B46" s="59"/>
      <c r="C46" s="52"/>
      <c r="D46" s="15"/>
      <c r="E46" s="15"/>
      <c r="F46" s="15"/>
      <c r="G46" s="549"/>
      <c r="H46" s="529"/>
      <c r="I46" s="239"/>
    </row>
    <row r="47" spans="2:9">
      <c r="B47" s="36"/>
      <c r="C47" s="1"/>
      <c r="D47" s="22"/>
      <c r="E47" s="22"/>
      <c r="F47" s="240"/>
      <c r="G47" s="348"/>
      <c r="H47" s="529"/>
    </row>
    <row r="48" spans="2:9" s="28" customFormat="1" ht="19.5" customHeight="1">
      <c r="B48" s="82" t="str">
        <f>$B$10</f>
        <v>SECTION FOUR</v>
      </c>
      <c r="C48" s="29" t="s">
        <v>125</v>
      </c>
      <c r="D48" s="30"/>
      <c r="E48" s="30"/>
      <c r="F48" s="31"/>
      <c r="G48" s="547"/>
      <c r="H48" s="359">
        <f>SUM(H9:H47)</f>
        <v>0</v>
      </c>
      <c r="I48" s="236"/>
    </row>
  </sheetData>
  <sheetProtection algorithmName="SHA-512" hashValue="H76/gkG/GVEEhw6g/ygJ6ez4JVFX2+mvyUq8rHR4z0T0KMQcvzP6/0fqgtQhFM9Fzjw58pjAgvF83Ve7CrtTnQ==" saltValue="5bElbeyzS34axfKzfEuIaA=="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F1B0-CA33-4C9E-AD00-B00CFBC0EFF6}">
  <sheetPr>
    <tabColor rgb="FFFFFF00"/>
  </sheetPr>
  <dimension ref="B1:M48"/>
  <sheetViews>
    <sheetView view="pageBreakPreview"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41"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3492</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3493</v>
      </c>
      <c r="C10" s="7" t="s">
        <v>3494</v>
      </c>
      <c r="D10" s="14"/>
      <c r="E10" s="14"/>
      <c r="F10" s="22"/>
      <c r="G10" s="348"/>
      <c r="H10" s="529" t="str">
        <f t="shared" ref="H10:H11" si="0">IF(D10="","",F10*G10)</f>
        <v/>
      </c>
      <c r="I10" s="277"/>
    </row>
    <row r="11" spans="2:11">
      <c r="B11" s="294"/>
      <c r="C11" s="52"/>
      <c r="D11" s="22"/>
      <c r="E11" s="22"/>
      <c r="F11" s="22"/>
      <c r="G11" s="348"/>
      <c r="H11" s="529" t="str">
        <f t="shared" si="0"/>
        <v/>
      </c>
      <c r="I11" s="277"/>
    </row>
    <row r="12" spans="2:11" ht="55.5" customHeight="1">
      <c r="B12" s="294" t="s">
        <v>3495</v>
      </c>
      <c r="C12" s="52" t="s">
        <v>3496</v>
      </c>
      <c r="D12" s="22" t="s">
        <v>85</v>
      </c>
      <c r="E12" s="22"/>
      <c r="F12" s="22">
        <v>1</v>
      </c>
      <c r="G12" s="624"/>
      <c r="H12" s="529">
        <f>G12*F12</f>
        <v>0</v>
      </c>
      <c r="I12" s="277"/>
    </row>
    <row r="13" spans="2:11" ht="25.5">
      <c r="B13" s="294" t="s">
        <v>3497</v>
      </c>
      <c r="C13" s="52" t="s">
        <v>3498</v>
      </c>
      <c r="D13" s="22" t="s">
        <v>85</v>
      </c>
      <c r="E13" s="22"/>
      <c r="F13" s="22">
        <v>4</v>
      </c>
      <c r="G13" s="624"/>
      <c r="H13" s="529">
        <f t="shared" ref="H13" si="1">G13*F13</f>
        <v>0</v>
      </c>
      <c r="I13" s="277"/>
    </row>
    <row r="14" spans="2:11" ht="38.25">
      <c r="B14" s="294" t="s">
        <v>3499</v>
      </c>
      <c r="C14" s="52" t="s">
        <v>3500</v>
      </c>
      <c r="D14" s="22" t="s">
        <v>85</v>
      </c>
      <c r="E14" s="22"/>
      <c r="F14" s="22">
        <v>3</v>
      </c>
      <c r="G14" s="624"/>
      <c r="H14" s="529" t="s">
        <v>266</v>
      </c>
      <c r="I14" s="277"/>
    </row>
    <row r="15" spans="2:11" ht="51">
      <c r="B15" s="294" t="s">
        <v>3501</v>
      </c>
      <c r="C15" s="52" t="s">
        <v>3502</v>
      </c>
      <c r="D15" s="22" t="s">
        <v>85</v>
      </c>
      <c r="E15" s="22"/>
      <c r="F15" s="22">
        <v>3</v>
      </c>
      <c r="G15" s="624"/>
      <c r="H15" s="529" t="s">
        <v>266</v>
      </c>
      <c r="I15" s="277"/>
    </row>
    <row r="16" spans="2:11">
      <c r="B16" s="294"/>
      <c r="C16" s="52"/>
      <c r="D16" s="22"/>
      <c r="E16" s="22"/>
      <c r="F16" s="22"/>
      <c r="G16" s="624"/>
      <c r="H16" s="529"/>
      <c r="I16" s="277"/>
    </row>
    <row r="17" spans="2:9">
      <c r="B17" s="294"/>
      <c r="C17" s="52"/>
      <c r="D17" s="22"/>
      <c r="E17" s="22"/>
      <c r="F17" s="22"/>
      <c r="G17" s="348"/>
      <c r="H17" s="529"/>
      <c r="I17" s="277"/>
    </row>
    <row r="18" spans="2:9">
      <c r="B18" s="294"/>
      <c r="C18" s="52"/>
      <c r="D18" s="22"/>
      <c r="E18" s="22"/>
      <c r="F18" s="22"/>
      <c r="G18" s="348"/>
      <c r="H18" s="529"/>
      <c r="I18" s="277"/>
    </row>
    <row r="19" spans="2:9">
      <c r="B19" s="294"/>
      <c r="C19" s="52"/>
      <c r="D19" s="22"/>
      <c r="E19" s="22"/>
      <c r="F19" s="22"/>
      <c r="G19" s="348"/>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9">
      <c r="B33" s="294"/>
      <c r="C33" s="52"/>
      <c r="D33" s="22"/>
      <c r="E33" s="22"/>
      <c r="F33" s="22"/>
      <c r="G33" s="348"/>
      <c r="H33" s="529"/>
      <c r="I33" s="277"/>
    </row>
    <row r="34" spans="2:9">
      <c r="B34" s="294"/>
      <c r="C34" s="52"/>
      <c r="D34" s="22"/>
      <c r="E34" s="22"/>
      <c r="F34" s="22"/>
      <c r="G34" s="348"/>
      <c r="H34" s="529"/>
      <c r="I34" s="277"/>
    </row>
    <row r="35" spans="2:9">
      <c r="B35" s="294"/>
      <c r="C35" s="52"/>
      <c r="D35" s="22"/>
      <c r="E35" s="22"/>
      <c r="F35" s="22"/>
      <c r="G35" s="348"/>
      <c r="H35" s="529"/>
      <c r="I35" s="277"/>
    </row>
    <row r="36" spans="2:9">
      <c r="B36" s="294"/>
      <c r="C36" s="52"/>
      <c r="D36" s="22"/>
      <c r="E36" s="22"/>
      <c r="F36" s="22"/>
      <c r="G36" s="348"/>
      <c r="H36" s="529"/>
      <c r="I36" s="277"/>
    </row>
    <row r="37" spans="2:9">
      <c r="B37" s="294"/>
      <c r="C37" s="52"/>
      <c r="D37" s="22"/>
      <c r="E37" s="22"/>
      <c r="F37" s="22"/>
      <c r="G37" s="348"/>
      <c r="H37" s="529"/>
      <c r="I37" s="277"/>
    </row>
    <row r="38" spans="2:9">
      <c r="B38" s="294"/>
      <c r="C38" s="52"/>
      <c r="D38" s="22"/>
      <c r="E38" s="22"/>
      <c r="F38" s="22"/>
      <c r="G38" s="348"/>
      <c r="H38" s="529"/>
      <c r="I38" s="277"/>
    </row>
    <row r="39" spans="2:9">
      <c r="B39" s="294"/>
      <c r="C39" s="52"/>
      <c r="D39" s="22"/>
      <c r="E39" s="22"/>
      <c r="F39" s="22"/>
      <c r="G39" s="348"/>
      <c r="H39" s="529"/>
      <c r="I39" s="277"/>
    </row>
    <row r="40" spans="2:9">
      <c r="B40" s="294"/>
      <c r="C40" s="52"/>
      <c r="D40" s="22"/>
      <c r="E40" s="22"/>
      <c r="F40" s="22"/>
      <c r="G40" s="348"/>
      <c r="H40" s="529"/>
      <c r="I40" s="277"/>
    </row>
    <row r="41" spans="2:9">
      <c r="B41" s="294"/>
      <c r="C41" s="52"/>
      <c r="D41" s="22"/>
      <c r="E41" s="22"/>
      <c r="F41" s="22"/>
      <c r="G41" s="348"/>
      <c r="H41" s="529"/>
      <c r="I41" s="277"/>
    </row>
    <row r="42" spans="2:9">
      <c r="B42" s="294"/>
      <c r="C42" s="52"/>
      <c r="D42" s="22"/>
      <c r="E42" s="22"/>
      <c r="F42" s="22"/>
      <c r="G42" s="348"/>
      <c r="H42" s="529"/>
      <c r="I42" s="277"/>
    </row>
    <row r="43" spans="2:9">
      <c r="B43" s="294"/>
      <c r="C43" s="52"/>
      <c r="D43" s="22"/>
      <c r="E43" s="22"/>
      <c r="F43" s="22"/>
      <c r="G43" s="348"/>
      <c r="H43" s="529"/>
      <c r="I43" s="277"/>
    </row>
    <row r="44" spans="2:9">
      <c r="B44" s="294"/>
      <c r="C44" s="52"/>
      <c r="D44" s="22"/>
      <c r="E44" s="22"/>
      <c r="F44" s="22"/>
      <c r="G44" s="348"/>
      <c r="H44" s="529"/>
      <c r="I44" s="277"/>
    </row>
    <row r="45" spans="2:9">
      <c r="B45" s="294"/>
      <c r="C45" s="52"/>
      <c r="D45" s="22"/>
      <c r="E45" s="22"/>
      <c r="F45" s="22"/>
      <c r="G45" s="348"/>
      <c r="H45" s="529"/>
      <c r="I45" s="277"/>
    </row>
    <row r="46" spans="2:9">
      <c r="B46" s="48"/>
      <c r="C46" s="52"/>
      <c r="D46" s="22"/>
      <c r="E46" s="22"/>
      <c r="F46" s="22"/>
      <c r="G46" s="348"/>
      <c r="H46" s="529"/>
      <c r="I46" s="277"/>
    </row>
    <row r="47" spans="2:9">
      <c r="B47" s="36"/>
      <c r="C47" s="1"/>
      <c r="D47" s="22"/>
      <c r="E47" s="22"/>
      <c r="F47" s="240"/>
      <c r="G47" s="348"/>
      <c r="H47" s="529"/>
    </row>
    <row r="48" spans="2:9" s="28" customFormat="1" ht="19.5" customHeight="1">
      <c r="B48" s="82" t="str">
        <f>$B$10</f>
        <v>SECTION FIVE</v>
      </c>
      <c r="C48" s="29" t="s">
        <v>125</v>
      </c>
      <c r="D48" s="30"/>
      <c r="E48" s="30"/>
      <c r="F48" s="31"/>
      <c r="G48" s="547"/>
      <c r="H48" s="359">
        <f>SUM(H9:H47)</f>
        <v>0</v>
      </c>
      <c r="I48" s="236"/>
    </row>
  </sheetData>
  <sheetProtection algorithmName="SHA-512" hashValue="sEMQqm0b5Xl+fp6PR6JhuFJ4zZr1HZUjdM+ZxN/YBIRBZVGJwDQzwtn9dRZGMJXl5VwbUHi05VyN0ogSB1Ws6g==" saltValue="2r6qrvgdmrR+WaoP790D+A=="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662BB-9622-48D0-85FD-4320DD423D38}">
  <sheetPr>
    <tabColor rgb="FFFFFF00"/>
  </sheetPr>
  <dimension ref="B1:M48"/>
  <sheetViews>
    <sheetView view="pageBreakPreview"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3503</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3504</v>
      </c>
      <c r="C10" s="7" t="s">
        <v>3505</v>
      </c>
      <c r="D10" s="14"/>
      <c r="E10" s="14"/>
      <c r="F10" s="22"/>
      <c r="G10" s="348"/>
      <c r="H10" s="529" t="str">
        <f t="shared" ref="H10:H11" si="0">IF(D10="","",F10*G10)</f>
        <v/>
      </c>
      <c r="I10" s="277"/>
    </row>
    <row r="11" spans="2:11">
      <c r="B11" s="294"/>
      <c r="C11" s="52"/>
      <c r="D11" s="22"/>
      <c r="E11" s="22"/>
      <c r="F11" s="22"/>
      <c r="G11" s="348"/>
      <c r="H11" s="529" t="str">
        <f t="shared" si="0"/>
        <v/>
      </c>
      <c r="I11" s="277"/>
    </row>
    <row r="12" spans="2:11" ht="55.5" customHeight="1">
      <c r="B12" s="294" t="s">
        <v>3506</v>
      </c>
      <c r="C12" s="52" t="s">
        <v>3507</v>
      </c>
      <c r="D12" s="22" t="s">
        <v>3508</v>
      </c>
      <c r="E12" s="22"/>
      <c r="F12" s="22">
        <v>1</v>
      </c>
      <c r="G12" s="624"/>
      <c r="H12" s="529">
        <f>G12*F12</f>
        <v>0</v>
      </c>
      <c r="I12" s="277"/>
    </row>
    <row r="13" spans="2:11">
      <c r="B13" s="294" t="s">
        <v>3509</v>
      </c>
      <c r="C13" s="52" t="s">
        <v>3510</v>
      </c>
      <c r="D13" s="22" t="s">
        <v>1236</v>
      </c>
      <c r="E13" s="22"/>
      <c r="F13" s="22">
        <v>1</v>
      </c>
      <c r="G13" s="624"/>
      <c r="H13" s="529" t="s">
        <v>266</v>
      </c>
      <c r="I13" s="277"/>
    </row>
    <row r="14" spans="2:11" ht="25.5">
      <c r="B14" s="294" t="s">
        <v>3511</v>
      </c>
      <c r="C14" s="52" t="s">
        <v>3512</v>
      </c>
      <c r="D14" s="22" t="s">
        <v>3508</v>
      </c>
      <c r="E14" s="22"/>
      <c r="F14" s="22">
        <v>1</v>
      </c>
      <c r="G14" s="624"/>
      <c r="H14" s="529">
        <f t="shared" ref="H14:H15" si="1">G14*F14</f>
        <v>0</v>
      </c>
      <c r="I14" s="277"/>
    </row>
    <row r="15" spans="2:11" ht="25.5">
      <c r="B15" s="294" t="s">
        <v>3513</v>
      </c>
      <c r="C15" s="52" t="s">
        <v>3514</v>
      </c>
      <c r="D15" s="22" t="s">
        <v>3508</v>
      </c>
      <c r="E15" s="22"/>
      <c r="F15" s="22">
        <v>1</v>
      </c>
      <c r="G15" s="624"/>
      <c r="H15" s="529">
        <f t="shared" si="1"/>
        <v>0</v>
      </c>
      <c r="I15" s="277"/>
    </row>
    <row r="16" spans="2:11">
      <c r="B16" s="294"/>
      <c r="C16" s="52"/>
      <c r="D16" s="22"/>
      <c r="E16" s="22"/>
      <c r="F16" s="22"/>
      <c r="G16" s="348"/>
      <c r="H16" s="529"/>
      <c r="I16" s="277"/>
    </row>
    <row r="17" spans="2:9">
      <c r="B17" s="294"/>
      <c r="C17" s="52"/>
      <c r="D17" s="22"/>
      <c r="E17" s="22"/>
      <c r="F17" s="22"/>
      <c r="G17" s="348"/>
      <c r="H17" s="529"/>
      <c r="I17" s="277"/>
    </row>
    <row r="18" spans="2:9">
      <c r="B18" s="294"/>
      <c r="C18" s="52"/>
      <c r="D18" s="22"/>
      <c r="E18" s="22"/>
      <c r="F18" s="22"/>
      <c r="G18" s="348"/>
      <c r="H18" s="529"/>
      <c r="I18" s="277"/>
    </row>
    <row r="19" spans="2:9">
      <c r="B19" s="294"/>
      <c r="C19" s="52"/>
      <c r="D19" s="22"/>
      <c r="E19" s="22"/>
      <c r="F19" s="22"/>
      <c r="G19" s="348"/>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9">
      <c r="B33" s="294"/>
      <c r="C33" s="52"/>
      <c r="D33" s="22"/>
      <c r="E33" s="22"/>
      <c r="F33" s="22"/>
      <c r="G33" s="348"/>
      <c r="H33" s="529"/>
      <c r="I33" s="277"/>
    </row>
    <row r="34" spans="2:9">
      <c r="B34" s="294"/>
      <c r="C34" s="52"/>
      <c r="D34" s="22"/>
      <c r="E34" s="22"/>
      <c r="F34" s="22"/>
      <c r="G34" s="348"/>
      <c r="H34" s="529"/>
      <c r="I34" s="277"/>
    </row>
    <row r="35" spans="2:9">
      <c r="B35" s="294"/>
      <c r="C35" s="52"/>
      <c r="D35" s="22"/>
      <c r="E35" s="22"/>
      <c r="F35" s="22"/>
      <c r="G35" s="348"/>
      <c r="H35" s="529"/>
      <c r="I35" s="277"/>
    </row>
    <row r="36" spans="2:9">
      <c r="B36" s="294"/>
      <c r="C36" s="52"/>
      <c r="D36" s="22"/>
      <c r="E36" s="22"/>
      <c r="F36" s="22"/>
      <c r="G36" s="348"/>
      <c r="H36" s="529"/>
      <c r="I36" s="277"/>
    </row>
    <row r="37" spans="2:9">
      <c r="B37" s="294"/>
      <c r="C37" s="52"/>
      <c r="D37" s="22"/>
      <c r="E37" s="22"/>
      <c r="F37" s="22"/>
      <c r="G37" s="348"/>
      <c r="H37" s="529"/>
      <c r="I37" s="277"/>
    </row>
    <row r="38" spans="2:9">
      <c r="B38" s="294"/>
      <c r="C38" s="52"/>
      <c r="D38" s="22"/>
      <c r="E38" s="22"/>
      <c r="F38" s="22"/>
      <c r="G38" s="348"/>
      <c r="H38" s="529"/>
      <c r="I38" s="277"/>
    </row>
    <row r="39" spans="2:9">
      <c r="B39" s="294"/>
      <c r="C39" s="52"/>
      <c r="D39" s="22"/>
      <c r="E39" s="22"/>
      <c r="F39" s="22"/>
      <c r="G39" s="348"/>
      <c r="H39" s="529"/>
      <c r="I39" s="277"/>
    </row>
    <row r="40" spans="2:9">
      <c r="B40" s="294"/>
      <c r="C40" s="52"/>
      <c r="D40" s="22"/>
      <c r="E40" s="22"/>
      <c r="F40" s="22"/>
      <c r="G40" s="348"/>
      <c r="H40" s="529"/>
      <c r="I40" s="277"/>
    </row>
    <row r="41" spans="2:9">
      <c r="B41" s="294"/>
      <c r="C41" s="52"/>
      <c r="D41" s="22"/>
      <c r="E41" s="22"/>
      <c r="F41" s="22"/>
      <c r="G41" s="348"/>
      <c r="H41" s="529"/>
      <c r="I41" s="277"/>
    </row>
    <row r="42" spans="2:9">
      <c r="B42" s="294"/>
      <c r="C42" s="52"/>
      <c r="D42" s="22"/>
      <c r="E42" s="22"/>
      <c r="F42" s="22"/>
      <c r="G42" s="348"/>
      <c r="H42" s="529"/>
      <c r="I42" s="277"/>
    </row>
    <row r="43" spans="2:9">
      <c r="B43" s="294"/>
      <c r="C43" s="52"/>
      <c r="D43" s="22"/>
      <c r="E43" s="22"/>
      <c r="F43" s="22"/>
      <c r="G43" s="348"/>
      <c r="H43" s="529"/>
      <c r="I43" s="277"/>
    </row>
    <row r="44" spans="2:9">
      <c r="B44" s="294"/>
      <c r="C44" s="52"/>
      <c r="D44" s="22"/>
      <c r="E44" s="22"/>
      <c r="F44" s="22"/>
      <c r="G44" s="348"/>
      <c r="H44" s="529"/>
      <c r="I44" s="277"/>
    </row>
    <row r="45" spans="2:9">
      <c r="B45" s="294"/>
      <c r="C45" s="52"/>
      <c r="D45" s="22"/>
      <c r="E45" s="22"/>
      <c r="F45" s="22"/>
      <c r="G45" s="348"/>
      <c r="H45" s="529"/>
      <c r="I45" s="277"/>
    </row>
    <row r="46" spans="2:9">
      <c r="B46" s="48"/>
      <c r="C46" s="52"/>
      <c r="D46" s="22"/>
      <c r="E46" s="22"/>
      <c r="F46" s="22"/>
      <c r="G46" s="348"/>
      <c r="H46" s="529"/>
      <c r="I46" s="277"/>
    </row>
    <row r="47" spans="2:9">
      <c r="B47" s="36"/>
      <c r="C47" s="1"/>
      <c r="D47" s="22"/>
      <c r="E47" s="22"/>
      <c r="F47" s="240"/>
      <c r="G47" s="348"/>
      <c r="H47" s="529"/>
    </row>
    <row r="48" spans="2:9" s="28" customFormat="1" ht="19.5" customHeight="1">
      <c r="B48" s="82" t="str">
        <f>$B$10</f>
        <v>SECTION SIX</v>
      </c>
      <c r="C48" s="29" t="s">
        <v>125</v>
      </c>
      <c r="D48" s="30"/>
      <c r="E48" s="30"/>
      <c r="F48" s="31"/>
      <c r="G48" s="547"/>
      <c r="H48" s="359">
        <f>SUM(H9:H47)</f>
        <v>0</v>
      </c>
      <c r="I48" s="236"/>
    </row>
  </sheetData>
  <sheetProtection algorithmName="SHA-512" hashValue="urozK24cGgduciwNPRuiJmKgpCCNutf/t/3vmgayFZF72X+JZ0rXU1oNFteqiBnzXL8Ovjo/haYzXdN9cipMYA==" saltValue="q3ikNPQ6dg68h02q+LzZpg=="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A613-4E8E-4C93-ADFC-6CD318F69BFF}">
  <sheetPr>
    <tabColor rgb="FFFFFF00"/>
  </sheetPr>
  <dimension ref="B1:M48"/>
  <sheetViews>
    <sheetView view="pageBreakPreview" topLeftCell="A3"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3515</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3515</v>
      </c>
      <c r="C10" s="7" t="s">
        <v>3516</v>
      </c>
      <c r="D10" s="14"/>
      <c r="E10" s="14"/>
      <c r="F10" s="22"/>
      <c r="G10" s="348"/>
      <c r="H10" s="529" t="str">
        <f t="shared" ref="H10:H11" si="0">IF(D10="","",F10*G10)</f>
        <v/>
      </c>
      <c r="I10" s="277"/>
    </row>
    <row r="11" spans="2:11">
      <c r="B11" s="294"/>
      <c r="C11" s="52"/>
      <c r="D11" s="22"/>
      <c r="E11" s="22"/>
      <c r="F11" s="22"/>
      <c r="G11" s="348"/>
      <c r="H11" s="529" t="str">
        <f t="shared" si="0"/>
        <v/>
      </c>
      <c r="I11" s="277"/>
    </row>
    <row r="12" spans="2:11" ht="55.5" customHeight="1">
      <c r="B12" s="294" t="s">
        <v>3517</v>
      </c>
      <c r="C12" s="52" t="s">
        <v>3518</v>
      </c>
      <c r="D12" s="22" t="s">
        <v>347</v>
      </c>
      <c r="E12" s="22"/>
      <c r="F12" s="22">
        <v>32000</v>
      </c>
      <c r="G12" s="624"/>
      <c r="H12" s="529">
        <f>F12*G12</f>
        <v>0</v>
      </c>
      <c r="I12" s="277" t="s">
        <v>3519</v>
      </c>
    </row>
    <row r="13" spans="2:11" ht="38.25">
      <c r="B13" s="294" t="s">
        <v>3520</v>
      </c>
      <c r="C13" s="52" t="s">
        <v>3521</v>
      </c>
      <c r="D13" s="22" t="s">
        <v>347</v>
      </c>
      <c r="E13" s="22"/>
      <c r="F13" s="22">
        <v>1</v>
      </c>
      <c r="G13" s="624"/>
      <c r="H13" s="529">
        <f t="shared" ref="H13:H32" si="1">F13*G13</f>
        <v>0</v>
      </c>
      <c r="I13" s="277"/>
    </row>
    <row r="14" spans="2:11" ht="25.5">
      <c r="B14" s="294" t="s">
        <v>3522</v>
      </c>
      <c r="C14" s="52" t="s">
        <v>3523</v>
      </c>
      <c r="D14" s="22" t="s">
        <v>85</v>
      </c>
      <c r="E14" s="22"/>
      <c r="F14" s="22">
        <v>365</v>
      </c>
      <c r="G14" s="624"/>
      <c r="H14" s="529">
        <f t="shared" si="1"/>
        <v>0</v>
      </c>
      <c r="I14" s="277"/>
    </row>
    <row r="15" spans="2:11" ht="38.25">
      <c r="B15" s="294" t="s">
        <v>3524</v>
      </c>
      <c r="C15" s="52" t="s">
        <v>3525</v>
      </c>
      <c r="D15" s="22" t="s">
        <v>347</v>
      </c>
      <c r="E15" s="22"/>
      <c r="F15" s="22">
        <v>2515</v>
      </c>
      <c r="G15" s="624"/>
      <c r="H15" s="529">
        <f t="shared" si="1"/>
        <v>0</v>
      </c>
      <c r="I15" s="277" t="s">
        <v>3526</v>
      </c>
    </row>
    <row r="16" spans="2:11" ht="25.5">
      <c r="B16" s="294" t="s">
        <v>3527</v>
      </c>
      <c r="C16" s="52" t="s">
        <v>3528</v>
      </c>
      <c r="D16" s="22" t="s">
        <v>85</v>
      </c>
      <c r="E16" s="22"/>
      <c r="F16" s="22">
        <v>365</v>
      </c>
      <c r="G16" s="624"/>
      <c r="H16" s="529">
        <f t="shared" si="1"/>
        <v>0</v>
      </c>
      <c r="I16" s="277"/>
    </row>
    <row r="17" spans="2:9" ht="25.5">
      <c r="B17" s="294" t="s">
        <v>3529</v>
      </c>
      <c r="C17" s="52" t="s">
        <v>3530</v>
      </c>
      <c r="D17" s="22" t="s">
        <v>542</v>
      </c>
      <c r="E17" s="22"/>
      <c r="F17" s="22">
        <v>1</v>
      </c>
      <c r="G17" s="624"/>
      <c r="H17" s="529">
        <f t="shared" si="1"/>
        <v>0</v>
      </c>
      <c r="I17" s="277"/>
    </row>
    <row r="18" spans="2:9">
      <c r="B18" s="294" t="s">
        <v>3531</v>
      </c>
      <c r="C18" s="52" t="s">
        <v>3532</v>
      </c>
      <c r="D18" s="22"/>
      <c r="E18" s="22"/>
      <c r="F18" s="22"/>
      <c r="G18" s="624"/>
      <c r="H18" s="529"/>
      <c r="I18" s="277"/>
    </row>
    <row r="19" spans="2:9">
      <c r="B19" s="294" t="s">
        <v>3533</v>
      </c>
      <c r="C19" s="52" t="s">
        <v>3534</v>
      </c>
      <c r="D19" s="22" t="s">
        <v>347</v>
      </c>
      <c r="E19" s="22"/>
      <c r="F19" s="22">
        <v>1</v>
      </c>
      <c r="G19" s="624"/>
      <c r="H19" s="529" t="s">
        <v>266</v>
      </c>
      <c r="I19" s="277"/>
    </row>
    <row r="20" spans="2:9">
      <c r="B20" s="294" t="s">
        <v>3535</v>
      </c>
      <c r="C20" s="52" t="s">
        <v>3536</v>
      </c>
      <c r="D20" s="22" t="s">
        <v>347</v>
      </c>
      <c r="E20" s="22"/>
      <c r="F20" s="22">
        <v>1</v>
      </c>
      <c r="G20" s="624"/>
      <c r="H20" s="529" t="s">
        <v>266</v>
      </c>
      <c r="I20" s="277"/>
    </row>
    <row r="21" spans="2:9">
      <c r="B21" s="294" t="s">
        <v>3537</v>
      </c>
      <c r="C21" s="52" t="s">
        <v>3538</v>
      </c>
      <c r="D21" s="22" t="s">
        <v>347</v>
      </c>
      <c r="E21" s="22"/>
      <c r="F21" s="22">
        <v>1</v>
      </c>
      <c r="G21" s="624"/>
      <c r="H21" s="529" t="s">
        <v>266</v>
      </c>
      <c r="I21" s="277"/>
    </row>
    <row r="22" spans="2:9" ht="25.5">
      <c r="B22" s="294" t="s">
        <v>3539</v>
      </c>
      <c r="C22" s="52" t="s">
        <v>3540</v>
      </c>
      <c r="D22" s="22" t="s">
        <v>85</v>
      </c>
      <c r="E22" s="22"/>
      <c r="F22" s="22">
        <v>1</v>
      </c>
      <c r="G22" s="624"/>
      <c r="H22" s="529" t="s">
        <v>266</v>
      </c>
      <c r="I22" s="277"/>
    </row>
    <row r="23" spans="2:9">
      <c r="B23" s="294" t="s">
        <v>3541</v>
      </c>
      <c r="C23" s="52" t="s">
        <v>3542</v>
      </c>
      <c r="D23" s="22" t="s">
        <v>347</v>
      </c>
      <c r="E23" s="22"/>
      <c r="F23" s="22">
        <v>300</v>
      </c>
      <c r="G23" s="624"/>
      <c r="H23" s="529">
        <f t="shared" si="1"/>
        <v>0</v>
      </c>
      <c r="I23" s="277"/>
    </row>
    <row r="24" spans="2:9" ht="25.5">
      <c r="B24" s="294" t="s">
        <v>3543</v>
      </c>
      <c r="C24" s="52" t="s">
        <v>3544</v>
      </c>
      <c r="D24" s="22" t="s">
        <v>3545</v>
      </c>
      <c r="E24" s="22"/>
      <c r="F24" s="22">
        <v>400</v>
      </c>
      <c r="G24" s="624"/>
      <c r="H24" s="529">
        <f t="shared" si="1"/>
        <v>0</v>
      </c>
      <c r="I24" s="277"/>
    </row>
    <row r="25" spans="2:9" ht="15">
      <c r="B25" s="294" t="s">
        <v>3546</v>
      </c>
      <c r="C25" s="52" t="s">
        <v>3547</v>
      </c>
      <c r="D25" s="22" t="s">
        <v>3545</v>
      </c>
      <c r="E25" s="22"/>
      <c r="F25" s="22">
        <v>40</v>
      </c>
      <c r="G25" s="624"/>
      <c r="H25" s="529">
        <f t="shared" si="1"/>
        <v>0</v>
      </c>
      <c r="I25" s="277"/>
    </row>
    <row r="26" spans="2:9" ht="15">
      <c r="B26" s="294" t="s">
        <v>3548</v>
      </c>
      <c r="C26" s="52" t="s">
        <v>3549</v>
      </c>
      <c r="D26" s="22" t="s">
        <v>3545</v>
      </c>
      <c r="E26" s="22"/>
      <c r="F26" s="22">
        <v>40</v>
      </c>
      <c r="G26" s="624"/>
      <c r="H26" s="529">
        <f t="shared" si="1"/>
        <v>0</v>
      </c>
      <c r="I26" s="277"/>
    </row>
    <row r="27" spans="2:9">
      <c r="B27" s="294" t="s">
        <v>3550</v>
      </c>
      <c r="C27" s="52" t="s">
        <v>3551</v>
      </c>
      <c r="D27" s="22"/>
      <c r="E27" s="22"/>
      <c r="F27" s="22"/>
      <c r="G27" s="624"/>
      <c r="H27" s="529"/>
      <c r="I27" s="277"/>
    </row>
    <row r="28" spans="2:9" ht="15">
      <c r="B28" s="294" t="s">
        <v>3552</v>
      </c>
      <c r="C28" s="52" t="s">
        <v>3553</v>
      </c>
      <c r="D28" s="22" t="s">
        <v>3545</v>
      </c>
      <c r="E28" s="22"/>
      <c r="F28" s="22">
        <v>20</v>
      </c>
      <c r="G28" s="624"/>
      <c r="H28" s="529">
        <f t="shared" si="1"/>
        <v>0</v>
      </c>
      <c r="I28" s="277"/>
    </row>
    <row r="29" spans="2:9" ht="15">
      <c r="B29" s="294" t="s">
        <v>3554</v>
      </c>
      <c r="C29" s="52" t="s">
        <v>3555</v>
      </c>
      <c r="D29" s="22" t="s">
        <v>3545</v>
      </c>
      <c r="E29" s="22"/>
      <c r="F29" s="22">
        <v>20</v>
      </c>
      <c r="G29" s="624"/>
      <c r="H29" s="529">
        <f t="shared" si="1"/>
        <v>0</v>
      </c>
      <c r="I29" s="277"/>
    </row>
    <row r="30" spans="2:9" ht="25.5">
      <c r="B30" s="294" t="s">
        <v>3556</v>
      </c>
      <c r="C30" s="52" t="s">
        <v>3557</v>
      </c>
      <c r="D30" s="22" t="s">
        <v>542</v>
      </c>
      <c r="E30" s="22"/>
      <c r="F30" s="22">
        <v>1</v>
      </c>
      <c r="G30" s="624"/>
      <c r="H30" s="529">
        <f t="shared" si="1"/>
        <v>0</v>
      </c>
      <c r="I30" s="277"/>
    </row>
    <row r="31" spans="2:9" ht="25.5">
      <c r="B31" s="294" t="s">
        <v>3558</v>
      </c>
      <c r="C31" s="52" t="s">
        <v>3559</v>
      </c>
      <c r="D31" s="22" t="s">
        <v>3560</v>
      </c>
      <c r="E31" s="22"/>
      <c r="F31" s="22">
        <v>11</v>
      </c>
      <c r="G31" s="624"/>
      <c r="H31" s="529">
        <f t="shared" si="1"/>
        <v>0</v>
      </c>
      <c r="I31" s="277"/>
    </row>
    <row r="32" spans="2:9">
      <c r="B32" s="294" t="s">
        <v>3561</v>
      </c>
      <c r="C32" s="52" t="s">
        <v>3562</v>
      </c>
      <c r="D32" s="22" t="s">
        <v>85</v>
      </c>
      <c r="E32" s="22"/>
      <c r="F32" s="22">
        <v>2</v>
      </c>
      <c r="G32" s="624"/>
      <c r="H32" s="529">
        <f t="shared" si="1"/>
        <v>0</v>
      </c>
      <c r="I32" s="277"/>
    </row>
    <row r="33" spans="2:9">
      <c r="B33" s="294"/>
      <c r="C33" s="52"/>
      <c r="D33" s="22"/>
      <c r="E33" s="22"/>
      <c r="F33" s="22"/>
      <c r="G33" s="348"/>
      <c r="H33" s="529"/>
      <c r="I33" s="277"/>
    </row>
    <row r="34" spans="2:9">
      <c r="B34" s="294"/>
      <c r="C34" s="52"/>
      <c r="D34" s="22"/>
      <c r="E34" s="22"/>
      <c r="F34" s="22"/>
      <c r="G34" s="348"/>
      <c r="H34" s="529"/>
      <c r="I34" s="277"/>
    </row>
    <row r="35" spans="2:9">
      <c r="B35" s="294"/>
      <c r="C35" s="52"/>
      <c r="D35" s="22"/>
      <c r="E35" s="22"/>
      <c r="F35" s="22"/>
      <c r="G35" s="348"/>
      <c r="H35" s="529"/>
      <c r="I35" s="277"/>
    </row>
    <row r="36" spans="2:9">
      <c r="B36" s="294"/>
      <c r="C36" s="52"/>
      <c r="D36" s="22"/>
      <c r="E36" s="22"/>
      <c r="F36" s="22"/>
      <c r="G36" s="348"/>
      <c r="H36" s="529"/>
      <c r="I36" s="277"/>
    </row>
    <row r="37" spans="2:9">
      <c r="B37" s="294"/>
      <c r="C37" s="52"/>
      <c r="D37" s="22"/>
      <c r="E37" s="22"/>
      <c r="F37" s="22"/>
      <c r="G37" s="348"/>
      <c r="H37" s="529"/>
      <c r="I37" s="277"/>
    </row>
    <row r="38" spans="2:9">
      <c r="B38" s="294"/>
      <c r="C38" s="52"/>
      <c r="D38" s="22"/>
      <c r="E38" s="22"/>
      <c r="F38" s="22"/>
      <c r="G38" s="348"/>
      <c r="H38" s="529"/>
      <c r="I38" s="277"/>
    </row>
    <row r="39" spans="2:9">
      <c r="B39" s="294"/>
      <c r="C39" s="52"/>
      <c r="D39" s="22"/>
      <c r="E39" s="22"/>
      <c r="F39" s="22"/>
      <c r="G39" s="348"/>
      <c r="H39" s="529"/>
      <c r="I39" s="277"/>
    </row>
    <row r="40" spans="2:9">
      <c r="B40" s="294"/>
      <c r="C40" s="52"/>
      <c r="D40" s="22"/>
      <c r="E40" s="22"/>
      <c r="F40" s="22"/>
      <c r="G40" s="348"/>
      <c r="H40" s="529"/>
      <c r="I40" s="277"/>
    </row>
    <row r="41" spans="2:9">
      <c r="B41" s="294"/>
      <c r="C41" s="52"/>
      <c r="D41" s="22"/>
      <c r="E41" s="22"/>
      <c r="F41" s="22"/>
      <c r="G41" s="348"/>
      <c r="H41" s="529"/>
      <c r="I41" s="277"/>
    </row>
    <row r="42" spans="2:9">
      <c r="B42" s="294"/>
      <c r="C42" s="52"/>
      <c r="D42" s="22"/>
      <c r="E42" s="22"/>
      <c r="F42" s="22"/>
      <c r="G42" s="348"/>
      <c r="H42" s="529"/>
      <c r="I42" s="277"/>
    </row>
    <row r="43" spans="2:9">
      <c r="B43" s="294"/>
      <c r="C43" s="52"/>
      <c r="D43" s="22"/>
      <c r="E43" s="22"/>
      <c r="F43" s="22"/>
      <c r="G43" s="348"/>
      <c r="H43" s="529"/>
      <c r="I43" s="277"/>
    </row>
    <row r="44" spans="2:9">
      <c r="B44" s="294"/>
      <c r="C44" s="52"/>
      <c r="D44" s="22"/>
      <c r="E44" s="22"/>
      <c r="F44" s="22"/>
      <c r="G44" s="348"/>
      <c r="H44" s="529"/>
      <c r="I44" s="277"/>
    </row>
    <row r="45" spans="2:9">
      <c r="B45" s="294"/>
      <c r="C45" s="52"/>
      <c r="D45" s="22"/>
      <c r="E45" s="22"/>
      <c r="F45" s="22"/>
      <c r="G45" s="348"/>
      <c r="H45" s="529"/>
      <c r="I45" s="277"/>
    </row>
    <row r="46" spans="2:9">
      <c r="B46" s="48"/>
      <c r="C46" s="52"/>
      <c r="D46" s="22"/>
      <c r="E46" s="22"/>
      <c r="F46" s="22"/>
      <c r="G46" s="348"/>
      <c r="H46" s="529"/>
      <c r="I46" s="277"/>
    </row>
    <row r="47" spans="2:9">
      <c r="B47" s="36"/>
      <c r="C47" s="1"/>
      <c r="D47" s="22"/>
      <c r="E47" s="22"/>
      <c r="F47" s="240"/>
      <c r="G47" s="348"/>
      <c r="H47" s="529"/>
    </row>
    <row r="48" spans="2:9" s="28" customFormat="1" ht="19.5" customHeight="1">
      <c r="B48" s="82" t="str">
        <f>$B$10</f>
        <v xml:space="preserve">SECTION SEVEN </v>
      </c>
      <c r="C48" s="29" t="s">
        <v>125</v>
      </c>
      <c r="D48" s="30"/>
      <c r="E48" s="30"/>
      <c r="F48" s="31"/>
      <c r="G48" s="547"/>
      <c r="H48" s="359">
        <f>SUM(H9:H47)</f>
        <v>0</v>
      </c>
      <c r="I48" s="236"/>
    </row>
  </sheetData>
  <sheetProtection algorithmName="SHA-512" hashValue="d5qZdkuWB8bQB1WuRxkprSAX6HYvlquZJ7dpOQE+1eCgjaHLs+Az6KC/LTsbyUDh6iZQz/MFKtTotgjaoTJd0Q==" saltValue="7QTnb+GeUkraWSeWOEs9CA=="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765E7-5E02-4E24-ACCC-85D202C4B8AE}">
  <sheetPr>
    <tabColor rgb="FFFFFF00"/>
  </sheetPr>
  <dimension ref="B1:M48"/>
  <sheetViews>
    <sheetView view="pageBreakPreview" topLeftCell="A4"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3563</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3564</v>
      </c>
      <c r="C10" s="7" t="s">
        <v>3565</v>
      </c>
      <c r="D10" s="14"/>
      <c r="E10" s="14"/>
      <c r="F10" s="22"/>
      <c r="G10" s="348"/>
      <c r="H10" s="529"/>
      <c r="I10" s="277"/>
    </row>
    <row r="11" spans="2:11">
      <c r="B11" s="294"/>
      <c r="C11" s="52"/>
      <c r="D11" s="22"/>
      <c r="E11" s="22"/>
      <c r="F11" s="22"/>
      <c r="G11" s="348"/>
      <c r="H11" s="529"/>
      <c r="I11" s="277"/>
    </row>
    <row r="12" spans="2:11" ht="55.5" customHeight="1">
      <c r="B12" s="294" t="s">
        <v>3566</v>
      </c>
      <c r="C12" s="52" t="s">
        <v>3567</v>
      </c>
      <c r="D12" s="22" t="s">
        <v>542</v>
      </c>
      <c r="E12" s="22"/>
      <c r="F12" s="22">
        <v>1</v>
      </c>
      <c r="G12" s="624"/>
      <c r="H12" s="529">
        <f>G12*F12</f>
        <v>0</v>
      </c>
      <c r="I12" s="277"/>
    </row>
    <row r="13" spans="2:11" ht="25.5">
      <c r="B13" s="294" t="s">
        <v>3568</v>
      </c>
      <c r="C13" s="52" t="s">
        <v>3569</v>
      </c>
      <c r="D13" s="22" t="s">
        <v>542</v>
      </c>
      <c r="E13" s="22"/>
      <c r="F13" s="22">
        <v>1</v>
      </c>
      <c r="G13" s="624"/>
      <c r="H13" s="529" t="s">
        <v>266</v>
      </c>
      <c r="I13" s="277"/>
    </row>
    <row r="14" spans="2:11" ht="25.5">
      <c r="B14" s="294" t="s">
        <v>3570</v>
      </c>
      <c r="C14" s="52" t="s">
        <v>3571</v>
      </c>
      <c r="D14" s="22" t="s">
        <v>542</v>
      </c>
      <c r="E14" s="22"/>
      <c r="F14" s="22">
        <v>1</v>
      </c>
      <c r="G14" s="624"/>
      <c r="H14" s="529">
        <f t="shared" ref="H14:H17" si="0">G14*F14</f>
        <v>0</v>
      </c>
      <c r="I14" s="277"/>
    </row>
    <row r="15" spans="2:11">
      <c r="B15" s="294" t="s">
        <v>3572</v>
      </c>
      <c r="C15" s="52" t="s">
        <v>3573</v>
      </c>
      <c r="D15" s="22" t="s">
        <v>85</v>
      </c>
      <c r="E15" s="22"/>
      <c r="F15" s="22">
        <v>83</v>
      </c>
      <c r="G15" s="624"/>
      <c r="H15" s="529">
        <f t="shared" si="0"/>
        <v>0</v>
      </c>
      <c r="I15" s="277"/>
    </row>
    <row r="16" spans="2:11" ht="25.5">
      <c r="B16" s="294" t="s">
        <v>3574</v>
      </c>
      <c r="C16" s="52" t="s">
        <v>3575</v>
      </c>
      <c r="D16" s="22" t="s">
        <v>347</v>
      </c>
      <c r="E16" s="22"/>
      <c r="F16" s="22">
        <v>8900</v>
      </c>
      <c r="G16" s="624"/>
      <c r="H16" s="529">
        <f t="shared" si="0"/>
        <v>0</v>
      </c>
      <c r="I16" s="277"/>
    </row>
    <row r="17" spans="2:9" ht="25.5">
      <c r="B17" s="294" t="s">
        <v>3576</v>
      </c>
      <c r="C17" s="52" t="s">
        <v>3577</v>
      </c>
      <c r="D17" s="22" t="s">
        <v>85</v>
      </c>
      <c r="E17" s="22"/>
      <c r="F17" s="22">
        <v>155</v>
      </c>
      <c r="G17" s="624"/>
      <c r="H17" s="529">
        <f t="shared" si="0"/>
        <v>0</v>
      </c>
      <c r="I17" s="277"/>
    </row>
    <row r="18" spans="2:9">
      <c r="B18" s="294"/>
      <c r="C18" s="52"/>
      <c r="D18" s="22"/>
      <c r="E18" s="22"/>
      <c r="F18" s="22"/>
      <c r="G18" s="624"/>
      <c r="H18" s="529"/>
      <c r="I18" s="277"/>
    </row>
    <row r="19" spans="2:9">
      <c r="B19" s="294"/>
      <c r="C19" s="52"/>
      <c r="D19" s="22"/>
      <c r="E19" s="22"/>
      <c r="F19" s="22"/>
      <c r="G19" s="624"/>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9">
      <c r="B33" s="294"/>
      <c r="C33" s="52"/>
      <c r="D33" s="22"/>
      <c r="E33" s="22"/>
      <c r="F33" s="22"/>
      <c r="G33" s="348"/>
      <c r="H33" s="529"/>
      <c r="I33" s="277"/>
    </row>
    <row r="34" spans="2:9">
      <c r="B34" s="294"/>
      <c r="C34" s="52"/>
      <c r="D34" s="22"/>
      <c r="E34" s="22"/>
      <c r="F34" s="22"/>
      <c r="G34" s="348"/>
      <c r="H34" s="529"/>
      <c r="I34" s="277"/>
    </row>
    <row r="35" spans="2:9">
      <c r="B35" s="294"/>
      <c r="C35" s="52"/>
      <c r="D35" s="22"/>
      <c r="E35" s="22"/>
      <c r="F35" s="22"/>
      <c r="G35" s="348"/>
      <c r="H35" s="529"/>
      <c r="I35" s="277"/>
    </row>
    <row r="36" spans="2:9">
      <c r="B36" s="294"/>
      <c r="C36" s="52"/>
      <c r="D36" s="22"/>
      <c r="E36" s="22"/>
      <c r="F36" s="22"/>
      <c r="G36" s="348"/>
      <c r="H36" s="529"/>
      <c r="I36" s="277"/>
    </row>
    <row r="37" spans="2:9">
      <c r="B37" s="294"/>
      <c r="C37" s="52"/>
      <c r="D37" s="22"/>
      <c r="E37" s="22"/>
      <c r="F37" s="22"/>
      <c r="G37" s="348"/>
      <c r="H37" s="529"/>
      <c r="I37" s="277"/>
    </row>
    <row r="38" spans="2:9">
      <c r="B38" s="294"/>
      <c r="C38" s="52"/>
      <c r="D38" s="22"/>
      <c r="E38" s="22"/>
      <c r="F38" s="22"/>
      <c r="G38" s="348"/>
      <c r="H38" s="529"/>
      <c r="I38" s="277"/>
    </row>
    <row r="39" spans="2:9">
      <c r="B39" s="294"/>
      <c r="C39" s="52"/>
      <c r="D39" s="22"/>
      <c r="E39" s="22"/>
      <c r="F39" s="22"/>
      <c r="G39" s="348"/>
      <c r="H39" s="529"/>
      <c r="I39" s="277"/>
    </row>
    <row r="40" spans="2:9">
      <c r="B40" s="294"/>
      <c r="C40" s="52"/>
      <c r="D40" s="22"/>
      <c r="E40" s="22"/>
      <c r="F40" s="22"/>
      <c r="G40" s="348"/>
      <c r="H40" s="529"/>
      <c r="I40" s="277"/>
    </row>
    <row r="41" spans="2:9">
      <c r="B41" s="294"/>
      <c r="C41" s="52"/>
      <c r="D41" s="22"/>
      <c r="E41" s="22"/>
      <c r="F41" s="22"/>
      <c r="G41" s="348"/>
      <c r="H41" s="529"/>
      <c r="I41" s="277"/>
    </row>
    <row r="42" spans="2:9">
      <c r="B42" s="294"/>
      <c r="C42" s="52"/>
      <c r="D42" s="22"/>
      <c r="E42" s="22"/>
      <c r="F42" s="22"/>
      <c r="G42" s="348"/>
      <c r="H42" s="529"/>
      <c r="I42" s="277"/>
    </row>
    <row r="43" spans="2:9">
      <c r="B43" s="294"/>
      <c r="C43" s="52"/>
      <c r="D43" s="22"/>
      <c r="E43" s="22"/>
      <c r="F43" s="22"/>
      <c r="G43" s="348"/>
      <c r="H43" s="529"/>
      <c r="I43" s="277"/>
    </row>
    <row r="44" spans="2:9">
      <c r="B44" s="294"/>
      <c r="C44" s="52"/>
      <c r="D44" s="22"/>
      <c r="E44" s="22"/>
      <c r="F44" s="22"/>
      <c r="G44" s="348"/>
      <c r="H44" s="529"/>
      <c r="I44" s="277"/>
    </row>
    <row r="45" spans="2:9">
      <c r="B45" s="294"/>
      <c r="C45" s="52"/>
      <c r="D45" s="22"/>
      <c r="E45" s="22"/>
      <c r="F45" s="22"/>
      <c r="G45" s="348"/>
      <c r="H45" s="529"/>
      <c r="I45" s="277"/>
    </row>
    <row r="46" spans="2:9">
      <c r="B46" s="48"/>
      <c r="C46" s="52"/>
      <c r="D46" s="22"/>
      <c r="E46" s="22"/>
      <c r="F46" s="22"/>
      <c r="G46" s="348"/>
      <c r="H46" s="529"/>
      <c r="I46" s="277"/>
    </row>
    <row r="47" spans="2:9">
      <c r="B47" s="36"/>
      <c r="C47" s="1"/>
      <c r="D47" s="22"/>
      <c r="E47" s="22"/>
      <c r="F47" s="240"/>
      <c r="G47" s="348"/>
      <c r="H47" s="529"/>
    </row>
    <row r="48" spans="2:9" s="28" customFormat="1" ht="19.5" customHeight="1">
      <c r="B48" s="82" t="str">
        <f>$B$10</f>
        <v>SECTION EIGHT</v>
      </c>
      <c r="C48" s="29" t="s">
        <v>125</v>
      </c>
      <c r="D48" s="30"/>
      <c r="E48" s="30"/>
      <c r="F48" s="31"/>
      <c r="G48" s="547"/>
      <c r="H48" s="359">
        <f>SUM(H9:H47)</f>
        <v>0</v>
      </c>
      <c r="I48" s="236"/>
    </row>
  </sheetData>
  <sheetProtection algorithmName="SHA-512" hashValue="GA0MrB41mOpt5BQ7MLlxmE1mn6VqA9FC6VTwr7OsSEoJG1tenknFMN4LlPiwuET/YOpLbpa3bodZqi2STZ+knA==" saltValue="KBnAzkvwD9Mw6t+unVsiKw=="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227-E45C-42B3-8226-505D5CA09AB5}">
  <sheetPr>
    <tabColor rgb="FFFFFF00"/>
  </sheetPr>
  <dimension ref="B1:M47"/>
  <sheetViews>
    <sheetView view="pageBreakPreview" topLeftCell="A19"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3578</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3579</v>
      </c>
      <c r="C10" s="7" t="s">
        <v>3580</v>
      </c>
      <c r="D10" s="14"/>
      <c r="E10" s="14"/>
      <c r="F10" s="22"/>
      <c r="G10" s="348"/>
      <c r="H10" s="529"/>
      <c r="I10" s="277"/>
    </row>
    <row r="11" spans="2:11">
      <c r="B11" s="294"/>
      <c r="C11" s="52"/>
      <c r="D11" s="22"/>
      <c r="E11" s="22"/>
      <c r="F11" s="22"/>
      <c r="G11" s="348"/>
      <c r="H11" s="529"/>
      <c r="I11" s="277"/>
    </row>
    <row r="12" spans="2:11" ht="55.5" customHeight="1">
      <c r="B12" s="294" t="s">
        <v>3581</v>
      </c>
      <c r="C12" s="52" t="s">
        <v>3582</v>
      </c>
      <c r="D12" s="22"/>
      <c r="E12" s="22"/>
      <c r="F12" s="22"/>
      <c r="G12" s="624"/>
      <c r="H12" s="529"/>
      <c r="I12" s="277"/>
    </row>
    <row r="13" spans="2:11" ht="35.450000000000003" customHeight="1">
      <c r="B13" s="294" t="s">
        <v>3583</v>
      </c>
      <c r="C13" s="550" t="s">
        <v>3584</v>
      </c>
      <c r="D13" s="22" t="s">
        <v>85</v>
      </c>
      <c r="E13" s="22"/>
      <c r="F13" s="22">
        <v>2</v>
      </c>
      <c r="G13" s="624"/>
      <c r="H13" s="529" t="s">
        <v>266</v>
      </c>
      <c r="I13" s="277"/>
    </row>
    <row r="14" spans="2:11" ht="25.5">
      <c r="B14" s="294" t="s">
        <v>3585</v>
      </c>
      <c r="C14" s="52" t="s">
        <v>3586</v>
      </c>
      <c r="D14" s="22" t="s">
        <v>85</v>
      </c>
      <c r="E14" s="22"/>
      <c r="F14" s="22">
        <v>2</v>
      </c>
      <c r="G14" s="624"/>
      <c r="H14" s="529">
        <f t="shared" ref="H14:H16" si="0">G14*F14</f>
        <v>0</v>
      </c>
      <c r="I14" s="277"/>
    </row>
    <row r="15" spans="2:11" ht="38.25">
      <c r="B15" s="294" t="s">
        <v>3587</v>
      </c>
      <c r="C15" s="52" t="s">
        <v>3588</v>
      </c>
      <c r="D15" s="22" t="s">
        <v>85</v>
      </c>
      <c r="E15" s="22"/>
      <c r="F15" s="22">
        <v>2</v>
      </c>
      <c r="G15" s="624"/>
      <c r="H15" s="529">
        <f t="shared" si="0"/>
        <v>0</v>
      </c>
      <c r="I15" s="277"/>
    </row>
    <row r="16" spans="2:11" ht="63.75">
      <c r="B16" s="294" t="s">
        <v>3589</v>
      </c>
      <c r="C16" s="52" t="s">
        <v>3590</v>
      </c>
      <c r="D16" s="22" t="s">
        <v>85</v>
      </c>
      <c r="E16" s="22"/>
      <c r="F16" s="22">
        <v>2</v>
      </c>
      <c r="G16" s="624"/>
      <c r="H16" s="529">
        <f t="shared" si="0"/>
        <v>0</v>
      </c>
      <c r="I16" s="277"/>
    </row>
    <row r="17" spans="2:9" ht="102">
      <c r="B17" s="294" t="s">
        <v>3591</v>
      </c>
      <c r="C17" s="52" t="s">
        <v>3592</v>
      </c>
      <c r="D17" s="22" t="s">
        <v>1236</v>
      </c>
      <c r="E17" s="22"/>
      <c r="F17" s="22">
        <v>2</v>
      </c>
      <c r="G17" s="624"/>
      <c r="H17" s="529">
        <f>G17*F17</f>
        <v>0</v>
      </c>
      <c r="I17" s="277"/>
    </row>
    <row r="18" spans="2:9">
      <c r="B18" s="294"/>
      <c r="C18" s="52"/>
      <c r="D18" s="22"/>
      <c r="E18" s="22"/>
      <c r="F18" s="22"/>
      <c r="G18" s="348"/>
      <c r="H18" s="529"/>
      <c r="I18" s="277"/>
    </row>
    <row r="19" spans="2:9">
      <c r="B19" s="294"/>
      <c r="C19" s="52"/>
      <c r="D19" s="22"/>
      <c r="E19" s="22"/>
      <c r="F19" s="22"/>
      <c r="G19" s="348"/>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9">
      <c r="B33" s="294"/>
      <c r="C33" s="52"/>
      <c r="D33" s="22"/>
      <c r="E33" s="22"/>
      <c r="F33" s="22"/>
      <c r="G33" s="348"/>
      <c r="H33" s="529"/>
      <c r="I33" s="277"/>
    </row>
    <row r="34" spans="2:9">
      <c r="B34" s="294"/>
      <c r="C34" s="52"/>
      <c r="D34" s="22"/>
      <c r="E34" s="22"/>
      <c r="F34" s="22"/>
      <c r="G34" s="348"/>
      <c r="H34" s="529"/>
      <c r="I34" s="277"/>
    </row>
    <row r="35" spans="2:9">
      <c r="B35" s="294"/>
      <c r="C35" s="52"/>
      <c r="D35" s="22"/>
      <c r="E35" s="22"/>
      <c r="F35" s="22"/>
      <c r="G35" s="348"/>
      <c r="H35" s="529"/>
      <c r="I35" s="277"/>
    </row>
    <row r="36" spans="2:9">
      <c r="B36" s="294"/>
      <c r="C36" s="52"/>
      <c r="D36" s="22"/>
      <c r="E36" s="22"/>
      <c r="F36" s="22"/>
      <c r="G36" s="348"/>
      <c r="H36" s="529"/>
      <c r="I36" s="277"/>
    </row>
    <row r="37" spans="2:9">
      <c r="B37" s="294"/>
      <c r="C37" s="52"/>
      <c r="D37" s="22"/>
      <c r="E37" s="22"/>
      <c r="F37" s="22"/>
      <c r="G37" s="348"/>
      <c r="H37" s="529"/>
      <c r="I37" s="277"/>
    </row>
    <row r="38" spans="2:9">
      <c r="B38" s="294"/>
      <c r="C38" s="52"/>
      <c r="D38" s="22"/>
      <c r="E38" s="22"/>
      <c r="F38" s="22"/>
      <c r="G38" s="348"/>
      <c r="H38" s="529"/>
      <c r="I38" s="277"/>
    </row>
    <row r="39" spans="2:9">
      <c r="B39" s="294"/>
      <c r="C39" s="52"/>
      <c r="D39" s="22"/>
      <c r="E39" s="22"/>
      <c r="F39" s="22"/>
      <c r="G39" s="348"/>
      <c r="H39" s="529"/>
      <c r="I39" s="277"/>
    </row>
    <row r="40" spans="2:9">
      <c r="B40" s="294"/>
      <c r="C40" s="52"/>
      <c r="D40" s="22"/>
      <c r="E40" s="22"/>
      <c r="F40" s="22"/>
      <c r="G40" s="348"/>
      <c r="H40" s="529"/>
      <c r="I40" s="277"/>
    </row>
    <row r="41" spans="2:9">
      <c r="B41" s="294"/>
      <c r="C41" s="52"/>
      <c r="D41" s="22"/>
      <c r="E41" s="22"/>
      <c r="F41" s="22"/>
      <c r="G41" s="348"/>
      <c r="H41" s="529"/>
      <c r="I41" s="277"/>
    </row>
    <row r="42" spans="2:9">
      <c r="B42" s="294"/>
      <c r="C42" s="52"/>
      <c r="D42" s="22"/>
      <c r="E42" s="22"/>
      <c r="F42" s="22"/>
      <c r="G42" s="348"/>
      <c r="H42" s="529"/>
      <c r="I42" s="277"/>
    </row>
    <row r="43" spans="2:9">
      <c r="B43" s="294"/>
      <c r="C43" s="52"/>
      <c r="D43" s="22"/>
      <c r="E43" s="22"/>
      <c r="F43" s="22"/>
      <c r="G43" s="348"/>
      <c r="H43" s="529"/>
      <c r="I43" s="277"/>
    </row>
    <row r="44" spans="2:9">
      <c r="B44" s="294"/>
      <c r="C44" s="52"/>
      <c r="D44" s="22"/>
      <c r="E44" s="22"/>
      <c r="F44" s="22"/>
      <c r="G44" s="348"/>
      <c r="H44" s="529"/>
      <c r="I44" s="277"/>
    </row>
    <row r="45" spans="2:9">
      <c r="B45" s="48"/>
      <c r="C45" s="52"/>
      <c r="D45" s="22"/>
      <c r="E45" s="22"/>
      <c r="F45" s="22"/>
      <c r="G45" s="348"/>
      <c r="H45" s="529"/>
      <c r="I45" s="277"/>
    </row>
    <row r="46" spans="2:9">
      <c r="B46" s="36"/>
      <c r="C46" s="1"/>
      <c r="D46" s="22"/>
      <c r="E46" s="22"/>
      <c r="F46" s="240"/>
      <c r="G46" s="348"/>
      <c r="H46" s="529"/>
    </row>
    <row r="47" spans="2:9" s="28" customFormat="1" ht="19.5" customHeight="1">
      <c r="B47" s="82" t="str">
        <f>$B$10</f>
        <v>SECTION NINE</v>
      </c>
      <c r="C47" s="29" t="s">
        <v>125</v>
      </c>
      <c r="D47" s="30"/>
      <c r="E47" s="30"/>
      <c r="F47" s="31"/>
      <c r="G47" s="547"/>
      <c r="H47" s="359">
        <f>SUM(H9:H46)</f>
        <v>0</v>
      </c>
      <c r="I47" s="236"/>
    </row>
  </sheetData>
  <sheetProtection algorithmName="SHA-512" hashValue="trHXs8bND47GaOD/HAMpyTa5GGOSPJKrArv1eHSVDPUmzBTXzOx6cmYttLU1Ix8EuSuCvGxl5pOMtP5fxFMVrQ==" saltValue="rNdvyuXifFAcCibrp1x5cA=="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E91C-2DF9-43FE-A310-7D85F05B9FF3}">
  <sheetPr>
    <tabColor rgb="FFFFFF00"/>
  </sheetPr>
  <dimension ref="B1:M46"/>
  <sheetViews>
    <sheetView view="pageBreakPreview" topLeftCell="A17" zoomScaleNormal="70" zoomScaleSheetLayoutView="100" workbookViewId="0">
      <selection activeCell="H46" sqref="H46"/>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52.14062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3593</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3340</v>
      </c>
      <c r="C9" s="839"/>
      <c r="D9" s="839"/>
      <c r="E9" s="839"/>
      <c r="F9" s="839"/>
      <c r="G9" s="839"/>
      <c r="H9" s="840"/>
      <c r="I9" s="277"/>
    </row>
    <row r="10" spans="2:11" ht="25.5">
      <c r="B10" s="295" t="s">
        <v>3594</v>
      </c>
      <c r="C10" s="7" t="s">
        <v>3595</v>
      </c>
      <c r="D10" s="14"/>
      <c r="E10" s="14"/>
      <c r="F10" s="22"/>
      <c r="G10" s="348"/>
      <c r="H10" s="529"/>
      <c r="I10" s="277"/>
    </row>
    <row r="11" spans="2:11">
      <c r="B11" s="294"/>
      <c r="C11" s="52"/>
      <c r="D11" s="22"/>
      <c r="E11" s="22"/>
      <c r="F11" s="22"/>
      <c r="G11" s="348"/>
      <c r="H11" s="529"/>
      <c r="I11" s="277"/>
    </row>
    <row r="12" spans="2:11" ht="55.5" customHeight="1">
      <c r="B12" s="294" t="s">
        <v>3596</v>
      </c>
      <c r="C12" s="52" t="s">
        <v>3597</v>
      </c>
      <c r="D12" s="22" t="s">
        <v>52</v>
      </c>
      <c r="E12" s="22"/>
      <c r="F12" s="22">
        <v>1</v>
      </c>
      <c r="G12" s="348">
        <v>11500</v>
      </c>
      <c r="H12" s="529">
        <f>G12*F12</f>
        <v>11500</v>
      </c>
      <c r="I12" s="277"/>
    </row>
    <row r="13" spans="2:11" ht="45.75" customHeight="1">
      <c r="B13" s="294" t="s">
        <v>3598</v>
      </c>
      <c r="C13" s="52" t="s">
        <v>3599</v>
      </c>
      <c r="D13" s="22" t="s">
        <v>85</v>
      </c>
      <c r="E13" s="22"/>
      <c r="F13" s="22">
        <v>10</v>
      </c>
      <c r="G13" s="624"/>
      <c r="H13" s="529">
        <f t="shared" ref="H13:H15" si="0">G13*F13</f>
        <v>0</v>
      </c>
      <c r="I13" s="277"/>
    </row>
    <row r="14" spans="2:11" ht="25.5">
      <c r="B14" s="294" t="s">
        <v>3600</v>
      </c>
      <c r="C14" s="52" t="s">
        <v>3601</v>
      </c>
      <c r="D14" s="22" t="s">
        <v>347</v>
      </c>
      <c r="E14" s="22"/>
      <c r="F14" s="22">
        <v>12</v>
      </c>
      <c r="G14" s="624"/>
      <c r="H14" s="529">
        <f t="shared" si="0"/>
        <v>0</v>
      </c>
      <c r="I14" s="277"/>
    </row>
    <row r="15" spans="2:11" ht="25.5">
      <c r="B15" s="294" t="s">
        <v>3602</v>
      </c>
      <c r="C15" s="52" t="s">
        <v>3603</v>
      </c>
      <c r="D15" s="22" t="s">
        <v>542</v>
      </c>
      <c r="E15" s="22"/>
      <c r="F15" s="22">
        <v>1</v>
      </c>
      <c r="G15" s="624"/>
      <c r="H15" s="529">
        <f t="shared" si="0"/>
        <v>0</v>
      </c>
      <c r="I15" s="277"/>
    </row>
    <row r="16" spans="2:11" ht="76.5">
      <c r="B16" s="294"/>
      <c r="C16" s="52" t="s">
        <v>3604</v>
      </c>
      <c r="D16" s="22"/>
      <c r="E16" s="22"/>
      <c r="F16" s="22"/>
      <c r="G16" s="348"/>
      <c r="H16" s="529"/>
      <c r="I16" s="277"/>
    </row>
    <row r="17" spans="2:9">
      <c r="B17" s="294"/>
      <c r="C17" s="52"/>
      <c r="D17" s="22"/>
      <c r="E17" s="22"/>
      <c r="F17" s="22"/>
      <c r="G17" s="348"/>
      <c r="H17" s="529"/>
      <c r="I17" s="277"/>
    </row>
    <row r="18" spans="2:9">
      <c r="B18" s="294" t="s">
        <v>3605</v>
      </c>
      <c r="C18" s="52" t="s">
        <v>3606</v>
      </c>
      <c r="D18" s="22"/>
      <c r="E18" s="22"/>
      <c r="F18" s="22"/>
      <c r="G18" s="348"/>
      <c r="H18" s="529"/>
      <c r="I18" s="277"/>
    </row>
    <row r="19" spans="2:9" ht="25.5">
      <c r="B19" s="294" t="s">
        <v>3607</v>
      </c>
      <c r="C19" s="52" t="s">
        <v>3608</v>
      </c>
      <c r="D19" s="22" t="s">
        <v>121</v>
      </c>
      <c r="E19" s="22"/>
      <c r="F19" s="22">
        <v>1</v>
      </c>
      <c r="G19" s="348">
        <v>30000</v>
      </c>
      <c r="H19" s="529">
        <f t="shared" ref="H19" si="1">G19*F19</f>
        <v>30000</v>
      </c>
      <c r="I19" s="277"/>
    </row>
    <row r="20" spans="2:9">
      <c r="B20" s="294"/>
      <c r="C20" s="52"/>
      <c r="D20" s="22"/>
      <c r="E20" s="22"/>
      <c r="F20" s="22"/>
      <c r="G20" s="348"/>
      <c r="H20" s="529"/>
      <c r="I20" s="277"/>
    </row>
    <row r="21" spans="2:9" ht="25.5">
      <c r="B21" s="294" t="s">
        <v>3609</v>
      </c>
      <c r="C21" s="52" t="s">
        <v>3610</v>
      </c>
      <c r="D21" s="22"/>
      <c r="E21" s="22"/>
      <c r="F21" s="22"/>
      <c r="G21" s="348"/>
      <c r="H21" s="529"/>
      <c r="I21" s="277"/>
    </row>
    <row r="22" spans="2:9">
      <c r="B22" s="294" t="s">
        <v>3611</v>
      </c>
      <c r="C22" s="52" t="s">
        <v>3612</v>
      </c>
      <c r="D22" s="22"/>
      <c r="E22" s="22"/>
      <c r="F22" s="22"/>
      <c r="G22" s="348"/>
      <c r="H22" s="529"/>
      <c r="I22" s="277"/>
    </row>
    <row r="23" spans="2:9" ht="89.25">
      <c r="B23" s="294" t="s">
        <v>3613</v>
      </c>
      <c r="C23" s="52" t="s">
        <v>3614</v>
      </c>
      <c r="D23" s="22" t="s">
        <v>347</v>
      </c>
      <c r="E23" s="22"/>
      <c r="F23" s="22">
        <v>49</v>
      </c>
      <c r="G23" s="624"/>
      <c r="H23" s="529">
        <f>G23*F23</f>
        <v>0</v>
      </c>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9">
      <c r="B33" s="294"/>
      <c r="C33" s="52"/>
      <c r="D33" s="22"/>
      <c r="E33" s="22"/>
      <c r="F33" s="22"/>
      <c r="G33" s="348"/>
      <c r="H33" s="529"/>
      <c r="I33" s="277"/>
    </row>
    <row r="34" spans="2:9">
      <c r="B34" s="294"/>
      <c r="C34" s="52"/>
      <c r="D34" s="22"/>
      <c r="E34" s="22"/>
      <c r="F34" s="22"/>
      <c r="G34" s="348"/>
      <c r="H34" s="529"/>
      <c r="I34" s="277"/>
    </row>
    <row r="35" spans="2:9">
      <c r="B35" s="294"/>
      <c r="C35" s="52"/>
      <c r="D35" s="22"/>
      <c r="E35" s="22"/>
      <c r="F35" s="22"/>
      <c r="G35" s="348"/>
      <c r="H35" s="529"/>
      <c r="I35" s="277"/>
    </row>
    <row r="36" spans="2:9">
      <c r="B36" s="294"/>
      <c r="C36" s="52"/>
      <c r="D36" s="22"/>
      <c r="E36" s="22"/>
      <c r="F36" s="22"/>
      <c r="G36" s="348"/>
      <c r="H36" s="529"/>
      <c r="I36" s="277"/>
    </row>
    <row r="37" spans="2:9">
      <c r="B37" s="294"/>
      <c r="C37" s="52"/>
      <c r="D37" s="22"/>
      <c r="E37" s="22"/>
      <c r="F37" s="22"/>
      <c r="G37" s="348"/>
      <c r="H37" s="529"/>
      <c r="I37" s="277"/>
    </row>
    <row r="38" spans="2:9">
      <c r="B38" s="294"/>
      <c r="C38" s="52"/>
      <c r="D38" s="22"/>
      <c r="E38" s="22"/>
      <c r="F38" s="22"/>
      <c r="G38" s="348"/>
      <c r="H38" s="529"/>
      <c r="I38" s="277"/>
    </row>
    <row r="39" spans="2:9">
      <c r="B39" s="294"/>
      <c r="C39" s="52"/>
      <c r="D39" s="22"/>
      <c r="E39" s="22"/>
      <c r="F39" s="22"/>
      <c r="G39" s="348"/>
      <c r="H39" s="529"/>
      <c r="I39" s="277"/>
    </row>
    <row r="40" spans="2:9">
      <c r="B40" s="294"/>
      <c r="C40" s="52"/>
      <c r="D40" s="22"/>
      <c r="E40" s="22"/>
      <c r="F40" s="22"/>
      <c r="G40" s="348"/>
      <c r="H40" s="529"/>
      <c r="I40" s="277"/>
    </row>
    <row r="41" spans="2:9">
      <c r="B41" s="294"/>
      <c r="C41" s="52"/>
      <c r="D41" s="22"/>
      <c r="E41" s="22"/>
      <c r="F41" s="22"/>
      <c r="G41" s="348"/>
      <c r="H41" s="529"/>
      <c r="I41" s="277"/>
    </row>
    <row r="42" spans="2:9">
      <c r="B42" s="294"/>
      <c r="C42" s="52"/>
      <c r="D42" s="22"/>
      <c r="E42" s="22"/>
      <c r="F42" s="22"/>
      <c r="G42" s="348"/>
      <c r="H42" s="529"/>
      <c r="I42" s="277"/>
    </row>
    <row r="43" spans="2:9">
      <c r="B43" s="294"/>
      <c r="C43" s="52"/>
      <c r="D43" s="22"/>
      <c r="E43" s="22"/>
      <c r="F43" s="22"/>
      <c r="G43" s="348"/>
      <c r="H43" s="529"/>
      <c r="I43" s="277"/>
    </row>
    <row r="44" spans="2:9">
      <c r="B44" s="48"/>
      <c r="C44" s="52"/>
      <c r="D44" s="22"/>
      <c r="E44" s="22"/>
      <c r="F44" s="22"/>
      <c r="G44" s="348"/>
      <c r="H44" s="529"/>
      <c r="I44" s="277"/>
    </row>
    <row r="45" spans="2:9">
      <c r="B45" s="36"/>
      <c r="C45" s="1"/>
      <c r="D45" s="22"/>
      <c r="E45" s="22"/>
      <c r="F45" s="240"/>
      <c r="G45" s="348"/>
      <c r="H45" s="529"/>
    </row>
    <row r="46" spans="2:9" s="28" customFormat="1" ht="19.5" customHeight="1">
      <c r="B46" s="82" t="str">
        <f>$B$10</f>
        <v>SECTION TEN</v>
      </c>
      <c r="C46" s="29" t="s">
        <v>125</v>
      </c>
      <c r="D46" s="30"/>
      <c r="E46" s="30"/>
      <c r="F46" s="31"/>
      <c r="G46" s="547"/>
      <c r="H46" s="359">
        <f>SUM(H9:H45)</f>
        <v>41500</v>
      </c>
      <c r="I46" s="236"/>
    </row>
  </sheetData>
  <sheetProtection algorithmName="SHA-512" hashValue="s3p4K5fYA4p1Yzolu0FaF4ZFTqT0Zkne9U/N+HMuciCf1WhrB4mQOHKwT8i0JsF8gd2/HBoqr/VjnrLLNmnU/g==" saltValue="uXqOvHDP6QNaWAYIjpDu3g=="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0322-3BCD-4D7C-8DF9-46E74FADE827}">
  <sheetPr>
    <tabColor rgb="FFFFFF00"/>
  </sheetPr>
  <dimension ref="B1:I23"/>
  <sheetViews>
    <sheetView view="pageBreakPreview" topLeftCell="A5" zoomScaleNormal="100" zoomScaleSheetLayoutView="100" workbookViewId="0">
      <selection activeCell="G18" sqref="G18:H18"/>
    </sheetView>
  </sheetViews>
  <sheetFormatPr defaultColWidth="8.85546875" defaultRowHeight="12.75"/>
  <cols>
    <col min="1" max="1" width="0.85546875" style="52" customWidth="1"/>
    <col min="2" max="2" width="11.7109375" style="52" customWidth="1"/>
    <col min="3" max="3" width="39.140625" style="52" customWidth="1"/>
    <col min="4" max="4" width="13.7109375" style="52" hidden="1" customWidth="1"/>
    <col min="5" max="5" width="24" style="291" customWidth="1"/>
    <col min="6" max="6" width="10.140625" style="54" customWidth="1"/>
    <col min="7" max="7" width="15.7109375" style="54" customWidth="1"/>
    <col min="8" max="8" width="4.42578125" style="54" customWidth="1"/>
    <col min="9" max="9" width="0.85546875" style="52" hidden="1" customWidth="1"/>
    <col min="10" max="36" width="0" style="52" hidden="1" customWidth="1"/>
    <col min="37" max="16384" width="8.85546875" style="52"/>
  </cols>
  <sheetData>
    <row r="1" spans="2:8" ht="22.5" customHeight="1">
      <c r="B1" s="2" t="str">
        <f>Client1</f>
        <v>AIRPORTS COMPANY - SOUTH AFRICA</v>
      </c>
      <c r="D1" s="3"/>
      <c r="E1" s="3"/>
      <c r="F1" s="676" t="str">
        <f>"Contract No. "&amp;ContractNo</f>
        <v>Contract No. KSIA7806/2025/RFP</v>
      </c>
      <c r="G1" s="676"/>
      <c r="H1" s="676"/>
    </row>
    <row r="2" spans="2:8" s="3" customFormat="1" ht="18" customHeight="1">
      <c r="B2" s="90" t="str">
        <f>Client2</f>
        <v>ACSA</v>
      </c>
      <c r="C2" s="52"/>
      <c r="F2" s="4"/>
      <c r="G2" s="4"/>
      <c r="H2" s="4"/>
    </row>
    <row r="3" spans="2:8" s="3" customFormat="1" ht="16.5" customHeight="1">
      <c r="B3" s="71"/>
      <c r="C3" s="92"/>
      <c r="D3" s="71"/>
      <c r="E3" s="71"/>
      <c r="F3" s="72"/>
      <c r="G3" s="72"/>
      <c r="H3" s="72"/>
    </row>
    <row r="4" spans="2:8" s="3" customFormat="1" ht="7.5" customHeight="1">
      <c r="B4" s="690" t="s">
        <v>354</v>
      </c>
      <c r="C4" s="691"/>
      <c r="D4" s="691"/>
      <c r="E4" s="691"/>
      <c r="F4" s="691"/>
      <c r="G4" s="691"/>
      <c r="H4" s="836"/>
    </row>
    <row r="5" spans="2:8" ht="22.5" customHeight="1">
      <c r="B5" s="690"/>
      <c r="C5" s="691"/>
      <c r="D5" s="691"/>
      <c r="E5" s="691"/>
      <c r="F5" s="691"/>
      <c r="G5" s="691"/>
      <c r="H5" s="836"/>
    </row>
    <row r="6" spans="2:8" ht="7.5" customHeight="1">
      <c r="B6" s="692"/>
      <c r="C6" s="693"/>
      <c r="D6" s="693"/>
      <c r="E6" s="693"/>
      <c r="F6" s="693"/>
      <c r="G6" s="693"/>
      <c r="H6" s="837"/>
    </row>
    <row r="7" spans="2:8" ht="25.5" customHeight="1">
      <c r="B7" s="713" t="s">
        <v>2927</v>
      </c>
      <c r="C7" s="714"/>
      <c r="D7" s="714"/>
      <c r="E7" s="714"/>
      <c r="F7" s="714"/>
      <c r="G7" s="714"/>
      <c r="H7" s="715"/>
    </row>
    <row r="8" spans="2:8" ht="25.5">
      <c r="B8" s="280" t="s">
        <v>3336</v>
      </c>
      <c r="C8" s="716" t="s">
        <v>12</v>
      </c>
      <c r="D8" s="717"/>
      <c r="E8" s="718"/>
      <c r="F8" s="85" t="s">
        <v>357</v>
      </c>
      <c r="G8" s="719" t="s">
        <v>17</v>
      </c>
      <c r="H8" s="720"/>
    </row>
    <row r="9" spans="2:8" ht="15.75" customHeight="1">
      <c r="B9" s="14" t="s">
        <v>3615</v>
      </c>
      <c r="C9" s="721" t="s">
        <v>3616</v>
      </c>
      <c r="D9" s="722"/>
      <c r="E9" s="722"/>
      <c r="F9" s="552" t="s">
        <v>3617</v>
      </c>
      <c r="G9" s="723">
        <f>'BT Section 1 '!H49</f>
        <v>0</v>
      </c>
      <c r="H9" s="724"/>
    </row>
    <row r="10" spans="2:8" ht="15.75" customHeight="1">
      <c r="B10" s="14" t="s">
        <v>3618</v>
      </c>
      <c r="C10" s="721" t="s">
        <v>3403</v>
      </c>
      <c r="D10" s="722"/>
      <c r="E10" s="722"/>
      <c r="F10" s="552" t="s">
        <v>3619</v>
      </c>
      <c r="G10" s="723">
        <f>'BT Section 2'!H49</f>
        <v>0</v>
      </c>
      <c r="H10" s="724"/>
    </row>
    <row r="11" spans="2:8" ht="15.75" customHeight="1">
      <c r="B11" s="14" t="s">
        <v>3620</v>
      </c>
      <c r="C11" s="721" t="s">
        <v>3621</v>
      </c>
      <c r="D11" s="722"/>
      <c r="E11" s="722"/>
      <c r="F11" s="552" t="s">
        <v>3622</v>
      </c>
      <c r="G11" s="723">
        <f>'BT Section 3'!H41</f>
        <v>0</v>
      </c>
      <c r="H11" s="724"/>
    </row>
    <row r="12" spans="2:8" ht="15.75" customHeight="1">
      <c r="B12" s="14" t="s">
        <v>3623</v>
      </c>
      <c r="C12" s="721" t="s">
        <v>3471</v>
      </c>
      <c r="D12" s="722"/>
      <c r="E12" s="722"/>
      <c r="F12" s="552" t="s">
        <v>3624</v>
      </c>
      <c r="G12" s="723">
        <f>'BT Section 4'!H48</f>
        <v>0</v>
      </c>
      <c r="H12" s="724"/>
    </row>
    <row r="13" spans="2:8" ht="15.75" customHeight="1">
      <c r="B13" s="14" t="s">
        <v>3625</v>
      </c>
      <c r="C13" s="721" t="s">
        <v>3494</v>
      </c>
      <c r="D13" s="722"/>
      <c r="E13" s="722"/>
      <c r="F13" s="552" t="s">
        <v>3626</v>
      </c>
      <c r="G13" s="723">
        <f>'BT Section 5'!H48</f>
        <v>0</v>
      </c>
      <c r="H13" s="724"/>
    </row>
    <row r="14" spans="2:8" ht="28.9" customHeight="1">
      <c r="B14" s="14" t="s">
        <v>3627</v>
      </c>
      <c r="C14" s="275" t="s">
        <v>3505</v>
      </c>
      <c r="E14" s="52"/>
      <c r="F14" s="552" t="s">
        <v>3628</v>
      </c>
      <c r="G14" s="723">
        <f>'BT Section 6'!H48</f>
        <v>0</v>
      </c>
      <c r="H14" s="724"/>
    </row>
    <row r="15" spans="2:8" ht="15.75" customHeight="1">
      <c r="B15" s="14" t="s">
        <v>3629</v>
      </c>
      <c r="C15" s="721" t="s">
        <v>3516</v>
      </c>
      <c r="D15" s="722"/>
      <c r="E15" s="722"/>
      <c r="F15" s="552" t="s">
        <v>3630</v>
      </c>
      <c r="G15" s="723">
        <f>'BT Section 7'!H48</f>
        <v>0</v>
      </c>
      <c r="H15" s="724"/>
    </row>
    <row r="16" spans="2:8" ht="15.75" customHeight="1">
      <c r="B16" s="14" t="s">
        <v>3631</v>
      </c>
      <c r="C16" s="721" t="s">
        <v>3565</v>
      </c>
      <c r="D16" s="722"/>
      <c r="E16" s="722"/>
      <c r="F16" s="552" t="s">
        <v>3632</v>
      </c>
      <c r="G16" s="723">
        <f>'BT Section 8'!H48</f>
        <v>0</v>
      </c>
      <c r="H16" s="724"/>
    </row>
    <row r="17" spans="2:9" ht="15.75" customHeight="1">
      <c r="B17" s="14" t="s">
        <v>3633</v>
      </c>
      <c r="C17" s="275" t="s">
        <v>3580</v>
      </c>
      <c r="E17" s="52"/>
      <c r="F17" s="552" t="s">
        <v>3634</v>
      </c>
      <c r="G17" s="723">
        <f>'BT Section 9'!H47</f>
        <v>0</v>
      </c>
      <c r="H17" s="724"/>
    </row>
    <row r="18" spans="2:9" ht="15.75" customHeight="1">
      <c r="B18" s="14" t="s">
        <v>3635</v>
      </c>
      <c r="C18" s="721" t="s">
        <v>3636</v>
      </c>
      <c r="D18" s="722"/>
      <c r="E18" s="722"/>
      <c r="F18" s="552" t="s">
        <v>3637</v>
      </c>
      <c r="G18" s="723">
        <f>'BT Section 10'!H46</f>
        <v>41500</v>
      </c>
      <c r="H18" s="724"/>
    </row>
    <row r="19" spans="2:9" ht="15.75" customHeight="1">
      <c r="B19" s="14"/>
      <c r="C19" s="721"/>
      <c r="D19" s="722"/>
      <c r="E19" s="827"/>
      <c r="F19" s="22"/>
      <c r="G19" s="723"/>
      <c r="H19" s="724"/>
    </row>
    <row r="20" spans="2:9" ht="15.75" customHeight="1">
      <c r="B20" s="14"/>
      <c r="C20" s="721"/>
      <c r="D20" s="722"/>
      <c r="E20" s="827"/>
      <c r="F20" s="22"/>
      <c r="G20" s="828"/>
      <c r="H20" s="724"/>
    </row>
    <row r="21" spans="2:9" ht="15.75" customHeight="1">
      <c r="B21" s="14"/>
      <c r="C21" s="721"/>
      <c r="D21" s="722"/>
      <c r="E21" s="827"/>
      <c r="F21" s="22"/>
      <c r="G21" s="723"/>
      <c r="H21" s="724"/>
    </row>
    <row r="22" spans="2:9" ht="15.75" customHeight="1">
      <c r="B22" s="14"/>
      <c r="C22" s="721"/>
      <c r="D22" s="722"/>
      <c r="E22" s="827"/>
      <c r="F22" s="22"/>
      <c r="G22" s="723"/>
      <c r="H22" s="724"/>
    </row>
    <row r="23" spans="2:9" s="2" customFormat="1" ht="19.5" customHeight="1">
      <c r="B23" s="793" t="s">
        <v>2942</v>
      </c>
      <c r="C23" s="794"/>
      <c r="D23" s="794"/>
      <c r="E23" s="794"/>
      <c r="F23" s="794"/>
      <c r="G23" s="825">
        <f>SUM(G9:H22)</f>
        <v>41500</v>
      </c>
      <c r="H23" s="826"/>
      <c r="I23" s="289"/>
    </row>
  </sheetData>
  <sheetProtection algorithmName="SHA-512" hashValue="wuzPRDyXZjDkGnBYoP63+Lmqf00AxeuYCMUMJfvPx6XDrSWo3pSX/5494ia6AAnLbZDiT2UoZHAW0J8BVypWDw==" saltValue="OcaSsn8xoF/6IVj7/cb5yA==" spinCount="100000" sheet="1" objects="1" scenarios="1"/>
  <mergeCells count="34">
    <mergeCell ref="F1:H1"/>
    <mergeCell ref="B4:G6"/>
    <mergeCell ref="H4:H6"/>
    <mergeCell ref="B7:H7"/>
    <mergeCell ref="C8:E8"/>
    <mergeCell ref="G8:H8"/>
    <mergeCell ref="C9:E9"/>
    <mergeCell ref="G9:H9"/>
    <mergeCell ref="C10:E10"/>
    <mergeCell ref="G10:H10"/>
    <mergeCell ref="C11:E11"/>
    <mergeCell ref="G11:H11"/>
    <mergeCell ref="C19:E19"/>
    <mergeCell ref="G19:H19"/>
    <mergeCell ref="C12:E12"/>
    <mergeCell ref="G12:H12"/>
    <mergeCell ref="C13:E13"/>
    <mergeCell ref="G13:H13"/>
    <mergeCell ref="G14:H14"/>
    <mergeCell ref="C15:E15"/>
    <mergeCell ref="G15:H15"/>
    <mergeCell ref="C16:E16"/>
    <mergeCell ref="G16:H16"/>
    <mergeCell ref="G17:H17"/>
    <mergeCell ref="C18:E18"/>
    <mergeCell ref="G18:H18"/>
    <mergeCell ref="B23:F23"/>
    <mergeCell ref="G23:H23"/>
    <mergeCell ref="C20:E20"/>
    <mergeCell ref="G20:H20"/>
    <mergeCell ref="C21:E21"/>
    <mergeCell ref="G21:H21"/>
    <mergeCell ref="C22:E22"/>
    <mergeCell ref="G22:H22"/>
  </mergeCells>
  <pageMargins left="0.43307086614173229" right="0.31496062992125984" top="0.43307086614173229" bottom="0.62992125984251968" header="0.35433070866141736" footer="0.31496062992125984"/>
  <pageSetup paperSize="9" scale="75" firstPageNumber="31" fitToHeight="0"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0">
    <pageSetUpPr fitToPage="1"/>
  </sheetPr>
  <dimension ref="A1:I591"/>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ht="12.75" customHeight="1">
      <c r="B4" s="695" t="s">
        <v>456</v>
      </c>
      <c r="C4" s="696"/>
      <c r="D4" s="696"/>
      <c r="E4" s="696"/>
      <c r="F4" s="696"/>
      <c r="G4" s="696"/>
      <c r="H4" s="733" t="str">
        <f>"CHAPTER "&amp;B10</f>
        <v>CHAPTER C2.3</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34"/>
      <c r="I5" s="8"/>
    </row>
    <row r="6" spans="2:9" ht="12.75" customHeight="1">
      <c r="B6" s="690"/>
      <c r="C6" s="691"/>
      <c r="D6" s="691"/>
      <c r="E6" s="691"/>
      <c r="F6" s="691"/>
      <c r="G6" s="691"/>
      <c r="H6" s="734"/>
      <c r="I6" s="8"/>
    </row>
    <row r="7" spans="2:9" s="9" customFormat="1" ht="7.5" customHeight="1">
      <c r="B7" s="692"/>
      <c r="C7" s="693"/>
      <c r="D7" s="693"/>
      <c r="E7" s="693"/>
      <c r="F7" s="693"/>
      <c r="G7" s="693"/>
      <c r="H7" s="735"/>
      <c r="I7" s="12"/>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 t="shared" ref="H9:H24" si="0">IF(D9="","",F9*G9)</f>
        <v/>
      </c>
      <c r="I9" s="18"/>
    </row>
    <row r="10" spans="2:9">
      <c r="B10" s="69" t="s">
        <v>457</v>
      </c>
      <c r="C10" s="20" t="s">
        <v>458</v>
      </c>
      <c r="D10" s="15"/>
      <c r="E10" s="15"/>
      <c r="F10" s="15"/>
      <c r="G10" s="16"/>
      <c r="H10" s="17" t="str">
        <f t="shared" si="0"/>
        <v/>
      </c>
      <c r="I10" s="18"/>
    </row>
    <row r="11" spans="2:9">
      <c r="B11" s="48"/>
      <c r="C11" s="14"/>
      <c r="D11" s="15"/>
      <c r="E11" s="15"/>
      <c r="F11" s="15"/>
      <c r="G11" s="16"/>
      <c r="H11" s="17" t="str">
        <f t="shared" si="0"/>
        <v/>
      </c>
      <c r="I11" s="18"/>
    </row>
    <row r="12" spans="2:9">
      <c r="B12" s="59" t="s">
        <v>459</v>
      </c>
      <c r="C12" s="14" t="s">
        <v>460</v>
      </c>
      <c r="D12" s="15"/>
      <c r="E12" s="15"/>
      <c r="F12" s="15"/>
      <c r="G12" s="16"/>
      <c r="H12" s="17" t="str">
        <f t="shared" si="0"/>
        <v/>
      </c>
      <c r="I12" s="18"/>
    </row>
    <row r="13" spans="2:9">
      <c r="B13" s="59"/>
      <c r="C13" s="14"/>
      <c r="D13" s="15"/>
      <c r="E13" s="15"/>
      <c r="F13" s="15"/>
      <c r="G13" s="16"/>
      <c r="H13" s="17" t="str">
        <f t="shared" si="0"/>
        <v/>
      </c>
      <c r="I13" s="18"/>
    </row>
    <row r="14" spans="2:9" ht="25.5">
      <c r="B14" s="48" t="s">
        <v>461</v>
      </c>
      <c r="C14" s="14" t="s">
        <v>462</v>
      </c>
      <c r="D14" s="22"/>
      <c r="E14" s="22"/>
      <c r="F14" s="23"/>
      <c r="G14" s="24"/>
      <c r="H14" s="25" t="str">
        <f t="shared" si="0"/>
        <v/>
      </c>
      <c r="I14" s="58"/>
    </row>
    <row r="15" spans="2:9">
      <c r="B15" s="59"/>
      <c r="C15" s="14"/>
      <c r="D15" s="15"/>
      <c r="E15" s="15"/>
      <c r="F15" s="26"/>
      <c r="G15" s="16"/>
      <c r="H15" s="25" t="str">
        <f t="shared" si="0"/>
        <v/>
      </c>
      <c r="I15" s="18"/>
    </row>
    <row r="16" spans="2:9">
      <c r="B16" s="48" t="s">
        <v>83</v>
      </c>
      <c r="C16" s="14" t="s">
        <v>463</v>
      </c>
      <c r="D16" s="22" t="s">
        <v>347</v>
      </c>
      <c r="E16" s="15"/>
      <c r="F16" s="26"/>
      <c r="G16" s="60"/>
      <c r="H16" s="25">
        <f t="shared" si="0"/>
        <v>0</v>
      </c>
      <c r="I16" s="18"/>
    </row>
    <row r="17" spans="2:9">
      <c r="B17" s="59"/>
      <c r="C17" s="14"/>
      <c r="D17" s="15"/>
      <c r="E17" s="15"/>
      <c r="F17" s="26"/>
      <c r="G17" s="16"/>
      <c r="H17" s="25" t="str">
        <f t="shared" si="0"/>
        <v/>
      </c>
      <c r="I17" s="61"/>
    </row>
    <row r="18" spans="2:9">
      <c r="B18" s="48" t="s">
        <v>86</v>
      </c>
      <c r="C18" s="100" t="s">
        <v>463</v>
      </c>
      <c r="D18" s="22" t="s">
        <v>347</v>
      </c>
      <c r="E18" s="62"/>
      <c r="F18" s="26"/>
      <c r="G18" s="63"/>
      <c r="H18" s="25">
        <f t="shared" si="0"/>
        <v>0</v>
      </c>
      <c r="I18" s="64"/>
    </row>
    <row r="19" spans="2:9">
      <c r="B19" s="59"/>
      <c r="C19" s="252"/>
      <c r="D19" s="62"/>
      <c r="E19" s="62"/>
      <c r="F19" s="26"/>
      <c r="G19" s="63"/>
      <c r="H19" s="25" t="str">
        <f t="shared" si="0"/>
        <v/>
      </c>
      <c r="I19" s="64"/>
    </row>
    <row r="20" spans="2:9" ht="25.5">
      <c r="B20" s="48" t="s">
        <v>464</v>
      </c>
      <c r="C20" s="14" t="s">
        <v>462</v>
      </c>
      <c r="D20" s="22" t="s">
        <v>121</v>
      </c>
      <c r="E20" s="62"/>
      <c r="F20" s="26"/>
      <c r="G20" s="65"/>
      <c r="H20" s="25">
        <f t="shared" si="0"/>
        <v>0</v>
      </c>
      <c r="I20" s="64"/>
    </row>
    <row r="21" spans="2:9">
      <c r="B21" s="59"/>
      <c r="C21" s="252"/>
      <c r="D21" s="62"/>
      <c r="E21" s="62"/>
      <c r="F21" s="26"/>
      <c r="G21" s="63"/>
      <c r="H21" s="25" t="str">
        <f t="shared" si="0"/>
        <v/>
      </c>
      <c r="I21" s="64"/>
    </row>
    <row r="22" spans="2:9">
      <c r="B22" s="48" t="s">
        <v>83</v>
      </c>
      <c r="C22" s="14" t="s">
        <v>463</v>
      </c>
      <c r="D22" s="22" t="s">
        <v>347</v>
      </c>
      <c r="E22" s="62"/>
      <c r="F22" s="26"/>
      <c r="G22" s="60"/>
      <c r="H22" s="25">
        <f t="shared" si="0"/>
        <v>0</v>
      </c>
      <c r="I22" s="64"/>
    </row>
    <row r="23" spans="2:9">
      <c r="B23" s="59"/>
      <c r="C23" s="14"/>
      <c r="D23" s="15"/>
      <c r="E23" s="62"/>
      <c r="F23" s="26"/>
      <c r="G23" s="63"/>
      <c r="H23" s="25" t="str">
        <f t="shared" si="0"/>
        <v/>
      </c>
      <c r="I23" s="64"/>
    </row>
    <row r="24" spans="2:9">
      <c r="B24" s="48" t="s">
        <v>86</v>
      </c>
      <c r="C24" s="100" t="s">
        <v>463</v>
      </c>
      <c r="D24" s="22" t="s">
        <v>347</v>
      </c>
      <c r="E24" s="15"/>
      <c r="F24" s="26"/>
      <c r="G24" s="16"/>
      <c r="H24" s="25">
        <f t="shared" si="0"/>
        <v>0</v>
      </c>
      <c r="I24" s="18"/>
    </row>
    <row r="25" spans="2:9">
      <c r="B25" s="48"/>
      <c r="C25" s="100"/>
      <c r="D25" s="22"/>
      <c r="E25" s="15"/>
      <c r="F25" s="26"/>
      <c r="G25" s="16"/>
      <c r="H25" s="25"/>
      <c r="I25" s="18"/>
    </row>
    <row r="26" spans="2:9">
      <c r="B26" s="48" t="s">
        <v>465</v>
      </c>
      <c r="C26" s="100" t="s">
        <v>466</v>
      </c>
      <c r="D26" s="22"/>
      <c r="E26" s="15"/>
      <c r="F26" s="26"/>
      <c r="G26" s="16"/>
      <c r="H26" s="25"/>
      <c r="I26" s="18"/>
    </row>
    <row r="27" spans="2:9">
      <c r="B27" s="59"/>
      <c r="C27" s="14"/>
      <c r="D27" s="15"/>
      <c r="E27" s="15"/>
      <c r="F27" s="26"/>
      <c r="G27" s="16"/>
      <c r="H27" s="25" t="str">
        <f t="shared" ref="H27:H54" si="1">IF(D27="","",F27*G27)</f>
        <v/>
      </c>
      <c r="I27" s="18"/>
    </row>
    <row r="28" spans="2:9">
      <c r="B28" s="48" t="s">
        <v>467</v>
      </c>
      <c r="C28" s="14" t="s">
        <v>468</v>
      </c>
      <c r="D28" s="22"/>
      <c r="E28" s="15"/>
      <c r="F28" s="26"/>
      <c r="G28" s="65"/>
      <c r="H28" s="25" t="str">
        <f t="shared" si="1"/>
        <v/>
      </c>
      <c r="I28" s="58"/>
    </row>
    <row r="29" spans="2:9">
      <c r="B29" s="59"/>
      <c r="C29" s="14"/>
      <c r="D29" s="15"/>
      <c r="E29" s="15"/>
      <c r="F29" s="26"/>
      <c r="G29" s="65"/>
      <c r="H29" s="25" t="str">
        <f t="shared" si="1"/>
        <v/>
      </c>
      <c r="I29" s="18"/>
    </row>
    <row r="30" spans="2:9">
      <c r="B30" s="48" t="s">
        <v>469</v>
      </c>
      <c r="C30" s="14" t="s">
        <v>470</v>
      </c>
      <c r="D30" s="22"/>
      <c r="E30" s="15"/>
      <c r="F30" s="26"/>
      <c r="G30" s="60"/>
      <c r="H30" s="25" t="str">
        <f t="shared" si="1"/>
        <v/>
      </c>
      <c r="I30" s="18"/>
    </row>
    <row r="31" spans="2:9">
      <c r="B31" s="59"/>
      <c r="C31" s="14"/>
      <c r="D31" s="15"/>
      <c r="E31" s="15"/>
      <c r="F31" s="26"/>
      <c r="G31" s="27"/>
      <c r="H31" s="25" t="str">
        <f t="shared" si="1"/>
        <v/>
      </c>
      <c r="I31" s="18"/>
    </row>
    <row r="32" spans="2:9">
      <c r="B32" s="48" t="s">
        <v>83</v>
      </c>
      <c r="C32" s="14" t="s">
        <v>463</v>
      </c>
      <c r="D32" s="22" t="s">
        <v>85</v>
      </c>
      <c r="E32" s="15"/>
      <c r="F32" s="26"/>
      <c r="G32" s="27"/>
      <c r="H32" s="25">
        <f t="shared" si="1"/>
        <v>0</v>
      </c>
      <c r="I32" s="18"/>
    </row>
    <row r="33" spans="2:9">
      <c r="B33" s="59"/>
      <c r="C33" s="14"/>
      <c r="D33" s="15"/>
      <c r="E33" s="15"/>
      <c r="F33" s="26"/>
      <c r="G33" s="27"/>
      <c r="H33" s="25" t="str">
        <f t="shared" si="1"/>
        <v/>
      </c>
      <c r="I33" s="18"/>
    </row>
    <row r="34" spans="2:9">
      <c r="B34" s="48" t="s">
        <v>86</v>
      </c>
      <c r="C34" s="100" t="s">
        <v>463</v>
      </c>
      <c r="D34" s="22" t="s">
        <v>85</v>
      </c>
      <c r="E34" s="15"/>
      <c r="F34" s="26"/>
      <c r="G34" s="65"/>
      <c r="H34" s="25">
        <f t="shared" si="1"/>
        <v>0</v>
      </c>
      <c r="I34" s="58"/>
    </row>
    <row r="35" spans="2:9">
      <c r="B35" s="59"/>
      <c r="C35" s="14"/>
      <c r="D35" s="15"/>
      <c r="E35" s="15"/>
      <c r="F35" s="26"/>
      <c r="G35" s="27"/>
      <c r="H35" s="25" t="str">
        <f t="shared" si="1"/>
        <v/>
      </c>
      <c r="I35" s="18"/>
    </row>
    <row r="36" spans="2:9">
      <c r="B36" s="48" t="s">
        <v>471</v>
      </c>
      <c r="C36" s="14" t="s">
        <v>470</v>
      </c>
      <c r="D36" s="22"/>
      <c r="E36" s="15"/>
      <c r="F36" s="26"/>
      <c r="G36" s="60"/>
      <c r="H36" s="25" t="str">
        <f t="shared" si="1"/>
        <v/>
      </c>
      <c r="I36" s="18"/>
    </row>
    <row r="37" spans="2:9">
      <c r="B37" s="59"/>
      <c r="C37" s="14"/>
      <c r="D37" s="15"/>
      <c r="E37" s="15"/>
      <c r="F37" s="15"/>
      <c r="G37" s="16"/>
      <c r="H37" s="25" t="str">
        <f t="shared" si="1"/>
        <v/>
      </c>
      <c r="I37" s="18"/>
    </row>
    <row r="38" spans="2:9">
      <c r="B38" s="48" t="s">
        <v>83</v>
      </c>
      <c r="C38" s="14" t="s">
        <v>463</v>
      </c>
      <c r="D38" s="22" t="s">
        <v>85</v>
      </c>
      <c r="E38" s="15"/>
      <c r="F38" s="15"/>
      <c r="G38" s="65"/>
      <c r="H38" s="25">
        <f t="shared" si="1"/>
        <v>0</v>
      </c>
      <c r="I38" s="18"/>
    </row>
    <row r="39" spans="2:9">
      <c r="B39" s="59"/>
      <c r="C39" s="14"/>
      <c r="D39" s="15"/>
      <c r="E39" s="15"/>
      <c r="F39" s="15"/>
      <c r="G39" s="65"/>
      <c r="H39" s="25" t="str">
        <f t="shared" si="1"/>
        <v/>
      </c>
      <c r="I39" s="18"/>
    </row>
    <row r="40" spans="2:9">
      <c r="B40" s="48" t="s">
        <v>86</v>
      </c>
      <c r="C40" s="100" t="s">
        <v>463</v>
      </c>
      <c r="D40" s="22" t="s">
        <v>85</v>
      </c>
      <c r="E40" s="15"/>
      <c r="F40" s="15"/>
      <c r="G40" s="65"/>
      <c r="H40" s="25">
        <f t="shared" si="1"/>
        <v>0</v>
      </c>
      <c r="I40" s="18"/>
    </row>
    <row r="41" spans="2:9">
      <c r="B41" s="59"/>
      <c r="C41" s="14"/>
      <c r="D41" s="15"/>
      <c r="E41" s="15"/>
      <c r="F41" s="15"/>
      <c r="G41" s="65"/>
      <c r="H41" s="25" t="str">
        <f t="shared" si="1"/>
        <v/>
      </c>
      <c r="I41" s="18"/>
    </row>
    <row r="42" spans="2:9">
      <c r="B42" s="48" t="s">
        <v>472</v>
      </c>
      <c r="C42" s="100" t="s">
        <v>466</v>
      </c>
      <c r="D42" s="22"/>
      <c r="E42" s="15"/>
      <c r="F42" s="15"/>
      <c r="G42" s="66"/>
      <c r="H42" s="25" t="str">
        <f t="shared" si="1"/>
        <v/>
      </c>
      <c r="I42" s="18"/>
    </row>
    <row r="43" spans="2:9">
      <c r="B43" s="59"/>
      <c r="C43" s="14"/>
      <c r="D43" s="15"/>
      <c r="E43" s="15"/>
      <c r="F43" s="15"/>
      <c r="G43" s="65"/>
      <c r="H43" s="25" t="str">
        <f t="shared" si="1"/>
        <v/>
      </c>
      <c r="I43" s="18"/>
    </row>
    <row r="44" spans="2:9" ht="25.5">
      <c r="B44" s="48" t="s">
        <v>473</v>
      </c>
      <c r="C44" s="14" t="s">
        <v>474</v>
      </c>
      <c r="D44" s="22"/>
      <c r="E44" s="15"/>
      <c r="F44" s="15"/>
      <c r="G44" s="65"/>
      <c r="H44" s="25" t="str">
        <f t="shared" si="1"/>
        <v/>
      </c>
      <c r="I44" s="18"/>
    </row>
    <row r="45" spans="2:9">
      <c r="B45" s="59"/>
      <c r="C45" s="14"/>
      <c r="D45" s="15"/>
      <c r="E45" s="15"/>
      <c r="F45" s="15"/>
      <c r="G45" s="65"/>
      <c r="H45" s="25" t="str">
        <f t="shared" si="1"/>
        <v/>
      </c>
      <c r="I45" s="18"/>
    </row>
    <row r="46" spans="2:9">
      <c r="B46" s="48" t="s">
        <v>475</v>
      </c>
      <c r="C46" s="14" t="s">
        <v>476</v>
      </c>
      <c r="D46" s="62"/>
      <c r="E46" s="62"/>
      <c r="F46" s="62"/>
      <c r="G46" s="65"/>
      <c r="H46" s="25" t="str">
        <f t="shared" si="1"/>
        <v/>
      </c>
      <c r="I46" s="64"/>
    </row>
    <row r="47" spans="2:9">
      <c r="B47" s="59"/>
      <c r="C47" s="14"/>
      <c r="D47" s="15"/>
      <c r="E47" s="15"/>
      <c r="F47" s="15"/>
      <c r="G47" s="65"/>
      <c r="H47" s="25" t="str">
        <f t="shared" si="1"/>
        <v/>
      </c>
      <c r="I47" s="18"/>
    </row>
    <row r="48" spans="2:9">
      <c r="B48" s="48" t="s">
        <v>83</v>
      </c>
      <c r="C48" s="252" t="s">
        <v>477</v>
      </c>
      <c r="D48" s="22" t="s">
        <v>478</v>
      </c>
      <c r="E48" s="62"/>
      <c r="F48" s="62"/>
      <c r="G48" s="65"/>
      <c r="H48" s="25">
        <f t="shared" si="1"/>
        <v>0</v>
      </c>
      <c r="I48" s="67"/>
    </row>
    <row r="49" spans="2:9">
      <c r="B49" s="59"/>
      <c r="C49" s="252"/>
      <c r="D49" s="62"/>
      <c r="E49" s="62"/>
      <c r="F49" s="62"/>
      <c r="G49" s="65"/>
      <c r="H49" s="25" t="str">
        <f t="shared" si="1"/>
        <v/>
      </c>
      <c r="I49" s="64"/>
    </row>
    <row r="50" spans="2:9">
      <c r="B50" s="59" t="s">
        <v>86</v>
      </c>
      <c r="C50" s="14" t="s">
        <v>479</v>
      </c>
      <c r="D50" s="22" t="s">
        <v>478</v>
      </c>
      <c r="E50" s="15"/>
      <c r="F50" s="15"/>
      <c r="G50" s="65"/>
      <c r="H50" s="25">
        <f t="shared" si="1"/>
        <v>0</v>
      </c>
      <c r="I50" s="18"/>
    </row>
    <row r="51" spans="2:9">
      <c r="B51" s="59"/>
      <c r="C51" s="14"/>
      <c r="D51" s="15"/>
      <c r="E51" s="15"/>
      <c r="F51" s="15"/>
      <c r="G51" s="65"/>
      <c r="H51" s="25" t="str">
        <f t="shared" si="1"/>
        <v/>
      </c>
      <c r="I51" s="18"/>
    </row>
    <row r="52" spans="2:9">
      <c r="B52" s="84" t="s">
        <v>117</v>
      </c>
      <c r="C52" s="14" t="s">
        <v>480</v>
      </c>
      <c r="D52" s="22" t="s">
        <v>478</v>
      </c>
      <c r="E52" s="15"/>
      <c r="F52" s="15"/>
      <c r="G52" s="65"/>
      <c r="H52" s="25">
        <f t="shared" si="1"/>
        <v>0</v>
      </c>
      <c r="I52" s="18"/>
    </row>
    <row r="53" spans="2:9">
      <c r="B53" s="59"/>
      <c r="C53" s="14"/>
      <c r="D53" s="15"/>
      <c r="E53" s="15"/>
      <c r="F53" s="15"/>
      <c r="G53" s="65"/>
      <c r="H53" s="25" t="str">
        <f t="shared" si="1"/>
        <v/>
      </c>
      <c r="I53" s="18"/>
    </row>
    <row r="54" spans="2:9">
      <c r="B54" s="59" t="s">
        <v>481</v>
      </c>
      <c r="C54" s="14" t="s">
        <v>482</v>
      </c>
      <c r="D54" s="22" t="s">
        <v>478</v>
      </c>
      <c r="E54" s="15"/>
      <c r="F54" s="15"/>
      <c r="G54" s="16"/>
      <c r="H54" s="25">
        <f t="shared" si="1"/>
        <v>0</v>
      </c>
      <c r="I54" s="18"/>
    </row>
    <row r="55" spans="2:9">
      <c r="B55" s="48"/>
      <c r="C55" s="14"/>
      <c r="D55" s="15"/>
      <c r="E55" s="15"/>
      <c r="F55" s="15"/>
      <c r="G55" s="16"/>
      <c r="H55" s="17" t="str">
        <f t="shared" ref="H55:H66" si="2">IF(D55="","",F55*G55)</f>
        <v/>
      </c>
    </row>
    <row r="56" spans="2:9">
      <c r="B56" s="59" t="s">
        <v>306</v>
      </c>
      <c r="C56" s="14" t="s">
        <v>483</v>
      </c>
      <c r="D56" s="22" t="s">
        <v>478</v>
      </c>
      <c r="E56" s="15"/>
      <c r="F56" s="15"/>
      <c r="G56" s="16"/>
      <c r="H56" s="17">
        <f t="shared" si="2"/>
        <v>0</v>
      </c>
    </row>
    <row r="57" spans="2:9">
      <c r="B57" s="59"/>
      <c r="C57" s="14"/>
      <c r="D57" s="15"/>
      <c r="E57" s="15"/>
      <c r="F57" s="15"/>
      <c r="G57" s="16"/>
      <c r="H57" s="17" t="str">
        <f t="shared" si="2"/>
        <v/>
      </c>
    </row>
    <row r="58" spans="2:9">
      <c r="B58" s="84" t="s">
        <v>484</v>
      </c>
      <c r="C58" s="14" t="s">
        <v>485</v>
      </c>
      <c r="D58" s="22"/>
      <c r="E58" s="22"/>
      <c r="F58" s="23"/>
      <c r="G58" s="24"/>
      <c r="H58" s="25" t="str">
        <f t="shared" si="2"/>
        <v/>
      </c>
    </row>
    <row r="59" spans="2:9">
      <c r="B59" s="59"/>
      <c r="C59" s="14"/>
      <c r="D59" s="15"/>
      <c r="E59" s="15"/>
      <c r="F59" s="26"/>
      <c r="G59" s="16"/>
      <c r="H59" s="25" t="str">
        <f t="shared" si="2"/>
        <v/>
      </c>
    </row>
    <row r="60" spans="2:9">
      <c r="B60" s="59" t="s">
        <v>83</v>
      </c>
      <c r="C60" s="14" t="s">
        <v>477</v>
      </c>
      <c r="D60" s="22" t="s">
        <v>478</v>
      </c>
      <c r="E60" s="15"/>
      <c r="F60" s="26"/>
      <c r="G60" s="60"/>
      <c r="H60" s="25">
        <f t="shared" si="2"/>
        <v>0</v>
      </c>
    </row>
    <row r="61" spans="2:9">
      <c r="B61" s="59"/>
      <c r="C61" s="14"/>
      <c r="D61" s="15"/>
      <c r="E61" s="15"/>
      <c r="F61" s="26"/>
      <c r="G61" s="16"/>
      <c r="H61" s="25" t="str">
        <f t="shared" si="2"/>
        <v/>
      </c>
    </row>
    <row r="62" spans="2:9">
      <c r="B62" s="48" t="s">
        <v>86</v>
      </c>
      <c r="C62" s="100" t="s">
        <v>479</v>
      </c>
      <c r="D62" s="22" t="s">
        <v>478</v>
      </c>
      <c r="E62" s="62"/>
      <c r="F62" s="26"/>
      <c r="G62" s="63"/>
      <c r="H62" s="25">
        <f t="shared" si="2"/>
        <v>0</v>
      </c>
    </row>
    <row r="63" spans="2:9">
      <c r="B63" s="48"/>
      <c r="C63" s="14"/>
      <c r="D63" s="15"/>
      <c r="E63" s="62"/>
      <c r="F63" s="26"/>
      <c r="G63" s="63"/>
      <c r="H63" s="25" t="str">
        <f t="shared" si="2"/>
        <v/>
      </c>
    </row>
    <row r="64" spans="2:9" s="5" customFormat="1">
      <c r="B64" s="59" t="s">
        <v>117</v>
      </c>
      <c r="C64" s="14" t="s">
        <v>480</v>
      </c>
      <c r="D64" s="22" t="s">
        <v>478</v>
      </c>
      <c r="E64" s="62"/>
      <c r="F64" s="26"/>
      <c r="G64" s="65"/>
      <c r="H64" s="25">
        <f t="shared" si="2"/>
        <v>0</v>
      </c>
    </row>
    <row r="65" spans="2:9" s="5" customFormat="1">
      <c r="B65" s="59"/>
      <c r="C65" s="14"/>
      <c r="D65" s="15"/>
      <c r="E65" s="62"/>
      <c r="F65" s="26"/>
      <c r="G65" s="63"/>
      <c r="H65" s="25" t="str">
        <f t="shared" si="2"/>
        <v/>
      </c>
    </row>
    <row r="66" spans="2:9" s="5" customFormat="1">
      <c r="B66" s="59" t="s">
        <v>119</v>
      </c>
      <c r="C66" s="14" t="s">
        <v>482</v>
      </c>
      <c r="D66" s="22" t="s">
        <v>478</v>
      </c>
      <c r="E66" s="62"/>
      <c r="F66" s="26"/>
      <c r="G66" s="60"/>
      <c r="H66" s="25">
        <f t="shared" si="2"/>
        <v>0</v>
      </c>
    </row>
    <row r="67" spans="2:9" s="5" customFormat="1">
      <c r="B67" s="48"/>
      <c r="C67" s="14"/>
      <c r="D67" s="22"/>
      <c r="E67" s="62"/>
      <c r="F67" s="26"/>
      <c r="G67" s="60"/>
      <c r="H67" s="25"/>
    </row>
    <row r="68" spans="2:9" s="5" customFormat="1">
      <c r="B68" s="59" t="s">
        <v>486</v>
      </c>
      <c r="C68" s="14" t="s">
        <v>483</v>
      </c>
      <c r="D68" s="22" t="s">
        <v>478</v>
      </c>
      <c r="E68" s="15"/>
      <c r="F68" s="26"/>
      <c r="G68" s="16"/>
      <c r="H68" s="25">
        <f t="shared" ref="H68:H110" si="3">IF(D68="","",F68*G68)</f>
        <v>0</v>
      </c>
    </row>
    <row r="69" spans="2:9" s="5" customFormat="1">
      <c r="B69" s="59"/>
      <c r="C69" s="14"/>
      <c r="D69" s="15"/>
      <c r="E69" s="15"/>
      <c r="F69" s="26"/>
      <c r="G69" s="16"/>
      <c r="H69" s="25" t="str">
        <f t="shared" si="3"/>
        <v/>
      </c>
    </row>
    <row r="70" spans="2:9" s="5" customFormat="1" ht="25.5">
      <c r="B70" s="48" t="s">
        <v>487</v>
      </c>
      <c r="C70" s="14" t="s">
        <v>488</v>
      </c>
      <c r="D70" s="22" t="s">
        <v>478</v>
      </c>
      <c r="E70" s="15"/>
      <c r="F70" s="26"/>
      <c r="G70" s="65"/>
      <c r="H70" s="25">
        <f t="shared" si="3"/>
        <v>0</v>
      </c>
    </row>
    <row r="71" spans="2:9" s="5" customFormat="1">
      <c r="B71" s="48"/>
      <c r="C71" s="14"/>
      <c r="D71" s="22"/>
      <c r="E71" s="15"/>
      <c r="F71" s="26"/>
      <c r="G71" s="65"/>
      <c r="H71" s="25" t="str">
        <f t="shared" si="3"/>
        <v/>
      </c>
    </row>
    <row r="72" spans="2:9" s="5" customFormat="1">
      <c r="B72" s="48"/>
      <c r="C72" s="14"/>
      <c r="D72" s="22"/>
      <c r="E72" s="15"/>
      <c r="F72" s="26"/>
      <c r="G72" s="65"/>
      <c r="H72" s="25" t="str">
        <f t="shared" si="3"/>
        <v/>
      </c>
    </row>
    <row r="73" spans="2:9" s="5" customFormat="1">
      <c r="B73" s="48"/>
      <c r="C73" s="14"/>
      <c r="D73" s="22"/>
      <c r="E73" s="15"/>
      <c r="F73" s="26"/>
      <c r="G73" s="65"/>
      <c r="H73" s="25" t="str">
        <f t="shared" si="3"/>
        <v/>
      </c>
    </row>
    <row r="74" spans="2:9" s="5" customFormat="1">
      <c r="B74" s="59"/>
      <c r="C74" s="14"/>
      <c r="D74" s="15"/>
      <c r="E74" s="15"/>
      <c r="F74" s="26"/>
      <c r="G74" s="65"/>
      <c r="H74" s="25" t="str">
        <f t="shared" si="3"/>
        <v/>
      </c>
    </row>
    <row r="75" spans="2:9" s="28" customFormat="1" ht="20.100000000000001" customHeight="1">
      <c r="B75" s="101" t="str">
        <f>$B$10</f>
        <v>C2.3</v>
      </c>
      <c r="C75" s="29" t="s">
        <v>99</v>
      </c>
      <c r="D75" s="30"/>
      <c r="E75" s="30"/>
      <c r="F75" s="31"/>
      <c r="G75" s="30"/>
      <c r="H75" s="32">
        <f>SUM(H9:H74)</f>
        <v>0</v>
      </c>
      <c r="I75" s="33"/>
    </row>
    <row r="76" spans="2:9">
      <c r="B76" s="736" t="str">
        <f>Client1</f>
        <v>AIRPORTS COMPANY - SOUTH AFRICA</v>
      </c>
      <c r="C76" s="736"/>
      <c r="D76" s="736"/>
      <c r="E76" s="736"/>
      <c r="F76" s="737" t="str">
        <f>"Contract No. "&amp;ContractNo</f>
        <v>Contract No. KSIA7806/2025/RFP</v>
      </c>
      <c r="G76" s="737"/>
      <c r="H76" s="737"/>
    </row>
    <row r="77" spans="2:9">
      <c r="B77" s="736" t="str">
        <f>Client2</f>
        <v>ACSA</v>
      </c>
      <c r="C77" s="736"/>
      <c r="D77" s="736"/>
      <c r="E77" s="736"/>
      <c r="F77" s="737"/>
      <c r="G77" s="737"/>
      <c r="H77" s="737"/>
    </row>
    <row r="78" spans="2:9">
      <c r="B78" s="739"/>
      <c r="C78" s="739"/>
      <c r="D78" s="739"/>
      <c r="E78" s="739"/>
      <c r="F78" s="738"/>
      <c r="G78" s="738"/>
      <c r="H78" s="738"/>
    </row>
    <row r="79" spans="2:9">
      <c r="B79" s="695" t="s">
        <v>456</v>
      </c>
      <c r="C79" s="696"/>
      <c r="D79" s="696"/>
      <c r="E79" s="696"/>
      <c r="F79" s="696"/>
      <c r="G79" s="696"/>
      <c r="H79" s="740" t="str">
        <f>$H$4</f>
        <v>CHAPTER C2.3</v>
      </c>
      <c r="I79" s="6"/>
    </row>
    <row r="80" spans="2:9">
      <c r="B80" s="690" t="str">
        <f>ContractDescription</f>
        <v>PROCUREMENT OF A CIDB GRADE 9 CE CONTRACTOR THE COMPLETION OF BRAVO TAXIWAY EXTENSION AT KING SHAKA INTERNATIONAL AIRPORT FOR A PERIOD OF 12 MONTHS AT KING SHAKA INTERNATIONAL AIRPORT</v>
      </c>
      <c r="C80" s="691"/>
      <c r="D80" s="691"/>
      <c r="E80" s="691"/>
      <c r="F80" s="691"/>
      <c r="G80" s="691"/>
      <c r="H80" s="737"/>
      <c r="I80" s="8"/>
    </row>
    <row r="81" spans="2:9">
      <c r="B81" s="690"/>
      <c r="C81" s="691"/>
      <c r="D81" s="691"/>
      <c r="E81" s="691"/>
      <c r="F81" s="691"/>
      <c r="G81" s="691"/>
      <c r="H81" s="737"/>
      <c r="I81" s="8"/>
    </row>
    <row r="82" spans="2:9">
      <c r="B82" s="692"/>
      <c r="C82" s="693"/>
      <c r="D82" s="693"/>
      <c r="E82" s="693"/>
      <c r="F82" s="693"/>
      <c r="G82" s="693"/>
      <c r="H82" s="738"/>
      <c r="I82" s="8"/>
    </row>
    <row r="83" spans="2:9" s="9" customFormat="1" ht="24.95" customHeight="1">
      <c r="B83" s="70" t="s">
        <v>11</v>
      </c>
      <c r="C83" s="11" t="s">
        <v>12</v>
      </c>
      <c r="D83" s="11" t="s">
        <v>13</v>
      </c>
      <c r="E83" s="11" t="s">
        <v>14</v>
      </c>
      <c r="F83" s="11" t="s">
        <v>15</v>
      </c>
      <c r="G83" s="11" t="s">
        <v>16</v>
      </c>
      <c r="H83" s="11" t="s">
        <v>17</v>
      </c>
      <c r="I83" s="12"/>
    </row>
    <row r="84" spans="2:9" s="28" customFormat="1" ht="20.100000000000001" customHeight="1">
      <c r="B84" s="74"/>
      <c r="C84" s="29" t="s">
        <v>140</v>
      </c>
      <c r="D84" s="30"/>
      <c r="E84" s="30"/>
      <c r="F84" s="31"/>
      <c r="G84" s="30"/>
      <c r="H84" s="32">
        <f>H75</f>
        <v>0</v>
      </c>
      <c r="I84" s="33"/>
    </row>
    <row r="85" spans="2:9" s="5" customFormat="1">
      <c r="B85" s="59"/>
      <c r="C85" s="14"/>
      <c r="D85" s="15"/>
      <c r="E85" s="15"/>
      <c r="F85" s="26"/>
      <c r="G85" s="65"/>
      <c r="H85" s="25"/>
    </row>
    <row r="86" spans="2:9" s="5" customFormat="1" ht="25.5">
      <c r="B86" s="48" t="s">
        <v>489</v>
      </c>
      <c r="C86" s="14" t="s">
        <v>490</v>
      </c>
      <c r="D86" s="22"/>
      <c r="E86" s="15"/>
      <c r="F86" s="26"/>
      <c r="G86" s="60"/>
      <c r="H86" s="25" t="str">
        <f t="shared" si="3"/>
        <v/>
      </c>
    </row>
    <row r="87" spans="2:9" s="5" customFormat="1">
      <c r="B87" s="59"/>
      <c r="C87" s="14"/>
      <c r="D87" s="15"/>
      <c r="E87" s="15"/>
      <c r="F87" s="26"/>
      <c r="G87" s="27"/>
      <c r="H87" s="25" t="str">
        <f t="shared" si="3"/>
        <v/>
      </c>
    </row>
    <row r="88" spans="2:9" s="5" customFormat="1">
      <c r="B88" s="48" t="s">
        <v>491</v>
      </c>
      <c r="C88" s="14" t="s">
        <v>492</v>
      </c>
      <c r="D88" s="22" t="s">
        <v>478</v>
      </c>
      <c r="E88" s="15"/>
      <c r="F88" s="26"/>
      <c r="G88" s="27"/>
      <c r="H88" s="25">
        <f t="shared" si="3"/>
        <v>0</v>
      </c>
    </row>
    <row r="89" spans="2:9" s="5" customFormat="1">
      <c r="B89" s="59"/>
      <c r="C89" s="14"/>
      <c r="D89" s="15"/>
      <c r="E89" s="15"/>
      <c r="F89" s="26"/>
      <c r="G89" s="27"/>
      <c r="H89" s="25" t="str">
        <f t="shared" si="3"/>
        <v/>
      </c>
    </row>
    <row r="90" spans="2:9" s="5" customFormat="1">
      <c r="B90" s="48" t="s">
        <v>493</v>
      </c>
      <c r="C90" s="14" t="s">
        <v>494</v>
      </c>
      <c r="D90" s="22" t="s">
        <v>478</v>
      </c>
      <c r="E90" s="15"/>
      <c r="F90" s="26"/>
      <c r="G90" s="65"/>
      <c r="H90" s="25">
        <f t="shared" si="3"/>
        <v>0</v>
      </c>
    </row>
    <row r="91" spans="2:9" s="5" customFormat="1">
      <c r="B91" s="59"/>
      <c r="C91" s="14"/>
      <c r="D91" s="15"/>
      <c r="E91" s="15"/>
      <c r="F91" s="26"/>
      <c r="G91" s="27"/>
      <c r="H91" s="25" t="str">
        <f t="shared" si="3"/>
        <v/>
      </c>
    </row>
    <row r="92" spans="2:9" s="5" customFormat="1" ht="25.5">
      <c r="B92" s="48" t="s">
        <v>495</v>
      </c>
      <c r="C92" s="14" t="s">
        <v>496</v>
      </c>
      <c r="D92" s="22"/>
      <c r="E92" s="15"/>
      <c r="F92" s="26"/>
      <c r="G92" s="60"/>
      <c r="H92" s="25" t="str">
        <f t="shared" si="3"/>
        <v/>
      </c>
    </row>
    <row r="93" spans="2:9" s="5" customFormat="1">
      <c r="B93" s="59"/>
      <c r="C93" s="14"/>
      <c r="D93" s="15"/>
      <c r="E93" s="15"/>
      <c r="F93" s="15"/>
      <c r="G93" s="16"/>
      <c r="H93" s="25" t="str">
        <f t="shared" si="3"/>
        <v/>
      </c>
    </row>
    <row r="94" spans="2:9" s="5" customFormat="1">
      <c r="B94" s="48" t="s">
        <v>497</v>
      </c>
      <c r="C94" s="252" t="s">
        <v>498</v>
      </c>
      <c r="D94" s="62"/>
      <c r="E94" s="15"/>
      <c r="F94" s="15"/>
      <c r="G94" s="65"/>
      <c r="H94" s="25" t="str">
        <f t="shared" si="3"/>
        <v/>
      </c>
    </row>
    <row r="95" spans="2:9" s="5" customFormat="1">
      <c r="B95" s="59"/>
      <c r="C95" s="252"/>
      <c r="D95" s="62"/>
      <c r="E95" s="15"/>
      <c r="F95" s="15"/>
      <c r="G95" s="65"/>
      <c r="H95" s="25" t="str">
        <f t="shared" si="3"/>
        <v/>
      </c>
    </row>
    <row r="96" spans="2:9" s="5" customFormat="1">
      <c r="B96" s="59" t="s">
        <v>83</v>
      </c>
      <c r="C96" s="14" t="s">
        <v>499</v>
      </c>
      <c r="D96" s="22" t="s">
        <v>85</v>
      </c>
      <c r="E96" s="15"/>
      <c r="F96" s="15"/>
      <c r="G96" s="65"/>
      <c r="H96" s="25">
        <f t="shared" si="3"/>
        <v>0</v>
      </c>
    </row>
    <row r="97" spans="2:8" s="5" customFormat="1">
      <c r="B97" s="59"/>
      <c r="C97" s="14"/>
      <c r="D97" s="15"/>
      <c r="E97" s="15"/>
      <c r="F97" s="15"/>
      <c r="G97" s="65"/>
      <c r="H97" s="25" t="str">
        <f t="shared" si="3"/>
        <v/>
      </c>
    </row>
    <row r="98" spans="2:8" s="5" customFormat="1">
      <c r="B98" s="84" t="s">
        <v>86</v>
      </c>
      <c r="C98" s="14" t="s">
        <v>499</v>
      </c>
      <c r="D98" s="22" t="s">
        <v>85</v>
      </c>
      <c r="E98" s="15"/>
      <c r="F98" s="15"/>
      <c r="G98" s="66"/>
      <c r="H98" s="25">
        <f t="shared" si="3"/>
        <v>0</v>
      </c>
    </row>
    <row r="99" spans="2:8" s="5" customFormat="1">
      <c r="B99" s="59"/>
      <c r="C99" s="14"/>
      <c r="D99" s="15"/>
      <c r="E99" s="15"/>
      <c r="F99" s="15"/>
      <c r="G99" s="65"/>
      <c r="H99" s="25" t="str">
        <f t="shared" si="3"/>
        <v/>
      </c>
    </row>
    <row r="100" spans="2:8" s="5" customFormat="1" ht="25.5">
      <c r="B100" s="48" t="s">
        <v>500</v>
      </c>
      <c r="C100" s="100" t="s">
        <v>501</v>
      </c>
      <c r="D100" s="62"/>
      <c r="E100" s="15"/>
      <c r="F100" s="15"/>
      <c r="G100" s="65"/>
      <c r="H100" s="25" t="str">
        <f t="shared" si="3"/>
        <v/>
      </c>
    </row>
    <row r="101" spans="2:8" s="5" customFormat="1">
      <c r="B101" s="59"/>
      <c r="C101" s="252"/>
      <c r="D101" s="62"/>
      <c r="E101" s="15"/>
      <c r="F101" s="15"/>
      <c r="G101" s="65"/>
      <c r="H101" s="25" t="str">
        <f t="shared" si="3"/>
        <v/>
      </c>
    </row>
    <row r="102" spans="2:8" s="5" customFormat="1">
      <c r="B102" s="59" t="s">
        <v>83</v>
      </c>
      <c r="C102" s="14" t="s">
        <v>499</v>
      </c>
      <c r="D102" s="22" t="s">
        <v>85</v>
      </c>
      <c r="E102" s="62"/>
      <c r="F102" s="62"/>
      <c r="G102" s="65"/>
      <c r="H102" s="25">
        <f t="shared" si="3"/>
        <v>0</v>
      </c>
    </row>
    <row r="103" spans="2:8" s="5" customFormat="1">
      <c r="B103" s="59"/>
      <c r="C103" s="14"/>
      <c r="D103" s="15"/>
      <c r="E103" s="15"/>
      <c r="F103" s="15"/>
      <c r="G103" s="65"/>
      <c r="H103" s="25" t="str">
        <f t="shared" si="3"/>
        <v/>
      </c>
    </row>
    <row r="104" spans="2:8" s="5" customFormat="1">
      <c r="B104" s="84" t="s">
        <v>86</v>
      </c>
      <c r="C104" s="14" t="s">
        <v>499</v>
      </c>
      <c r="D104" s="22" t="s">
        <v>85</v>
      </c>
      <c r="E104" s="62"/>
      <c r="F104" s="62"/>
      <c r="G104" s="65"/>
      <c r="H104" s="25">
        <f t="shared" si="3"/>
        <v>0</v>
      </c>
    </row>
    <row r="105" spans="2:8" s="5" customFormat="1">
      <c r="B105" s="59"/>
      <c r="C105" s="252"/>
      <c r="D105" s="62"/>
      <c r="E105" s="62"/>
      <c r="F105" s="62"/>
      <c r="G105" s="65"/>
      <c r="H105" s="25" t="str">
        <f t="shared" si="3"/>
        <v/>
      </c>
    </row>
    <row r="106" spans="2:8" s="5" customFormat="1" ht="25.5">
      <c r="B106" s="48" t="s">
        <v>502</v>
      </c>
      <c r="C106" s="100" t="s">
        <v>503</v>
      </c>
      <c r="D106" s="62"/>
      <c r="E106" s="15"/>
      <c r="F106" s="15"/>
      <c r="G106" s="65"/>
      <c r="H106" s="25" t="str">
        <f t="shared" si="3"/>
        <v/>
      </c>
    </row>
    <row r="107" spans="2:8" s="5" customFormat="1">
      <c r="B107" s="59"/>
      <c r="C107" s="252"/>
      <c r="D107" s="62"/>
      <c r="E107" s="15"/>
      <c r="F107" s="15"/>
      <c r="G107" s="65"/>
      <c r="H107" s="25" t="str">
        <f t="shared" si="3"/>
        <v/>
      </c>
    </row>
    <row r="108" spans="2:8" s="5" customFormat="1">
      <c r="B108" s="59" t="s">
        <v>83</v>
      </c>
      <c r="C108" s="14" t="s">
        <v>499</v>
      </c>
      <c r="D108" s="22" t="s">
        <v>85</v>
      </c>
      <c r="E108" s="15"/>
      <c r="F108" s="15"/>
      <c r="G108" s="65"/>
      <c r="H108" s="25">
        <f t="shared" si="3"/>
        <v>0</v>
      </c>
    </row>
    <row r="109" spans="2:8" s="5" customFormat="1">
      <c r="B109" s="59"/>
      <c r="C109" s="14"/>
      <c r="D109" s="15"/>
      <c r="E109" s="15"/>
      <c r="F109" s="15"/>
      <c r="G109" s="65"/>
      <c r="H109" s="25" t="str">
        <f t="shared" si="3"/>
        <v/>
      </c>
    </row>
    <row r="110" spans="2:8" s="5" customFormat="1">
      <c r="B110" s="84" t="s">
        <v>86</v>
      </c>
      <c r="C110" s="14" t="s">
        <v>499</v>
      </c>
      <c r="D110" s="22" t="s">
        <v>85</v>
      </c>
      <c r="E110" s="15"/>
      <c r="F110" s="15"/>
      <c r="G110" s="16"/>
      <c r="H110" s="25">
        <f t="shared" si="3"/>
        <v>0</v>
      </c>
    </row>
    <row r="111" spans="2:8" s="5" customFormat="1">
      <c r="B111" s="48"/>
      <c r="C111" s="14"/>
      <c r="D111" s="15"/>
      <c r="E111" s="15"/>
      <c r="F111" s="15"/>
      <c r="G111" s="16"/>
      <c r="H111" s="17" t="str">
        <f t="shared" ref="H111:H122" si="4">IF(D111="","",F111*G111)</f>
        <v/>
      </c>
    </row>
    <row r="112" spans="2:8" s="5" customFormat="1" ht="25.5">
      <c r="B112" s="48" t="s">
        <v>504</v>
      </c>
      <c r="C112" s="100" t="s">
        <v>505</v>
      </c>
      <c r="D112" s="15"/>
      <c r="E112" s="15"/>
      <c r="F112" s="15"/>
      <c r="G112" s="16"/>
      <c r="H112" s="17" t="str">
        <f t="shared" si="4"/>
        <v/>
      </c>
    </row>
    <row r="113" spans="2:8" s="5" customFormat="1">
      <c r="B113" s="48"/>
      <c r="C113" s="14"/>
      <c r="D113" s="15"/>
      <c r="E113" s="15"/>
      <c r="F113" s="15"/>
      <c r="G113" s="16"/>
      <c r="H113" s="17" t="str">
        <f t="shared" si="4"/>
        <v/>
      </c>
    </row>
    <row r="114" spans="2:8" s="5" customFormat="1">
      <c r="B114" s="59" t="s">
        <v>83</v>
      </c>
      <c r="C114" s="14" t="s">
        <v>506</v>
      </c>
      <c r="D114" s="22" t="s">
        <v>85</v>
      </c>
      <c r="E114" s="15"/>
      <c r="F114" s="15"/>
      <c r="G114" s="16"/>
      <c r="H114" s="17">
        <f t="shared" si="4"/>
        <v>0</v>
      </c>
    </row>
    <row r="115" spans="2:8" s="5" customFormat="1">
      <c r="B115" s="59"/>
      <c r="C115" s="14"/>
      <c r="D115" s="15"/>
      <c r="E115" s="15"/>
      <c r="F115" s="15"/>
      <c r="G115" s="16"/>
      <c r="H115" s="17" t="str">
        <f t="shared" si="4"/>
        <v/>
      </c>
    </row>
    <row r="116" spans="2:8" s="5" customFormat="1">
      <c r="B116" s="84" t="s">
        <v>86</v>
      </c>
      <c r="C116" s="14" t="s">
        <v>506</v>
      </c>
      <c r="D116" s="22" t="s">
        <v>85</v>
      </c>
      <c r="E116" s="22"/>
      <c r="F116" s="23"/>
      <c r="G116" s="24"/>
      <c r="H116" s="25">
        <f t="shared" si="4"/>
        <v>0</v>
      </c>
    </row>
    <row r="117" spans="2:8" s="5" customFormat="1">
      <c r="B117" s="59"/>
      <c r="C117" s="14"/>
      <c r="D117" s="15"/>
      <c r="E117" s="15"/>
      <c r="F117" s="26"/>
      <c r="G117" s="16"/>
      <c r="H117" s="25" t="str">
        <f t="shared" si="4"/>
        <v/>
      </c>
    </row>
    <row r="118" spans="2:8" s="5" customFormat="1" ht="25.5">
      <c r="B118" s="48" t="s">
        <v>495</v>
      </c>
      <c r="C118" s="14" t="s">
        <v>496</v>
      </c>
      <c r="D118" s="22"/>
      <c r="E118" s="15"/>
      <c r="F118" s="26"/>
      <c r="G118" s="60"/>
      <c r="H118" s="25" t="str">
        <f t="shared" si="4"/>
        <v/>
      </c>
    </row>
    <row r="119" spans="2:8" s="5" customFormat="1">
      <c r="B119" s="59"/>
      <c r="C119" s="14"/>
      <c r="D119" s="15"/>
      <c r="E119" s="15"/>
      <c r="F119" s="26"/>
      <c r="G119" s="16"/>
      <c r="H119" s="25" t="str">
        <f t="shared" si="4"/>
        <v/>
      </c>
    </row>
    <row r="120" spans="2:8" s="5" customFormat="1" ht="25.5">
      <c r="B120" s="48" t="s">
        <v>507</v>
      </c>
      <c r="C120" s="100" t="s">
        <v>508</v>
      </c>
      <c r="D120" s="22" t="s">
        <v>478</v>
      </c>
      <c r="E120" s="62"/>
      <c r="F120" s="26"/>
      <c r="G120" s="63"/>
      <c r="H120" s="25">
        <f t="shared" si="4"/>
        <v>0</v>
      </c>
    </row>
    <row r="121" spans="2:8" s="5" customFormat="1">
      <c r="B121" s="48"/>
      <c r="C121" s="14"/>
      <c r="D121" s="15"/>
      <c r="E121" s="62"/>
      <c r="F121" s="26"/>
      <c r="G121" s="63"/>
      <c r="H121" s="25" t="str">
        <f t="shared" si="4"/>
        <v/>
      </c>
    </row>
    <row r="122" spans="2:8" s="5" customFormat="1">
      <c r="B122" s="48" t="s">
        <v>83</v>
      </c>
      <c r="C122" s="100" t="s">
        <v>499</v>
      </c>
      <c r="D122" s="22" t="s">
        <v>85</v>
      </c>
      <c r="E122" s="62"/>
      <c r="F122" s="26"/>
      <c r="G122" s="65"/>
      <c r="H122" s="25">
        <f t="shared" si="4"/>
        <v>0</v>
      </c>
    </row>
    <row r="123" spans="2:8" s="5" customFormat="1">
      <c r="B123" s="48"/>
      <c r="C123" s="100"/>
      <c r="D123" s="22"/>
      <c r="E123" s="62"/>
      <c r="F123" s="26"/>
      <c r="G123" s="65"/>
      <c r="H123" s="25"/>
    </row>
    <row r="124" spans="2:8" s="5" customFormat="1">
      <c r="B124" s="48" t="s">
        <v>86</v>
      </c>
      <c r="C124" s="100" t="s">
        <v>499</v>
      </c>
      <c r="D124" s="22" t="s">
        <v>85</v>
      </c>
      <c r="E124" s="62"/>
      <c r="F124" s="26"/>
      <c r="G124" s="65"/>
      <c r="H124" s="25"/>
    </row>
    <row r="125" spans="2:8" s="5" customFormat="1">
      <c r="B125" s="59"/>
      <c r="C125" s="14"/>
      <c r="D125" s="15"/>
      <c r="E125" s="62"/>
      <c r="F125" s="26"/>
      <c r="G125" s="63"/>
      <c r="H125" s="25" t="str">
        <f t="shared" ref="H125:H169" si="5">IF(D125="","",F125*G125)</f>
        <v/>
      </c>
    </row>
    <row r="126" spans="2:8" s="5" customFormat="1" ht="25.5">
      <c r="B126" s="48" t="s">
        <v>509</v>
      </c>
      <c r="C126" s="14" t="s">
        <v>510</v>
      </c>
      <c r="D126" s="22" t="s">
        <v>478</v>
      </c>
      <c r="E126" s="62"/>
      <c r="F126" s="26"/>
      <c r="G126" s="60"/>
      <c r="H126" s="25">
        <f t="shared" si="5"/>
        <v>0</v>
      </c>
    </row>
    <row r="127" spans="2:8" s="5" customFormat="1">
      <c r="B127" s="59"/>
      <c r="C127" s="14"/>
      <c r="D127" s="15"/>
      <c r="E127" s="62"/>
      <c r="F127" s="26"/>
      <c r="G127" s="63"/>
      <c r="H127" s="25" t="str">
        <f t="shared" si="5"/>
        <v/>
      </c>
    </row>
    <row r="128" spans="2:8" s="5" customFormat="1" ht="16.5" customHeight="1">
      <c r="B128" s="48" t="s">
        <v>511</v>
      </c>
      <c r="C128" s="14" t="s">
        <v>512</v>
      </c>
      <c r="D128" s="22" t="s">
        <v>85</v>
      </c>
      <c r="E128" s="15"/>
      <c r="F128" s="26"/>
      <c r="G128" s="16"/>
      <c r="H128" s="25">
        <f t="shared" si="5"/>
        <v>0</v>
      </c>
    </row>
    <row r="129" spans="2:9" s="5" customFormat="1">
      <c r="B129" s="59"/>
      <c r="C129" s="14"/>
      <c r="D129" s="15"/>
      <c r="E129" s="15"/>
      <c r="F129" s="26"/>
      <c r="G129" s="16"/>
      <c r="H129" s="25" t="str">
        <f t="shared" si="5"/>
        <v/>
      </c>
    </row>
    <row r="130" spans="2:9" s="5" customFormat="1" ht="16.5" customHeight="1">
      <c r="B130" s="48" t="s">
        <v>513</v>
      </c>
      <c r="C130" s="14" t="s">
        <v>512</v>
      </c>
      <c r="D130" s="22" t="s">
        <v>85</v>
      </c>
      <c r="E130" s="15"/>
      <c r="F130" s="26"/>
      <c r="G130" s="65"/>
      <c r="H130" s="25">
        <f t="shared" si="5"/>
        <v>0</v>
      </c>
    </row>
    <row r="131" spans="2:9" s="5" customFormat="1">
      <c r="B131" s="59"/>
      <c r="C131" s="14"/>
      <c r="D131" s="15"/>
      <c r="E131" s="15"/>
      <c r="F131" s="26"/>
      <c r="G131" s="65"/>
      <c r="H131" s="25" t="str">
        <f t="shared" si="5"/>
        <v/>
      </c>
    </row>
    <row r="132" spans="2:9" s="5" customFormat="1" ht="16.5" customHeight="1">
      <c r="B132" s="48" t="s">
        <v>514</v>
      </c>
      <c r="C132" s="14" t="s">
        <v>512</v>
      </c>
      <c r="D132" s="22" t="s">
        <v>85</v>
      </c>
      <c r="E132" s="15"/>
      <c r="F132" s="26"/>
      <c r="G132" s="60"/>
      <c r="H132" s="25">
        <f t="shared" si="5"/>
        <v>0</v>
      </c>
    </row>
    <row r="133" spans="2:9" s="5" customFormat="1">
      <c r="B133" s="59"/>
      <c r="C133" s="14"/>
      <c r="D133" s="15"/>
      <c r="E133" s="15"/>
      <c r="F133" s="26"/>
      <c r="G133" s="27"/>
      <c r="H133" s="25" t="str">
        <f t="shared" si="5"/>
        <v/>
      </c>
    </row>
    <row r="134" spans="2:9" s="5" customFormat="1">
      <c r="B134" s="48" t="s">
        <v>515</v>
      </c>
      <c r="C134" s="14" t="s">
        <v>516</v>
      </c>
      <c r="D134" s="22" t="s">
        <v>85</v>
      </c>
      <c r="E134" s="15"/>
      <c r="F134" s="26"/>
      <c r="G134" s="27"/>
      <c r="H134" s="25">
        <f t="shared" si="5"/>
        <v>0</v>
      </c>
    </row>
    <row r="135" spans="2:9" s="5" customFormat="1">
      <c r="B135" s="48"/>
      <c r="C135" s="14"/>
      <c r="D135" s="22"/>
      <c r="E135" s="15"/>
      <c r="F135" s="26"/>
      <c r="G135" s="27"/>
      <c r="H135" s="25"/>
    </row>
    <row r="136" spans="2:9" s="5" customFormat="1">
      <c r="B136" s="48"/>
      <c r="C136" s="14"/>
      <c r="D136" s="22"/>
      <c r="E136" s="15"/>
      <c r="F136" s="26"/>
      <c r="G136" s="27"/>
      <c r="H136" s="25"/>
    </row>
    <row r="137" spans="2:9" s="5" customFormat="1">
      <c r="B137" s="48"/>
      <c r="C137" s="14"/>
      <c r="D137" s="22"/>
      <c r="E137" s="15"/>
      <c r="F137" s="26"/>
      <c r="G137" s="27"/>
      <c r="H137" s="25"/>
    </row>
    <row r="138" spans="2:9" s="28" customFormat="1" ht="20.100000000000001" customHeight="1">
      <c r="B138" s="101" t="str">
        <f>$B$10</f>
        <v>C2.3</v>
      </c>
      <c r="C138" s="29" t="s">
        <v>99</v>
      </c>
      <c r="D138" s="30"/>
      <c r="E138" s="30"/>
      <c r="F138" s="31"/>
      <c r="G138" s="30"/>
      <c r="H138" s="32">
        <f>SUM(H84:H137)</f>
        <v>0</v>
      </c>
      <c r="I138" s="33"/>
    </row>
    <row r="139" spans="2:9">
      <c r="B139" s="736" t="str">
        <f>Client1</f>
        <v>AIRPORTS COMPANY - SOUTH AFRICA</v>
      </c>
      <c r="C139" s="736"/>
      <c r="D139" s="736"/>
      <c r="E139" s="736"/>
      <c r="F139" s="737" t="str">
        <f>"Contract No. "&amp;ContractNo</f>
        <v>Contract No. KSIA7806/2025/RFP</v>
      </c>
      <c r="G139" s="737"/>
      <c r="H139" s="737"/>
    </row>
    <row r="140" spans="2:9">
      <c r="B140" s="736" t="str">
        <f>Client2</f>
        <v>ACSA</v>
      </c>
      <c r="C140" s="736"/>
      <c r="D140" s="736"/>
      <c r="E140" s="736"/>
      <c r="F140" s="737"/>
      <c r="G140" s="737"/>
      <c r="H140" s="737"/>
    </row>
    <row r="141" spans="2:9">
      <c r="B141" s="739"/>
      <c r="C141" s="739"/>
      <c r="D141" s="739"/>
      <c r="E141" s="739"/>
      <c r="F141" s="738"/>
      <c r="G141" s="738"/>
      <c r="H141" s="738"/>
    </row>
    <row r="142" spans="2:9">
      <c r="B142" s="695" t="s">
        <v>456</v>
      </c>
      <c r="C142" s="696"/>
      <c r="D142" s="696"/>
      <c r="E142" s="696"/>
      <c r="F142" s="696"/>
      <c r="G142" s="696"/>
      <c r="H142" s="740" t="str">
        <f>$H$4</f>
        <v>CHAPTER C2.3</v>
      </c>
      <c r="I142" s="6"/>
    </row>
    <row r="143" spans="2:9">
      <c r="B143" s="690" t="str">
        <f>ContractDescription</f>
        <v>PROCUREMENT OF A CIDB GRADE 9 CE CONTRACTOR THE COMPLETION OF BRAVO TAXIWAY EXTENSION AT KING SHAKA INTERNATIONAL AIRPORT FOR A PERIOD OF 12 MONTHS AT KING SHAKA INTERNATIONAL AIRPORT</v>
      </c>
      <c r="C143" s="691"/>
      <c r="D143" s="691"/>
      <c r="E143" s="691"/>
      <c r="F143" s="691"/>
      <c r="G143" s="691"/>
      <c r="H143" s="737"/>
      <c r="I143" s="8"/>
    </row>
    <row r="144" spans="2:9">
      <c r="B144" s="690"/>
      <c r="C144" s="691"/>
      <c r="D144" s="691"/>
      <c r="E144" s="691"/>
      <c r="F144" s="691"/>
      <c r="G144" s="691"/>
      <c r="H144" s="737"/>
      <c r="I144" s="8"/>
    </row>
    <row r="145" spans="2:9">
      <c r="B145" s="692"/>
      <c r="C145" s="693"/>
      <c r="D145" s="693"/>
      <c r="E145" s="693"/>
      <c r="F145" s="693"/>
      <c r="G145" s="693"/>
      <c r="H145" s="738"/>
      <c r="I145" s="8"/>
    </row>
    <row r="146" spans="2:9" s="9" customFormat="1" ht="24.95" customHeight="1">
      <c r="B146" s="70" t="s">
        <v>11</v>
      </c>
      <c r="C146" s="11" t="s">
        <v>12</v>
      </c>
      <c r="D146" s="11" t="s">
        <v>13</v>
      </c>
      <c r="E146" s="11" t="s">
        <v>14</v>
      </c>
      <c r="F146" s="11" t="s">
        <v>15</v>
      </c>
      <c r="G146" s="11" t="s">
        <v>16</v>
      </c>
      <c r="H146" s="11" t="s">
        <v>17</v>
      </c>
      <c r="I146" s="12"/>
    </row>
    <row r="147" spans="2:9" s="28" customFormat="1" ht="20.100000000000001" customHeight="1">
      <c r="B147" s="74"/>
      <c r="C147" s="29" t="s">
        <v>140</v>
      </c>
      <c r="D147" s="30"/>
      <c r="E147" s="30"/>
      <c r="F147" s="31"/>
      <c r="G147" s="30"/>
      <c r="H147" s="32">
        <f>H138</f>
        <v>0</v>
      </c>
      <c r="I147" s="33"/>
    </row>
    <row r="148" spans="2:9" s="5" customFormat="1">
      <c r="B148" s="48"/>
      <c r="C148" s="14"/>
      <c r="D148" s="22"/>
      <c r="E148" s="15"/>
      <c r="F148" s="26"/>
      <c r="G148" s="27"/>
      <c r="H148" s="25"/>
    </row>
    <row r="149" spans="2:9" s="5" customFormat="1" ht="25.5">
      <c r="B149" s="48" t="s">
        <v>517</v>
      </c>
      <c r="C149" s="14" t="s">
        <v>518</v>
      </c>
      <c r="D149" s="22"/>
      <c r="E149" s="15"/>
      <c r="F149" s="26"/>
      <c r="G149" s="65"/>
      <c r="H149" s="25" t="str">
        <f t="shared" si="5"/>
        <v/>
      </c>
    </row>
    <row r="150" spans="2:9" s="5" customFormat="1">
      <c r="B150" s="59"/>
      <c r="C150" s="14"/>
      <c r="D150" s="15"/>
      <c r="E150" s="15"/>
      <c r="F150" s="26"/>
      <c r="G150" s="27"/>
      <c r="H150" s="25" t="str">
        <f t="shared" si="5"/>
        <v/>
      </c>
    </row>
    <row r="151" spans="2:9" s="5" customFormat="1">
      <c r="B151" s="48" t="s">
        <v>519</v>
      </c>
      <c r="C151" s="14" t="s">
        <v>520</v>
      </c>
      <c r="D151" s="22" t="s">
        <v>85</v>
      </c>
      <c r="E151" s="15"/>
      <c r="F151" s="26"/>
      <c r="G151" s="60"/>
      <c r="H151" s="25">
        <f t="shared" si="5"/>
        <v>0</v>
      </c>
    </row>
    <row r="152" spans="2:9" s="5" customFormat="1">
      <c r="B152" s="59"/>
      <c r="C152" s="14"/>
      <c r="D152" s="15"/>
      <c r="E152" s="15"/>
      <c r="F152" s="15"/>
      <c r="G152" s="16"/>
      <c r="H152" s="25" t="str">
        <f t="shared" si="5"/>
        <v/>
      </c>
    </row>
    <row r="153" spans="2:9" s="5" customFormat="1">
      <c r="B153" s="48" t="s">
        <v>521</v>
      </c>
      <c r="C153" s="14" t="s">
        <v>520</v>
      </c>
      <c r="D153" s="22" t="s">
        <v>478</v>
      </c>
      <c r="E153" s="15"/>
      <c r="F153" s="15"/>
      <c r="G153" s="65"/>
      <c r="H153" s="25">
        <f t="shared" si="5"/>
        <v>0</v>
      </c>
    </row>
    <row r="154" spans="2:9" s="5" customFormat="1">
      <c r="B154" s="59"/>
      <c r="C154" s="14"/>
      <c r="D154" s="15"/>
      <c r="E154" s="15"/>
      <c r="F154" s="15"/>
      <c r="G154" s="65"/>
      <c r="H154" s="25" t="str">
        <f t="shared" si="5"/>
        <v/>
      </c>
    </row>
    <row r="155" spans="2:9" s="5" customFormat="1">
      <c r="B155" s="48" t="s">
        <v>522</v>
      </c>
      <c r="C155" s="14" t="s">
        <v>523</v>
      </c>
      <c r="D155" s="22" t="s">
        <v>85</v>
      </c>
      <c r="E155" s="15"/>
      <c r="F155" s="15"/>
      <c r="G155" s="65"/>
      <c r="H155" s="25">
        <f t="shared" si="5"/>
        <v>0</v>
      </c>
    </row>
    <row r="156" spans="2:9" s="5" customFormat="1">
      <c r="B156" s="59"/>
      <c r="C156" s="14"/>
      <c r="D156" s="15"/>
      <c r="E156" s="15"/>
      <c r="F156" s="15"/>
      <c r="G156" s="65"/>
      <c r="H156" s="25" t="str">
        <f t="shared" si="5"/>
        <v/>
      </c>
    </row>
    <row r="157" spans="2:9" s="5" customFormat="1">
      <c r="B157" s="48" t="s">
        <v>524</v>
      </c>
      <c r="C157" s="14" t="s">
        <v>525</v>
      </c>
      <c r="D157" s="22" t="s">
        <v>85</v>
      </c>
      <c r="E157" s="15"/>
      <c r="F157" s="15"/>
      <c r="G157" s="66"/>
      <c r="H157" s="25">
        <f t="shared" si="5"/>
        <v>0</v>
      </c>
    </row>
    <row r="158" spans="2:9" s="5" customFormat="1">
      <c r="B158" s="59"/>
      <c r="C158" s="14"/>
      <c r="D158" s="15"/>
      <c r="E158" s="15"/>
      <c r="F158" s="15"/>
      <c r="G158" s="65"/>
      <c r="H158" s="25" t="str">
        <f t="shared" si="5"/>
        <v/>
      </c>
    </row>
    <row r="159" spans="2:9" s="5" customFormat="1">
      <c r="B159" s="48" t="s">
        <v>526</v>
      </c>
      <c r="C159" s="14" t="s">
        <v>527</v>
      </c>
      <c r="D159" s="22" t="s">
        <v>478</v>
      </c>
      <c r="E159" s="15"/>
      <c r="F159" s="15"/>
      <c r="G159" s="65"/>
      <c r="H159" s="25">
        <f t="shared" si="5"/>
        <v>0</v>
      </c>
    </row>
    <row r="160" spans="2:9" s="5" customFormat="1">
      <c r="B160" s="59"/>
      <c r="C160" s="14"/>
      <c r="D160" s="15"/>
      <c r="E160" s="15"/>
      <c r="F160" s="15"/>
      <c r="G160" s="65"/>
      <c r="H160" s="25" t="str">
        <f t="shared" si="5"/>
        <v/>
      </c>
    </row>
    <row r="161" spans="2:8" s="5" customFormat="1">
      <c r="B161" s="48" t="s">
        <v>83</v>
      </c>
      <c r="C161" s="14" t="s">
        <v>528</v>
      </c>
      <c r="D161" s="22" t="s">
        <v>85</v>
      </c>
      <c r="E161" s="62"/>
      <c r="F161" s="62"/>
      <c r="G161" s="65"/>
      <c r="H161" s="25">
        <f t="shared" si="5"/>
        <v>0</v>
      </c>
    </row>
    <row r="162" spans="2:8" s="5" customFormat="1">
      <c r="B162" s="59"/>
      <c r="C162" s="14"/>
      <c r="D162" s="15"/>
      <c r="E162" s="15"/>
      <c r="F162" s="15"/>
      <c r="G162" s="65"/>
      <c r="H162" s="25" t="str">
        <f t="shared" si="5"/>
        <v/>
      </c>
    </row>
    <row r="163" spans="2:8" s="5" customFormat="1">
      <c r="B163" s="48" t="s">
        <v>86</v>
      </c>
      <c r="C163" s="14" t="s">
        <v>528</v>
      </c>
      <c r="D163" s="22" t="s">
        <v>85</v>
      </c>
      <c r="E163" s="62"/>
      <c r="F163" s="62"/>
      <c r="G163" s="65"/>
      <c r="H163" s="25">
        <f t="shared" si="5"/>
        <v>0</v>
      </c>
    </row>
    <row r="164" spans="2:8" s="5" customFormat="1">
      <c r="B164" s="59"/>
      <c r="C164" s="252"/>
      <c r="D164" s="62"/>
      <c r="E164" s="62"/>
      <c r="F164" s="62"/>
      <c r="G164" s="65"/>
      <c r="H164" s="25" t="str">
        <f t="shared" si="5"/>
        <v/>
      </c>
    </row>
    <row r="165" spans="2:8" s="5" customFormat="1" ht="25.5">
      <c r="B165" s="48" t="s">
        <v>529</v>
      </c>
      <c r="C165" s="100" t="s">
        <v>530</v>
      </c>
      <c r="D165" s="62"/>
      <c r="E165" s="15"/>
      <c r="F165" s="15"/>
      <c r="G165" s="65"/>
      <c r="H165" s="25" t="str">
        <f t="shared" si="5"/>
        <v/>
      </c>
    </row>
    <row r="166" spans="2:8" s="5" customFormat="1">
      <c r="B166" s="59"/>
      <c r="C166" s="252"/>
      <c r="D166" s="62"/>
      <c r="E166" s="15"/>
      <c r="F166" s="15"/>
      <c r="G166" s="65"/>
      <c r="H166" s="25" t="str">
        <f t="shared" si="5"/>
        <v/>
      </c>
    </row>
    <row r="167" spans="2:8" s="5" customFormat="1" ht="25.5">
      <c r="B167" s="59" t="s">
        <v>531</v>
      </c>
      <c r="C167" s="14" t="s">
        <v>532</v>
      </c>
      <c r="D167" s="22"/>
      <c r="E167" s="15"/>
      <c r="F167" s="15"/>
      <c r="G167" s="65"/>
      <c r="H167" s="25" t="str">
        <f t="shared" si="5"/>
        <v/>
      </c>
    </row>
    <row r="168" spans="2:8" s="5" customFormat="1">
      <c r="B168" s="59"/>
      <c r="C168" s="14"/>
      <c r="D168" s="15"/>
      <c r="E168" s="15"/>
      <c r="F168" s="15"/>
      <c r="G168" s="65"/>
      <c r="H168" s="25" t="str">
        <f t="shared" si="5"/>
        <v/>
      </c>
    </row>
    <row r="169" spans="2:8" s="5" customFormat="1">
      <c r="B169" s="84" t="s">
        <v>83</v>
      </c>
      <c r="C169" s="14" t="s">
        <v>533</v>
      </c>
      <c r="D169" s="22" t="s">
        <v>85</v>
      </c>
      <c r="E169" s="15"/>
      <c r="F169" s="15"/>
      <c r="G169" s="16"/>
      <c r="H169" s="25">
        <f t="shared" si="5"/>
        <v>0</v>
      </c>
    </row>
    <row r="170" spans="2:8" s="5" customFormat="1">
      <c r="B170" s="48"/>
      <c r="C170" s="14"/>
      <c r="D170" s="15"/>
      <c r="E170" s="15"/>
      <c r="F170" s="15"/>
      <c r="G170" s="16"/>
      <c r="H170" s="17" t="str">
        <f t="shared" ref="H170:H231" si="6">IF(D170="","",F170*G170)</f>
        <v/>
      </c>
    </row>
    <row r="171" spans="2:8" s="5" customFormat="1">
      <c r="B171" s="84" t="s">
        <v>86</v>
      </c>
      <c r="C171" s="14" t="s">
        <v>533</v>
      </c>
      <c r="D171" s="22" t="s">
        <v>85</v>
      </c>
      <c r="E171" s="15"/>
      <c r="F171" s="15"/>
      <c r="G171" s="16"/>
      <c r="H171" s="17">
        <f t="shared" si="6"/>
        <v>0</v>
      </c>
    </row>
    <row r="172" spans="2:8" s="5" customFormat="1">
      <c r="B172" s="48"/>
      <c r="C172" s="14"/>
      <c r="D172" s="15"/>
      <c r="E172" s="15"/>
      <c r="F172" s="15"/>
      <c r="G172" s="16"/>
      <c r="H172" s="17" t="str">
        <f t="shared" si="6"/>
        <v/>
      </c>
    </row>
    <row r="173" spans="2:8" s="5" customFormat="1">
      <c r="B173" s="48" t="s">
        <v>117</v>
      </c>
      <c r="C173" s="14" t="s">
        <v>516</v>
      </c>
      <c r="D173" s="22" t="s">
        <v>85</v>
      </c>
      <c r="E173" s="15"/>
      <c r="F173" s="15"/>
      <c r="G173" s="16"/>
      <c r="H173" s="17">
        <f t="shared" si="6"/>
        <v>0</v>
      </c>
    </row>
    <row r="174" spans="2:8" s="5" customFormat="1">
      <c r="B174" s="59"/>
      <c r="C174" s="14"/>
      <c r="D174" s="15"/>
      <c r="E174" s="15"/>
      <c r="F174" s="15"/>
      <c r="G174" s="16"/>
      <c r="H174" s="17" t="str">
        <f t="shared" si="6"/>
        <v/>
      </c>
    </row>
    <row r="175" spans="2:8" s="5" customFormat="1" ht="25.5">
      <c r="B175" s="48" t="s">
        <v>534</v>
      </c>
      <c r="C175" s="14" t="s">
        <v>532</v>
      </c>
      <c r="D175" s="22"/>
      <c r="E175" s="22"/>
      <c r="F175" s="23"/>
      <c r="G175" s="24"/>
      <c r="H175" s="25" t="str">
        <f t="shared" si="6"/>
        <v/>
      </c>
    </row>
    <row r="176" spans="2:8" s="5" customFormat="1">
      <c r="B176" s="59"/>
      <c r="C176" s="14"/>
      <c r="D176" s="15"/>
      <c r="E176" s="15"/>
      <c r="F176" s="26"/>
      <c r="G176" s="16"/>
      <c r="H176" s="25" t="str">
        <f t="shared" si="6"/>
        <v/>
      </c>
    </row>
    <row r="177" spans="2:8" s="5" customFormat="1">
      <c r="B177" s="48" t="s">
        <v>83</v>
      </c>
      <c r="C177" s="14" t="s">
        <v>533</v>
      </c>
      <c r="D177" s="22" t="s">
        <v>85</v>
      </c>
      <c r="E177" s="15"/>
      <c r="F177" s="26"/>
      <c r="G177" s="60"/>
      <c r="H177" s="25">
        <f t="shared" si="6"/>
        <v>0</v>
      </c>
    </row>
    <row r="178" spans="2:8" s="5" customFormat="1">
      <c r="B178" s="59"/>
      <c r="C178" s="14"/>
      <c r="D178" s="15"/>
      <c r="E178" s="15"/>
      <c r="F178" s="26"/>
      <c r="G178" s="16"/>
      <c r="H178" s="25" t="str">
        <f t="shared" si="6"/>
        <v/>
      </c>
    </row>
    <row r="179" spans="2:8" s="5" customFormat="1">
      <c r="B179" s="48" t="s">
        <v>86</v>
      </c>
      <c r="C179" s="14" t="s">
        <v>533</v>
      </c>
      <c r="D179" s="22" t="s">
        <v>85</v>
      </c>
      <c r="E179" s="62"/>
      <c r="F179" s="26"/>
      <c r="G179" s="63"/>
      <c r="H179" s="25">
        <f t="shared" si="6"/>
        <v>0</v>
      </c>
    </row>
    <row r="180" spans="2:8" s="5" customFormat="1">
      <c r="B180" s="48"/>
      <c r="C180" s="14"/>
      <c r="D180" s="15"/>
      <c r="E180" s="62"/>
      <c r="F180" s="26"/>
      <c r="G180" s="63"/>
      <c r="H180" s="25" t="str">
        <f t="shared" si="6"/>
        <v/>
      </c>
    </row>
    <row r="181" spans="2:8" s="5" customFormat="1">
      <c r="B181" s="48" t="s">
        <v>117</v>
      </c>
      <c r="C181" s="100" t="s">
        <v>516</v>
      </c>
      <c r="D181" s="22" t="s">
        <v>85</v>
      </c>
      <c r="E181" s="62"/>
      <c r="F181" s="26"/>
      <c r="G181" s="65"/>
      <c r="H181" s="25">
        <f t="shared" si="6"/>
        <v>0</v>
      </c>
    </row>
    <row r="182" spans="2:8" s="5" customFormat="1">
      <c r="B182" s="59"/>
      <c r="C182" s="14"/>
      <c r="D182" s="15"/>
      <c r="E182" s="62"/>
      <c r="F182" s="26"/>
      <c r="G182" s="63"/>
      <c r="H182" s="25" t="str">
        <f t="shared" si="6"/>
        <v/>
      </c>
    </row>
    <row r="183" spans="2:8" s="5" customFormat="1">
      <c r="B183" s="48" t="s">
        <v>535</v>
      </c>
      <c r="C183" s="14" t="s">
        <v>536</v>
      </c>
      <c r="D183" s="22"/>
      <c r="E183" s="62"/>
      <c r="F183" s="26"/>
      <c r="G183" s="60"/>
      <c r="H183" s="25" t="str">
        <f t="shared" si="6"/>
        <v/>
      </c>
    </row>
    <row r="184" spans="2:8" s="5" customFormat="1">
      <c r="B184" s="59"/>
      <c r="C184" s="14"/>
      <c r="D184" s="15"/>
      <c r="E184" s="62"/>
      <c r="F184" s="26"/>
      <c r="G184" s="63"/>
      <c r="H184" s="25" t="str">
        <f t="shared" si="6"/>
        <v/>
      </c>
    </row>
    <row r="185" spans="2:8" s="5" customFormat="1">
      <c r="B185" s="48" t="s">
        <v>83</v>
      </c>
      <c r="C185" s="14" t="s">
        <v>537</v>
      </c>
      <c r="D185" s="22" t="s">
        <v>538</v>
      </c>
      <c r="E185" s="15"/>
      <c r="F185" s="26"/>
      <c r="G185" s="16"/>
      <c r="H185" s="25">
        <f t="shared" si="6"/>
        <v>0</v>
      </c>
    </row>
    <row r="186" spans="2:8" s="5" customFormat="1">
      <c r="B186" s="59"/>
      <c r="C186" s="14"/>
      <c r="D186" s="15"/>
      <c r="E186" s="15"/>
      <c r="F186" s="26"/>
      <c r="G186" s="16"/>
      <c r="H186" s="25" t="str">
        <f t="shared" si="6"/>
        <v/>
      </c>
    </row>
    <row r="187" spans="2:8" s="5" customFormat="1">
      <c r="B187" s="48" t="s">
        <v>86</v>
      </c>
      <c r="C187" s="14" t="s">
        <v>537</v>
      </c>
      <c r="D187" s="22" t="s">
        <v>538</v>
      </c>
      <c r="E187" s="15"/>
      <c r="F187" s="26"/>
      <c r="G187" s="65"/>
      <c r="H187" s="25">
        <f t="shared" si="6"/>
        <v>0</v>
      </c>
    </row>
    <row r="188" spans="2:8" s="5" customFormat="1">
      <c r="B188" s="59"/>
      <c r="C188" s="14"/>
      <c r="D188" s="15"/>
      <c r="E188" s="15"/>
      <c r="F188" s="26"/>
      <c r="G188" s="65"/>
      <c r="H188" s="25" t="str">
        <f t="shared" si="6"/>
        <v/>
      </c>
    </row>
    <row r="189" spans="2:8" s="5" customFormat="1">
      <c r="B189" s="48" t="s">
        <v>539</v>
      </c>
      <c r="C189" s="14" t="s">
        <v>540</v>
      </c>
      <c r="D189" s="22"/>
      <c r="E189" s="15"/>
      <c r="F189" s="26"/>
      <c r="G189" s="60"/>
      <c r="H189" s="25" t="str">
        <f t="shared" si="6"/>
        <v/>
      </c>
    </row>
    <row r="190" spans="2:8" s="5" customFormat="1">
      <c r="B190" s="59"/>
      <c r="C190" s="14"/>
      <c r="D190" s="15"/>
      <c r="E190" s="15"/>
      <c r="F190" s="26"/>
      <c r="G190" s="27"/>
      <c r="H190" s="25" t="str">
        <f t="shared" si="6"/>
        <v/>
      </c>
    </row>
    <row r="191" spans="2:8" s="5" customFormat="1" ht="25.5">
      <c r="B191" s="48" t="s">
        <v>83</v>
      </c>
      <c r="C191" s="14" t="s">
        <v>541</v>
      </c>
      <c r="D191" s="22" t="s">
        <v>542</v>
      </c>
      <c r="E191" s="15"/>
      <c r="F191" s="26"/>
      <c r="G191" s="27"/>
      <c r="H191" s="25">
        <f t="shared" si="6"/>
        <v>0</v>
      </c>
    </row>
    <row r="192" spans="2:8" s="5" customFormat="1">
      <c r="B192" s="59"/>
      <c r="C192" s="14"/>
      <c r="D192" s="15"/>
      <c r="E192" s="15"/>
      <c r="F192" s="26"/>
      <c r="G192" s="27"/>
      <c r="H192" s="25" t="str">
        <f t="shared" si="6"/>
        <v/>
      </c>
    </row>
    <row r="193" spans="2:9" s="5" customFormat="1" ht="25.5">
      <c r="B193" s="48" t="s">
        <v>86</v>
      </c>
      <c r="C193" s="14" t="s">
        <v>541</v>
      </c>
      <c r="D193" s="22" t="s">
        <v>542</v>
      </c>
      <c r="E193" s="15"/>
      <c r="F193" s="26"/>
      <c r="G193" s="65"/>
      <c r="H193" s="25">
        <f t="shared" si="6"/>
        <v>0</v>
      </c>
    </row>
    <row r="194" spans="2:9" s="5" customFormat="1">
      <c r="B194" s="59"/>
      <c r="C194" s="14"/>
      <c r="D194" s="15"/>
      <c r="E194" s="15"/>
      <c r="F194" s="26"/>
      <c r="G194" s="27"/>
      <c r="H194" s="25" t="str">
        <f t="shared" si="6"/>
        <v/>
      </c>
    </row>
    <row r="195" spans="2:9" s="5" customFormat="1">
      <c r="B195" s="48" t="s">
        <v>543</v>
      </c>
      <c r="C195" s="14" t="s">
        <v>544</v>
      </c>
      <c r="D195" s="22" t="s">
        <v>542</v>
      </c>
      <c r="E195" s="15"/>
      <c r="F195" s="26"/>
      <c r="G195" s="60"/>
      <c r="H195" s="25">
        <f t="shared" si="6"/>
        <v>0</v>
      </c>
    </row>
    <row r="196" spans="2:9" s="5" customFormat="1">
      <c r="B196" s="48"/>
      <c r="C196" s="14"/>
      <c r="D196" s="22"/>
      <c r="E196" s="15"/>
      <c r="F196" s="26"/>
      <c r="G196" s="60"/>
      <c r="H196" s="25"/>
    </row>
    <row r="197" spans="2:9" s="5" customFormat="1">
      <c r="B197" s="48"/>
      <c r="C197" s="14"/>
      <c r="D197" s="22"/>
      <c r="E197" s="15"/>
      <c r="F197" s="26"/>
      <c r="G197" s="60"/>
      <c r="H197" s="25"/>
    </row>
    <row r="198" spans="2:9" s="5" customFormat="1">
      <c r="B198" s="48"/>
      <c r="C198" s="14"/>
      <c r="D198" s="22"/>
      <c r="E198" s="15"/>
      <c r="F198" s="26"/>
      <c r="G198" s="60"/>
      <c r="H198" s="25"/>
    </row>
    <row r="199" spans="2:9" s="5" customFormat="1">
      <c r="B199" s="48"/>
      <c r="C199" s="14"/>
      <c r="D199" s="22"/>
      <c r="E199" s="15"/>
      <c r="F199" s="26"/>
      <c r="G199" s="60"/>
      <c r="H199" s="25"/>
    </row>
    <row r="200" spans="2:9" s="5" customFormat="1">
      <c r="B200" s="48"/>
      <c r="C200" s="14"/>
      <c r="D200" s="22"/>
      <c r="E200" s="15"/>
      <c r="F200" s="26"/>
      <c r="G200" s="60"/>
      <c r="H200" s="25"/>
    </row>
    <row r="201" spans="2:9" s="5" customFormat="1">
      <c r="B201" s="48"/>
      <c r="C201" s="14"/>
      <c r="D201" s="22"/>
      <c r="E201" s="15"/>
      <c r="F201" s="26"/>
      <c r="G201" s="60"/>
      <c r="H201" s="25"/>
    </row>
    <row r="202" spans="2:9" s="5" customFormat="1">
      <c r="B202" s="48"/>
      <c r="C202" s="14"/>
      <c r="D202" s="22"/>
      <c r="E202" s="15"/>
      <c r="F202" s="26"/>
      <c r="G202" s="60"/>
      <c r="H202" s="25"/>
    </row>
    <row r="203" spans="2:9" s="5" customFormat="1">
      <c r="B203" s="59"/>
      <c r="C203" s="14"/>
      <c r="D203" s="15"/>
      <c r="E203" s="15"/>
      <c r="F203" s="15"/>
      <c r="G203" s="16"/>
      <c r="H203" s="25" t="str">
        <f t="shared" si="6"/>
        <v/>
      </c>
    </row>
    <row r="204" spans="2:9" s="28" customFormat="1" ht="20.100000000000001" customHeight="1">
      <c r="B204" s="101" t="str">
        <f>$B$10</f>
        <v>C2.3</v>
      </c>
      <c r="C204" s="29" t="s">
        <v>99</v>
      </c>
      <c r="D204" s="30"/>
      <c r="E204" s="30"/>
      <c r="F204" s="31"/>
      <c r="G204" s="30"/>
      <c r="H204" s="32">
        <f>SUM(H147:H203)</f>
        <v>0</v>
      </c>
      <c r="I204" s="33"/>
    </row>
    <row r="205" spans="2:9">
      <c r="B205" s="736" t="str">
        <f>Client1</f>
        <v>AIRPORTS COMPANY - SOUTH AFRICA</v>
      </c>
      <c r="C205" s="736"/>
      <c r="D205" s="736"/>
      <c r="E205" s="736"/>
      <c r="F205" s="737" t="str">
        <f>"Contract No. "&amp;ContractNo</f>
        <v>Contract No. KSIA7806/2025/RFP</v>
      </c>
      <c r="G205" s="737"/>
      <c r="H205" s="737"/>
    </row>
    <row r="206" spans="2:9">
      <c r="B206" s="736" t="str">
        <f>Client2</f>
        <v>ACSA</v>
      </c>
      <c r="C206" s="736"/>
      <c r="D206" s="736"/>
      <c r="E206" s="736"/>
      <c r="F206" s="737"/>
      <c r="G206" s="737"/>
      <c r="H206" s="737"/>
    </row>
    <row r="207" spans="2:9">
      <c r="B207" s="739"/>
      <c r="C207" s="739"/>
      <c r="D207" s="739"/>
      <c r="E207" s="739"/>
      <c r="F207" s="738"/>
      <c r="G207" s="738"/>
      <c r="H207" s="738"/>
    </row>
    <row r="208" spans="2:9">
      <c r="B208" s="695" t="s">
        <v>456</v>
      </c>
      <c r="C208" s="696"/>
      <c r="D208" s="696"/>
      <c r="E208" s="696"/>
      <c r="F208" s="696"/>
      <c r="G208" s="696"/>
      <c r="H208" s="740" t="str">
        <f>$H$4</f>
        <v>CHAPTER C2.3</v>
      </c>
      <c r="I208" s="6"/>
    </row>
    <row r="209" spans="2:9">
      <c r="B209" s="690" t="str">
        <f>ContractDescription</f>
        <v>PROCUREMENT OF A CIDB GRADE 9 CE CONTRACTOR THE COMPLETION OF BRAVO TAXIWAY EXTENSION AT KING SHAKA INTERNATIONAL AIRPORT FOR A PERIOD OF 12 MONTHS AT KING SHAKA INTERNATIONAL AIRPORT</v>
      </c>
      <c r="C209" s="691"/>
      <c r="D209" s="691"/>
      <c r="E209" s="691"/>
      <c r="F209" s="691"/>
      <c r="G209" s="691"/>
      <c r="H209" s="737"/>
      <c r="I209" s="8"/>
    </row>
    <row r="210" spans="2:9">
      <c r="B210" s="690"/>
      <c r="C210" s="691"/>
      <c r="D210" s="691"/>
      <c r="E210" s="691"/>
      <c r="F210" s="691"/>
      <c r="G210" s="691"/>
      <c r="H210" s="737"/>
      <c r="I210" s="8"/>
    </row>
    <row r="211" spans="2:9">
      <c r="B211" s="692"/>
      <c r="C211" s="693"/>
      <c r="D211" s="693"/>
      <c r="E211" s="693"/>
      <c r="F211" s="693"/>
      <c r="G211" s="693"/>
      <c r="H211" s="738"/>
      <c r="I211" s="8"/>
    </row>
    <row r="212" spans="2:9" s="9" customFormat="1" ht="24.95" customHeight="1">
      <c r="B212" s="70" t="s">
        <v>11</v>
      </c>
      <c r="C212" s="11" t="s">
        <v>12</v>
      </c>
      <c r="D212" s="11" t="s">
        <v>13</v>
      </c>
      <c r="E212" s="11" t="s">
        <v>14</v>
      </c>
      <c r="F212" s="11" t="s">
        <v>15</v>
      </c>
      <c r="G212" s="11" t="s">
        <v>16</v>
      </c>
      <c r="H212" s="11" t="s">
        <v>17</v>
      </c>
      <c r="I212" s="12"/>
    </row>
    <row r="213" spans="2:9" s="28" customFormat="1" ht="20.100000000000001" customHeight="1">
      <c r="B213" s="74"/>
      <c r="C213" s="29" t="s">
        <v>140</v>
      </c>
      <c r="D213" s="30"/>
      <c r="E213" s="30"/>
      <c r="F213" s="31"/>
      <c r="G213" s="30"/>
      <c r="H213" s="32">
        <f>H204</f>
        <v>0</v>
      </c>
      <c r="I213" s="33"/>
    </row>
    <row r="214" spans="2:9" s="5" customFormat="1">
      <c r="B214" s="59"/>
      <c r="C214" s="14"/>
      <c r="D214" s="15"/>
      <c r="E214" s="15"/>
      <c r="F214" s="15"/>
      <c r="G214" s="16"/>
      <c r="H214" s="25"/>
    </row>
    <row r="215" spans="2:9" s="5" customFormat="1" ht="25.5">
      <c r="B215" s="48" t="s">
        <v>545</v>
      </c>
      <c r="C215" s="14" t="s">
        <v>546</v>
      </c>
      <c r="D215" s="22"/>
      <c r="E215" s="15"/>
      <c r="F215" s="15"/>
      <c r="G215" s="65"/>
      <c r="H215" s="25" t="str">
        <f t="shared" si="6"/>
        <v/>
      </c>
    </row>
    <row r="216" spans="2:9" s="5" customFormat="1">
      <c r="B216" s="59"/>
      <c r="C216" s="14"/>
      <c r="D216" s="15"/>
      <c r="E216" s="15"/>
      <c r="F216" s="15"/>
      <c r="G216" s="65"/>
      <c r="H216" s="25" t="str">
        <f t="shared" si="6"/>
        <v/>
      </c>
    </row>
    <row r="217" spans="2:9" s="5" customFormat="1" ht="25.5">
      <c r="B217" s="48" t="s">
        <v>83</v>
      </c>
      <c r="C217" s="14" t="s">
        <v>541</v>
      </c>
      <c r="D217" s="22"/>
      <c r="E217" s="15"/>
      <c r="F217" s="15"/>
      <c r="G217" s="65"/>
      <c r="H217" s="25" t="str">
        <f t="shared" si="6"/>
        <v/>
      </c>
    </row>
    <row r="218" spans="2:9" s="5" customFormat="1">
      <c r="B218" s="59"/>
      <c r="C218" s="14"/>
      <c r="D218" s="15"/>
      <c r="E218" s="15"/>
      <c r="F218" s="15"/>
      <c r="G218" s="65"/>
      <c r="H218" s="25" t="str">
        <f t="shared" si="6"/>
        <v/>
      </c>
    </row>
    <row r="219" spans="2:9" s="5" customFormat="1" ht="25.5">
      <c r="B219" s="48" t="s">
        <v>86</v>
      </c>
      <c r="C219" s="14" t="s">
        <v>541</v>
      </c>
      <c r="D219" s="22" t="s">
        <v>542</v>
      </c>
      <c r="E219" s="15"/>
      <c r="F219" s="15"/>
      <c r="G219" s="66"/>
      <c r="H219" s="25">
        <f t="shared" si="6"/>
        <v>0</v>
      </c>
    </row>
    <row r="220" spans="2:9" s="5" customFormat="1">
      <c r="B220" s="59"/>
      <c r="C220" s="14"/>
      <c r="D220" s="15"/>
      <c r="E220" s="15"/>
      <c r="F220" s="15"/>
      <c r="G220" s="65"/>
      <c r="H220" s="25" t="str">
        <f t="shared" si="6"/>
        <v/>
      </c>
    </row>
    <row r="221" spans="2:9" s="5" customFormat="1">
      <c r="B221" s="48" t="s">
        <v>117</v>
      </c>
      <c r="C221" s="14" t="s">
        <v>544</v>
      </c>
      <c r="D221" s="22" t="s">
        <v>542</v>
      </c>
      <c r="E221" s="15"/>
      <c r="F221" s="15"/>
      <c r="G221" s="65"/>
      <c r="H221" s="25">
        <f t="shared" si="6"/>
        <v>0</v>
      </c>
    </row>
    <row r="222" spans="2:9" s="5" customFormat="1">
      <c r="B222" s="59"/>
      <c r="C222" s="14"/>
      <c r="D222" s="15"/>
      <c r="E222" s="15"/>
      <c r="F222" s="15"/>
      <c r="G222" s="65"/>
      <c r="H222" s="25" t="str">
        <f t="shared" si="6"/>
        <v/>
      </c>
    </row>
    <row r="223" spans="2:9" s="5" customFormat="1">
      <c r="B223" s="48" t="s">
        <v>547</v>
      </c>
      <c r="C223" s="100" t="s">
        <v>548</v>
      </c>
      <c r="D223" s="22"/>
      <c r="E223" s="62"/>
      <c r="F223" s="62"/>
      <c r="G223" s="65"/>
      <c r="H223" s="25" t="str">
        <f t="shared" si="6"/>
        <v/>
      </c>
    </row>
    <row r="224" spans="2:9" s="5" customFormat="1">
      <c r="B224" s="59"/>
      <c r="C224" s="14"/>
      <c r="D224" s="15"/>
      <c r="E224" s="15"/>
      <c r="F224" s="15"/>
      <c r="G224" s="65"/>
      <c r="H224" s="25" t="str">
        <f t="shared" si="6"/>
        <v/>
      </c>
    </row>
    <row r="225" spans="2:8" s="5" customFormat="1">
      <c r="B225" s="48" t="s">
        <v>549</v>
      </c>
      <c r="C225" s="14" t="s">
        <v>550</v>
      </c>
      <c r="D225" s="22"/>
      <c r="E225" s="62"/>
      <c r="F225" s="62"/>
      <c r="G225" s="65"/>
      <c r="H225" s="25" t="str">
        <f t="shared" si="6"/>
        <v/>
      </c>
    </row>
    <row r="226" spans="2:8" s="5" customFormat="1">
      <c r="B226" s="59"/>
      <c r="C226" s="252"/>
      <c r="D226" s="62"/>
      <c r="E226" s="62"/>
      <c r="F226" s="62"/>
      <c r="G226" s="65"/>
      <c r="H226" s="25" t="str">
        <f t="shared" si="6"/>
        <v/>
      </c>
    </row>
    <row r="227" spans="2:8" s="5" customFormat="1" ht="25.5">
      <c r="B227" s="48" t="s">
        <v>83</v>
      </c>
      <c r="C227" s="14" t="s">
        <v>551</v>
      </c>
      <c r="D227" s="22" t="s">
        <v>85</v>
      </c>
      <c r="E227" s="15"/>
      <c r="F227" s="15"/>
      <c r="G227" s="65"/>
      <c r="H227" s="25">
        <f t="shared" si="6"/>
        <v>0</v>
      </c>
    </row>
    <row r="228" spans="2:8" s="5" customFormat="1">
      <c r="B228" s="59"/>
      <c r="C228" s="252"/>
      <c r="D228" s="62"/>
      <c r="E228" s="15"/>
      <c r="F228" s="15"/>
      <c r="G228" s="65"/>
      <c r="H228" s="25" t="str">
        <f t="shared" si="6"/>
        <v/>
      </c>
    </row>
    <row r="229" spans="2:8" s="5" customFormat="1" ht="25.5">
      <c r="B229" s="48" t="s">
        <v>86</v>
      </c>
      <c r="C229" s="100" t="s">
        <v>551</v>
      </c>
      <c r="D229" s="22" t="s">
        <v>85</v>
      </c>
      <c r="E229" s="15"/>
      <c r="F229" s="15"/>
      <c r="G229" s="65"/>
      <c r="H229" s="25">
        <f t="shared" si="6"/>
        <v>0</v>
      </c>
    </row>
    <row r="230" spans="2:8" s="5" customFormat="1">
      <c r="B230" s="59"/>
      <c r="C230" s="14"/>
      <c r="D230" s="15"/>
      <c r="E230" s="15"/>
      <c r="F230" s="15"/>
      <c r="G230" s="65"/>
      <c r="H230" s="25" t="str">
        <f t="shared" si="6"/>
        <v/>
      </c>
    </row>
    <row r="231" spans="2:8" s="5" customFormat="1">
      <c r="B231" s="48" t="s">
        <v>552</v>
      </c>
      <c r="C231" s="14" t="s">
        <v>553</v>
      </c>
      <c r="D231" s="22"/>
      <c r="E231" s="15"/>
      <c r="F231" s="15"/>
      <c r="G231" s="16"/>
      <c r="H231" s="25" t="str">
        <f t="shared" si="6"/>
        <v/>
      </c>
    </row>
    <row r="232" spans="2:8" s="5" customFormat="1">
      <c r="B232" s="48"/>
      <c r="C232" s="14"/>
      <c r="D232" s="15"/>
      <c r="E232" s="15"/>
      <c r="F232" s="15"/>
      <c r="G232" s="16"/>
      <c r="H232" s="17" t="str">
        <f t="shared" ref="H232:H286" si="7">IF(D232="","",F232*G232)</f>
        <v/>
      </c>
    </row>
    <row r="233" spans="2:8" s="5" customFormat="1" ht="25.5">
      <c r="B233" s="48" t="s">
        <v>83</v>
      </c>
      <c r="C233" s="14" t="s">
        <v>554</v>
      </c>
      <c r="D233" s="22" t="s">
        <v>85</v>
      </c>
      <c r="E233" s="15"/>
      <c r="F233" s="15"/>
      <c r="G233" s="16"/>
      <c r="H233" s="17">
        <f t="shared" si="7"/>
        <v>0</v>
      </c>
    </row>
    <row r="234" spans="2:8" s="5" customFormat="1">
      <c r="B234" s="48"/>
      <c r="C234" s="14"/>
      <c r="D234" s="15"/>
      <c r="E234" s="15"/>
      <c r="F234" s="15"/>
      <c r="G234" s="16"/>
      <c r="H234" s="17" t="str">
        <f t="shared" si="7"/>
        <v/>
      </c>
    </row>
    <row r="235" spans="2:8" s="5" customFormat="1" ht="25.5">
      <c r="B235" s="48" t="s">
        <v>86</v>
      </c>
      <c r="C235" s="14" t="s">
        <v>554</v>
      </c>
      <c r="D235" s="22" t="s">
        <v>85</v>
      </c>
      <c r="E235" s="15"/>
      <c r="F235" s="15"/>
      <c r="G235" s="16"/>
      <c r="H235" s="17">
        <f t="shared" si="7"/>
        <v>0</v>
      </c>
    </row>
    <row r="236" spans="2:8" s="5" customFormat="1">
      <c r="B236" s="59"/>
      <c r="C236" s="14"/>
      <c r="D236" s="15"/>
      <c r="E236" s="15"/>
      <c r="F236" s="15"/>
      <c r="G236" s="16"/>
      <c r="H236" s="17" t="str">
        <f t="shared" si="7"/>
        <v/>
      </c>
    </row>
    <row r="237" spans="2:8" s="5" customFormat="1">
      <c r="B237" s="48" t="s">
        <v>555</v>
      </c>
      <c r="C237" s="14" t="s">
        <v>556</v>
      </c>
      <c r="D237" s="22"/>
      <c r="E237" s="22"/>
      <c r="F237" s="23"/>
      <c r="G237" s="24"/>
      <c r="H237" s="25" t="str">
        <f t="shared" si="7"/>
        <v/>
      </c>
    </row>
    <row r="238" spans="2:8" s="5" customFormat="1">
      <c r="B238" s="59"/>
      <c r="C238" s="14"/>
      <c r="D238" s="15"/>
      <c r="E238" s="15"/>
      <c r="F238" s="26"/>
      <c r="G238" s="16"/>
      <c r="H238" s="25" t="str">
        <f t="shared" si="7"/>
        <v/>
      </c>
    </row>
    <row r="239" spans="2:8" s="5" customFormat="1">
      <c r="B239" s="48" t="s">
        <v>557</v>
      </c>
      <c r="C239" s="14" t="s">
        <v>558</v>
      </c>
      <c r="D239" s="22"/>
      <c r="E239" s="15"/>
      <c r="F239" s="26"/>
      <c r="G239" s="60"/>
      <c r="H239" s="25" t="str">
        <f t="shared" si="7"/>
        <v/>
      </c>
    </row>
    <row r="240" spans="2:8" s="5" customFormat="1">
      <c r="B240" s="59"/>
      <c r="C240" s="14"/>
      <c r="D240" s="15"/>
      <c r="E240" s="15"/>
      <c r="F240" s="26"/>
      <c r="G240" s="16"/>
      <c r="H240" s="25" t="str">
        <f t="shared" si="7"/>
        <v/>
      </c>
    </row>
    <row r="241" spans="2:8" s="5" customFormat="1">
      <c r="B241" s="48" t="s">
        <v>559</v>
      </c>
      <c r="C241" s="14" t="s">
        <v>560</v>
      </c>
      <c r="D241" s="22" t="s">
        <v>347</v>
      </c>
      <c r="E241" s="62"/>
      <c r="F241" s="26"/>
      <c r="G241" s="63"/>
      <c r="H241" s="25">
        <f t="shared" si="7"/>
        <v>0</v>
      </c>
    </row>
    <row r="242" spans="2:8" s="5" customFormat="1">
      <c r="B242" s="48"/>
      <c r="C242" s="14"/>
      <c r="D242" s="15"/>
      <c r="E242" s="62"/>
      <c r="F242" s="26"/>
      <c r="G242" s="63"/>
      <c r="H242" s="25" t="str">
        <f t="shared" si="7"/>
        <v/>
      </c>
    </row>
    <row r="243" spans="2:8" s="5" customFormat="1">
      <c r="B243" s="48" t="s">
        <v>561</v>
      </c>
      <c r="C243" s="100" t="s">
        <v>560</v>
      </c>
      <c r="D243" s="22" t="s">
        <v>347</v>
      </c>
      <c r="E243" s="62"/>
      <c r="F243" s="26"/>
      <c r="G243" s="65"/>
      <c r="H243" s="25">
        <f t="shared" si="7"/>
        <v>0</v>
      </c>
    </row>
    <row r="244" spans="2:8" s="5" customFormat="1">
      <c r="B244" s="59"/>
      <c r="C244" s="14"/>
      <c r="D244" s="15"/>
      <c r="E244" s="62"/>
      <c r="F244" s="26"/>
      <c r="G244" s="63"/>
      <c r="H244" s="25" t="str">
        <f t="shared" si="7"/>
        <v/>
      </c>
    </row>
    <row r="245" spans="2:8" s="5" customFormat="1">
      <c r="B245" s="48" t="s">
        <v>562</v>
      </c>
      <c r="C245" s="14" t="s">
        <v>563</v>
      </c>
      <c r="D245" s="22"/>
      <c r="E245" s="62"/>
      <c r="F245" s="26"/>
      <c r="G245" s="60"/>
      <c r="H245" s="25" t="str">
        <f t="shared" si="7"/>
        <v/>
      </c>
    </row>
    <row r="246" spans="2:8" s="5" customFormat="1">
      <c r="B246" s="59"/>
      <c r="C246" s="14"/>
      <c r="D246" s="15"/>
      <c r="E246" s="62"/>
      <c r="F246" s="26"/>
      <c r="G246" s="63"/>
      <c r="H246" s="25" t="str">
        <f t="shared" si="7"/>
        <v/>
      </c>
    </row>
    <row r="247" spans="2:8" s="5" customFormat="1" ht="25.5">
      <c r="B247" s="48" t="s">
        <v>564</v>
      </c>
      <c r="C247" s="14" t="s">
        <v>565</v>
      </c>
      <c r="D247" s="22"/>
      <c r="E247" s="15"/>
      <c r="F247" s="26"/>
      <c r="G247" s="16"/>
      <c r="H247" s="25" t="str">
        <f t="shared" si="7"/>
        <v/>
      </c>
    </row>
    <row r="248" spans="2:8" s="5" customFormat="1">
      <c r="B248" s="59"/>
      <c r="C248" s="14"/>
      <c r="D248" s="15"/>
      <c r="E248" s="15"/>
      <c r="F248" s="26"/>
      <c r="G248" s="16"/>
      <c r="H248" s="25" t="str">
        <f t="shared" si="7"/>
        <v/>
      </c>
    </row>
    <row r="249" spans="2:8" s="5" customFormat="1">
      <c r="B249" s="48" t="s">
        <v>83</v>
      </c>
      <c r="C249" s="14" t="s">
        <v>463</v>
      </c>
      <c r="D249" s="22" t="s">
        <v>347</v>
      </c>
      <c r="E249" s="15"/>
      <c r="F249" s="26"/>
      <c r="G249" s="60"/>
      <c r="H249" s="25">
        <f t="shared" si="7"/>
        <v>0</v>
      </c>
    </row>
    <row r="250" spans="2:8" s="5" customFormat="1">
      <c r="B250" s="59"/>
      <c r="C250" s="14"/>
      <c r="D250" s="15"/>
      <c r="E250" s="15"/>
      <c r="F250" s="26"/>
      <c r="G250" s="27"/>
      <c r="H250" s="25" t="str">
        <f t="shared" si="7"/>
        <v/>
      </c>
    </row>
    <row r="251" spans="2:8" s="5" customFormat="1">
      <c r="B251" s="48" t="s">
        <v>86</v>
      </c>
      <c r="C251" s="14" t="s">
        <v>463</v>
      </c>
      <c r="D251" s="22" t="s">
        <v>347</v>
      </c>
      <c r="E251" s="15"/>
      <c r="F251" s="26"/>
      <c r="G251" s="27"/>
      <c r="H251" s="25">
        <f t="shared" si="7"/>
        <v>0</v>
      </c>
    </row>
    <row r="252" spans="2:8" s="5" customFormat="1">
      <c r="B252" s="59"/>
      <c r="C252" s="14"/>
      <c r="D252" s="15"/>
      <c r="E252" s="15"/>
      <c r="F252" s="26"/>
      <c r="G252" s="27"/>
      <c r="H252" s="25" t="str">
        <f t="shared" si="7"/>
        <v/>
      </c>
    </row>
    <row r="253" spans="2:8" s="5" customFormat="1" ht="25.5">
      <c r="B253" s="48" t="s">
        <v>566</v>
      </c>
      <c r="C253" s="14" t="s">
        <v>565</v>
      </c>
      <c r="D253" s="22"/>
      <c r="E253" s="15"/>
      <c r="F253" s="15"/>
      <c r="G253" s="65"/>
      <c r="H253" s="25" t="str">
        <f t="shared" si="7"/>
        <v/>
      </c>
    </row>
    <row r="254" spans="2:8" s="5" customFormat="1">
      <c r="B254" s="59"/>
      <c r="C254" s="14"/>
      <c r="D254" s="15"/>
      <c r="E254" s="15"/>
      <c r="F254" s="15"/>
      <c r="G254" s="65"/>
      <c r="H254" s="25" t="str">
        <f t="shared" si="7"/>
        <v/>
      </c>
    </row>
    <row r="255" spans="2:8" s="5" customFormat="1">
      <c r="B255" s="48" t="s">
        <v>83</v>
      </c>
      <c r="C255" s="14" t="s">
        <v>463</v>
      </c>
      <c r="D255" s="22" t="s">
        <v>347</v>
      </c>
      <c r="E255" s="15"/>
      <c r="F255" s="15"/>
      <c r="G255" s="65"/>
      <c r="H255" s="25">
        <f t="shared" si="7"/>
        <v>0</v>
      </c>
    </row>
    <row r="256" spans="2:8" s="5" customFormat="1">
      <c r="B256" s="59"/>
      <c r="C256" s="14"/>
      <c r="D256" s="15"/>
      <c r="E256" s="15"/>
      <c r="F256" s="15"/>
      <c r="G256" s="65"/>
      <c r="H256" s="25" t="str">
        <f t="shared" si="7"/>
        <v/>
      </c>
    </row>
    <row r="257" spans="2:9" s="5" customFormat="1">
      <c r="B257" s="48" t="s">
        <v>86</v>
      </c>
      <c r="C257" s="14" t="s">
        <v>463</v>
      </c>
      <c r="D257" s="22" t="s">
        <v>347</v>
      </c>
      <c r="E257" s="15"/>
      <c r="F257" s="15"/>
      <c r="G257" s="66"/>
      <c r="H257" s="25">
        <f t="shared" si="7"/>
        <v>0</v>
      </c>
    </row>
    <row r="258" spans="2:9" s="5" customFormat="1">
      <c r="B258" s="59"/>
      <c r="C258" s="14"/>
      <c r="D258" s="15"/>
      <c r="E258" s="15"/>
      <c r="F258" s="15"/>
      <c r="G258" s="65"/>
      <c r="H258" s="25" t="str">
        <f t="shared" si="7"/>
        <v/>
      </c>
    </row>
    <row r="259" spans="2:9" s="5" customFormat="1">
      <c r="B259" s="48" t="s">
        <v>567</v>
      </c>
      <c r="C259" s="14" t="s">
        <v>516</v>
      </c>
      <c r="D259" s="22"/>
      <c r="E259" s="15"/>
      <c r="F259" s="15"/>
      <c r="G259" s="65"/>
      <c r="H259" s="25" t="str">
        <f t="shared" si="7"/>
        <v/>
      </c>
    </row>
    <row r="260" spans="2:9" s="5" customFormat="1">
      <c r="B260" s="48"/>
      <c r="C260" s="14"/>
      <c r="D260" s="22"/>
      <c r="E260" s="15"/>
      <c r="F260" s="15"/>
      <c r="G260" s="65"/>
      <c r="H260" s="25"/>
    </row>
    <row r="261" spans="2:9" s="5" customFormat="1">
      <c r="B261" s="48"/>
      <c r="C261" s="14"/>
      <c r="D261" s="22"/>
      <c r="E261" s="15"/>
      <c r="F261" s="15"/>
      <c r="G261" s="65"/>
      <c r="H261" s="25"/>
    </row>
    <row r="262" spans="2:9" s="5" customFormat="1">
      <c r="B262" s="48"/>
      <c r="C262" s="14"/>
      <c r="D262" s="22"/>
      <c r="E262" s="15"/>
      <c r="F262" s="15"/>
      <c r="G262" s="65"/>
      <c r="H262" s="25"/>
    </row>
    <row r="263" spans="2:9" s="5" customFormat="1">
      <c r="B263" s="48"/>
      <c r="C263" s="14"/>
      <c r="D263" s="22"/>
      <c r="E263" s="15"/>
      <c r="F263" s="15"/>
      <c r="G263" s="65"/>
      <c r="H263" s="25"/>
    </row>
    <row r="264" spans="2:9" s="5" customFormat="1">
      <c r="B264" s="59"/>
      <c r="C264" s="14"/>
      <c r="D264" s="15"/>
      <c r="E264" s="15"/>
      <c r="F264" s="15"/>
      <c r="G264" s="65"/>
      <c r="H264" s="25" t="str">
        <f t="shared" si="7"/>
        <v/>
      </c>
    </row>
    <row r="265" spans="2:9" s="5" customFormat="1">
      <c r="B265" s="59"/>
      <c r="C265" s="100"/>
      <c r="D265" s="15"/>
      <c r="E265" s="15"/>
      <c r="F265" s="15"/>
      <c r="G265" s="65"/>
      <c r="H265" s="25"/>
    </row>
    <row r="266" spans="2:9" s="5" customFormat="1">
      <c r="B266" s="59"/>
      <c r="C266" s="100"/>
      <c r="D266" s="15"/>
      <c r="E266" s="15"/>
      <c r="F266" s="15"/>
      <c r="G266" s="65"/>
      <c r="H266" s="25"/>
    </row>
    <row r="267" spans="2:9" s="28" customFormat="1" ht="20.100000000000001" customHeight="1">
      <c r="B267" s="101" t="str">
        <f>$B$10</f>
        <v>C2.3</v>
      </c>
      <c r="C267" s="29" t="s">
        <v>99</v>
      </c>
      <c r="D267" s="30"/>
      <c r="E267" s="30"/>
      <c r="F267" s="31"/>
      <c r="G267" s="30"/>
      <c r="H267" s="32">
        <f>SUM(H213:H266)</f>
        <v>0</v>
      </c>
      <c r="I267" s="33"/>
    </row>
    <row r="268" spans="2:9">
      <c r="B268" s="736" t="str">
        <f>Client1</f>
        <v>AIRPORTS COMPANY - SOUTH AFRICA</v>
      </c>
      <c r="C268" s="736"/>
      <c r="D268" s="736"/>
      <c r="E268" s="736"/>
      <c r="F268" s="737" t="str">
        <f>"Contract No. "&amp;ContractNo</f>
        <v>Contract No. KSIA7806/2025/RFP</v>
      </c>
      <c r="G268" s="737"/>
      <c r="H268" s="737"/>
    </row>
    <row r="269" spans="2:9">
      <c r="B269" s="736" t="str">
        <f>Client2</f>
        <v>ACSA</v>
      </c>
      <c r="C269" s="736"/>
      <c r="D269" s="736"/>
      <c r="E269" s="736"/>
      <c r="F269" s="737"/>
      <c r="G269" s="737"/>
      <c r="H269" s="737"/>
    </row>
    <row r="270" spans="2:9">
      <c r="B270" s="739"/>
      <c r="C270" s="739"/>
      <c r="D270" s="739"/>
      <c r="E270" s="739"/>
      <c r="F270" s="738"/>
      <c r="G270" s="738"/>
      <c r="H270" s="738"/>
    </row>
    <row r="271" spans="2:9">
      <c r="B271" s="695" t="s">
        <v>456</v>
      </c>
      <c r="C271" s="696"/>
      <c r="D271" s="696"/>
      <c r="E271" s="696"/>
      <c r="F271" s="696"/>
      <c r="G271" s="696"/>
      <c r="H271" s="740" t="str">
        <f>$H$4</f>
        <v>CHAPTER C2.3</v>
      </c>
      <c r="I271" s="6"/>
    </row>
    <row r="272" spans="2:9">
      <c r="B272" s="690" t="str">
        <f>ContractDescription</f>
        <v>PROCUREMENT OF A CIDB GRADE 9 CE CONTRACTOR THE COMPLETION OF BRAVO TAXIWAY EXTENSION AT KING SHAKA INTERNATIONAL AIRPORT FOR A PERIOD OF 12 MONTHS AT KING SHAKA INTERNATIONAL AIRPORT</v>
      </c>
      <c r="C272" s="691"/>
      <c r="D272" s="691"/>
      <c r="E272" s="691"/>
      <c r="F272" s="691"/>
      <c r="G272" s="691"/>
      <c r="H272" s="737"/>
      <c r="I272" s="8"/>
    </row>
    <row r="273" spans="2:9">
      <c r="B273" s="690"/>
      <c r="C273" s="691"/>
      <c r="D273" s="691"/>
      <c r="E273" s="691"/>
      <c r="F273" s="691"/>
      <c r="G273" s="691"/>
      <c r="H273" s="737"/>
      <c r="I273" s="8"/>
    </row>
    <row r="274" spans="2:9">
      <c r="B274" s="692"/>
      <c r="C274" s="693"/>
      <c r="D274" s="693"/>
      <c r="E274" s="693"/>
      <c r="F274" s="693"/>
      <c r="G274" s="693"/>
      <c r="H274" s="738"/>
      <c r="I274" s="8"/>
    </row>
    <row r="275" spans="2:9" s="9" customFormat="1" ht="24.95" customHeight="1">
      <c r="B275" s="70" t="s">
        <v>11</v>
      </c>
      <c r="C275" s="11" t="s">
        <v>12</v>
      </c>
      <c r="D275" s="11" t="s">
        <v>13</v>
      </c>
      <c r="E275" s="11" t="s">
        <v>14</v>
      </c>
      <c r="F275" s="11" t="s">
        <v>15</v>
      </c>
      <c r="G275" s="11" t="s">
        <v>16</v>
      </c>
      <c r="H275" s="11" t="s">
        <v>17</v>
      </c>
      <c r="I275" s="12"/>
    </row>
    <row r="276" spans="2:9" s="28" customFormat="1" ht="20.100000000000001" customHeight="1">
      <c r="B276" s="74"/>
      <c r="C276" s="29" t="s">
        <v>140</v>
      </c>
      <c r="D276" s="30"/>
      <c r="E276" s="30"/>
      <c r="F276" s="31"/>
      <c r="G276" s="30"/>
      <c r="H276" s="32">
        <f>H267</f>
        <v>0</v>
      </c>
      <c r="I276" s="33"/>
    </row>
    <row r="277" spans="2:9" s="5" customFormat="1">
      <c r="B277" s="59"/>
      <c r="C277" s="100"/>
      <c r="D277" s="15"/>
      <c r="E277" s="15"/>
      <c r="F277" s="15"/>
      <c r="G277" s="65"/>
      <c r="H277" s="25"/>
    </row>
    <row r="278" spans="2:9" s="5" customFormat="1" ht="38.25">
      <c r="B278" s="48" t="s">
        <v>568</v>
      </c>
      <c r="C278" s="100" t="s">
        <v>569</v>
      </c>
      <c r="D278" s="22"/>
      <c r="E278" s="62"/>
      <c r="F278" s="62"/>
      <c r="G278" s="65"/>
      <c r="H278" s="25" t="str">
        <f t="shared" si="7"/>
        <v/>
      </c>
    </row>
    <row r="279" spans="2:9" s="5" customFormat="1">
      <c r="B279" s="59"/>
      <c r="C279" s="14"/>
      <c r="D279" s="15"/>
      <c r="E279" s="15"/>
      <c r="F279" s="15"/>
      <c r="G279" s="65"/>
      <c r="H279" s="25" t="str">
        <f t="shared" si="7"/>
        <v/>
      </c>
    </row>
    <row r="280" spans="2:9" s="5" customFormat="1" ht="25.5">
      <c r="B280" s="48" t="s">
        <v>570</v>
      </c>
      <c r="C280" s="14" t="s">
        <v>571</v>
      </c>
      <c r="D280" s="22"/>
      <c r="E280" s="62"/>
      <c r="F280" s="62"/>
      <c r="G280" s="65"/>
      <c r="H280" s="25" t="str">
        <f t="shared" si="7"/>
        <v/>
      </c>
    </row>
    <row r="281" spans="2:9" s="5" customFormat="1">
      <c r="B281" s="59"/>
      <c r="C281" s="252"/>
      <c r="D281" s="62"/>
      <c r="E281" s="62"/>
      <c r="F281" s="62"/>
      <c r="G281" s="65"/>
      <c r="H281" s="25" t="str">
        <f t="shared" si="7"/>
        <v/>
      </c>
    </row>
    <row r="282" spans="2:9" s="5" customFormat="1">
      <c r="B282" s="48" t="s">
        <v>83</v>
      </c>
      <c r="C282" s="14" t="s">
        <v>463</v>
      </c>
      <c r="D282" s="22" t="s">
        <v>85</v>
      </c>
      <c r="E282" s="15"/>
      <c r="F282" s="15"/>
      <c r="G282" s="65"/>
      <c r="H282" s="25">
        <f t="shared" si="7"/>
        <v>0</v>
      </c>
    </row>
    <row r="283" spans="2:9" s="5" customFormat="1">
      <c r="B283" s="59"/>
      <c r="C283" s="252"/>
      <c r="D283" s="62"/>
      <c r="E283" s="15"/>
      <c r="F283" s="15"/>
      <c r="G283" s="65"/>
      <c r="H283" s="25" t="str">
        <f t="shared" si="7"/>
        <v/>
      </c>
    </row>
    <row r="284" spans="2:9" s="5" customFormat="1">
      <c r="B284" s="48" t="s">
        <v>86</v>
      </c>
      <c r="C284" s="100" t="s">
        <v>463</v>
      </c>
      <c r="D284" s="22" t="s">
        <v>85</v>
      </c>
      <c r="E284" s="15"/>
      <c r="F284" s="15"/>
      <c r="G284" s="65"/>
      <c r="H284" s="25">
        <f t="shared" si="7"/>
        <v>0</v>
      </c>
    </row>
    <row r="285" spans="2:9" s="5" customFormat="1">
      <c r="B285" s="59"/>
      <c r="C285" s="14"/>
      <c r="D285" s="15"/>
      <c r="E285" s="15"/>
      <c r="F285" s="15"/>
      <c r="G285" s="65"/>
      <c r="H285" s="25" t="str">
        <f t="shared" si="7"/>
        <v/>
      </c>
    </row>
    <row r="286" spans="2:9" s="5" customFormat="1" ht="25.5">
      <c r="B286" s="48" t="s">
        <v>572</v>
      </c>
      <c r="C286" s="38" t="s">
        <v>571</v>
      </c>
      <c r="D286" s="22"/>
      <c r="E286" s="15"/>
      <c r="F286" s="15"/>
      <c r="G286" s="16"/>
      <c r="H286" s="25" t="str">
        <f t="shared" si="7"/>
        <v/>
      </c>
    </row>
    <row r="287" spans="2:9" s="5" customFormat="1">
      <c r="B287" s="48"/>
      <c r="C287" s="14"/>
      <c r="D287" s="15"/>
      <c r="E287" s="15"/>
      <c r="F287" s="15"/>
      <c r="G287" s="16"/>
      <c r="H287" s="17" t="str">
        <f t="shared" ref="H287:H310" si="8">IF(D287="","",F287*G287)</f>
        <v/>
      </c>
    </row>
    <row r="288" spans="2:9" s="5" customFormat="1">
      <c r="B288" s="48" t="s">
        <v>83</v>
      </c>
      <c r="C288" s="14" t="s">
        <v>463</v>
      </c>
      <c r="D288" s="22" t="s">
        <v>85</v>
      </c>
      <c r="E288" s="15"/>
      <c r="F288" s="15"/>
      <c r="G288" s="16"/>
      <c r="H288" s="17">
        <f t="shared" si="8"/>
        <v>0</v>
      </c>
    </row>
    <row r="289" spans="2:8" s="5" customFormat="1">
      <c r="B289" s="48"/>
      <c r="C289" s="14"/>
      <c r="D289" s="15"/>
      <c r="E289" s="15"/>
      <c r="F289" s="15"/>
      <c r="G289" s="16"/>
      <c r="H289" s="17" t="str">
        <f t="shared" si="8"/>
        <v/>
      </c>
    </row>
    <row r="290" spans="2:8" s="5" customFormat="1">
      <c r="B290" s="48" t="s">
        <v>86</v>
      </c>
      <c r="C290" s="14" t="s">
        <v>463</v>
      </c>
      <c r="D290" s="22" t="s">
        <v>85</v>
      </c>
      <c r="E290" s="15"/>
      <c r="F290" s="15"/>
      <c r="G290" s="16"/>
      <c r="H290" s="17">
        <f t="shared" si="8"/>
        <v>0</v>
      </c>
    </row>
    <row r="291" spans="2:8" s="5" customFormat="1">
      <c r="B291" s="59"/>
      <c r="C291" s="14"/>
      <c r="D291" s="15"/>
      <c r="E291" s="15"/>
      <c r="F291" s="15"/>
      <c r="G291" s="16"/>
      <c r="H291" s="17" t="str">
        <f t="shared" si="8"/>
        <v/>
      </c>
    </row>
    <row r="292" spans="2:8" s="5" customFormat="1">
      <c r="B292" s="48" t="s">
        <v>573</v>
      </c>
      <c r="C292" s="14" t="s">
        <v>516</v>
      </c>
      <c r="D292" s="22"/>
      <c r="E292" s="22"/>
      <c r="F292" s="23"/>
      <c r="G292" s="24"/>
      <c r="H292" s="25" t="str">
        <f t="shared" si="8"/>
        <v/>
      </c>
    </row>
    <row r="293" spans="2:8" s="5" customFormat="1">
      <c r="B293" s="59"/>
      <c r="C293" s="14"/>
      <c r="D293" s="15"/>
      <c r="E293" s="15"/>
      <c r="F293" s="26"/>
      <c r="G293" s="16"/>
      <c r="H293" s="25" t="str">
        <f t="shared" si="8"/>
        <v/>
      </c>
    </row>
    <row r="294" spans="2:8" s="5" customFormat="1" ht="25.5">
      <c r="B294" s="48" t="s">
        <v>574</v>
      </c>
      <c r="C294" s="14" t="s">
        <v>575</v>
      </c>
      <c r="D294" s="22"/>
      <c r="E294" s="15"/>
      <c r="F294" s="26"/>
      <c r="G294" s="60"/>
      <c r="H294" s="25" t="str">
        <f t="shared" si="8"/>
        <v/>
      </c>
    </row>
    <row r="295" spans="2:8" s="5" customFormat="1">
      <c r="B295" s="59"/>
      <c r="C295" s="14"/>
      <c r="D295" s="15"/>
      <c r="E295" s="15"/>
      <c r="F295" s="26"/>
      <c r="G295" s="16"/>
      <c r="H295" s="25" t="str">
        <f t="shared" si="8"/>
        <v/>
      </c>
    </row>
    <row r="296" spans="2:8" s="5" customFormat="1">
      <c r="B296" s="48" t="s">
        <v>576</v>
      </c>
      <c r="C296" s="14" t="s">
        <v>577</v>
      </c>
      <c r="D296" s="22"/>
      <c r="E296" s="62"/>
      <c r="F296" s="26"/>
      <c r="G296" s="63"/>
      <c r="H296" s="25" t="str">
        <f t="shared" si="8"/>
        <v/>
      </c>
    </row>
    <row r="297" spans="2:8" s="5" customFormat="1">
      <c r="B297" s="48"/>
      <c r="C297" s="14"/>
      <c r="D297" s="15"/>
      <c r="E297" s="62"/>
      <c r="F297" s="26"/>
      <c r="G297" s="63"/>
      <c r="H297" s="25" t="str">
        <f t="shared" si="8"/>
        <v/>
      </c>
    </row>
    <row r="298" spans="2:8" s="5" customFormat="1">
      <c r="B298" s="48" t="s">
        <v>83</v>
      </c>
      <c r="C298" s="100" t="s">
        <v>463</v>
      </c>
      <c r="D298" s="22" t="s">
        <v>85</v>
      </c>
      <c r="E298" s="62"/>
      <c r="F298" s="26"/>
      <c r="G298" s="65"/>
      <c r="H298" s="25">
        <f t="shared" si="8"/>
        <v>0</v>
      </c>
    </row>
    <row r="299" spans="2:8" s="5" customFormat="1">
      <c r="B299" s="59"/>
      <c r="C299" s="14"/>
      <c r="D299" s="15"/>
      <c r="E299" s="62"/>
      <c r="F299" s="26"/>
      <c r="G299" s="63"/>
      <c r="H299" s="25" t="str">
        <f t="shared" si="8"/>
        <v/>
      </c>
    </row>
    <row r="300" spans="2:8" s="5" customFormat="1">
      <c r="B300" s="48" t="s">
        <v>86</v>
      </c>
      <c r="C300" s="14" t="s">
        <v>463</v>
      </c>
      <c r="D300" s="22" t="s">
        <v>85</v>
      </c>
      <c r="E300" s="62"/>
      <c r="F300" s="26"/>
      <c r="G300" s="60"/>
      <c r="H300" s="25">
        <f t="shared" si="8"/>
        <v>0</v>
      </c>
    </row>
    <row r="301" spans="2:8" s="5" customFormat="1">
      <c r="B301" s="59"/>
      <c r="C301" s="14"/>
      <c r="D301" s="15"/>
      <c r="E301" s="62"/>
      <c r="F301" s="26"/>
      <c r="G301" s="63"/>
      <c r="H301" s="25" t="str">
        <f t="shared" si="8"/>
        <v/>
      </c>
    </row>
    <row r="302" spans="2:8" s="5" customFormat="1">
      <c r="B302" s="48" t="s">
        <v>578</v>
      </c>
      <c r="C302" s="14" t="s">
        <v>577</v>
      </c>
      <c r="D302" s="22"/>
      <c r="E302" s="15"/>
      <c r="F302" s="26"/>
      <c r="G302" s="16"/>
      <c r="H302" s="25" t="str">
        <f t="shared" si="8"/>
        <v/>
      </c>
    </row>
    <row r="303" spans="2:8" s="5" customFormat="1">
      <c r="B303" s="59"/>
      <c r="C303" s="14"/>
      <c r="D303" s="15"/>
      <c r="E303" s="15"/>
      <c r="F303" s="26"/>
      <c r="G303" s="16"/>
      <c r="H303" s="25" t="str">
        <f t="shared" si="8"/>
        <v/>
      </c>
    </row>
    <row r="304" spans="2:8" s="5" customFormat="1">
      <c r="B304" s="48" t="s">
        <v>579</v>
      </c>
      <c r="C304" s="14" t="s">
        <v>463</v>
      </c>
      <c r="D304" s="22" t="s">
        <v>85</v>
      </c>
      <c r="E304" s="15"/>
      <c r="F304" s="26"/>
      <c r="G304" s="65"/>
      <c r="H304" s="25">
        <f t="shared" si="8"/>
        <v>0</v>
      </c>
    </row>
    <row r="305" spans="2:8" s="5" customFormat="1">
      <c r="B305" s="59"/>
      <c r="C305" s="14"/>
      <c r="D305" s="15"/>
      <c r="E305" s="15"/>
      <c r="F305" s="26"/>
      <c r="G305" s="65"/>
      <c r="H305" s="25" t="str">
        <f t="shared" si="8"/>
        <v/>
      </c>
    </row>
    <row r="306" spans="2:8" s="5" customFormat="1">
      <c r="B306" s="48" t="s">
        <v>86</v>
      </c>
      <c r="C306" s="100" t="s">
        <v>463</v>
      </c>
      <c r="D306" s="22" t="s">
        <v>85</v>
      </c>
      <c r="E306" s="15"/>
      <c r="F306" s="26"/>
      <c r="G306" s="60"/>
      <c r="H306" s="25">
        <f t="shared" si="8"/>
        <v>0</v>
      </c>
    </row>
    <row r="307" spans="2:8" s="5" customFormat="1">
      <c r="B307" s="59"/>
      <c r="C307" s="14"/>
      <c r="D307" s="15"/>
      <c r="E307" s="15"/>
      <c r="F307" s="26"/>
      <c r="G307" s="27"/>
      <c r="H307" s="25" t="str">
        <f t="shared" si="8"/>
        <v/>
      </c>
    </row>
    <row r="308" spans="2:8" s="5" customFormat="1">
      <c r="B308" s="48" t="s">
        <v>580</v>
      </c>
      <c r="C308" s="14" t="s">
        <v>516</v>
      </c>
      <c r="D308" s="22"/>
      <c r="E308" s="15"/>
      <c r="F308" s="26"/>
      <c r="G308" s="27"/>
      <c r="H308" s="25" t="str">
        <f t="shared" si="8"/>
        <v/>
      </c>
    </row>
    <row r="309" spans="2:8" s="5" customFormat="1">
      <c r="B309" s="59"/>
      <c r="C309" s="14"/>
      <c r="D309" s="15"/>
      <c r="E309" s="15"/>
      <c r="F309" s="26"/>
      <c r="G309" s="27"/>
      <c r="H309" s="25" t="str">
        <f t="shared" si="8"/>
        <v/>
      </c>
    </row>
    <row r="310" spans="2:8" s="5" customFormat="1" ht="25.5">
      <c r="B310" s="48" t="s">
        <v>581</v>
      </c>
      <c r="C310" s="14" t="s">
        <v>582</v>
      </c>
      <c r="D310" s="22"/>
      <c r="E310" s="15"/>
      <c r="F310" s="26"/>
      <c r="G310" s="65"/>
      <c r="H310" s="25" t="str">
        <f t="shared" si="8"/>
        <v/>
      </c>
    </row>
    <row r="311" spans="2:8" s="5" customFormat="1">
      <c r="B311" s="48"/>
      <c r="C311" s="14"/>
      <c r="D311" s="22"/>
      <c r="E311" s="15"/>
      <c r="F311" s="26"/>
      <c r="G311" s="65"/>
      <c r="H311" s="25"/>
    </row>
    <row r="312" spans="2:8" s="5" customFormat="1" ht="25.5">
      <c r="B312" s="48" t="s">
        <v>583</v>
      </c>
      <c r="C312" s="14" t="s">
        <v>584</v>
      </c>
      <c r="D312" s="22"/>
      <c r="E312" s="15"/>
      <c r="F312" s="26"/>
      <c r="G312" s="65"/>
      <c r="H312" s="25"/>
    </row>
    <row r="313" spans="2:8" s="5" customFormat="1">
      <c r="B313" s="59"/>
      <c r="C313" s="14"/>
      <c r="D313" s="15"/>
      <c r="E313" s="15"/>
      <c r="F313" s="26"/>
      <c r="G313" s="27"/>
      <c r="H313" s="25" t="str">
        <f t="shared" ref="H313:H355" si="9">IF(D313="","",F313*G313)</f>
        <v/>
      </c>
    </row>
    <row r="314" spans="2:8" s="5" customFormat="1">
      <c r="B314" s="48" t="s">
        <v>83</v>
      </c>
      <c r="C314" s="14" t="s">
        <v>463</v>
      </c>
      <c r="D314" s="22" t="s">
        <v>85</v>
      </c>
      <c r="E314" s="15"/>
      <c r="F314" s="26"/>
      <c r="G314" s="60"/>
      <c r="H314" s="25">
        <f t="shared" si="9"/>
        <v>0</v>
      </c>
    </row>
    <row r="315" spans="2:8" s="5" customFormat="1">
      <c r="B315" s="59"/>
      <c r="C315" s="14"/>
      <c r="D315" s="15"/>
      <c r="E315" s="15"/>
      <c r="F315" s="15"/>
      <c r="G315" s="16"/>
      <c r="H315" s="25" t="str">
        <f t="shared" si="9"/>
        <v/>
      </c>
    </row>
    <row r="316" spans="2:8" s="5" customFormat="1">
      <c r="B316" s="48" t="s">
        <v>86</v>
      </c>
      <c r="C316" s="100" t="s">
        <v>463</v>
      </c>
      <c r="D316" s="22" t="s">
        <v>85</v>
      </c>
      <c r="E316" s="15"/>
      <c r="F316" s="15"/>
      <c r="G316" s="65"/>
      <c r="H316" s="25">
        <f t="shared" si="9"/>
        <v>0</v>
      </c>
    </row>
    <row r="317" spans="2:8" s="5" customFormat="1">
      <c r="B317" s="59"/>
      <c r="C317" s="14"/>
      <c r="D317" s="15"/>
      <c r="E317" s="15"/>
      <c r="F317" s="15"/>
      <c r="G317" s="65"/>
      <c r="H317" s="25" t="str">
        <f t="shared" si="9"/>
        <v/>
      </c>
    </row>
    <row r="318" spans="2:8" s="5" customFormat="1">
      <c r="B318" s="48" t="s">
        <v>585</v>
      </c>
      <c r="C318" s="14" t="s">
        <v>516</v>
      </c>
      <c r="D318" s="22"/>
      <c r="E318" s="15"/>
      <c r="F318" s="15"/>
      <c r="G318" s="65"/>
      <c r="H318" s="25" t="str">
        <f t="shared" si="9"/>
        <v/>
      </c>
    </row>
    <row r="319" spans="2:8" s="5" customFormat="1">
      <c r="B319" s="48"/>
      <c r="C319" s="14"/>
      <c r="D319" s="22"/>
      <c r="E319" s="15"/>
      <c r="F319" s="15"/>
      <c r="G319" s="65"/>
      <c r="H319" s="25"/>
    </row>
    <row r="320" spans="2:8" s="5" customFormat="1">
      <c r="B320" s="48"/>
      <c r="C320" s="14"/>
      <c r="D320" s="22"/>
      <c r="E320" s="15"/>
      <c r="F320" s="15"/>
      <c r="G320" s="65"/>
      <c r="H320" s="25"/>
    </row>
    <row r="321" spans="2:9" s="5" customFormat="1">
      <c r="B321" s="48"/>
      <c r="C321" s="14"/>
      <c r="D321" s="22"/>
      <c r="E321" s="15"/>
      <c r="F321" s="15"/>
      <c r="G321" s="65"/>
      <c r="H321" s="25"/>
    </row>
    <row r="322" spans="2:9" s="5" customFormat="1">
      <c r="B322" s="48"/>
      <c r="C322" s="14"/>
      <c r="D322" s="22"/>
      <c r="E322" s="15"/>
      <c r="F322" s="15"/>
      <c r="G322" s="65"/>
      <c r="H322" s="25"/>
    </row>
    <row r="323" spans="2:9" s="5" customFormat="1">
      <c r="B323" s="48"/>
      <c r="C323" s="14"/>
      <c r="D323" s="22"/>
      <c r="E323" s="15"/>
      <c r="F323" s="15"/>
      <c r="G323" s="65"/>
      <c r="H323" s="25"/>
    </row>
    <row r="324" spans="2:9" s="5" customFormat="1">
      <c r="B324" s="48"/>
      <c r="C324" s="14"/>
      <c r="D324" s="22"/>
      <c r="E324" s="15"/>
      <c r="F324" s="15"/>
      <c r="G324" s="65"/>
      <c r="H324" s="25"/>
    </row>
    <row r="325" spans="2:9" s="5" customFormat="1">
      <c r="B325" s="48"/>
      <c r="C325" s="14"/>
      <c r="D325" s="22"/>
      <c r="E325" s="15"/>
      <c r="F325" s="15"/>
      <c r="G325" s="65"/>
      <c r="H325" s="25"/>
    </row>
    <row r="326" spans="2:9" s="5" customFormat="1">
      <c r="B326" s="59"/>
      <c r="C326" s="14"/>
      <c r="D326" s="15"/>
      <c r="E326" s="15"/>
      <c r="F326" s="15"/>
      <c r="G326" s="65"/>
      <c r="H326" s="25" t="str">
        <f t="shared" si="9"/>
        <v/>
      </c>
    </row>
    <row r="327" spans="2:9" s="5" customFormat="1">
      <c r="B327" s="59"/>
      <c r="C327" s="14"/>
      <c r="D327" s="15"/>
      <c r="E327" s="15"/>
      <c r="F327" s="15"/>
      <c r="G327" s="65"/>
      <c r="H327" s="25"/>
    </row>
    <row r="328" spans="2:9" s="5" customFormat="1">
      <c r="B328" s="59"/>
      <c r="C328" s="14"/>
      <c r="D328" s="15"/>
      <c r="E328" s="15"/>
      <c r="F328" s="15"/>
      <c r="G328" s="65"/>
      <c r="H328" s="25"/>
    </row>
    <row r="329" spans="2:9" s="5" customFormat="1">
      <c r="B329" s="59"/>
      <c r="C329" s="14"/>
      <c r="D329" s="15"/>
      <c r="E329" s="15"/>
      <c r="F329" s="15"/>
      <c r="G329" s="65"/>
      <c r="H329" s="25"/>
    </row>
    <row r="330" spans="2:9" s="5" customFormat="1">
      <c r="B330" s="59"/>
      <c r="C330" s="14"/>
      <c r="D330" s="15"/>
      <c r="E330" s="15"/>
      <c r="F330" s="15"/>
      <c r="G330" s="65"/>
      <c r="H330" s="25"/>
    </row>
    <row r="331" spans="2:9" s="5" customFormat="1">
      <c r="B331" s="59"/>
      <c r="C331" s="14"/>
      <c r="D331" s="15"/>
      <c r="E331" s="15"/>
      <c r="F331" s="15"/>
      <c r="G331" s="65"/>
      <c r="H331" s="25"/>
    </row>
    <row r="332" spans="2:9" s="28" customFormat="1" ht="20.100000000000001" customHeight="1">
      <c r="B332" s="101" t="str">
        <f>$B$10</f>
        <v>C2.3</v>
      </c>
      <c r="C332" s="29" t="s">
        <v>99</v>
      </c>
      <c r="D332" s="30"/>
      <c r="E332" s="30"/>
      <c r="F332" s="31"/>
      <c r="G332" s="30"/>
      <c r="H332" s="32">
        <f>SUM(H276:H331)</f>
        <v>0</v>
      </c>
      <c r="I332" s="33"/>
    </row>
    <row r="333" spans="2:9">
      <c r="B333" s="736" t="str">
        <f>Client1</f>
        <v>AIRPORTS COMPANY - SOUTH AFRICA</v>
      </c>
      <c r="C333" s="736"/>
      <c r="D333" s="736"/>
      <c r="E333" s="736"/>
      <c r="F333" s="737" t="str">
        <f>"Contract No. "&amp;ContractNo</f>
        <v>Contract No. KSIA7806/2025/RFP</v>
      </c>
      <c r="G333" s="737"/>
      <c r="H333" s="737"/>
    </row>
    <row r="334" spans="2:9">
      <c r="B334" s="736" t="str">
        <f>Client2</f>
        <v>ACSA</v>
      </c>
      <c r="C334" s="736"/>
      <c r="D334" s="736"/>
      <c r="E334" s="736"/>
      <c r="F334" s="737"/>
      <c r="G334" s="737"/>
      <c r="H334" s="737"/>
    </row>
    <row r="335" spans="2:9">
      <c r="B335" s="739"/>
      <c r="C335" s="739"/>
      <c r="D335" s="739"/>
      <c r="E335" s="739"/>
      <c r="F335" s="738"/>
      <c r="G335" s="738"/>
      <c r="H335" s="738"/>
    </row>
    <row r="336" spans="2:9">
      <c r="B336" s="695" t="s">
        <v>456</v>
      </c>
      <c r="C336" s="696"/>
      <c r="D336" s="696"/>
      <c r="E336" s="696"/>
      <c r="F336" s="696"/>
      <c r="G336" s="696"/>
      <c r="H336" s="740" t="str">
        <f>$H$4</f>
        <v>CHAPTER C2.3</v>
      </c>
      <c r="I336" s="6"/>
    </row>
    <row r="337" spans="2:9">
      <c r="B337" s="690" t="str">
        <f>ContractDescription</f>
        <v>PROCUREMENT OF A CIDB GRADE 9 CE CONTRACTOR THE COMPLETION OF BRAVO TAXIWAY EXTENSION AT KING SHAKA INTERNATIONAL AIRPORT FOR A PERIOD OF 12 MONTHS AT KING SHAKA INTERNATIONAL AIRPORT</v>
      </c>
      <c r="C337" s="691"/>
      <c r="D337" s="691"/>
      <c r="E337" s="691"/>
      <c r="F337" s="691"/>
      <c r="G337" s="691"/>
      <c r="H337" s="737"/>
      <c r="I337" s="8"/>
    </row>
    <row r="338" spans="2:9">
      <c r="B338" s="690"/>
      <c r="C338" s="691"/>
      <c r="D338" s="691"/>
      <c r="E338" s="691"/>
      <c r="F338" s="691"/>
      <c r="G338" s="691"/>
      <c r="H338" s="737"/>
      <c r="I338" s="8"/>
    </row>
    <row r="339" spans="2:9">
      <c r="B339" s="692"/>
      <c r="C339" s="693"/>
      <c r="D339" s="693"/>
      <c r="E339" s="693"/>
      <c r="F339" s="693"/>
      <c r="G339" s="693"/>
      <c r="H339" s="738"/>
      <c r="I339" s="8"/>
    </row>
    <row r="340" spans="2:9" s="9" customFormat="1" ht="24.95" customHeight="1">
      <c r="B340" s="70" t="s">
        <v>11</v>
      </c>
      <c r="C340" s="11" t="s">
        <v>12</v>
      </c>
      <c r="D340" s="11" t="s">
        <v>13</v>
      </c>
      <c r="E340" s="11" t="s">
        <v>14</v>
      </c>
      <c r="F340" s="11" t="s">
        <v>15</v>
      </c>
      <c r="G340" s="11" t="s">
        <v>16</v>
      </c>
      <c r="H340" s="11" t="s">
        <v>17</v>
      </c>
      <c r="I340" s="12"/>
    </row>
    <row r="341" spans="2:9" s="28" customFormat="1" ht="20.100000000000001" customHeight="1">
      <c r="B341" s="74"/>
      <c r="C341" s="29" t="s">
        <v>140</v>
      </c>
      <c r="D341" s="30"/>
      <c r="E341" s="30"/>
      <c r="F341" s="31"/>
      <c r="G341" s="30"/>
      <c r="H341" s="32">
        <f>H332</f>
        <v>0</v>
      </c>
      <c r="I341" s="33"/>
    </row>
    <row r="342" spans="2:9" s="5" customFormat="1">
      <c r="B342" s="59"/>
      <c r="C342" s="14"/>
      <c r="D342" s="15"/>
      <c r="E342" s="15"/>
      <c r="F342" s="15"/>
      <c r="G342" s="65"/>
      <c r="H342" s="25"/>
    </row>
    <row r="343" spans="2:9" s="5" customFormat="1" ht="38.25">
      <c r="B343" s="48" t="s">
        <v>586</v>
      </c>
      <c r="C343" s="14" t="s">
        <v>587</v>
      </c>
      <c r="D343" s="22"/>
      <c r="E343" s="15"/>
      <c r="F343" s="15"/>
      <c r="G343" s="66"/>
      <c r="H343" s="25" t="str">
        <f t="shared" si="9"/>
        <v/>
      </c>
    </row>
    <row r="344" spans="2:9" s="5" customFormat="1">
      <c r="B344" s="59"/>
      <c r="C344" s="14"/>
      <c r="D344" s="15"/>
      <c r="E344" s="15"/>
      <c r="F344" s="15"/>
      <c r="G344" s="65"/>
      <c r="H344" s="25" t="str">
        <f t="shared" si="9"/>
        <v/>
      </c>
    </row>
    <row r="345" spans="2:9" s="5" customFormat="1" ht="25.5">
      <c r="B345" s="48" t="s">
        <v>588</v>
      </c>
      <c r="C345" s="14" t="s">
        <v>589</v>
      </c>
      <c r="D345" s="22" t="s">
        <v>85</v>
      </c>
      <c r="E345" s="15"/>
      <c r="F345" s="15"/>
      <c r="G345" s="65"/>
      <c r="H345" s="25">
        <f t="shared" si="9"/>
        <v>0</v>
      </c>
    </row>
    <row r="346" spans="2:9" s="5" customFormat="1">
      <c r="B346" s="59"/>
      <c r="C346" s="14"/>
      <c r="D346" s="15"/>
      <c r="E346" s="15"/>
      <c r="F346" s="15"/>
      <c r="G346" s="65"/>
      <c r="H346" s="25" t="str">
        <f t="shared" si="9"/>
        <v/>
      </c>
    </row>
    <row r="347" spans="2:9" s="5" customFormat="1">
      <c r="B347" s="48" t="s">
        <v>83</v>
      </c>
      <c r="C347" s="100" t="s">
        <v>463</v>
      </c>
      <c r="D347" s="22" t="s">
        <v>85</v>
      </c>
      <c r="E347" s="62"/>
      <c r="F347" s="62"/>
      <c r="G347" s="65"/>
      <c r="H347" s="25">
        <f t="shared" si="9"/>
        <v>0</v>
      </c>
    </row>
    <row r="348" spans="2:9" s="5" customFormat="1">
      <c r="B348" s="59"/>
      <c r="C348" s="14"/>
      <c r="D348" s="15"/>
      <c r="E348" s="15"/>
      <c r="F348" s="15"/>
      <c r="G348" s="65"/>
      <c r="H348" s="25" t="str">
        <f t="shared" si="9"/>
        <v/>
      </c>
    </row>
    <row r="349" spans="2:9" s="5" customFormat="1">
      <c r="B349" s="48" t="s">
        <v>86</v>
      </c>
      <c r="C349" s="100" t="s">
        <v>463</v>
      </c>
      <c r="D349" s="22" t="s">
        <v>85</v>
      </c>
      <c r="E349" s="62"/>
      <c r="F349" s="62"/>
      <c r="G349" s="65"/>
      <c r="H349" s="25">
        <f t="shared" si="9"/>
        <v>0</v>
      </c>
    </row>
    <row r="350" spans="2:9" s="5" customFormat="1">
      <c r="B350" s="59"/>
      <c r="C350" s="252"/>
      <c r="D350" s="62"/>
      <c r="E350" s="62"/>
      <c r="F350" s="62"/>
      <c r="G350" s="65"/>
      <c r="H350" s="25" t="str">
        <f t="shared" si="9"/>
        <v/>
      </c>
    </row>
    <row r="351" spans="2:9" s="5" customFormat="1" ht="25.5">
      <c r="B351" s="48" t="s">
        <v>590</v>
      </c>
      <c r="C351" s="14" t="s">
        <v>589</v>
      </c>
      <c r="D351" s="22" t="s">
        <v>347</v>
      </c>
      <c r="E351" s="15"/>
      <c r="F351" s="15"/>
      <c r="G351" s="65"/>
      <c r="H351" s="25">
        <f t="shared" si="9"/>
        <v>0</v>
      </c>
    </row>
    <row r="352" spans="2:9" s="5" customFormat="1">
      <c r="B352" s="59"/>
      <c r="C352" s="252"/>
      <c r="D352" s="62"/>
      <c r="E352" s="15"/>
      <c r="F352" s="15"/>
      <c r="G352" s="65"/>
      <c r="H352" s="25" t="str">
        <f t="shared" si="9"/>
        <v/>
      </c>
    </row>
    <row r="353" spans="2:8" s="5" customFormat="1">
      <c r="B353" s="48" t="s">
        <v>83</v>
      </c>
      <c r="C353" s="100" t="s">
        <v>463</v>
      </c>
      <c r="D353" s="22" t="s">
        <v>85</v>
      </c>
      <c r="E353" s="15"/>
      <c r="F353" s="15"/>
      <c r="G353" s="65"/>
      <c r="H353" s="25">
        <f t="shared" si="9"/>
        <v>0</v>
      </c>
    </row>
    <row r="354" spans="2:8" s="5" customFormat="1">
      <c r="B354" s="59"/>
      <c r="C354" s="14"/>
      <c r="D354" s="15"/>
      <c r="E354" s="15"/>
      <c r="F354" s="15"/>
      <c r="G354" s="65"/>
      <c r="H354" s="25" t="str">
        <f t="shared" si="9"/>
        <v/>
      </c>
    </row>
    <row r="355" spans="2:8" s="5" customFormat="1">
      <c r="B355" s="48" t="s">
        <v>86</v>
      </c>
      <c r="C355" s="100" t="s">
        <v>463</v>
      </c>
      <c r="D355" s="22" t="s">
        <v>85</v>
      </c>
      <c r="E355" s="15"/>
      <c r="F355" s="15"/>
      <c r="G355" s="16"/>
      <c r="H355" s="25">
        <f t="shared" si="9"/>
        <v>0</v>
      </c>
    </row>
    <row r="356" spans="2:8" s="5" customFormat="1">
      <c r="B356" s="48"/>
      <c r="C356" s="14"/>
      <c r="D356" s="15"/>
      <c r="E356" s="15"/>
      <c r="F356" s="15"/>
      <c r="G356" s="16"/>
      <c r="H356" s="17" t="str">
        <f t="shared" ref="H356:H371" si="10">IF(D356="","",F356*G356)</f>
        <v/>
      </c>
    </row>
    <row r="357" spans="2:8" s="5" customFormat="1">
      <c r="B357" s="48" t="s">
        <v>591</v>
      </c>
      <c r="C357" s="14" t="s">
        <v>516</v>
      </c>
      <c r="D357" s="22"/>
      <c r="E357" s="15"/>
      <c r="F357" s="15"/>
      <c r="G357" s="16"/>
      <c r="H357" s="17" t="str">
        <f t="shared" si="10"/>
        <v/>
      </c>
    </row>
    <row r="358" spans="2:8" s="5" customFormat="1">
      <c r="B358" s="48"/>
      <c r="C358" s="14"/>
      <c r="D358" s="15"/>
      <c r="E358" s="15"/>
      <c r="F358" s="15"/>
      <c r="G358" s="16"/>
      <c r="H358" s="17" t="str">
        <f t="shared" si="10"/>
        <v/>
      </c>
    </row>
    <row r="359" spans="2:8" s="5" customFormat="1" ht="25.5">
      <c r="B359" s="48" t="s">
        <v>592</v>
      </c>
      <c r="C359" s="14" t="s">
        <v>593</v>
      </c>
      <c r="D359" s="22"/>
      <c r="E359" s="15"/>
      <c r="F359" s="15"/>
      <c r="G359" s="16"/>
      <c r="H359" s="17" t="str">
        <f t="shared" si="10"/>
        <v/>
      </c>
    </row>
    <row r="360" spans="2:8" s="5" customFormat="1">
      <c r="B360" s="59"/>
      <c r="C360" s="14"/>
      <c r="D360" s="15"/>
      <c r="E360" s="15"/>
      <c r="F360" s="15"/>
      <c r="G360" s="16"/>
      <c r="H360" s="17" t="str">
        <f t="shared" si="10"/>
        <v/>
      </c>
    </row>
    <row r="361" spans="2:8" s="5" customFormat="1" ht="25.5">
      <c r="B361" s="48" t="s">
        <v>594</v>
      </c>
      <c r="C361" s="14" t="s">
        <v>595</v>
      </c>
      <c r="D361" s="22"/>
      <c r="E361" s="22"/>
      <c r="F361" s="23"/>
      <c r="G361" s="24"/>
      <c r="H361" s="25" t="str">
        <f t="shared" si="10"/>
        <v/>
      </c>
    </row>
    <row r="362" spans="2:8" s="5" customFormat="1">
      <c r="B362" s="59"/>
      <c r="C362" s="14"/>
      <c r="D362" s="15"/>
      <c r="E362" s="15"/>
      <c r="F362" s="26"/>
      <c r="G362" s="16"/>
      <c r="H362" s="25" t="str">
        <f t="shared" si="10"/>
        <v/>
      </c>
    </row>
    <row r="363" spans="2:8" s="5" customFormat="1">
      <c r="B363" s="48" t="s">
        <v>83</v>
      </c>
      <c r="C363" s="14" t="s">
        <v>596</v>
      </c>
      <c r="D363" s="22" t="s">
        <v>347</v>
      </c>
      <c r="E363" s="15"/>
      <c r="F363" s="26"/>
      <c r="G363" s="60"/>
      <c r="H363" s="25">
        <f t="shared" si="10"/>
        <v>0</v>
      </c>
    </row>
    <row r="364" spans="2:8" s="5" customFormat="1">
      <c r="B364" s="59"/>
      <c r="C364" s="14"/>
      <c r="D364" s="15"/>
      <c r="E364" s="15"/>
      <c r="F364" s="26"/>
      <c r="G364" s="16"/>
      <c r="H364" s="25" t="str">
        <f t="shared" si="10"/>
        <v/>
      </c>
    </row>
    <row r="365" spans="2:8" s="5" customFormat="1">
      <c r="B365" s="48" t="s">
        <v>86</v>
      </c>
      <c r="C365" s="14" t="s">
        <v>596</v>
      </c>
      <c r="D365" s="22" t="s">
        <v>347</v>
      </c>
      <c r="E365" s="62"/>
      <c r="F365" s="26"/>
      <c r="G365" s="63"/>
      <c r="H365" s="25">
        <f t="shared" si="10"/>
        <v>0</v>
      </c>
    </row>
    <row r="366" spans="2:8" s="5" customFormat="1">
      <c r="B366" s="48"/>
      <c r="C366" s="14"/>
      <c r="D366" s="15"/>
      <c r="E366" s="62"/>
      <c r="F366" s="26"/>
      <c r="G366" s="63"/>
      <c r="H366" s="25" t="str">
        <f t="shared" si="10"/>
        <v/>
      </c>
    </row>
    <row r="367" spans="2:8" s="5" customFormat="1" ht="25.5">
      <c r="B367" s="48" t="s">
        <v>597</v>
      </c>
      <c r="C367" s="100" t="s">
        <v>598</v>
      </c>
      <c r="D367" s="22" t="s">
        <v>478</v>
      </c>
      <c r="E367" s="62"/>
      <c r="F367" s="26"/>
      <c r="G367" s="65"/>
      <c r="H367" s="25">
        <f t="shared" si="10"/>
        <v>0</v>
      </c>
    </row>
    <row r="368" spans="2:8" s="5" customFormat="1">
      <c r="B368" s="59"/>
      <c r="C368" s="14"/>
      <c r="D368" s="15"/>
      <c r="E368" s="62"/>
      <c r="F368" s="26"/>
      <c r="G368" s="63"/>
      <c r="H368" s="25" t="str">
        <f t="shared" si="10"/>
        <v/>
      </c>
    </row>
    <row r="369" spans="1:9" s="5" customFormat="1">
      <c r="B369" s="48" t="s">
        <v>83</v>
      </c>
      <c r="C369" s="14" t="s">
        <v>599</v>
      </c>
      <c r="D369" s="22" t="s">
        <v>347</v>
      </c>
      <c r="E369" s="15"/>
      <c r="F369" s="26"/>
      <c r="G369" s="60"/>
      <c r="H369" s="25">
        <f t="shared" si="10"/>
        <v>0</v>
      </c>
    </row>
    <row r="370" spans="1:9" s="5" customFormat="1">
      <c r="B370" s="59"/>
      <c r="C370" s="14"/>
      <c r="D370" s="15"/>
      <c r="E370" s="15"/>
      <c r="F370" s="26"/>
      <c r="G370" s="16"/>
      <c r="H370" s="25" t="str">
        <f t="shared" si="10"/>
        <v/>
      </c>
    </row>
    <row r="371" spans="1:9" s="5" customFormat="1">
      <c r="B371" s="48" t="s">
        <v>86</v>
      </c>
      <c r="C371" s="14" t="s">
        <v>600</v>
      </c>
      <c r="D371" s="22" t="s">
        <v>347</v>
      </c>
      <c r="E371" s="62"/>
      <c r="F371" s="26"/>
      <c r="G371" s="63"/>
      <c r="H371" s="25">
        <f t="shared" si="10"/>
        <v>0</v>
      </c>
    </row>
    <row r="372" spans="1:9" s="5" customFormat="1">
      <c r="B372" s="59"/>
      <c r="C372" s="14"/>
      <c r="D372" s="15"/>
      <c r="E372" s="62"/>
      <c r="F372" s="26"/>
      <c r="G372" s="63"/>
      <c r="H372" s="25"/>
    </row>
    <row r="373" spans="1:9" s="5" customFormat="1">
      <c r="B373" s="59" t="s">
        <v>601</v>
      </c>
      <c r="C373" s="14" t="s">
        <v>516</v>
      </c>
      <c r="D373" s="15"/>
      <c r="E373" s="62"/>
      <c r="F373" s="26"/>
      <c r="G373" s="63"/>
      <c r="H373" s="25"/>
    </row>
    <row r="374" spans="1:9" s="5" customFormat="1">
      <c r="B374" s="59"/>
      <c r="C374" s="14"/>
      <c r="D374" s="15"/>
      <c r="E374" s="62"/>
      <c r="F374" s="26"/>
      <c r="G374" s="63"/>
      <c r="H374" s="25"/>
    </row>
    <row r="375" spans="1:9" s="5" customFormat="1" ht="25.5">
      <c r="B375" s="59" t="s">
        <v>602</v>
      </c>
      <c r="C375" s="14" t="s">
        <v>603</v>
      </c>
      <c r="D375" s="15"/>
      <c r="E375" s="62"/>
      <c r="F375" s="26"/>
      <c r="G375" s="63"/>
      <c r="H375" s="25"/>
    </row>
    <row r="376" spans="1:9" s="5" customFormat="1">
      <c r="B376" s="59"/>
      <c r="C376" s="14"/>
      <c r="D376" s="15"/>
      <c r="E376" s="62"/>
      <c r="F376" s="26"/>
      <c r="G376" s="63"/>
      <c r="H376" s="25"/>
    </row>
    <row r="377" spans="1:9" s="5" customFormat="1" ht="25.5">
      <c r="B377" s="59" t="s">
        <v>604</v>
      </c>
      <c r="C377" s="14" t="s">
        <v>605</v>
      </c>
      <c r="D377" s="15"/>
      <c r="E377" s="62"/>
      <c r="F377" s="26"/>
      <c r="G377" s="63"/>
      <c r="H377" s="25"/>
    </row>
    <row r="378" spans="1:9" s="5" customFormat="1">
      <c r="B378" s="59"/>
      <c r="C378" s="14"/>
      <c r="D378" s="15"/>
      <c r="E378" s="62"/>
      <c r="F378" s="26"/>
      <c r="G378" s="63"/>
      <c r="H378" s="25"/>
    </row>
    <row r="379" spans="1:9" s="5" customFormat="1">
      <c r="B379" s="48" t="s">
        <v>83</v>
      </c>
      <c r="C379" s="14" t="s">
        <v>599</v>
      </c>
      <c r="D379" s="22" t="s">
        <v>347</v>
      </c>
      <c r="E379" s="15"/>
      <c r="F379" s="26"/>
      <c r="G379" s="60"/>
      <c r="H379" s="25">
        <f>IF(D379="","",F379*G379)</f>
        <v>0</v>
      </c>
    </row>
    <row r="380" spans="1:9" s="5" customFormat="1">
      <c r="B380" s="59"/>
      <c r="C380" s="14"/>
      <c r="D380" s="15"/>
      <c r="E380" s="15"/>
      <c r="F380" s="26"/>
      <c r="G380" s="16"/>
      <c r="H380" s="25" t="str">
        <f>IF(D380="","",F380*G380)</f>
        <v/>
      </c>
    </row>
    <row r="381" spans="1:9" s="5" customFormat="1">
      <c r="B381" s="48" t="s">
        <v>86</v>
      </c>
      <c r="C381" s="14" t="s">
        <v>600</v>
      </c>
      <c r="D381" s="22" t="s">
        <v>347</v>
      </c>
      <c r="E381" s="62"/>
      <c r="F381" s="26"/>
      <c r="G381" s="63"/>
      <c r="H381" s="25">
        <f>IF(D381="","",F381*G381)</f>
        <v>0</v>
      </c>
    </row>
    <row r="382" spans="1:9" s="5" customFormat="1">
      <c r="B382" s="59"/>
      <c r="C382" s="14"/>
      <c r="D382" s="15"/>
      <c r="E382" s="62"/>
      <c r="F382" s="26"/>
      <c r="G382" s="63"/>
      <c r="H382" s="25"/>
    </row>
    <row r="383" spans="1:9">
      <c r="A383" s="5"/>
      <c r="B383" s="48"/>
      <c r="C383" s="14"/>
      <c r="D383" s="15"/>
      <c r="E383" s="15"/>
      <c r="F383" s="15"/>
      <c r="G383" s="16"/>
      <c r="H383" s="17" t="str">
        <f t="shared" ref="H383:H444" si="11">IF(D383="","",F383*G383)</f>
        <v/>
      </c>
      <c r="I383" s="1"/>
    </row>
    <row r="384" spans="1:9">
      <c r="A384" s="5"/>
      <c r="B384" s="84" t="s">
        <v>606</v>
      </c>
      <c r="C384" s="14" t="s">
        <v>607</v>
      </c>
      <c r="D384" s="22"/>
      <c r="E384" s="15"/>
      <c r="F384" s="15"/>
      <c r="G384" s="16"/>
      <c r="H384" s="17" t="str">
        <f t="shared" si="11"/>
        <v/>
      </c>
      <c r="I384" s="1"/>
    </row>
    <row r="385" spans="1:9">
      <c r="A385" s="5"/>
      <c r="B385" s="48"/>
      <c r="C385" s="14"/>
      <c r="D385" s="15"/>
      <c r="E385" s="15"/>
      <c r="F385" s="15"/>
      <c r="G385" s="16"/>
      <c r="H385" s="17" t="str">
        <f t="shared" si="11"/>
        <v/>
      </c>
      <c r="I385" s="1"/>
    </row>
    <row r="386" spans="1:9">
      <c r="A386" s="5"/>
      <c r="B386" s="48" t="s">
        <v>608</v>
      </c>
      <c r="C386" s="14" t="s">
        <v>609</v>
      </c>
      <c r="D386" s="22" t="s">
        <v>85</v>
      </c>
      <c r="E386" s="15"/>
      <c r="F386" s="15"/>
      <c r="G386" s="16"/>
      <c r="H386" s="17">
        <f t="shared" si="11"/>
        <v>0</v>
      </c>
      <c r="I386" s="1"/>
    </row>
    <row r="387" spans="1:9">
      <c r="A387" s="5"/>
      <c r="B387" s="59"/>
      <c r="C387" s="14"/>
      <c r="D387" s="15"/>
      <c r="E387" s="15"/>
      <c r="F387" s="15"/>
      <c r="G387" s="16"/>
      <c r="H387" s="17" t="str">
        <f t="shared" si="11"/>
        <v/>
      </c>
      <c r="I387" s="1"/>
    </row>
    <row r="388" spans="1:9">
      <c r="A388" s="5"/>
      <c r="B388" s="48" t="s">
        <v>610</v>
      </c>
      <c r="C388" s="14" t="s">
        <v>611</v>
      </c>
      <c r="D388" s="22" t="s">
        <v>85</v>
      </c>
      <c r="E388" s="22"/>
      <c r="F388" s="23"/>
      <c r="G388" s="24"/>
      <c r="H388" s="25">
        <f t="shared" si="11"/>
        <v>0</v>
      </c>
      <c r="I388" s="1"/>
    </row>
    <row r="389" spans="1:9">
      <c r="A389" s="5"/>
      <c r="B389" s="59"/>
      <c r="C389" s="14"/>
      <c r="D389" s="15"/>
      <c r="E389" s="15"/>
      <c r="F389" s="26"/>
      <c r="G389" s="16"/>
      <c r="H389" s="25" t="str">
        <f t="shared" si="11"/>
        <v/>
      </c>
      <c r="I389" s="1"/>
    </row>
    <row r="390" spans="1:9">
      <c r="A390" s="5"/>
      <c r="B390" s="48" t="s">
        <v>612</v>
      </c>
      <c r="C390" s="14" t="s">
        <v>516</v>
      </c>
      <c r="D390" s="22" t="s">
        <v>85</v>
      </c>
      <c r="E390" s="15"/>
      <c r="F390" s="26"/>
      <c r="G390" s="60"/>
      <c r="H390" s="25">
        <f t="shared" si="11"/>
        <v>0</v>
      </c>
      <c r="I390" s="1"/>
    </row>
    <row r="391" spans="1:9">
      <c r="A391" s="5"/>
      <c r="B391" s="59"/>
      <c r="C391" s="14"/>
      <c r="D391" s="15"/>
      <c r="E391" s="15"/>
      <c r="F391" s="26"/>
      <c r="G391" s="16"/>
      <c r="H391" s="25" t="str">
        <f t="shared" si="11"/>
        <v/>
      </c>
      <c r="I391" s="1"/>
    </row>
    <row r="392" spans="1:9">
      <c r="A392" s="5"/>
      <c r="B392" s="59"/>
      <c r="C392" s="14"/>
      <c r="D392" s="15"/>
      <c r="E392" s="15"/>
      <c r="F392" s="26"/>
      <c r="G392" s="16"/>
      <c r="H392" s="25"/>
      <c r="I392" s="1"/>
    </row>
    <row r="393" spans="1:9">
      <c r="A393" s="5"/>
      <c r="B393" s="59"/>
      <c r="C393" s="14"/>
      <c r="D393" s="15"/>
      <c r="E393" s="15"/>
      <c r="F393" s="26"/>
      <c r="G393" s="16"/>
      <c r="H393" s="25"/>
      <c r="I393" s="1"/>
    </row>
    <row r="394" spans="1:9">
      <c r="A394" s="5"/>
      <c r="B394" s="59"/>
      <c r="C394" s="14"/>
      <c r="D394" s="15"/>
      <c r="E394" s="15"/>
      <c r="F394" s="26"/>
      <c r="G394" s="16"/>
      <c r="H394" s="25"/>
      <c r="I394" s="1"/>
    </row>
    <row r="395" spans="1:9" s="28" customFormat="1" ht="19.5" customHeight="1">
      <c r="B395" s="101" t="str">
        <f>$B$10</f>
        <v>C2.3</v>
      </c>
      <c r="C395" s="29" t="s">
        <v>99</v>
      </c>
      <c r="D395" s="30"/>
      <c r="E395" s="30"/>
      <c r="F395" s="31"/>
      <c r="G395" s="30"/>
      <c r="H395" s="32">
        <f>SUM(H341:H394)</f>
        <v>0</v>
      </c>
      <c r="I395" s="33"/>
    </row>
    <row r="396" spans="1:9">
      <c r="B396" s="736" t="str">
        <f>Client1</f>
        <v>AIRPORTS COMPANY - SOUTH AFRICA</v>
      </c>
      <c r="C396" s="736"/>
      <c r="D396" s="736"/>
      <c r="E396" s="736"/>
      <c r="F396" s="737" t="str">
        <f>"Contract No. "&amp;ContractNo</f>
        <v>Contract No. KSIA7806/2025/RFP</v>
      </c>
      <c r="G396" s="737"/>
      <c r="H396" s="737"/>
    </row>
    <row r="397" spans="1:9">
      <c r="B397" s="736" t="str">
        <f>Client2</f>
        <v>ACSA</v>
      </c>
      <c r="C397" s="736"/>
      <c r="D397" s="736"/>
      <c r="E397" s="736"/>
      <c r="F397" s="737"/>
      <c r="G397" s="737"/>
      <c r="H397" s="737"/>
    </row>
    <row r="398" spans="1:9">
      <c r="B398" s="739"/>
      <c r="C398" s="739"/>
      <c r="D398" s="739"/>
      <c r="E398" s="739"/>
      <c r="F398" s="738"/>
      <c r="G398" s="738"/>
      <c r="H398" s="738"/>
    </row>
    <row r="399" spans="1:9">
      <c r="B399" s="695" t="s">
        <v>456</v>
      </c>
      <c r="C399" s="696"/>
      <c r="D399" s="696"/>
      <c r="E399" s="696"/>
      <c r="F399" s="696"/>
      <c r="G399" s="696"/>
      <c r="H399" s="740" t="str">
        <f>$H$4</f>
        <v>CHAPTER C2.3</v>
      </c>
      <c r="I399" s="6"/>
    </row>
    <row r="400" spans="1:9">
      <c r="B400" s="690" t="str">
        <f>ContractDescription</f>
        <v>PROCUREMENT OF A CIDB GRADE 9 CE CONTRACTOR THE COMPLETION OF BRAVO TAXIWAY EXTENSION AT KING SHAKA INTERNATIONAL AIRPORT FOR A PERIOD OF 12 MONTHS AT KING SHAKA INTERNATIONAL AIRPORT</v>
      </c>
      <c r="C400" s="691"/>
      <c r="D400" s="691"/>
      <c r="E400" s="691"/>
      <c r="F400" s="691"/>
      <c r="G400" s="691"/>
      <c r="H400" s="737"/>
      <c r="I400" s="8"/>
    </row>
    <row r="401" spans="1:9">
      <c r="B401" s="690"/>
      <c r="C401" s="691"/>
      <c r="D401" s="691"/>
      <c r="E401" s="691"/>
      <c r="F401" s="691"/>
      <c r="G401" s="691"/>
      <c r="H401" s="737"/>
      <c r="I401" s="8"/>
    </row>
    <row r="402" spans="1:9">
      <c r="B402" s="692"/>
      <c r="C402" s="693"/>
      <c r="D402" s="693"/>
      <c r="E402" s="693"/>
      <c r="F402" s="693"/>
      <c r="G402" s="693"/>
      <c r="H402" s="738"/>
      <c r="I402" s="8"/>
    </row>
    <row r="403" spans="1:9" s="9" customFormat="1" ht="24.95" customHeight="1">
      <c r="B403" s="70" t="s">
        <v>11</v>
      </c>
      <c r="C403" s="11" t="s">
        <v>12</v>
      </c>
      <c r="D403" s="11" t="s">
        <v>13</v>
      </c>
      <c r="E403" s="11" t="s">
        <v>14</v>
      </c>
      <c r="F403" s="11" t="s">
        <v>15</v>
      </c>
      <c r="G403" s="11" t="s">
        <v>16</v>
      </c>
      <c r="H403" s="11" t="s">
        <v>17</v>
      </c>
      <c r="I403" s="12"/>
    </row>
    <row r="404" spans="1:9" s="28" customFormat="1" ht="20.100000000000001" customHeight="1">
      <c r="B404" s="74"/>
      <c r="C404" s="29" t="s">
        <v>140</v>
      </c>
      <c r="D404" s="30"/>
      <c r="E404" s="30"/>
      <c r="F404" s="31"/>
      <c r="G404" s="30"/>
      <c r="H404" s="32">
        <f>H395</f>
        <v>0</v>
      </c>
      <c r="I404" s="33"/>
    </row>
    <row r="405" spans="1:9">
      <c r="A405" s="5"/>
      <c r="B405" s="59"/>
      <c r="C405" s="14"/>
      <c r="D405" s="15"/>
      <c r="E405" s="15"/>
      <c r="F405" s="26"/>
      <c r="G405" s="16"/>
      <c r="H405" s="25"/>
      <c r="I405" s="1"/>
    </row>
    <row r="406" spans="1:9" ht="25.5">
      <c r="A406" s="5"/>
      <c r="B406" s="48" t="s">
        <v>613</v>
      </c>
      <c r="C406" s="14" t="s">
        <v>614</v>
      </c>
      <c r="D406" s="22"/>
      <c r="E406" s="62"/>
      <c r="F406" s="26"/>
      <c r="G406" s="63"/>
      <c r="H406" s="25" t="str">
        <f t="shared" si="11"/>
        <v/>
      </c>
      <c r="I406" s="1"/>
    </row>
    <row r="407" spans="1:9">
      <c r="A407" s="5"/>
      <c r="B407" s="48"/>
      <c r="C407" s="14"/>
      <c r="D407" s="15"/>
      <c r="E407" s="62"/>
      <c r="F407" s="26"/>
      <c r="G407" s="63"/>
      <c r="H407" s="25" t="str">
        <f t="shared" si="11"/>
        <v/>
      </c>
      <c r="I407" s="1"/>
    </row>
    <row r="408" spans="1:9">
      <c r="A408" s="5"/>
      <c r="B408" s="48" t="s">
        <v>615</v>
      </c>
      <c r="C408" s="100" t="s">
        <v>476</v>
      </c>
      <c r="D408" s="22"/>
      <c r="E408" s="62"/>
      <c r="F408" s="26"/>
      <c r="G408" s="65"/>
      <c r="H408" s="25" t="str">
        <f t="shared" si="11"/>
        <v/>
      </c>
      <c r="I408" s="1"/>
    </row>
    <row r="409" spans="1:9">
      <c r="A409" s="5"/>
      <c r="B409" s="59"/>
      <c r="C409" s="14"/>
      <c r="D409" s="15"/>
      <c r="E409" s="62"/>
      <c r="F409" s="26"/>
      <c r="G409" s="63"/>
      <c r="H409" s="25" t="str">
        <f t="shared" si="11"/>
        <v/>
      </c>
      <c r="I409" s="1"/>
    </row>
    <row r="410" spans="1:9">
      <c r="A410" s="5"/>
      <c r="B410" s="48" t="s">
        <v>83</v>
      </c>
      <c r="C410" s="14" t="s">
        <v>477</v>
      </c>
      <c r="D410" s="22" t="s">
        <v>478</v>
      </c>
      <c r="E410" s="62"/>
      <c r="F410" s="26"/>
      <c r="G410" s="60"/>
      <c r="H410" s="25">
        <f t="shared" si="11"/>
        <v>0</v>
      </c>
      <c r="I410" s="1"/>
    </row>
    <row r="411" spans="1:9">
      <c r="A411" s="5"/>
      <c r="B411" s="59"/>
      <c r="C411" s="14"/>
      <c r="D411" s="15"/>
      <c r="E411" s="62"/>
      <c r="F411" s="26"/>
      <c r="G411" s="63"/>
      <c r="H411" s="25" t="str">
        <f t="shared" si="11"/>
        <v/>
      </c>
      <c r="I411" s="1"/>
    </row>
    <row r="412" spans="1:9">
      <c r="A412" s="5"/>
      <c r="B412" s="48" t="s">
        <v>86</v>
      </c>
      <c r="C412" s="14" t="s">
        <v>479</v>
      </c>
      <c r="D412" s="22" t="s">
        <v>478</v>
      </c>
      <c r="E412" s="15"/>
      <c r="F412" s="26"/>
      <c r="G412" s="16"/>
      <c r="H412" s="25">
        <f t="shared" si="11"/>
        <v>0</v>
      </c>
      <c r="I412" s="1"/>
    </row>
    <row r="413" spans="1:9">
      <c r="A413" s="5"/>
      <c r="B413" s="59"/>
      <c r="C413" s="14"/>
      <c r="D413" s="15"/>
      <c r="E413" s="15"/>
      <c r="F413" s="26"/>
      <c r="G413" s="16"/>
      <c r="H413" s="25" t="str">
        <f t="shared" si="11"/>
        <v/>
      </c>
      <c r="I413" s="1"/>
    </row>
    <row r="414" spans="1:9">
      <c r="A414" s="5"/>
      <c r="B414" s="48" t="s">
        <v>117</v>
      </c>
      <c r="C414" s="14" t="s">
        <v>480</v>
      </c>
      <c r="D414" s="22" t="s">
        <v>478</v>
      </c>
      <c r="E414" s="15"/>
      <c r="F414" s="26"/>
      <c r="G414" s="65"/>
      <c r="H414" s="25">
        <f t="shared" si="11"/>
        <v>0</v>
      </c>
      <c r="I414" s="1"/>
    </row>
    <row r="415" spans="1:9">
      <c r="A415" s="5"/>
      <c r="B415" s="59"/>
      <c r="C415" s="14"/>
      <c r="D415" s="15"/>
      <c r="E415" s="15"/>
      <c r="F415" s="26"/>
      <c r="G415" s="65"/>
      <c r="H415" s="25" t="str">
        <f t="shared" si="11"/>
        <v/>
      </c>
      <c r="I415" s="1"/>
    </row>
    <row r="416" spans="1:9">
      <c r="A416" s="5"/>
      <c r="B416" s="48" t="s">
        <v>119</v>
      </c>
      <c r="C416" s="14" t="s">
        <v>482</v>
      </c>
      <c r="D416" s="22" t="s">
        <v>478</v>
      </c>
      <c r="E416" s="15"/>
      <c r="F416" s="26"/>
      <c r="G416" s="60"/>
      <c r="H416" s="25">
        <f t="shared" si="11"/>
        <v>0</v>
      </c>
      <c r="I416" s="1"/>
    </row>
    <row r="417" spans="1:9">
      <c r="A417" s="5"/>
      <c r="B417" s="59"/>
      <c r="C417" s="14"/>
      <c r="D417" s="15"/>
      <c r="E417" s="15"/>
      <c r="F417" s="26"/>
      <c r="G417" s="27"/>
      <c r="H417" s="25" t="str">
        <f t="shared" si="11"/>
        <v/>
      </c>
      <c r="I417" s="1"/>
    </row>
    <row r="418" spans="1:9">
      <c r="A418" s="5"/>
      <c r="B418" s="48" t="s">
        <v>616</v>
      </c>
      <c r="C418" s="14" t="s">
        <v>483</v>
      </c>
      <c r="D418" s="22" t="s">
        <v>478</v>
      </c>
      <c r="E418" s="15"/>
      <c r="F418" s="26"/>
      <c r="G418" s="27"/>
      <c r="H418" s="25">
        <f t="shared" si="11"/>
        <v>0</v>
      </c>
      <c r="I418" s="1"/>
    </row>
    <row r="419" spans="1:9">
      <c r="A419" s="5"/>
      <c r="B419" s="59"/>
      <c r="C419" s="14"/>
      <c r="D419" s="15"/>
      <c r="E419" s="15"/>
      <c r="F419" s="26"/>
      <c r="G419" s="27"/>
      <c r="H419" s="25" t="str">
        <f t="shared" si="11"/>
        <v/>
      </c>
      <c r="I419" s="1"/>
    </row>
    <row r="420" spans="1:9">
      <c r="A420" s="5"/>
      <c r="B420" s="48" t="s">
        <v>617</v>
      </c>
      <c r="C420" s="14" t="s">
        <v>485</v>
      </c>
      <c r="D420" s="22" t="s">
        <v>542</v>
      </c>
      <c r="E420" s="15"/>
      <c r="F420" s="26"/>
      <c r="G420" s="65"/>
      <c r="H420" s="25">
        <f t="shared" si="11"/>
        <v>0</v>
      </c>
      <c r="I420" s="1"/>
    </row>
    <row r="421" spans="1:9">
      <c r="A421" s="5"/>
      <c r="B421" s="59"/>
      <c r="C421" s="14"/>
      <c r="D421" s="15"/>
      <c r="E421" s="15"/>
      <c r="F421" s="26"/>
      <c r="G421" s="27"/>
      <c r="H421" s="25" t="str">
        <f t="shared" si="11"/>
        <v/>
      </c>
      <c r="I421" s="1"/>
    </row>
    <row r="422" spans="1:9">
      <c r="A422" s="5"/>
      <c r="B422" s="48" t="s">
        <v>83</v>
      </c>
      <c r="C422" s="14" t="s">
        <v>477</v>
      </c>
      <c r="D422" s="22" t="s">
        <v>478</v>
      </c>
      <c r="E422" s="62"/>
      <c r="F422" s="26"/>
      <c r="G422" s="60"/>
      <c r="H422" s="25">
        <f t="shared" si="11"/>
        <v>0</v>
      </c>
      <c r="I422" s="1"/>
    </row>
    <row r="423" spans="1:9">
      <c r="A423" s="5"/>
      <c r="B423" s="59"/>
      <c r="C423" s="14"/>
      <c r="D423" s="15"/>
      <c r="E423" s="62"/>
      <c r="F423" s="26"/>
      <c r="G423" s="63"/>
      <c r="H423" s="25" t="str">
        <f t="shared" si="11"/>
        <v/>
      </c>
      <c r="I423" s="1"/>
    </row>
    <row r="424" spans="1:9">
      <c r="A424" s="5"/>
      <c r="B424" s="48" t="s">
        <v>86</v>
      </c>
      <c r="C424" s="14" t="s">
        <v>479</v>
      </c>
      <c r="D424" s="22" t="s">
        <v>478</v>
      </c>
      <c r="E424" s="15"/>
      <c r="F424" s="26"/>
      <c r="G424" s="16"/>
      <c r="H424" s="25">
        <f t="shared" si="11"/>
        <v>0</v>
      </c>
      <c r="I424" s="1"/>
    </row>
    <row r="425" spans="1:9">
      <c r="A425" s="5"/>
      <c r="B425" s="59"/>
      <c r="C425" s="14"/>
      <c r="D425" s="15"/>
      <c r="E425" s="15"/>
      <c r="F425" s="26"/>
      <c r="G425" s="16"/>
      <c r="H425" s="25" t="str">
        <f t="shared" si="11"/>
        <v/>
      </c>
      <c r="I425" s="1"/>
    </row>
    <row r="426" spans="1:9">
      <c r="A426" s="5"/>
      <c r="B426" s="48" t="s">
        <v>117</v>
      </c>
      <c r="C426" s="14" t="s">
        <v>480</v>
      </c>
      <c r="D426" s="22" t="s">
        <v>478</v>
      </c>
      <c r="E426" s="15"/>
      <c r="F426" s="26"/>
      <c r="G426" s="65"/>
      <c r="H426" s="25">
        <f t="shared" si="11"/>
        <v>0</v>
      </c>
      <c r="I426" s="1"/>
    </row>
    <row r="427" spans="1:9">
      <c r="A427" s="5"/>
      <c r="B427" s="59"/>
      <c r="C427" s="14"/>
      <c r="D427" s="15"/>
      <c r="E427" s="15"/>
      <c r="F427" s="26"/>
      <c r="G427" s="65"/>
      <c r="H427" s="25" t="str">
        <f t="shared" si="11"/>
        <v/>
      </c>
      <c r="I427" s="1"/>
    </row>
    <row r="428" spans="1:9">
      <c r="A428" s="5"/>
      <c r="B428" s="48" t="s">
        <v>119</v>
      </c>
      <c r="C428" s="14" t="s">
        <v>482</v>
      </c>
      <c r="D428" s="22" t="s">
        <v>478</v>
      </c>
      <c r="E428" s="15"/>
      <c r="F428" s="26"/>
      <c r="G428" s="60"/>
      <c r="H428" s="25">
        <f t="shared" si="11"/>
        <v>0</v>
      </c>
      <c r="I428" s="1"/>
    </row>
    <row r="429" spans="1:9">
      <c r="A429" s="5"/>
      <c r="B429" s="59"/>
      <c r="C429" s="14"/>
      <c r="D429" s="15"/>
      <c r="E429" s="15"/>
      <c r="F429" s="26"/>
      <c r="G429" s="27"/>
      <c r="H429" s="25" t="str">
        <f t="shared" si="11"/>
        <v/>
      </c>
      <c r="I429" s="1"/>
    </row>
    <row r="430" spans="1:9">
      <c r="A430" s="5"/>
      <c r="B430" s="48" t="s">
        <v>616</v>
      </c>
      <c r="C430" s="14" t="s">
        <v>483</v>
      </c>
      <c r="D430" s="22" t="s">
        <v>478</v>
      </c>
      <c r="E430" s="15"/>
      <c r="F430" s="26"/>
      <c r="G430" s="27"/>
      <c r="H430" s="25">
        <f t="shared" si="11"/>
        <v>0</v>
      </c>
      <c r="I430" s="1"/>
    </row>
    <row r="431" spans="1:9">
      <c r="A431" s="5"/>
      <c r="B431" s="59"/>
      <c r="C431" s="14"/>
      <c r="D431" s="15"/>
      <c r="E431" s="15"/>
      <c r="F431" s="15"/>
      <c r="G431" s="65"/>
      <c r="H431" s="25" t="str">
        <f t="shared" si="11"/>
        <v/>
      </c>
      <c r="I431" s="1"/>
    </row>
    <row r="432" spans="1:9" ht="25.5">
      <c r="A432" s="5"/>
      <c r="B432" s="48" t="s">
        <v>618</v>
      </c>
      <c r="C432" s="100" t="s">
        <v>619</v>
      </c>
      <c r="D432" s="22" t="s">
        <v>478</v>
      </c>
      <c r="E432" s="62"/>
      <c r="F432" s="62"/>
      <c r="G432" s="65"/>
      <c r="H432" s="25">
        <f t="shared" si="11"/>
        <v>0</v>
      </c>
      <c r="I432" s="1"/>
    </row>
    <row r="433" spans="1:9">
      <c r="A433" s="5"/>
      <c r="B433" s="59"/>
      <c r="C433" s="14"/>
      <c r="D433" s="15"/>
      <c r="E433" s="15"/>
      <c r="F433" s="15"/>
      <c r="G433" s="65"/>
      <c r="H433" s="25" t="str">
        <f t="shared" si="11"/>
        <v/>
      </c>
      <c r="I433" s="1"/>
    </row>
    <row r="434" spans="1:9" ht="25.5">
      <c r="A434" s="5"/>
      <c r="B434" s="48" t="s">
        <v>620</v>
      </c>
      <c r="C434" s="14" t="s">
        <v>621</v>
      </c>
      <c r="D434" s="22"/>
      <c r="E434" s="62"/>
      <c r="F434" s="62"/>
      <c r="G434" s="65"/>
      <c r="H434" s="25" t="str">
        <f t="shared" si="11"/>
        <v/>
      </c>
      <c r="I434" s="1"/>
    </row>
    <row r="435" spans="1:9">
      <c r="A435" s="5"/>
      <c r="B435" s="59"/>
      <c r="C435" s="252"/>
      <c r="D435" s="62"/>
      <c r="E435" s="62"/>
      <c r="F435" s="62"/>
      <c r="G435" s="65"/>
      <c r="H435" s="25" t="str">
        <f t="shared" si="11"/>
        <v/>
      </c>
      <c r="I435" s="1"/>
    </row>
    <row r="436" spans="1:9">
      <c r="A436" s="5"/>
      <c r="B436" s="48" t="s">
        <v>622</v>
      </c>
      <c r="C436" s="14" t="s">
        <v>492</v>
      </c>
      <c r="D436" s="22" t="s">
        <v>478</v>
      </c>
      <c r="E436" s="15"/>
      <c r="F436" s="15"/>
      <c r="G436" s="65"/>
      <c r="H436" s="25">
        <f t="shared" si="11"/>
        <v>0</v>
      </c>
      <c r="I436" s="1"/>
    </row>
    <row r="437" spans="1:9">
      <c r="A437" s="5"/>
      <c r="B437" s="59"/>
      <c r="C437" s="252"/>
      <c r="D437" s="62"/>
      <c r="E437" s="15"/>
      <c r="F437" s="15"/>
      <c r="G437" s="65"/>
      <c r="H437" s="25" t="str">
        <f t="shared" si="11"/>
        <v/>
      </c>
      <c r="I437" s="1"/>
    </row>
    <row r="438" spans="1:9">
      <c r="A438" s="5"/>
      <c r="B438" s="48" t="s">
        <v>623</v>
      </c>
      <c r="C438" s="252" t="s">
        <v>494</v>
      </c>
      <c r="D438" s="22" t="s">
        <v>478</v>
      </c>
      <c r="E438" s="15"/>
      <c r="F438" s="15"/>
      <c r="G438" s="65"/>
      <c r="H438" s="25">
        <f t="shared" si="11"/>
        <v>0</v>
      </c>
      <c r="I438" s="1"/>
    </row>
    <row r="439" spans="1:9">
      <c r="A439" s="5"/>
      <c r="B439" s="59"/>
      <c r="C439" s="14"/>
      <c r="D439" s="15"/>
      <c r="E439" s="15"/>
      <c r="F439" s="15"/>
      <c r="G439" s="65"/>
      <c r="H439" s="25" t="str">
        <f t="shared" si="11"/>
        <v/>
      </c>
      <c r="I439" s="1"/>
    </row>
    <row r="440" spans="1:9" ht="25.5">
      <c r="A440" s="5"/>
      <c r="B440" s="48" t="s">
        <v>624</v>
      </c>
      <c r="C440" s="14" t="s">
        <v>625</v>
      </c>
      <c r="D440" s="22"/>
      <c r="E440" s="15"/>
      <c r="F440" s="15"/>
      <c r="G440" s="16"/>
      <c r="H440" s="25" t="str">
        <f t="shared" si="11"/>
        <v/>
      </c>
      <c r="I440" s="1"/>
    </row>
    <row r="441" spans="1:9">
      <c r="A441" s="5"/>
      <c r="B441" s="59"/>
      <c r="C441" s="14"/>
      <c r="D441" s="15"/>
      <c r="E441" s="15"/>
      <c r="F441" s="26"/>
      <c r="G441" s="27"/>
      <c r="H441" s="25" t="str">
        <f t="shared" si="11"/>
        <v/>
      </c>
    </row>
    <row r="442" spans="1:9">
      <c r="A442" s="5"/>
      <c r="B442" s="48" t="s">
        <v>626</v>
      </c>
      <c r="C442" s="14" t="s">
        <v>627</v>
      </c>
      <c r="D442" s="22"/>
      <c r="E442" s="15"/>
      <c r="F442" s="26"/>
      <c r="G442" s="27"/>
      <c r="H442" s="25" t="str">
        <f t="shared" si="11"/>
        <v/>
      </c>
    </row>
    <row r="443" spans="1:9">
      <c r="A443" s="5"/>
      <c r="B443" s="59"/>
      <c r="C443" s="14"/>
      <c r="D443" s="15"/>
      <c r="E443" s="15"/>
      <c r="F443" s="26"/>
      <c r="G443" s="27"/>
      <c r="H443" s="25" t="str">
        <f t="shared" si="11"/>
        <v/>
      </c>
    </row>
    <row r="444" spans="1:9">
      <c r="A444" s="5"/>
      <c r="B444" s="48" t="s">
        <v>83</v>
      </c>
      <c r="C444" s="14" t="s">
        <v>499</v>
      </c>
      <c r="D444" s="22" t="s">
        <v>85</v>
      </c>
      <c r="E444" s="15"/>
      <c r="F444" s="26"/>
      <c r="G444" s="65"/>
      <c r="H444" s="25">
        <f t="shared" si="11"/>
        <v>0</v>
      </c>
    </row>
    <row r="445" spans="1:9">
      <c r="A445" s="5"/>
      <c r="B445" s="48"/>
      <c r="C445" s="14"/>
      <c r="D445" s="22"/>
      <c r="E445" s="15"/>
      <c r="F445" s="26"/>
      <c r="G445" s="65"/>
      <c r="H445" s="25"/>
    </row>
    <row r="446" spans="1:9">
      <c r="A446" s="5"/>
      <c r="B446" s="48" t="s">
        <v>86</v>
      </c>
      <c r="C446" s="14" t="s">
        <v>499</v>
      </c>
      <c r="D446" s="22" t="s">
        <v>85</v>
      </c>
      <c r="E446" s="15"/>
      <c r="F446" s="26"/>
      <c r="G446" s="65"/>
      <c r="H446" s="25">
        <f>IF(D446="","",F446*G446)</f>
        <v>0</v>
      </c>
    </row>
    <row r="447" spans="1:9">
      <c r="A447" s="5"/>
      <c r="B447" s="59"/>
      <c r="C447" s="14"/>
      <c r="D447" s="15"/>
      <c r="E447" s="15"/>
      <c r="F447" s="26"/>
      <c r="G447" s="27"/>
      <c r="H447" s="25" t="str">
        <f>IF(D447="","",F447*G447)</f>
        <v/>
      </c>
    </row>
    <row r="448" spans="1:9" ht="25.5">
      <c r="A448" s="5"/>
      <c r="B448" s="48" t="s">
        <v>628</v>
      </c>
      <c r="C448" s="14" t="s">
        <v>629</v>
      </c>
      <c r="D448" s="22"/>
      <c r="E448" s="15"/>
      <c r="F448" s="26"/>
      <c r="G448" s="60"/>
      <c r="H448" s="25" t="str">
        <f>IF(D448="","",F448*G448)</f>
        <v/>
      </c>
    </row>
    <row r="449" spans="1:9">
      <c r="A449" s="5"/>
      <c r="B449" s="59"/>
      <c r="C449" s="14"/>
      <c r="D449" s="15"/>
      <c r="E449" s="15"/>
      <c r="F449" s="15"/>
      <c r="G449" s="16"/>
      <c r="H449" s="25" t="str">
        <f>IF(D449="","",F449*G449)</f>
        <v/>
      </c>
    </row>
    <row r="450" spans="1:9">
      <c r="A450" s="5"/>
      <c r="B450" s="48" t="s">
        <v>83</v>
      </c>
      <c r="C450" s="14" t="s">
        <v>499</v>
      </c>
      <c r="D450" s="22" t="s">
        <v>85</v>
      </c>
      <c r="E450" s="15"/>
      <c r="F450" s="26"/>
      <c r="G450" s="65"/>
      <c r="H450" s="25">
        <f>IF(D450="","",F450*G450)</f>
        <v>0</v>
      </c>
    </row>
    <row r="451" spans="1:9">
      <c r="A451" s="5"/>
      <c r="B451" s="48"/>
      <c r="C451" s="14"/>
      <c r="D451" s="22"/>
      <c r="E451" s="15"/>
      <c r="F451" s="26"/>
      <c r="G451" s="65"/>
      <c r="H451" s="25"/>
    </row>
    <row r="452" spans="1:9">
      <c r="A452" s="5"/>
      <c r="B452" s="48" t="s">
        <v>86</v>
      </c>
      <c r="C452" s="14" t="s">
        <v>499</v>
      </c>
      <c r="D452" s="22" t="s">
        <v>85</v>
      </c>
      <c r="E452" s="15"/>
      <c r="F452" s="26"/>
      <c r="G452" s="65"/>
      <c r="H452" s="25">
        <f>IF(D452="","",F452*G452)</f>
        <v>0</v>
      </c>
    </row>
    <row r="453" spans="1:9">
      <c r="A453" s="5"/>
      <c r="B453" s="48"/>
      <c r="C453" s="14"/>
      <c r="D453" s="22"/>
      <c r="E453" s="15"/>
      <c r="F453" s="26"/>
      <c r="G453" s="65"/>
      <c r="H453" s="25"/>
    </row>
    <row r="454" spans="1:9">
      <c r="A454" s="5"/>
      <c r="B454" s="59"/>
      <c r="C454" s="14"/>
      <c r="D454" s="15"/>
      <c r="E454" s="15"/>
      <c r="F454" s="15"/>
      <c r="G454" s="65"/>
      <c r="H454" s="25" t="str">
        <f>IF(D454="","",F454*G454)</f>
        <v/>
      </c>
    </row>
    <row r="455" spans="1:9">
      <c r="A455" s="5"/>
      <c r="B455" s="59"/>
      <c r="C455" s="14"/>
      <c r="D455" s="15"/>
      <c r="E455" s="15"/>
      <c r="F455" s="15"/>
      <c r="G455" s="65"/>
      <c r="H455" s="25"/>
    </row>
    <row r="456" spans="1:9">
      <c r="A456" s="5"/>
      <c r="B456" s="59"/>
      <c r="C456" s="14"/>
      <c r="D456" s="15"/>
      <c r="E456" s="15"/>
      <c r="F456" s="15"/>
      <c r="G456" s="65"/>
      <c r="H456" s="25"/>
    </row>
    <row r="457" spans="1:9">
      <c r="A457" s="5"/>
      <c r="B457" s="59"/>
      <c r="C457" s="14"/>
      <c r="D457" s="15"/>
      <c r="E457" s="15"/>
      <c r="F457" s="15"/>
      <c r="G457" s="65"/>
      <c r="H457" s="25"/>
    </row>
    <row r="458" spans="1:9">
      <c r="A458" s="5"/>
      <c r="B458" s="59"/>
      <c r="C458" s="14"/>
      <c r="D458" s="15"/>
      <c r="E458" s="15"/>
      <c r="F458" s="15"/>
      <c r="G458" s="65"/>
      <c r="H458" s="25"/>
    </row>
    <row r="459" spans="1:9">
      <c r="A459" s="5"/>
      <c r="B459" s="59"/>
      <c r="C459" s="14"/>
      <c r="D459" s="15"/>
      <c r="E459" s="15"/>
      <c r="F459" s="15"/>
      <c r="G459" s="65"/>
      <c r="H459" s="25"/>
    </row>
    <row r="460" spans="1:9">
      <c r="A460" s="5"/>
      <c r="B460" s="59"/>
      <c r="C460" s="14"/>
      <c r="D460" s="15"/>
      <c r="E460" s="15"/>
      <c r="F460" s="15"/>
      <c r="G460" s="65"/>
      <c r="H460" s="25"/>
    </row>
    <row r="461" spans="1:9" s="28" customFormat="1" ht="19.5" customHeight="1">
      <c r="B461" s="101" t="str">
        <f>$B$10</f>
        <v>C2.3</v>
      </c>
      <c r="C461" s="29" t="s">
        <v>99</v>
      </c>
      <c r="D461" s="30"/>
      <c r="E461" s="30"/>
      <c r="F461" s="31"/>
      <c r="G461" s="30"/>
      <c r="H461" s="32">
        <f>SUM(H404:H460)</f>
        <v>0</v>
      </c>
      <c r="I461" s="33"/>
    </row>
    <row r="462" spans="1:9">
      <c r="B462" s="736" t="str">
        <f>Client1</f>
        <v>AIRPORTS COMPANY - SOUTH AFRICA</v>
      </c>
      <c r="C462" s="736"/>
      <c r="D462" s="736"/>
      <c r="E462" s="736"/>
      <c r="F462" s="737" t="str">
        <f>"Contract No. "&amp;ContractNo</f>
        <v>Contract No. KSIA7806/2025/RFP</v>
      </c>
      <c r="G462" s="737"/>
      <c r="H462" s="737"/>
    </row>
    <row r="463" spans="1:9">
      <c r="B463" s="736" t="str">
        <f>Client2</f>
        <v>ACSA</v>
      </c>
      <c r="C463" s="736"/>
      <c r="D463" s="736"/>
      <c r="E463" s="736"/>
      <c r="F463" s="737"/>
      <c r="G463" s="737"/>
      <c r="H463" s="737"/>
    </row>
    <row r="464" spans="1:9">
      <c r="B464" s="739"/>
      <c r="C464" s="739"/>
      <c r="D464" s="739"/>
      <c r="E464" s="739"/>
      <c r="F464" s="738"/>
      <c r="G464" s="738"/>
      <c r="H464" s="738"/>
    </row>
    <row r="465" spans="1:9">
      <c r="B465" s="695" t="s">
        <v>456</v>
      </c>
      <c r="C465" s="696"/>
      <c r="D465" s="696"/>
      <c r="E465" s="696"/>
      <c r="F465" s="696"/>
      <c r="G465" s="696"/>
      <c r="H465" s="740" t="str">
        <f>$H$4</f>
        <v>CHAPTER C2.3</v>
      </c>
      <c r="I465" s="6"/>
    </row>
    <row r="466" spans="1:9">
      <c r="B466" s="690" t="str">
        <f>ContractDescription</f>
        <v>PROCUREMENT OF A CIDB GRADE 9 CE CONTRACTOR THE COMPLETION OF BRAVO TAXIWAY EXTENSION AT KING SHAKA INTERNATIONAL AIRPORT FOR A PERIOD OF 12 MONTHS AT KING SHAKA INTERNATIONAL AIRPORT</v>
      </c>
      <c r="C466" s="691"/>
      <c r="D466" s="691"/>
      <c r="E466" s="691"/>
      <c r="F466" s="691"/>
      <c r="G466" s="691"/>
      <c r="H466" s="737"/>
      <c r="I466" s="8"/>
    </row>
    <row r="467" spans="1:9">
      <c r="B467" s="690"/>
      <c r="C467" s="691"/>
      <c r="D467" s="691"/>
      <c r="E467" s="691"/>
      <c r="F467" s="691"/>
      <c r="G467" s="691"/>
      <c r="H467" s="737"/>
      <c r="I467" s="8"/>
    </row>
    <row r="468" spans="1:9">
      <c r="B468" s="692"/>
      <c r="C468" s="693"/>
      <c r="D468" s="693"/>
      <c r="E468" s="693"/>
      <c r="F468" s="693"/>
      <c r="G468" s="693"/>
      <c r="H468" s="738"/>
      <c r="I468" s="8"/>
    </row>
    <row r="469" spans="1:9" s="9" customFormat="1" ht="24.95" customHeight="1">
      <c r="B469" s="70" t="s">
        <v>11</v>
      </c>
      <c r="C469" s="11" t="s">
        <v>12</v>
      </c>
      <c r="D469" s="11" t="s">
        <v>13</v>
      </c>
      <c r="E469" s="11" t="s">
        <v>14</v>
      </c>
      <c r="F469" s="11" t="s">
        <v>15</v>
      </c>
      <c r="G469" s="11" t="s">
        <v>16</v>
      </c>
      <c r="H469" s="11" t="s">
        <v>17</v>
      </c>
      <c r="I469" s="12"/>
    </row>
    <row r="470" spans="1:9" s="28" customFormat="1" ht="20.100000000000001" customHeight="1">
      <c r="B470" s="74"/>
      <c r="C470" s="29" t="s">
        <v>140</v>
      </c>
      <c r="D470" s="30"/>
      <c r="E470" s="30"/>
      <c r="F470" s="31"/>
      <c r="G470" s="30"/>
      <c r="H470" s="32">
        <f>H461</f>
        <v>0</v>
      </c>
      <c r="I470" s="33"/>
    </row>
    <row r="471" spans="1:9">
      <c r="A471" s="5"/>
      <c r="B471" s="59"/>
      <c r="C471" s="14"/>
      <c r="D471" s="15"/>
      <c r="E471" s="15"/>
      <c r="F471" s="15"/>
      <c r="G471" s="65"/>
      <c r="H471" s="25"/>
    </row>
    <row r="472" spans="1:9" ht="25.5">
      <c r="A472" s="5"/>
      <c r="B472" s="48" t="s">
        <v>630</v>
      </c>
      <c r="C472" s="14" t="s">
        <v>631</v>
      </c>
      <c r="D472" s="22"/>
      <c r="E472" s="15"/>
      <c r="F472" s="15"/>
      <c r="G472" s="66"/>
      <c r="H472" s="25" t="str">
        <f>IF(D472="","",F472*G472)</f>
        <v/>
      </c>
    </row>
    <row r="473" spans="1:9">
      <c r="A473" s="5"/>
      <c r="B473" s="59"/>
      <c r="C473" s="14"/>
      <c r="D473" s="15"/>
      <c r="E473" s="15"/>
      <c r="F473" s="15"/>
      <c r="G473" s="65"/>
      <c r="H473" s="25" t="str">
        <f>IF(D473="","",F473*G473)</f>
        <v/>
      </c>
    </row>
    <row r="474" spans="1:9">
      <c r="A474" s="5"/>
      <c r="B474" s="48" t="s">
        <v>83</v>
      </c>
      <c r="C474" s="14" t="s">
        <v>499</v>
      </c>
      <c r="D474" s="22" t="s">
        <v>85</v>
      </c>
      <c r="E474" s="15"/>
      <c r="F474" s="26"/>
      <c r="G474" s="65"/>
      <c r="H474" s="25">
        <f>IF(D474="","",F474*G474)</f>
        <v>0</v>
      </c>
    </row>
    <row r="475" spans="1:9">
      <c r="A475" s="5"/>
      <c r="B475" s="48"/>
      <c r="C475" s="14"/>
      <c r="D475" s="22"/>
      <c r="E475" s="15"/>
      <c r="F475" s="26"/>
      <c r="G475" s="65"/>
      <c r="H475" s="25"/>
    </row>
    <row r="476" spans="1:9">
      <c r="A476" s="5"/>
      <c r="B476" s="48" t="s">
        <v>86</v>
      </c>
      <c r="C476" s="14" t="s">
        <v>499</v>
      </c>
      <c r="D476" s="22" t="s">
        <v>85</v>
      </c>
      <c r="E476" s="15"/>
      <c r="F476" s="26"/>
      <c r="G476" s="65"/>
      <c r="H476" s="25">
        <f>IF(D476="","",F476*G476)</f>
        <v>0</v>
      </c>
    </row>
    <row r="477" spans="1:9">
      <c r="A477" s="5"/>
      <c r="B477" s="59"/>
      <c r="C477" s="252"/>
      <c r="D477" s="62"/>
      <c r="E477" s="62"/>
      <c r="F477" s="62"/>
      <c r="G477" s="65"/>
      <c r="H477" s="25" t="str">
        <f>IF(D477="","",F477*G477)</f>
        <v/>
      </c>
    </row>
    <row r="478" spans="1:9" ht="25.5">
      <c r="A478" s="5"/>
      <c r="B478" s="48" t="s">
        <v>632</v>
      </c>
      <c r="C478" s="14" t="s">
        <v>633</v>
      </c>
      <c r="D478" s="22" t="s">
        <v>347</v>
      </c>
      <c r="E478" s="15"/>
      <c r="F478" s="15"/>
      <c r="G478" s="65"/>
      <c r="H478" s="25">
        <f>IF(D478="","",F478*G478)</f>
        <v>0</v>
      </c>
    </row>
    <row r="479" spans="1:9">
      <c r="A479" s="5"/>
      <c r="B479" s="59"/>
      <c r="C479" s="252"/>
      <c r="D479" s="62"/>
      <c r="E479" s="15"/>
      <c r="F479" s="15"/>
      <c r="G479" s="65"/>
      <c r="H479" s="25" t="str">
        <f>IF(D479="","",F479*G479)</f>
        <v/>
      </c>
    </row>
    <row r="480" spans="1:9">
      <c r="A480" s="5"/>
      <c r="B480" s="48" t="s">
        <v>83</v>
      </c>
      <c r="C480" s="14" t="s">
        <v>499</v>
      </c>
      <c r="D480" s="22" t="s">
        <v>85</v>
      </c>
      <c r="E480" s="15"/>
      <c r="F480" s="26"/>
      <c r="G480" s="65"/>
      <c r="H480" s="25">
        <f>IF(D480="","",F480*G480)</f>
        <v>0</v>
      </c>
    </row>
    <row r="481" spans="1:8">
      <c r="A481" s="5"/>
      <c r="B481" s="48"/>
      <c r="C481" s="14"/>
      <c r="D481" s="22"/>
      <c r="E481" s="15"/>
      <c r="F481" s="26"/>
      <c r="G481" s="65"/>
      <c r="H481" s="25"/>
    </row>
    <row r="482" spans="1:8">
      <c r="A482" s="5"/>
      <c r="B482" s="48" t="s">
        <v>86</v>
      </c>
      <c r="C482" s="14" t="s">
        <v>499</v>
      </c>
      <c r="D482" s="22" t="s">
        <v>85</v>
      </c>
      <c r="E482" s="15"/>
      <c r="F482" s="26"/>
      <c r="G482" s="65"/>
      <c r="H482" s="25">
        <f>IF(D482="","",F482*G482)</f>
        <v>0</v>
      </c>
    </row>
    <row r="483" spans="1:8">
      <c r="A483" s="5"/>
      <c r="B483" s="48"/>
      <c r="C483" s="14"/>
      <c r="D483" s="15"/>
      <c r="E483" s="15"/>
      <c r="F483" s="15"/>
      <c r="G483" s="16"/>
      <c r="H483" s="17" t="str">
        <f t="shared" ref="H483:H498" si="12">IF(D483="","",F483*G483)</f>
        <v/>
      </c>
    </row>
    <row r="484" spans="1:8" ht="25.5">
      <c r="A484" s="5"/>
      <c r="B484" s="48" t="s">
        <v>634</v>
      </c>
      <c r="C484" s="14" t="s">
        <v>635</v>
      </c>
      <c r="D484" s="22"/>
      <c r="E484" s="15"/>
      <c r="F484" s="15"/>
      <c r="G484" s="16"/>
      <c r="H484" s="17" t="str">
        <f t="shared" si="12"/>
        <v/>
      </c>
    </row>
    <row r="485" spans="1:8">
      <c r="A485" s="5"/>
      <c r="B485" s="48"/>
      <c r="C485" s="14"/>
      <c r="D485" s="15"/>
      <c r="E485" s="15"/>
      <c r="F485" s="15"/>
      <c r="G485" s="16"/>
      <c r="H485" s="17" t="str">
        <f t="shared" si="12"/>
        <v/>
      </c>
    </row>
    <row r="486" spans="1:8" ht="25.5">
      <c r="A486" s="5"/>
      <c r="B486" s="48" t="s">
        <v>636</v>
      </c>
      <c r="C486" s="14" t="s">
        <v>637</v>
      </c>
      <c r="D486" s="22" t="s">
        <v>85</v>
      </c>
      <c r="E486" s="15"/>
      <c r="F486" s="15"/>
      <c r="G486" s="16"/>
      <c r="H486" s="25">
        <f t="shared" si="12"/>
        <v>0</v>
      </c>
    </row>
    <row r="487" spans="1:8">
      <c r="A487" s="5"/>
      <c r="B487" s="59"/>
      <c r="C487" s="14"/>
      <c r="D487" s="15"/>
      <c r="E487" s="15"/>
      <c r="F487" s="15"/>
      <c r="G487" s="16"/>
      <c r="H487" s="17" t="str">
        <f t="shared" si="12"/>
        <v/>
      </c>
    </row>
    <row r="488" spans="1:8" ht="25.5">
      <c r="A488" s="5"/>
      <c r="B488" s="48" t="s">
        <v>638</v>
      </c>
      <c r="C488" s="14" t="s">
        <v>637</v>
      </c>
      <c r="D488" s="22" t="s">
        <v>85</v>
      </c>
      <c r="E488" s="22"/>
      <c r="F488" s="23"/>
      <c r="G488" s="24"/>
      <c r="H488" s="25">
        <f t="shared" si="12"/>
        <v>0</v>
      </c>
    </row>
    <row r="489" spans="1:8">
      <c r="A489" s="5"/>
      <c r="B489" s="59"/>
      <c r="C489" s="14"/>
      <c r="D489" s="15"/>
      <c r="E489" s="15"/>
      <c r="F489" s="26"/>
      <c r="G489" s="16"/>
      <c r="H489" s="25" t="str">
        <f t="shared" si="12"/>
        <v/>
      </c>
    </row>
    <row r="490" spans="1:8" ht="25.5">
      <c r="A490" s="5"/>
      <c r="B490" s="48" t="s">
        <v>639</v>
      </c>
      <c r="C490" s="14" t="s">
        <v>637</v>
      </c>
      <c r="D490" s="22" t="s">
        <v>85</v>
      </c>
      <c r="E490" s="15"/>
      <c r="F490" s="26"/>
      <c r="G490" s="60"/>
      <c r="H490" s="25">
        <f t="shared" si="12"/>
        <v>0</v>
      </c>
    </row>
    <row r="491" spans="1:8">
      <c r="A491" s="5"/>
      <c r="B491" s="59"/>
      <c r="C491" s="14"/>
      <c r="D491" s="15"/>
      <c r="E491" s="15"/>
      <c r="F491" s="26"/>
      <c r="G491" s="16"/>
      <c r="H491" s="25" t="str">
        <f t="shared" si="12"/>
        <v/>
      </c>
    </row>
    <row r="492" spans="1:8">
      <c r="A492" s="5"/>
      <c r="B492" s="48" t="s">
        <v>640</v>
      </c>
      <c r="C492" s="14" t="s">
        <v>516</v>
      </c>
      <c r="D492" s="22" t="s">
        <v>85</v>
      </c>
      <c r="E492" s="62"/>
      <c r="F492" s="26"/>
      <c r="G492" s="63"/>
      <c r="H492" s="25">
        <f t="shared" si="12"/>
        <v>0</v>
      </c>
    </row>
    <row r="493" spans="1:8">
      <c r="A493" s="5"/>
      <c r="B493" s="48"/>
      <c r="C493" s="14"/>
      <c r="D493" s="15"/>
      <c r="E493" s="62"/>
      <c r="F493" s="26"/>
      <c r="G493" s="63"/>
      <c r="H493" s="25" t="str">
        <f t="shared" si="12"/>
        <v/>
      </c>
    </row>
    <row r="494" spans="1:8" ht="25.5">
      <c r="A494" s="5"/>
      <c r="B494" s="48" t="s">
        <v>641</v>
      </c>
      <c r="C494" s="100" t="s">
        <v>642</v>
      </c>
      <c r="D494" s="22"/>
      <c r="E494" s="62"/>
      <c r="F494" s="26"/>
      <c r="G494" s="65"/>
      <c r="H494" s="25" t="str">
        <f t="shared" si="12"/>
        <v/>
      </c>
    </row>
    <row r="495" spans="1:8">
      <c r="A495" s="5"/>
      <c r="B495" s="59"/>
      <c r="C495" s="14"/>
      <c r="D495" s="15"/>
      <c r="E495" s="62"/>
      <c r="F495" s="26"/>
      <c r="G495" s="63"/>
      <c r="H495" s="25" t="str">
        <f t="shared" si="12"/>
        <v/>
      </c>
    </row>
    <row r="496" spans="1:8" ht="25.5">
      <c r="A496" s="5"/>
      <c r="B496" s="48" t="s">
        <v>643</v>
      </c>
      <c r="C496" s="14" t="s">
        <v>644</v>
      </c>
      <c r="D496" s="22" t="s">
        <v>85</v>
      </c>
      <c r="E496" s="15"/>
      <c r="F496" s="26"/>
      <c r="G496" s="60"/>
      <c r="H496" s="25">
        <f t="shared" si="12"/>
        <v>0</v>
      </c>
    </row>
    <row r="497" spans="1:9">
      <c r="A497" s="5"/>
      <c r="B497" s="59"/>
      <c r="C497" s="14"/>
      <c r="D497" s="15"/>
      <c r="E497" s="15"/>
      <c r="F497" s="26"/>
      <c r="G497" s="16"/>
      <c r="H497" s="25" t="str">
        <f t="shared" si="12"/>
        <v/>
      </c>
    </row>
    <row r="498" spans="1:9" ht="25.5">
      <c r="A498" s="5"/>
      <c r="B498" s="48" t="s">
        <v>645</v>
      </c>
      <c r="C498" s="14" t="s">
        <v>644</v>
      </c>
      <c r="D498" s="22" t="s">
        <v>478</v>
      </c>
      <c r="E498" s="62"/>
      <c r="F498" s="26"/>
      <c r="G498" s="63"/>
      <c r="H498" s="25">
        <f t="shared" si="12"/>
        <v>0</v>
      </c>
    </row>
    <row r="499" spans="1:9">
      <c r="A499" s="5"/>
      <c r="B499" s="59"/>
      <c r="C499" s="14"/>
      <c r="D499" s="15"/>
      <c r="E499" s="62"/>
      <c r="F499" s="26"/>
      <c r="G499" s="63"/>
      <c r="H499" s="25"/>
    </row>
    <row r="500" spans="1:9">
      <c r="A500" s="5"/>
      <c r="B500" s="59" t="s">
        <v>646</v>
      </c>
      <c r="C500" s="14" t="s">
        <v>647</v>
      </c>
      <c r="D500" s="22" t="s">
        <v>85</v>
      </c>
      <c r="E500" s="62"/>
      <c r="F500" s="26"/>
      <c r="G500" s="63"/>
      <c r="H500" s="25"/>
    </row>
    <row r="501" spans="1:9">
      <c r="A501" s="5"/>
      <c r="B501" s="59"/>
      <c r="C501" s="14"/>
      <c r="D501" s="15"/>
      <c r="E501" s="62"/>
      <c r="F501" s="26"/>
      <c r="G501" s="63"/>
      <c r="H501" s="25"/>
    </row>
    <row r="502" spans="1:9">
      <c r="A502" s="5"/>
      <c r="B502" s="59" t="s">
        <v>648</v>
      </c>
      <c r="C502" s="14" t="s">
        <v>647</v>
      </c>
      <c r="D502" s="22" t="s">
        <v>478</v>
      </c>
      <c r="E502" s="62"/>
      <c r="F502" s="26"/>
      <c r="G502" s="63"/>
      <c r="H502" s="25"/>
    </row>
    <row r="503" spans="1:9">
      <c r="A503" s="5"/>
      <c r="B503" s="59"/>
      <c r="C503" s="14"/>
      <c r="D503" s="15"/>
      <c r="E503" s="62"/>
      <c r="F503" s="26"/>
      <c r="G503" s="63"/>
      <c r="H503" s="25"/>
    </row>
    <row r="504" spans="1:9" ht="25.5">
      <c r="A504" s="5"/>
      <c r="B504" s="59" t="s">
        <v>649</v>
      </c>
      <c r="C504" s="14" t="s">
        <v>650</v>
      </c>
      <c r="D504" s="22" t="s">
        <v>85</v>
      </c>
      <c r="E504" s="62"/>
      <c r="F504" s="26"/>
      <c r="G504" s="63"/>
      <c r="H504" s="25"/>
    </row>
    <row r="505" spans="1:9">
      <c r="A505" s="5"/>
      <c r="B505" s="59"/>
      <c r="C505" s="14"/>
      <c r="D505" s="15"/>
      <c r="E505" s="62"/>
      <c r="F505" s="26"/>
      <c r="G505" s="63"/>
      <c r="H505" s="25"/>
    </row>
    <row r="506" spans="1:9">
      <c r="A506" s="5"/>
      <c r="B506" s="48" t="s">
        <v>651</v>
      </c>
      <c r="C506" s="14" t="s">
        <v>527</v>
      </c>
      <c r="D506" s="22" t="s">
        <v>85</v>
      </c>
      <c r="E506" s="15"/>
      <c r="F506" s="26"/>
      <c r="G506" s="60"/>
      <c r="H506" s="25">
        <f>IF(D506="","",F506*G506)</f>
        <v>0</v>
      </c>
    </row>
    <row r="507" spans="1:9">
      <c r="A507" s="5"/>
      <c r="B507" s="59"/>
      <c r="C507" s="14"/>
      <c r="D507" s="15"/>
      <c r="E507" s="15"/>
      <c r="F507" s="26"/>
      <c r="G507" s="16"/>
      <c r="H507" s="25" t="str">
        <f>IF(D507="","",F507*G507)</f>
        <v/>
      </c>
    </row>
    <row r="508" spans="1:9">
      <c r="A508" s="5"/>
      <c r="B508" s="48" t="s">
        <v>83</v>
      </c>
      <c r="C508" s="14" t="s">
        <v>528</v>
      </c>
      <c r="D508" s="22" t="s">
        <v>85</v>
      </c>
      <c r="E508" s="62"/>
      <c r="F508" s="26"/>
      <c r="G508" s="63"/>
      <c r="H508" s="25">
        <f>IF(D508="","",F508*G508)</f>
        <v>0</v>
      </c>
    </row>
    <row r="509" spans="1:9">
      <c r="A509" s="5"/>
      <c r="B509" s="48"/>
      <c r="C509" s="14"/>
      <c r="D509" s="22"/>
      <c r="E509" s="62"/>
      <c r="F509" s="26"/>
      <c r="G509" s="63"/>
      <c r="H509" s="25"/>
    </row>
    <row r="510" spans="1:9">
      <c r="A510" s="5"/>
      <c r="B510" s="59" t="s">
        <v>86</v>
      </c>
      <c r="C510" s="14" t="s">
        <v>528</v>
      </c>
      <c r="D510" s="15"/>
      <c r="E510" s="62"/>
      <c r="F510" s="26"/>
      <c r="G510" s="63"/>
      <c r="H510" s="25"/>
    </row>
    <row r="511" spans="1:9">
      <c r="A511" s="5"/>
      <c r="B511" s="48"/>
      <c r="C511" s="14"/>
      <c r="D511" s="15"/>
      <c r="E511" s="15"/>
      <c r="F511" s="15"/>
      <c r="G511" s="16"/>
      <c r="H511" s="17" t="str">
        <f t="shared" ref="H511:H518" si="13">IF(D511="","",F511*G511)</f>
        <v/>
      </c>
      <c r="I511" s="1"/>
    </row>
    <row r="512" spans="1:9">
      <c r="A512" s="5"/>
      <c r="B512" s="84" t="s">
        <v>652</v>
      </c>
      <c r="C512" s="14" t="s">
        <v>653</v>
      </c>
      <c r="D512" s="22"/>
      <c r="E512" s="15"/>
      <c r="F512" s="15"/>
      <c r="G512" s="16"/>
      <c r="H512" s="17" t="str">
        <f t="shared" si="13"/>
        <v/>
      </c>
      <c r="I512" s="1"/>
    </row>
    <row r="513" spans="1:9">
      <c r="A513" s="5"/>
      <c r="B513" s="48"/>
      <c r="C513" s="14"/>
      <c r="D513" s="15"/>
      <c r="E513" s="15"/>
      <c r="F513" s="15"/>
      <c r="G513" s="16"/>
      <c r="H513" s="17" t="str">
        <f t="shared" si="13"/>
        <v/>
      </c>
      <c r="I513" s="1"/>
    </row>
    <row r="514" spans="1:9">
      <c r="A514" s="5"/>
      <c r="B514" s="48" t="s">
        <v>654</v>
      </c>
      <c r="C514" s="14" t="s">
        <v>655</v>
      </c>
      <c r="D514" s="22" t="s">
        <v>85</v>
      </c>
      <c r="E514" s="15"/>
      <c r="F514" s="15"/>
      <c r="G514" s="16"/>
      <c r="H514" s="17">
        <f t="shared" si="13"/>
        <v>0</v>
      </c>
      <c r="I514" s="1"/>
    </row>
    <row r="515" spans="1:9">
      <c r="A515" s="5"/>
      <c r="B515" s="59"/>
      <c r="C515" s="14"/>
      <c r="D515" s="15"/>
      <c r="E515" s="15"/>
      <c r="F515" s="15"/>
      <c r="G515" s="16"/>
      <c r="H515" s="17" t="str">
        <f t="shared" si="13"/>
        <v/>
      </c>
      <c r="I515" s="1"/>
    </row>
    <row r="516" spans="1:9">
      <c r="A516" s="5"/>
      <c r="B516" s="48" t="s">
        <v>656</v>
      </c>
      <c r="C516" s="14" t="s">
        <v>655</v>
      </c>
      <c r="D516" s="22" t="s">
        <v>85</v>
      </c>
      <c r="E516" s="22"/>
      <c r="F516" s="23"/>
      <c r="G516" s="24"/>
      <c r="H516" s="25">
        <f t="shared" si="13"/>
        <v>0</v>
      </c>
      <c r="I516" s="1"/>
    </row>
    <row r="517" spans="1:9">
      <c r="A517" s="5"/>
      <c r="B517" s="59"/>
      <c r="C517" s="14"/>
      <c r="D517" s="15"/>
      <c r="E517" s="15"/>
      <c r="F517" s="26"/>
      <c r="G517" s="16"/>
      <c r="H517" s="25" t="str">
        <f t="shared" si="13"/>
        <v/>
      </c>
      <c r="I517" s="1"/>
    </row>
    <row r="518" spans="1:9">
      <c r="A518" s="5"/>
      <c r="B518" s="48" t="s">
        <v>657</v>
      </c>
      <c r="C518" s="14" t="s">
        <v>655</v>
      </c>
      <c r="D518" s="22" t="s">
        <v>85</v>
      </c>
      <c r="E518" s="15"/>
      <c r="F518" s="26"/>
      <c r="G518" s="60"/>
      <c r="H518" s="25">
        <f t="shared" si="13"/>
        <v>0</v>
      </c>
      <c r="I518" s="1"/>
    </row>
    <row r="519" spans="1:9">
      <c r="A519" s="5"/>
      <c r="B519" s="48"/>
      <c r="C519" s="14"/>
      <c r="D519" s="22"/>
      <c r="E519" s="15"/>
      <c r="F519" s="26"/>
      <c r="G519" s="60"/>
      <c r="H519" s="25"/>
      <c r="I519" s="1"/>
    </row>
    <row r="520" spans="1:9">
      <c r="A520" s="5"/>
      <c r="B520" s="48" t="s">
        <v>658</v>
      </c>
      <c r="C520" s="14" t="s">
        <v>516</v>
      </c>
      <c r="D520" s="22" t="s">
        <v>85</v>
      </c>
      <c r="E520" s="15"/>
      <c r="F520" s="26"/>
      <c r="G520" s="60"/>
      <c r="H520" s="25">
        <f t="shared" ref="H520:H547" si="14">IF(D520="","",F520*G520)</f>
        <v>0</v>
      </c>
      <c r="I520" s="1"/>
    </row>
    <row r="521" spans="1:9">
      <c r="A521" s="5"/>
      <c r="B521" s="59"/>
      <c r="C521" s="14"/>
      <c r="D521" s="15"/>
      <c r="E521" s="15"/>
      <c r="F521" s="26"/>
      <c r="G521" s="16"/>
      <c r="H521" s="25" t="str">
        <f t="shared" si="14"/>
        <v/>
      </c>
      <c r="I521" s="1"/>
    </row>
    <row r="522" spans="1:9">
      <c r="A522" s="5"/>
      <c r="B522" s="59"/>
      <c r="C522" s="14"/>
      <c r="D522" s="15"/>
      <c r="E522" s="15"/>
      <c r="F522" s="26"/>
      <c r="G522" s="16"/>
      <c r="H522" s="25"/>
      <c r="I522" s="1"/>
    </row>
    <row r="523" spans="1:9" s="28" customFormat="1" ht="19.5" customHeight="1">
      <c r="B523" s="101" t="str">
        <f>$B$10</f>
        <v>C2.3</v>
      </c>
      <c r="C523" s="29" t="s">
        <v>99</v>
      </c>
      <c r="D523" s="30"/>
      <c r="E523" s="30"/>
      <c r="F523" s="31"/>
      <c r="G523" s="30"/>
      <c r="H523" s="32">
        <f>SUM(H470:H522)</f>
        <v>0</v>
      </c>
      <c r="I523" s="33"/>
    </row>
    <row r="524" spans="1:9">
      <c r="B524" s="736" t="str">
        <f>Client1</f>
        <v>AIRPORTS COMPANY - SOUTH AFRICA</v>
      </c>
      <c r="C524" s="736"/>
      <c r="D524" s="736"/>
      <c r="E524" s="736"/>
      <c r="F524" s="737" t="str">
        <f>"Contract No. "&amp;ContractNo</f>
        <v>Contract No. KSIA7806/2025/RFP</v>
      </c>
      <c r="G524" s="737"/>
      <c r="H524" s="737"/>
    </row>
    <row r="525" spans="1:9">
      <c r="B525" s="736" t="str">
        <f>Client2</f>
        <v>ACSA</v>
      </c>
      <c r="C525" s="736"/>
      <c r="D525" s="736"/>
      <c r="E525" s="736"/>
      <c r="F525" s="737"/>
      <c r="G525" s="737"/>
      <c r="H525" s="737"/>
    </row>
    <row r="526" spans="1:9">
      <c r="B526" s="739"/>
      <c r="C526" s="739"/>
      <c r="D526" s="739"/>
      <c r="E526" s="739"/>
      <c r="F526" s="738"/>
      <c r="G526" s="738"/>
      <c r="H526" s="738"/>
    </row>
    <row r="527" spans="1:9">
      <c r="B527" s="695" t="s">
        <v>456</v>
      </c>
      <c r="C527" s="696"/>
      <c r="D527" s="696"/>
      <c r="E527" s="696"/>
      <c r="F527" s="696"/>
      <c r="G527" s="696"/>
      <c r="H527" s="740" t="str">
        <f>$H$4</f>
        <v>CHAPTER C2.3</v>
      </c>
      <c r="I527" s="6"/>
    </row>
    <row r="528" spans="1:9">
      <c r="B528" s="690" t="str">
        <f>ContractDescription</f>
        <v>PROCUREMENT OF A CIDB GRADE 9 CE CONTRACTOR THE COMPLETION OF BRAVO TAXIWAY EXTENSION AT KING SHAKA INTERNATIONAL AIRPORT FOR A PERIOD OF 12 MONTHS AT KING SHAKA INTERNATIONAL AIRPORT</v>
      </c>
      <c r="C528" s="691"/>
      <c r="D528" s="691"/>
      <c r="E528" s="691"/>
      <c r="F528" s="691"/>
      <c r="G528" s="691"/>
      <c r="H528" s="737"/>
      <c r="I528" s="8"/>
    </row>
    <row r="529" spans="1:9">
      <c r="B529" s="690"/>
      <c r="C529" s="691"/>
      <c r="D529" s="691"/>
      <c r="E529" s="691"/>
      <c r="F529" s="691"/>
      <c r="G529" s="691"/>
      <c r="H529" s="737"/>
      <c r="I529" s="8"/>
    </row>
    <row r="530" spans="1:9">
      <c r="B530" s="692"/>
      <c r="C530" s="693"/>
      <c r="D530" s="693"/>
      <c r="E530" s="693"/>
      <c r="F530" s="693"/>
      <c r="G530" s="693"/>
      <c r="H530" s="738"/>
      <c r="I530" s="8"/>
    </row>
    <row r="531" spans="1:9" s="9" customFormat="1" ht="24.95" customHeight="1">
      <c r="B531" s="70" t="s">
        <v>11</v>
      </c>
      <c r="C531" s="11" t="s">
        <v>12</v>
      </c>
      <c r="D531" s="11" t="s">
        <v>13</v>
      </c>
      <c r="E531" s="11" t="s">
        <v>14</v>
      </c>
      <c r="F531" s="11" t="s">
        <v>15</v>
      </c>
      <c r="G531" s="11" t="s">
        <v>16</v>
      </c>
      <c r="H531" s="11" t="s">
        <v>17</v>
      </c>
      <c r="I531" s="12"/>
    </row>
    <row r="532" spans="1:9" s="28" customFormat="1" ht="20.100000000000001" customHeight="1">
      <c r="B532" s="74"/>
      <c r="C532" s="29" t="s">
        <v>140</v>
      </c>
      <c r="D532" s="30"/>
      <c r="E532" s="30"/>
      <c r="F532" s="31"/>
      <c r="G532" s="30"/>
      <c r="H532" s="32">
        <f>H523</f>
        <v>0</v>
      </c>
      <c r="I532" s="33"/>
    </row>
    <row r="533" spans="1:9">
      <c r="A533" s="5"/>
      <c r="B533" s="59"/>
      <c r="C533" s="14"/>
      <c r="D533" s="15"/>
      <c r="E533" s="15"/>
      <c r="F533" s="26"/>
      <c r="G533" s="16"/>
      <c r="H533" s="25"/>
      <c r="I533" s="1"/>
    </row>
    <row r="534" spans="1:9" ht="25.5">
      <c r="A534" s="5"/>
      <c r="B534" s="48" t="s">
        <v>659</v>
      </c>
      <c r="C534" s="14" t="s">
        <v>660</v>
      </c>
      <c r="D534" s="22"/>
      <c r="E534" s="62"/>
      <c r="F534" s="26"/>
      <c r="G534" s="63"/>
      <c r="H534" s="25" t="str">
        <f t="shared" si="14"/>
        <v/>
      </c>
      <c r="I534" s="1"/>
    </row>
    <row r="535" spans="1:9">
      <c r="A535" s="5"/>
      <c r="B535" s="48"/>
      <c r="C535" s="14"/>
      <c r="D535" s="15"/>
      <c r="E535" s="62"/>
      <c r="F535" s="26"/>
      <c r="G535" s="63"/>
      <c r="H535" s="25" t="str">
        <f t="shared" si="14"/>
        <v/>
      </c>
      <c r="I535" s="1"/>
    </row>
    <row r="536" spans="1:9">
      <c r="A536" s="5"/>
      <c r="B536" s="48" t="s">
        <v>661</v>
      </c>
      <c r="C536" s="100" t="s">
        <v>662</v>
      </c>
      <c r="D536" s="22"/>
      <c r="E536" s="62"/>
      <c r="F536" s="26"/>
      <c r="G536" s="65"/>
      <c r="H536" s="25" t="str">
        <f t="shared" si="14"/>
        <v/>
      </c>
      <c r="I536" s="1"/>
    </row>
    <row r="537" spans="1:9">
      <c r="A537" s="5"/>
      <c r="B537" s="59"/>
      <c r="C537" s="14"/>
      <c r="D537" s="15"/>
      <c r="E537" s="62"/>
      <c r="F537" s="26"/>
      <c r="G537" s="63"/>
      <c r="H537" s="25" t="str">
        <f t="shared" si="14"/>
        <v/>
      </c>
      <c r="I537" s="1"/>
    </row>
    <row r="538" spans="1:9" ht="25.5">
      <c r="A538" s="5"/>
      <c r="B538" s="48" t="s">
        <v>83</v>
      </c>
      <c r="C538" s="14" t="s">
        <v>551</v>
      </c>
      <c r="D538" s="22" t="s">
        <v>85</v>
      </c>
      <c r="E538" s="62"/>
      <c r="F538" s="26"/>
      <c r="G538" s="60"/>
      <c r="H538" s="25">
        <f t="shared" si="14"/>
        <v>0</v>
      </c>
      <c r="I538" s="1"/>
    </row>
    <row r="539" spans="1:9">
      <c r="A539" s="5"/>
      <c r="B539" s="59"/>
      <c r="C539" s="14"/>
      <c r="D539" s="15"/>
      <c r="E539" s="62"/>
      <c r="F539" s="26"/>
      <c r="G539" s="63"/>
      <c r="H539" s="25" t="str">
        <f t="shared" si="14"/>
        <v/>
      </c>
      <c r="I539" s="1"/>
    </row>
    <row r="540" spans="1:9" ht="25.5">
      <c r="A540" s="5"/>
      <c r="B540" s="48" t="s">
        <v>86</v>
      </c>
      <c r="C540" s="14" t="s">
        <v>551</v>
      </c>
      <c r="D540" s="22" t="s">
        <v>85</v>
      </c>
      <c r="E540" s="15"/>
      <c r="F540" s="26"/>
      <c r="G540" s="16"/>
      <c r="H540" s="25">
        <f t="shared" si="14"/>
        <v>0</v>
      </c>
      <c r="I540" s="1"/>
    </row>
    <row r="541" spans="1:9">
      <c r="A541" s="5"/>
      <c r="B541" s="59"/>
      <c r="C541" s="14"/>
      <c r="D541" s="15"/>
      <c r="E541" s="15"/>
      <c r="F541" s="26"/>
      <c r="G541" s="16"/>
      <c r="H541" s="25" t="str">
        <f t="shared" si="14"/>
        <v/>
      </c>
      <c r="I541" s="1"/>
    </row>
    <row r="542" spans="1:9">
      <c r="A542" s="5"/>
      <c r="B542" s="48" t="s">
        <v>663</v>
      </c>
      <c r="C542" s="14" t="s">
        <v>664</v>
      </c>
      <c r="D542" s="22"/>
      <c r="E542" s="15"/>
      <c r="F542" s="26"/>
      <c r="G542" s="65"/>
      <c r="H542" s="25" t="str">
        <f t="shared" si="14"/>
        <v/>
      </c>
      <c r="I542" s="1"/>
    </row>
    <row r="543" spans="1:9">
      <c r="A543" s="5"/>
      <c r="B543" s="59"/>
      <c r="C543" s="14"/>
      <c r="D543" s="15"/>
      <c r="E543" s="15"/>
      <c r="F543" s="26"/>
      <c r="G543" s="65"/>
      <c r="H543" s="25" t="str">
        <f t="shared" si="14"/>
        <v/>
      </c>
      <c r="I543" s="1"/>
    </row>
    <row r="544" spans="1:9">
      <c r="A544" s="5"/>
      <c r="B544" s="48" t="s">
        <v>665</v>
      </c>
      <c r="C544" s="14" t="s">
        <v>666</v>
      </c>
      <c r="D544" s="22" t="s">
        <v>347</v>
      </c>
      <c r="E544" s="62"/>
      <c r="F544" s="26"/>
      <c r="G544" s="60"/>
      <c r="H544" s="25">
        <f t="shared" si="14"/>
        <v>0</v>
      </c>
      <c r="I544" s="1"/>
    </row>
    <row r="545" spans="1:9">
      <c r="A545" s="5"/>
      <c r="B545" s="59"/>
      <c r="C545" s="14"/>
      <c r="D545" s="15"/>
      <c r="E545" s="62"/>
      <c r="F545" s="26"/>
      <c r="G545" s="63"/>
      <c r="H545" s="25" t="str">
        <f t="shared" si="14"/>
        <v/>
      </c>
      <c r="I545" s="1"/>
    </row>
    <row r="546" spans="1:9">
      <c r="A546" s="5"/>
      <c r="B546" s="48" t="s">
        <v>667</v>
      </c>
      <c r="C546" s="14" t="s">
        <v>666</v>
      </c>
      <c r="D546" s="22" t="s">
        <v>347</v>
      </c>
      <c r="E546" s="15"/>
      <c r="F546" s="26"/>
      <c r="G546" s="16"/>
      <c r="H546" s="25">
        <f t="shared" si="14"/>
        <v>0</v>
      </c>
      <c r="I546" s="1"/>
    </row>
    <row r="547" spans="1:9">
      <c r="A547" s="5"/>
      <c r="B547" s="59"/>
      <c r="C547" s="14"/>
      <c r="D547" s="15"/>
      <c r="E547" s="15"/>
      <c r="F547" s="26"/>
      <c r="G547" s="27"/>
      <c r="H547" s="25" t="str">
        <f t="shared" si="14"/>
        <v/>
      </c>
      <c r="I547" s="1"/>
    </row>
    <row r="548" spans="1:9">
      <c r="A548" s="5"/>
      <c r="B548" s="48" t="s">
        <v>668</v>
      </c>
      <c r="C548" s="14" t="s">
        <v>516</v>
      </c>
      <c r="D548" s="22" t="s">
        <v>347</v>
      </c>
      <c r="E548" s="15"/>
      <c r="F548" s="26"/>
      <c r="G548" s="65"/>
      <c r="H548" s="25">
        <f t="shared" ref="H548" si="15">IF(D548="","",F548*G548)</f>
        <v>0</v>
      </c>
      <c r="I548" s="1"/>
    </row>
    <row r="549" spans="1:9">
      <c r="A549" s="5"/>
      <c r="B549" s="48"/>
      <c r="C549" s="14"/>
      <c r="D549" s="22"/>
      <c r="E549" s="15"/>
      <c r="F549" s="26"/>
      <c r="G549" s="65"/>
      <c r="H549" s="25"/>
      <c r="I549" s="1"/>
    </row>
    <row r="550" spans="1:9">
      <c r="A550" s="5"/>
      <c r="B550" s="48"/>
      <c r="C550" s="14"/>
      <c r="D550" s="22"/>
      <c r="E550" s="15"/>
      <c r="F550" s="26"/>
      <c r="G550" s="65"/>
      <c r="H550" s="25"/>
      <c r="I550" s="1"/>
    </row>
    <row r="551" spans="1:9">
      <c r="A551" s="5"/>
      <c r="B551" s="48"/>
      <c r="C551" s="14"/>
      <c r="D551" s="22"/>
      <c r="E551" s="15"/>
      <c r="F551" s="26"/>
      <c r="G551" s="65"/>
      <c r="H551" s="25"/>
      <c r="I551" s="1"/>
    </row>
    <row r="552" spans="1:9">
      <c r="A552" s="5"/>
      <c r="B552" s="48"/>
      <c r="C552" s="14"/>
      <c r="D552" s="22"/>
      <c r="E552" s="15"/>
      <c r="F552" s="26"/>
      <c r="G552" s="65"/>
      <c r="H552" s="25"/>
      <c r="I552" s="1"/>
    </row>
    <row r="553" spans="1:9">
      <c r="A553" s="5"/>
      <c r="B553" s="48"/>
      <c r="C553" s="14"/>
      <c r="D553" s="22"/>
      <c r="E553" s="15"/>
      <c r="F553" s="26"/>
      <c r="G553" s="65"/>
      <c r="H553" s="25"/>
      <c r="I553" s="1"/>
    </row>
    <row r="554" spans="1:9">
      <c r="A554" s="5"/>
      <c r="B554" s="48"/>
      <c r="C554" s="14"/>
      <c r="D554" s="22"/>
      <c r="E554" s="15"/>
      <c r="F554" s="26"/>
      <c r="G554" s="65"/>
      <c r="H554" s="25"/>
      <c r="I554" s="1"/>
    </row>
    <row r="555" spans="1:9">
      <c r="A555" s="5"/>
      <c r="B555" s="48"/>
      <c r="C555" s="14"/>
      <c r="D555" s="22"/>
      <c r="E555" s="15"/>
      <c r="F555" s="26"/>
      <c r="G555" s="65"/>
      <c r="H555" s="25"/>
      <c r="I555" s="1"/>
    </row>
    <row r="556" spans="1:9">
      <c r="A556" s="5"/>
      <c r="B556" s="48"/>
      <c r="C556" s="14"/>
      <c r="D556" s="22"/>
      <c r="E556" s="15"/>
      <c r="F556" s="26"/>
      <c r="G556" s="65"/>
      <c r="H556" s="25"/>
      <c r="I556" s="1"/>
    </row>
    <row r="557" spans="1:9">
      <c r="A557" s="5"/>
      <c r="B557" s="48"/>
      <c r="C557" s="14"/>
      <c r="D557" s="22"/>
      <c r="E557" s="15"/>
      <c r="F557" s="26"/>
      <c r="G557" s="65"/>
      <c r="H557" s="25"/>
      <c r="I557" s="1"/>
    </row>
    <row r="558" spans="1:9">
      <c r="A558" s="5"/>
      <c r="B558" s="48"/>
      <c r="C558" s="14"/>
      <c r="D558" s="22"/>
      <c r="E558" s="15"/>
      <c r="F558" s="26"/>
      <c r="G558" s="65"/>
      <c r="H558" s="25"/>
      <c r="I558" s="1"/>
    </row>
    <row r="559" spans="1:9">
      <c r="A559" s="5"/>
      <c r="B559" s="48"/>
      <c r="C559" s="14"/>
      <c r="D559" s="22"/>
      <c r="E559" s="15"/>
      <c r="F559" s="26"/>
      <c r="G559" s="65"/>
      <c r="H559" s="25"/>
      <c r="I559" s="1"/>
    </row>
    <row r="560" spans="1:9">
      <c r="A560" s="5"/>
      <c r="B560" s="48"/>
      <c r="C560" s="14"/>
      <c r="D560" s="22"/>
      <c r="E560" s="15"/>
      <c r="F560" s="26"/>
      <c r="G560" s="65"/>
      <c r="H560" s="25"/>
      <c r="I560" s="1"/>
    </row>
    <row r="561" spans="1:9">
      <c r="A561" s="5"/>
      <c r="B561" s="48"/>
      <c r="C561" s="14"/>
      <c r="D561" s="22"/>
      <c r="E561" s="15"/>
      <c r="F561" s="26"/>
      <c r="G561" s="65"/>
      <c r="H561" s="25"/>
      <c r="I561" s="1"/>
    </row>
    <row r="562" spans="1:9">
      <c r="A562" s="5"/>
      <c r="B562" s="48"/>
      <c r="C562" s="14"/>
      <c r="D562" s="22"/>
      <c r="E562" s="15"/>
      <c r="F562" s="26"/>
      <c r="G562" s="65"/>
      <c r="H562" s="25"/>
      <c r="I562" s="1"/>
    </row>
    <row r="563" spans="1:9">
      <c r="A563" s="5"/>
      <c r="B563" s="48"/>
      <c r="C563" s="14"/>
      <c r="D563" s="22"/>
      <c r="E563" s="15"/>
      <c r="F563" s="26"/>
      <c r="G563" s="65"/>
      <c r="H563" s="25"/>
      <c r="I563" s="1"/>
    </row>
    <row r="564" spans="1:9">
      <c r="A564" s="5"/>
      <c r="B564" s="48"/>
      <c r="C564" s="14"/>
      <c r="D564" s="22"/>
      <c r="E564" s="15"/>
      <c r="F564" s="26"/>
      <c r="G564" s="65"/>
      <c r="H564" s="25"/>
      <c r="I564" s="1"/>
    </row>
    <row r="565" spans="1:9">
      <c r="A565" s="5"/>
      <c r="B565" s="48"/>
      <c r="C565" s="14"/>
      <c r="D565" s="22"/>
      <c r="E565" s="15"/>
      <c r="F565" s="26"/>
      <c r="G565" s="65"/>
      <c r="H565" s="25"/>
      <c r="I565" s="1"/>
    </row>
    <row r="566" spans="1:9">
      <c r="A566" s="5"/>
      <c r="B566" s="48"/>
      <c r="C566" s="14"/>
      <c r="D566" s="22"/>
      <c r="E566" s="15"/>
      <c r="F566" s="26"/>
      <c r="G566" s="65"/>
      <c r="H566" s="25"/>
      <c r="I566" s="1"/>
    </row>
    <row r="567" spans="1:9">
      <c r="A567" s="5"/>
      <c r="B567" s="48"/>
      <c r="C567" s="14"/>
      <c r="D567" s="22"/>
      <c r="E567" s="15"/>
      <c r="F567" s="26"/>
      <c r="G567" s="65"/>
      <c r="H567" s="25"/>
      <c r="I567" s="1"/>
    </row>
    <row r="568" spans="1:9">
      <c r="A568" s="5"/>
      <c r="B568" s="48"/>
      <c r="C568" s="14"/>
      <c r="D568" s="22"/>
      <c r="E568" s="15"/>
      <c r="F568" s="26"/>
      <c r="G568" s="65"/>
      <c r="H568" s="25"/>
      <c r="I568" s="1"/>
    </row>
    <row r="569" spans="1:9">
      <c r="A569" s="5"/>
      <c r="B569" s="48"/>
      <c r="C569" s="14"/>
      <c r="D569" s="22"/>
      <c r="E569" s="15"/>
      <c r="F569" s="26"/>
      <c r="G569" s="65"/>
      <c r="H569" s="25"/>
      <c r="I569" s="1"/>
    </row>
    <row r="570" spans="1:9">
      <c r="A570" s="5"/>
      <c r="B570" s="48"/>
      <c r="C570" s="14"/>
      <c r="D570" s="22"/>
      <c r="E570" s="15"/>
      <c r="F570" s="26"/>
      <c r="G570" s="65"/>
      <c r="H570" s="25"/>
      <c r="I570" s="1"/>
    </row>
    <row r="571" spans="1:9">
      <c r="A571" s="5"/>
      <c r="B571" s="48"/>
      <c r="C571" s="14"/>
      <c r="D571" s="22"/>
      <c r="E571" s="15"/>
      <c r="F571" s="26"/>
      <c r="G571" s="65"/>
      <c r="H571" s="25"/>
      <c r="I571" s="1"/>
    </row>
    <row r="572" spans="1:9">
      <c r="A572" s="5"/>
      <c r="B572" s="48"/>
      <c r="C572" s="14"/>
      <c r="D572" s="22"/>
      <c r="E572" s="15"/>
      <c r="F572" s="26"/>
      <c r="G572" s="65"/>
      <c r="H572" s="25"/>
      <c r="I572" s="1"/>
    </row>
    <row r="573" spans="1:9">
      <c r="A573" s="5"/>
      <c r="B573" s="48"/>
      <c r="C573" s="14"/>
      <c r="D573" s="22"/>
      <c r="E573" s="15"/>
      <c r="F573" s="26"/>
      <c r="G573" s="65"/>
      <c r="H573" s="25"/>
      <c r="I573" s="1"/>
    </row>
    <row r="574" spans="1:9">
      <c r="A574" s="5"/>
      <c r="B574" s="48"/>
      <c r="C574" s="14"/>
      <c r="D574" s="22"/>
      <c r="E574" s="15"/>
      <c r="F574" s="26"/>
      <c r="G574" s="65"/>
      <c r="H574" s="25"/>
      <c r="I574" s="1"/>
    </row>
    <row r="575" spans="1:9">
      <c r="A575" s="5"/>
      <c r="B575" s="48"/>
      <c r="C575" s="14"/>
      <c r="D575" s="22"/>
      <c r="E575" s="15"/>
      <c r="F575" s="26"/>
      <c r="G575" s="65"/>
      <c r="H575" s="25"/>
      <c r="I575" s="1"/>
    </row>
    <row r="576" spans="1:9">
      <c r="A576" s="5"/>
      <c r="B576" s="48"/>
      <c r="C576" s="14"/>
      <c r="D576" s="22"/>
      <c r="E576" s="15"/>
      <c r="F576" s="26"/>
      <c r="G576" s="65"/>
      <c r="H576" s="25"/>
      <c r="I576" s="1"/>
    </row>
    <row r="577" spans="1:9">
      <c r="A577" s="5"/>
      <c r="B577" s="48"/>
      <c r="C577" s="14"/>
      <c r="D577" s="22"/>
      <c r="E577" s="15"/>
      <c r="F577" s="26"/>
      <c r="G577" s="65"/>
      <c r="H577" s="25"/>
      <c r="I577" s="1"/>
    </row>
    <row r="578" spans="1:9">
      <c r="A578" s="5"/>
      <c r="B578" s="48"/>
      <c r="C578" s="14"/>
      <c r="D578" s="22"/>
      <c r="E578" s="15"/>
      <c r="F578" s="26"/>
      <c r="G578" s="65"/>
      <c r="H578" s="25"/>
      <c r="I578" s="1"/>
    </row>
    <row r="579" spans="1:9">
      <c r="A579" s="5"/>
      <c r="B579" s="48"/>
      <c r="C579" s="14"/>
      <c r="D579" s="22"/>
      <c r="E579" s="15"/>
      <c r="F579" s="26"/>
      <c r="G579" s="65"/>
      <c r="H579" s="25"/>
      <c r="I579" s="1"/>
    </row>
    <row r="580" spans="1:9">
      <c r="A580" s="5"/>
      <c r="B580" s="48"/>
      <c r="C580" s="14"/>
      <c r="D580" s="22"/>
      <c r="E580" s="15"/>
      <c r="F580" s="26"/>
      <c r="G580" s="65"/>
      <c r="H580" s="25"/>
      <c r="I580" s="1"/>
    </row>
    <row r="581" spans="1:9">
      <c r="A581" s="5"/>
      <c r="B581" s="48"/>
      <c r="C581" s="14"/>
      <c r="D581" s="22"/>
      <c r="E581" s="15"/>
      <c r="F581" s="26"/>
      <c r="G581" s="65"/>
      <c r="H581" s="25"/>
      <c r="I581" s="1"/>
    </row>
    <row r="582" spans="1:9">
      <c r="A582" s="5"/>
      <c r="B582" s="48"/>
      <c r="C582" s="14"/>
      <c r="D582" s="22"/>
      <c r="E582" s="15"/>
      <c r="F582" s="26"/>
      <c r="G582" s="65"/>
      <c r="H582" s="25"/>
      <c r="I582" s="1"/>
    </row>
    <row r="583" spans="1:9">
      <c r="A583" s="5"/>
      <c r="B583" s="48"/>
      <c r="C583" s="14"/>
      <c r="D583" s="22"/>
      <c r="E583" s="15"/>
      <c r="F583" s="26"/>
      <c r="G583" s="65"/>
      <c r="H583" s="25"/>
      <c r="I583" s="1"/>
    </row>
    <row r="584" spans="1:9">
      <c r="A584" s="5"/>
      <c r="B584" s="48"/>
      <c r="C584" s="14"/>
      <c r="D584" s="22"/>
      <c r="E584" s="15"/>
      <c r="F584" s="26"/>
      <c r="G584" s="65"/>
      <c r="H584" s="25"/>
      <c r="I584" s="1"/>
    </row>
    <row r="585" spans="1:9">
      <c r="A585" s="5"/>
      <c r="B585" s="48"/>
      <c r="C585" s="14"/>
      <c r="D585" s="22"/>
      <c r="E585" s="15"/>
      <c r="F585" s="26"/>
      <c r="G585" s="65"/>
      <c r="H585" s="25"/>
      <c r="I585" s="1"/>
    </row>
    <row r="586" spans="1:9">
      <c r="A586" s="5"/>
      <c r="B586" s="48"/>
      <c r="C586" s="14"/>
      <c r="D586" s="22"/>
      <c r="E586" s="15"/>
      <c r="F586" s="26"/>
      <c r="G586" s="65"/>
      <c r="H586" s="25"/>
      <c r="I586" s="1"/>
    </row>
    <row r="587" spans="1:9">
      <c r="A587" s="5"/>
      <c r="B587" s="48"/>
      <c r="C587" s="14"/>
      <c r="D587" s="22"/>
      <c r="E587" s="15"/>
      <c r="F587" s="26"/>
      <c r="G587" s="65"/>
      <c r="H587" s="25"/>
      <c r="I587" s="1"/>
    </row>
    <row r="588" spans="1:9">
      <c r="A588" s="5"/>
      <c r="B588" s="48"/>
      <c r="C588" s="14"/>
      <c r="D588" s="22"/>
      <c r="E588" s="15"/>
      <c r="F588" s="26"/>
      <c r="G588" s="65"/>
      <c r="H588" s="25"/>
      <c r="I588" s="1"/>
    </row>
    <row r="589" spans="1:9">
      <c r="A589" s="5"/>
      <c r="B589" s="48"/>
      <c r="C589" s="14"/>
      <c r="D589" s="22"/>
      <c r="E589" s="15"/>
      <c r="F589" s="26"/>
      <c r="G589" s="65"/>
      <c r="H589" s="25"/>
      <c r="I589" s="1"/>
    </row>
    <row r="590" spans="1:9">
      <c r="A590" s="5"/>
      <c r="B590" s="48"/>
      <c r="C590" s="14"/>
      <c r="D590" s="22"/>
      <c r="E590" s="15"/>
      <c r="F590" s="26"/>
      <c r="G590" s="65"/>
      <c r="H590" s="25"/>
      <c r="I590" s="1"/>
    </row>
    <row r="591" spans="1:9" s="28" customFormat="1" ht="24.95" customHeight="1">
      <c r="B591" s="82" t="str">
        <f>$B$10</f>
        <v>C2.3</v>
      </c>
      <c r="C591" s="29" t="s">
        <v>125</v>
      </c>
      <c r="D591" s="30"/>
      <c r="E591" s="30"/>
      <c r="F591" s="31"/>
      <c r="G591" s="30"/>
      <c r="H591" s="32">
        <f>SUM(H532:H590)</f>
        <v>0</v>
      </c>
      <c r="I591" s="33"/>
    </row>
  </sheetData>
  <mergeCells count="60">
    <mergeCell ref="B527:G527"/>
    <mergeCell ref="H527:H530"/>
    <mergeCell ref="B528:G530"/>
    <mergeCell ref="B465:G465"/>
    <mergeCell ref="H465:H468"/>
    <mergeCell ref="B466:G468"/>
    <mergeCell ref="B524:E524"/>
    <mergeCell ref="F524:H526"/>
    <mergeCell ref="B525:E525"/>
    <mergeCell ref="B526:E526"/>
    <mergeCell ref="B399:G399"/>
    <mergeCell ref="H399:H402"/>
    <mergeCell ref="B400:G402"/>
    <mergeCell ref="B462:E462"/>
    <mergeCell ref="F462:H464"/>
    <mergeCell ref="B463:E463"/>
    <mergeCell ref="B464:E464"/>
    <mergeCell ref="B336:G336"/>
    <mergeCell ref="H336:H339"/>
    <mergeCell ref="B337:G339"/>
    <mergeCell ref="B396:E396"/>
    <mergeCell ref="F396:H398"/>
    <mergeCell ref="B397:E397"/>
    <mergeCell ref="B398:E398"/>
    <mergeCell ref="B271:G271"/>
    <mergeCell ref="H271:H274"/>
    <mergeCell ref="B272:G274"/>
    <mergeCell ref="B333:E333"/>
    <mergeCell ref="F333:H335"/>
    <mergeCell ref="B334:E334"/>
    <mergeCell ref="B335:E335"/>
    <mergeCell ref="B208:G208"/>
    <mergeCell ref="H208:H211"/>
    <mergeCell ref="B209:G211"/>
    <mergeCell ref="B268:E268"/>
    <mergeCell ref="F268:H270"/>
    <mergeCell ref="B269:E269"/>
    <mergeCell ref="B270:E270"/>
    <mergeCell ref="B142:G142"/>
    <mergeCell ref="H142:H145"/>
    <mergeCell ref="B143:G145"/>
    <mergeCell ref="B205:E205"/>
    <mergeCell ref="F205:H207"/>
    <mergeCell ref="B206:E206"/>
    <mergeCell ref="B207:E207"/>
    <mergeCell ref="B79:G79"/>
    <mergeCell ref="H79:H82"/>
    <mergeCell ref="B80:G82"/>
    <mergeCell ref="B139:E139"/>
    <mergeCell ref="F139:H141"/>
    <mergeCell ref="B140:E140"/>
    <mergeCell ref="B141:E141"/>
    <mergeCell ref="F1:H1"/>
    <mergeCell ref="H4:H7"/>
    <mergeCell ref="B4:G4"/>
    <mergeCell ref="B5:G7"/>
    <mergeCell ref="B76:E76"/>
    <mergeCell ref="F76:H78"/>
    <mergeCell ref="B77:E77"/>
    <mergeCell ref="B78:E78"/>
  </mergeCells>
  <pageMargins left="0.43307086614173229" right="0.31496062992125984" top="0.43307086614173229" bottom="0.62992125984251968" header="0.35433070866141736" footer="0.31496062992125984"/>
  <pageSetup paperSize="9" scale="77" firstPageNumber="31"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F16B-50F2-46B5-8315-FD3DE7F7FFC4}">
  <sheetPr>
    <tabColor rgb="FFFFFF00"/>
  </sheetPr>
  <dimension ref="B1:M51"/>
  <sheetViews>
    <sheetView view="pageBreakPreview" topLeftCell="A4" zoomScaleNormal="70" zoomScaleSheetLayoutView="100" workbookViewId="0">
      <selection activeCell="G39" sqref="G39"/>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3339</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3638</v>
      </c>
      <c r="C9" s="839"/>
      <c r="D9" s="839"/>
      <c r="E9" s="839"/>
      <c r="F9" s="839"/>
      <c r="G9" s="839"/>
      <c r="H9" s="840"/>
      <c r="I9" s="277"/>
    </row>
    <row r="10" spans="2:11" ht="25.5">
      <c r="B10" s="295" t="s">
        <v>3339</v>
      </c>
      <c r="C10" s="551" t="s">
        <v>3639</v>
      </c>
      <c r="D10" s="14"/>
      <c r="E10" s="14"/>
      <c r="F10" s="22"/>
      <c r="G10" s="348"/>
      <c r="H10" s="529" t="str">
        <f t="shared" ref="H10:H50" si="0">IF(D10="","",F10*G10)</f>
        <v/>
      </c>
      <c r="I10" s="277"/>
      <c r="K10" s="28" t="s">
        <v>3640</v>
      </c>
    </row>
    <row r="11" spans="2:11">
      <c r="B11" s="294"/>
      <c r="C11" s="52"/>
      <c r="D11" s="22"/>
      <c r="E11" s="22"/>
      <c r="F11" s="22"/>
      <c r="G11" s="348"/>
      <c r="H11" s="529" t="str">
        <f t="shared" si="0"/>
        <v/>
      </c>
      <c r="I11" s="277"/>
    </row>
    <row r="12" spans="2:11" ht="33.75" customHeight="1">
      <c r="B12" s="294" t="s">
        <v>3428</v>
      </c>
      <c r="C12" s="52" t="s">
        <v>3429</v>
      </c>
      <c r="D12" s="22"/>
      <c r="E12" s="22"/>
      <c r="F12" s="22"/>
      <c r="G12" s="348"/>
      <c r="H12" s="529"/>
      <c r="I12" s="277"/>
    </row>
    <row r="13" spans="2:11" ht="25.5">
      <c r="B13" s="294" t="s">
        <v>3430</v>
      </c>
      <c r="C13" s="52" t="s">
        <v>3431</v>
      </c>
      <c r="D13" s="22" t="s">
        <v>85</v>
      </c>
      <c r="E13" s="22"/>
      <c r="F13" s="22">
        <v>20</v>
      </c>
      <c r="G13" s="624"/>
      <c r="H13" s="529">
        <f>G13*F13</f>
        <v>0</v>
      </c>
      <c r="I13" s="277"/>
    </row>
    <row r="14" spans="2:11">
      <c r="B14" s="294" t="s">
        <v>3432</v>
      </c>
      <c r="C14" s="52" t="s">
        <v>3433</v>
      </c>
      <c r="D14" s="22" t="s">
        <v>85</v>
      </c>
      <c r="E14" s="22"/>
      <c r="F14" s="22">
        <v>1</v>
      </c>
      <c r="G14" s="624"/>
      <c r="H14" s="529" t="s">
        <v>266</v>
      </c>
      <c r="I14" s="277"/>
    </row>
    <row r="15" spans="2:11">
      <c r="B15" s="294"/>
      <c r="C15" s="52"/>
      <c r="D15" s="22"/>
      <c r="E15" s="22"/>
      <c r="F15" s="22"/>
      <c r="G15" s="624"/>
      <c r="H15" s="529"/>
      <c r="I15" s="277"/>
    </row>
    <row r="16" spans="2:11">
      <c r="B16" s="294" t="s">
        <v>3641</v>
      </c>
      <c r="C16" s="52" t="s">
        <v>3642</v>
      </c>
      <c r="D16" s="22"/>
      <c r="E16" s="22"/>
      <c r="F16" s="22"/>
      <c r="G16" s="624"/>
      <c r="H16" s="529"/>
      <c r="I16" s="277"/>
    </row>
    <row r="17" spans="2:9" ht="51">
      <c r="B17" s="294" t="s">
        <v>3643</v>
      </c>
      <c r="C17" s="52" t="s">
        <v>3644</v>
      </c>
      <c r="D17" s="22"/>
      <c r="E17" s="22"/>
      <c r="F17" s="22"/>
      <c r="G17" s="624"/>
      <c r="H17" s="529"/>
      <c r="I17" s="277"/>
    </row>
    <row r="18" spans="2:9" ht="25.5">
      <c r="B18" s="294" t="s">
        <v>3645</v>
      </c>
      <c r="C18" s="52" t="s">
        <v>3646</v>
      </c>
      <c r="D18" s="22" t="s">
        <v>85</v>
      </c>
      <c r="E18" s="22"/>
      <c r="F18" s="22">
        <v>1</v>
      </c>
      <c r="G18" s="624"/>
      <c r="H18" s="529">
        <f t="shared" ref="H18:H19" si="1">G18*F18</f>
        <v>0</v>
      </c>
      <c r="I18" s="277"/>
    </row>
    <row r="19" spans="2:9">
      <c r="B19" s="294" t="s">
        <v>3647</v>
      </c>
      <c r="C19" s="52" t="s">
        <v>3648</v>
      </c>
      <c r="D19" s="22" t="s">
        <v>85</v>
      </c>
      <c r="E19" s="22"/>
      <c r="F19" s="22">
        <v>14</v>
      </c>
      <c r="G19" s="624"/>
      <c r="H19" s="529">
        <f t="shared" si="1"/>
        <v>0</v>
      </c>
      <c r="I19" s="277"/>
    </row>
    <row r="20" spans="2:9" ht="63.75">
      <c r="B20" s="294" t="s">
        <v>3649</v>
      </c>
      <c r="C20" s="52" t="s">
        <v>3442</v>
      </c>
      <c r="D20" s="22"/>
      <c r="E20" s="22"/>
      <c r="F20" s="22"/>
      <c r="G20" s="624"/>
      <c r="H20" s="529"/>
      <c r="I20" s="277"/>
    </row>
    <row r="21" spans="2:9">
      <c r="B21" s="294" t="s">
        <v>3650</v>
      </c>
      <c r="C21" s="52" t="s">
        <v>3651</v>
      </c>
      <c r="D21" s="22" t="s">
        <v>85</v>
      </c>
      <c r="E21" s="22"/>
      <c r="F21" s="22">
        <v>2</v>
      </c>
      <c r="G21" s="624"/>
      <c r="H21" s="529">
        <f t="shared" ref="H21:H23" si="2">G21*F21</f>
        <v>0</v>
      </c>
      <c r="I21" s="277"/>
    </row>
    <row r="22" spans="2:9" ht="25.5">
      <c r="B22" s="294" t="s">
        <v>3652</v>
      </c>
      <c r="C22" s="55" t="s">
        <v>3653</v>
      </c>
      <c r="D22" s="22" t="s">
        <v>85</v>
      </c>
      <c r="E22" s="22"/>
      <c r="F22" s="22">
        <v>2</v>
      </c>
      <c r="G22" s="624"/>
      <c r="H22" s="529">
        <f t="shared" si="2"/>
        <v>0</v>
      </c>
      <c r="I22" s="277" t="s">
        <v>3447</v>
      </c>
    </row>
    <row r="23" spans="2:9">
      <c r="B23" s="294" t="s">
        <v>3652</v>
      </c>
      <c r="C23" s="52" t="s">
        <v>3654</v>
      </c>
      <c r="D23" s="22" t="s">
        <v>85</v>
      </c>
      <c r="E23" s="22"/>
      <c r="F23" s="22">
        <v>15</v>
      </c>
      <c r="G23" s="624"/>
      <c r="H23" s="529">
        <f t="shared" si="2"/>
        <v>0</v>
      </c>
      <c r="I23" s="277"/>
    </row>
    <row r="24" spans="2:9">
      <c r="B24" s="294"/>
      <c r="C24" s="52"/>
      <c r="D24" s="22"/>
      <c r="E24" s="22"/>
      <c r="F24" s="22"/>
      <c r="G24" s="624"/>
      <c r="H24" s="529"/>
      <c r="I24" s="277"/>
    </row>
    <row r="25" spans="2:9">
      <c r="B25" s="294" t="s">
        <v>3655</v>
      </c>
      <c r="C25" s="52" t="s">
        <v>3656</v>
      </c>
      <c r="D25" s="22"/>
      <c r="E25" s="22"/>
      <c r="F25" s="22"/>
      <c r="G25" s="624"/>
      <c r="H25" s="529"/>
      <c r="I25" s="277"/>
    </row>
    <row r="26" spans="2:9" ht="51">
      <c r="B26" s="294" t="s">
        <v>3657</v>
      </c>
      <c r="C26" s="52" t="s">
        <v>3658</v>
      </c>
      <c r="D26" s="22"/>
      <c r="E26" s="22"/>
      <c r="F26" s="22"/>
      <c r="G26" s="624"/>
      <c r="H26" s="529"/>
      <c r="I26" s="277"/>
    </row>
    <row r="27" spans="2:9">
      <c r="B27" s="294" t="s">
        <v>3659</v>
      </c>
      <c r="C27" s="52" t="s">
        <v>3648</v>
      </c>
      <c r="D27" s="22" t="s">
        <v>85</v>
      </c>
      <c r="E27" s="22"/>
      <c r="F27" s="22">
        <v>15</v>
      </c>
      <c r="G27" s="624"/>
      <c r="H27" s="529">
        <f t="shared" ref="H27" si="3">G27*F27</f>
        <v>0</v>
      </c>
      <c r="I27" s="277"/>
    </row>
    <row r="28" spans="2:9" ht="63.75">
      <c r="B28" s="294" t="s">
        <v>3660</v>
      </c>
      <c r="C28" s="52" t="s">
        <v>3442</v>
      </c>
      <c r="D28" s="22"/>
      <c r="E28" s="22"/>
      <c r="F28" s="22"/>
      <c r="G28" s="624"/>
      <c r="H28" s="529"/>
      <c r="I28" s="277"/>
    </row>
    <row r="29" spans="2:9">
      <c r="B29" s="294" t="s">
        <v>3661</v>
      </c>
      <c r="C29" s="52" t="s">
        <v>3662</v>
      </c>
      <c r="D29" s="22" t="s">
        <v>85</v>
      </c>
      <c r="E29" s="22"/>
      <c r="F29" s="22">
        <v>2</v>
      </c>
      <c r="G29" s="624"/>
      <c r="H29" s="529">
        <f t="shared" ref="H29:H31" si="4">G29*F29</f>
        <v>0</v>
      </c>
      <c r="I29" s="277"/>
    </row>
    <row r="30" spans="2:9" ht="25.5">
      <c r="B30" s="294" t="s">
        <v>3652</v>
      </c>
      <c r="C30" s="55" t="s">
        <v>3653</v>
      </c>
      <c r="D30" s="22" t="s">
        <v>85</v>
      </c>
      <c r="E30" s="22"/>
      <c r="F30" s="22">
        <v>2</v>
      </c>
      <c r="G30" s="624"/>
      <c r="H30" s="529">
        <f t="shared" si="4"/>
        <v>0</v>
      </c>
      <c r="I30" s="277" t="s">
        <v>3447</v>
      </c>
    </row>
    <row r="31" spans="2:9">
      <c r="B31" s="294" t="s">
        <v>3663</v>
      </c>
      <c r="C31" s="52" t="s">
        <v>3654</v>
      </c>
      <c r="D31" s="22" t="s">
        <v>85</v>
      </c>
      <c r="E31" s="22"/>
      <c r="F31" s="22">
        <v>16</v>
      </c>
      <c r="G31" s="624"/>
      <c r="H31" s="529">
        <f t="shared" si="4"/>
        <v>0</v>
      </c>
      <c r="I31" s="277"/>
    </row>
    <row r="32" spans="2:9">
      <c r="B32" s="294"/>
      <c r="C32" s="52"/>
      <c r="D32" s="22"/>
      <c r="E32" s="22"/>
      <c r="F32" s="22"/>
      <c r="G32" s="624"/>
      <c r="H32" s="529"/>
      <c r="I32" s="277"/>
    </row>
    <row r="33" spans="2:12">
      <c r="B33" s="294" t="s">
        <v>3664</v>
      </c>
      <c r="C33" s="52" t="s">
        <v>3665</v>
      </c>
      <c r="D33" s="22"/>
      <c r="E33" s="22"/>
      <c r="F33" s="22"/>
      <c r="G33" s="624"/>
      <c r="H33" s="529"/>
      <c r="I33" s="277"/>
    </row>
    <row r="34" spans="2:12" ht="51">
      <c r="B34" s="294" t="s">
        <v>3666</v>
      </c>
      <c r="C34" s="52" t="s">
        <v>3667</v>
      </c>
      <c r="D34" s="22"/>
      <c r="E34" s="22"/>
      <c r="F34" s="22"/>
      <c r="G34" s="624"/>
      <c r="H34" s="529"/>
      <c r="I34" s="277"/>
    </row>
    <row r="35" spans="2:12" ht="25.5">
      <c r="B35" s="294" t="s">
        <v>3668</v>
      </c>
      <c r="C35" s="52" t="s">
        <v>3646</v>
      </c>
      <c r="D35" s="22" t="s">
        <v>85</v>
      </c>
      <c r="E35" s="22"/>
      <c r="F35" s="22">
        <v>2</v>
      </c>
      <c r="G35" s="624"/>
      <c r="H35" s="529">
        <f t="shared" ref="H35:H36" si="5">G35*F35</f>
        <v>0</v>
      </c>
      <c r="I35" s="277"/>
    </row>
    <row r="36" spans="2:12">
      <c r="B36" s="294" t="s">
        <v>3669</v>
      </c>
      <c r="C36" s="52" t="s">
        <v>3648</v>
      </c>
      <c r="D36" s="22" t="s">
        <v>85</v>
      </c>
      <c r="E36" s="22"/>
      <c r="F36" s="22">
        <v>1</v>
      </c>
      <c r="G36" s="624"/>
      <c r="H36" s="529">
        <f t="shared" si="5"/>
        <v>0</v>
      </c>
      <c r="I36" s="277"/>
    </row>
    <row r="37" spans="2:12" ht="63.75">
      <c r="B37" s="294" t="s">
        <v>3670</v>
      </c>
      <c r="C37" s="52" t="s">
        <v>3442</v>
      </c>
      <c r="D37" s="22"/>
      <c r="E37" s="22"/>
      <c r="F37" s="22"/>
      <c r="G37" s="624"/>
      <c r="H37" s="529"/>
      <c r="I37" s="277"/>
    </row>
    <row r="38" spans="2:12">
      <c r="B38" s="294" t="s">
        <v>3671</v>
      </c>
      <c r="C38" s="52" t="s">
        <v>3662</v>
      </c>
      <c r="D38" s="22" t="s">
        <v>85</v>
      </c>
      <c r="E38" s="22"/>
      <c r="F38" s="22">
        <v>1</v>
      </c>
      <c r="G38" s="624"/>
      <c r="H38" s="529">
        <f t="shared" ref="H38:H41" si="6">G38*F38</f>
        <v>0</v>
      </c>
      <c r="I38" s="277"/>
      <c r="K38" s="306"/>
    </row>
    <row r="39" spans="2:12" ht="25.5">
      <c r="B39" s="294" t="s">
        <v>3652</v>
      </c>
      <c r="C39" s="55" t="s">
        <v>3653</v>
      </c>
      <c r="D39" s="22" t="s">
        <v>85</v>
      </c>
      <c r="E39" s="22"/>
      <c r="F39" s="22">
        <v>1</v>
      </c>
      <c r="G39" s="624"/>
      <c r="H39" s="529">
        <f t="shared" si="6"/>
        <v>0</v>
      </c>
      <c r="I39" s="277" t="s">
        <v>3447</v>
      </c>
    </row>
    <row r="40" spans="2:12">
      <c r="B40" s="294" t="s">
        <v>3672</v>
      </c>
      <c r="C40" s="52" t="s">
        <v>3654</v>
      </c>
      <c r="D40" s="22" t="s">
        <v>85</v>
      </c>
      <c r="E40" s="22"/>
      <c r="F40" s="22">
        <v>2</v>
      </c>
      <c r="G40" s="624"/>
      <c r="H40" s="529">
        <f t="shared" si="6"/>
        <v>0</v>
      </c>
      <c r="I40" s="277"/>
      <c r="K40" s="306"/>
    </row>
    <row r="41" spans="2:12" ht="25.5">
      <c r="B41" s="294" t="s">
        <v>3673</v>
      </c>
      <c r="C41" s="52" t="s">
        <v>3674</v>
      </c>
      <c r="D41" s="22" t="s">
        <v>85</v>
      </c>
      <c r="E41" s="22"/>
      <c r="F41" s="22">
        <v>1</v>
      </c>
      <c r="G41" s="624"/>
      <c r="H41" s="529">
        <f t="shared" si="6"/>
        <v>0</v>
      </c>
      <c r="I41" s="277"/>
      <c r="K41" s="306"/>
    </row>
    <row r="42" spans="2:12" ht="63.75">
      <c r="B42" s="294"/>
      <c r="C42" s="7" t="s">
        <v>3675</v>
      </c>
      <c r="D42" s="22"/>
      <c r="E42" s="22"/>
      <c r="F42" s="22"/>
      <c r="G42" s="348"/>
      <c r="H42" s="529"/>
      <c r="I42" s="277"/>
      <c r="K42" s="306"/>
    </row>
    <row r="43" spans="2:12">
      <c r="B43" s="294"/>
      <c r="C43" s="52"/>
      <c r="D43" s="22"/>
      <c r="E43" s="22"/>
      <c r="F43" s="22"/>
      <c r="G43" s="348"/>
      <c r="H43" s="529"/>
      <c r="I43" s="277"/>
    </row>
    <row r="44" spans="2:12">
      <c r="B44" s="294"/>
      <c r="C44" s="52"/>
      <c r="D44" s="22"/>
      <c r="E44" s="22"/>
      <c r="F44" s="22"/>
      <c r="G44" s="348"/>
      <c r="H44" s="529"/>
      <c r="I44" s="277"/>
      <c r="K44" s="1">
        <v>1725</v>
      </c>
      <c r="L44" s="306" t="e">
        <f>K44/F44</f>
        <v>#DIV/0!</v>
      </c>
    </row>
    <row r="45" spans="2:12">
      <c r="B45" s="294"/>
      <c r="C45" s="52"/>
      <c r="D45" s="22"/>
      <c r="E45" s="22"/>
      <c r="F45" s="22"/>
      <c r="G45" s="348"/>
      <c r="H45" s="529"/>
      <c r="I45" s="277"/>
      <c r="K45" s="1">
        <v>100.5</v>
      </c>
      <c r="L45" s="306" t="e">
        <f t="shared" ref="L45:L48" si="7">K45/F45</f>
        <v>#DIV/0!</v>
      </c>
    </row>
    <row r="46" spans="2:12">
      <c r="B46" s="294"/>
      <c r="C46" s="52"/>
      <c r="D46" s="22"/>
      <c r="E46" s="22"/>
      <c r="F46" s="22"/>
      <c r="G46" s="348"/>
      <c r="H46" s="529"/>
      <c r="I46" s="277"/>
      <c r="L46" s="306" t="e">
        <f t="shared" si="7"/>
        <v>#DIV/0!</v>
      </c>
    </row>
    <row r="47" spans="2:12">
      <c r="B47" s="294"/>
      <c r="C47" s="52"/>
      <c r="D47" s="22"/>
      <c r="E47" s="22"/>
      <c r="F47" s="22"/>
      <c r="G47" s="348"/>
      <c r="H47" s="529"/>
      <c r="I47" s="277"/>
      <c r="K47" s="1">
        <v>16905</v>
      </c>
      <c r="L47" s="306" t="e">
        <f t="shared" si="7"/>
        <v>#DIV/0!</v>
      </c>
    </row>
    <row r="48" spans="2:12">
      <c r="B48" s="294"/>
      <c r="C48" s="52"/>
      <c r="D48" s="22"/>
      <c r="E48" s="22"/>
      <c r="F48" s="22"/>
      <c r="G48" s="348"/>
      <c r="H48" s="529"/>
      <c r="I48" s="277"/>
      <c r="K48" s="1">
        <v>10300</v>
      </c>
      <c r="L48" s="306" t="e">
        <f t="shared" si="7"/>
        <v>#DIV/0!</v>
      </c>
    </row>
    <row r="49" spans="2:9">
      <c r="B49" s="48"/>
      <c r="C49" s="52"/>
      <c r="D49" s="22"/>
      <c r="E49" s="22"/>
      <c r="F49" s="22"/>
      <c r="G49" s="348"/>
      <c r="H49" s="529"/>
      <c r="I49" s="277"/>
    </row>
    <row r="50" spans="2:9">
      <c r="B50" s="36"/>
      <c r="C50" s="1"/>
      <c r="D50" s="22"/>
      <c r="E50" s="22"/>
      <c r="F50" s="240"/>
      <c r="G50" s="348"/>
      <c r="H50" s="529" t="str">
        <f t="shared" si="0"/>
        <v/>
      </c>
    </row>
    <row r="51" spans="2:9" s="28" customFormat="1" ht="19.5" customHeight="1">
      <c r="B51" s="82" t="str">
        <f>$B$10</f>
        <v xml:space="preserve">SECTION ONE </v>
      </c>
      <c r="C51" s="29" t="s">
        <v>125</v>
      </c>
      <c r="D51" s="30"/>
      <c r="E51" s="30"/>
      <c r="F51" s="31"/>
      <c r="G51" s="547"/>
      <c r="H51" s="359">
        <f>SUM(H9:H50)</f>
        <v>0</v>
      </c>
      <c r="I51" s="236"/>
    </row>
  </sheetData>
  <sheetProtection algorithmName="SHA-512" hashValue="MOuXRJ6vjoa2lv4Q2DS+OoXwcx/8zhypDdTK/hVT8eMwnTMb8Gxs8ffMFXk+HxIyYeymjZw5/PUQcnBtsvTFlg==" saltValue="7LHyFO7dCMUSRmX0t3wRqA=="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7942-BB09-4F61-9AD8-A9707364D869}">
  <sheetPr>
    <tabColor rgb="FFFFFF00"/>
  </sheetPr>
  <dimension ref="B1:M49"/>
  <sheetViews>
    <sheetView view="pageBreakPreview"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3402</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3638</v>
      </c>
      <c r="C9" s="839"/>
      <c r="D9" s="839"/>
      <c r="E9" s="839"/>
      <c r="F9" s="839"/>
      <c r="G9" s="839"/>
      <c r="H9" s="840"/>
      <c r="I9" s="277"/>
    </row>
    <row r="10" spans="2:11" ht="25.5">
      <c r="B10" s="295" t="s">
        <v>3402</v>
      </c>
      <c r="C10" s="7" t="s">
        <v>3676</v>
      </c>
      <c r="D10" s="14"/>
      <c r="E10" s="14"/>
      <c r="F10" s="22"/>
      <c r="G10" s="348"/>
      <c r="H10" s="529" t="str">
        <f t="shared" ref="H10:H48" si="0">IF(D10="","",F10*G10)</f>
        <v/>
      </c>
      <c r="I10" s="277"/>
    </row>
    <row r="11" spans="2:11">
      <c r="B11" s="294"/>
      <c r="C11" s="52"/>
      <c r="D11" s="22"/>
      <c r="E11" s="22"/>
      <c r="F11" s="22"/>
      <c r="G11" s="348"/>
      <c r="H11" s="529" t="str">
        <f t="shared" si="0"/>
        <v/>
      </c>
      <c r="I11" s="277"/>
    </row>
    <row r="12" spans="2:11" ht="37.5" customHeight="1">
      <c r="B12" s="294" t="s">
        <v>3474</v>
      </c>
      <c r="C12" s="52" t="s">
        <v>3677</v>
      </c>
      <c r="D12" s="22" t="s">
        <v>85</v>
      </c>
      <c r="E12" s="22"/>
      <c r="F12" s="22">
        <v>9</v>
      </c>
      <c r="G12" s="624"/>
      <c r="H12" s="529">
        <f>G12*F12</f>
        <v>0</v>
      </c>
      <c r="I12" s="277"/>
    </row>
    <row r="13" spans="2:11">
      <c r="B13" s="294" t="s">
        <v>3476</v>
      </c>
      <c r="C13" s="52" t="s">
        <v>3678</v>
      </c>
      <c r="D13" s="22" t="s">
        <v>85</v>
      </c>
      <c r="E13" s="22"/>
      <c r="F13" s="22">
        <v>2</v>
      </c>
      <c r="G13" s="624"/>
      <c r="H13" s="529">
        <f t="shared" ref="H13:H16" si="1">G13*F13</f>
        <v>0</v>
      </c>
      <c r="I13" s="277"/>
    </row>
    <row r="14" spans="2:11">
      <c r="B14" s="294" t="s">
        <v>3478</v>
      </c>
      <c r="C14" s="52" t="s">
        <v>3679</v>
      </c>
      <c r="D14" s="22" t="s">
        <v>85</v>
      </c>
      <c r="E14" s="22"/>
      <c r="F14" s="22">
        <v>3</v>
      </c>
      <c r="G14" s="624"/>
      <c r="H14" s="529">
        <f t="shared" si="1"/>
        <v>0</v>
      </c>
      <c r="I14" s="277"/>
    </row>
    <row r="15" spans="2:11">
      <c r="B15" s="294" t="s">
        <v>3480</v>
      </c>
      <c r="C15" s="52" t="s">
        <v>3680</v>
      </c>
      <c r="D15" s="22" t="s">
        <v>85</v>
      </c>
      <c r="E15" s="22"/>
      <c r="F15" s="22">
        <v>2</v>
      </c>
      <c r="G15" s="624"/>
      <c r="H15" s="529">
        <f t="shared" si="1"/>
        <v>0</v>
      </c>
      <c r="I15" s="277"/>
    </row>
    <row r="16" spans="2:11">
      <c r="B16" s="294" t="s">
        <v>3482</v>
      </c>
      <c r="C16" s="52" t="s">
        <v>3681</v>
      </c>
      <c r="D16" s="22" t="s">
        <v>85</v>
      </c>
      <c r="E16" s="22"/>
      <c r="F16" s="22">
        <v>2</v>
      </c>
      <c r="G16" s="624"/>
      <c r="H16" s="529">
        <f t="shared" si="1"/>
        <v>0</v>
      </c>
      <c r="I16" s="277"/>
    </row>
    <row r="17" spans="2:9">
      <c r="B17" s="294"/>
      <c r="C17" s="52"/>
      <c r="D17" s="22"/>
      <c r="E17" s="22"/>
      <c r="F17" s="22"/>
      <c r="G17" s="348"/>
      <c r="H17" s="529"/>
      <c r="I17" s="277"/>
    </row>
    <row r="18" spans="2:9">
      <c r="B18" s="294"/>
      <c r="C18" s="52"/>
      <c r="D18" s="22"/>
      <c r="E18" s="22"/>
      <c r="F18" s="22"/>
      <c r="G18" s="348"/>
      <c r="H18" s="529"/>
      <c r="I18" s="277"/>
    </row>
    <row r="19" spans="2:9">
      <c r="B19" s="294"/>
      <c r="C19" s="52"/>
      <c r="D19" s="22"/>
      <c r="E19" s="22"/>
      <c r="F19" s="22"/>
      <c r="G19" s="348"/>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12">
      <c r="B33" s="294"/>
      <c r="C33" s="52"/>
      <c r="D33" s="22"/>
      <c r="E33" s="22"/>
      <c r="F33" s="22"/>
      <c r="G33" s="348"/>
      <c r="H33" s="529"/>
      <c r="I33" s="277"/>
    </row>
    <row r="34" spans="2:12">
      <c r="B34" s="294"/>
      <c r="C34" s="52"/>
      <c r="D34" s="22"/>
      <c r="E34" s="22"/>
      <c r="F34" s="22"/>
      <c r="G34" s="348"/>
      <c r="H34" s="529"/>
      <c r="I34" s="277"/>
    </row>
    <row r="35" spans="2:12">
      <c r="B35" s="294"/>
      <c r="C35" s="52"/>
      <c r="D35" s="22"/>
      <c r="E35" s="22"/>
      <c r="F35" s="22"/>
      <c r="G35" s="348"/>
      <c r="H35" s="529"/>
      <c r="I35" s="277"/>
    </row>
    <row r="36" spans="2:12">
      <c r="B36" s="294"/>
      <c r="C36" s="52"/>
      <c r="D36" s="22"/>
      <c r="E36" s="22"/>
      <c r="F36" s="22"/>
      <c r="G36" s="348"/>
      <c r="H36" s="529"/>
      <c r="I36" s="277"/>
    </row>
    <row r="37" spans="2:12">
      <c r="B37" s="294"/>
      <c r="C37" s="52"/>
      <c r="D37" s="22"/>
      <c r="E37" s="22"/>
      <c r="F37" s="22"/>
      <c r="G37" s="348"/>
      <c r="H37" s="529"/>
      <c r="I37" s="277"/>
      <c r="K37" s="306"/>
    </row>
    <row r="38" spans="2:12">
      <c r="B38" s="294"/>
      <c r="C38" s="52"/>
      <c r="D38" s="22"/>
      <c r="E38" s="22"/>
      <c r="F38" s="22"/>
      <c r="G38" s="348"/>
      <c r="H38" s="529"/>
      <c r="I38" s="277"/>
      <c r="K38" s="306"/>
    </row>
    <row r="39" spans="2:12">
      <c r="B39" s="294"/>
      <c r="C39" s="52"/>
      <c r="D39" s="22"/>
      <c r="E39" s="22"/>
      <c r="F39" s="22"/>
      <c r="G39" s="348"/>
      <c r="H39" s="529"/>
      <c r="I39" s="277"/>
      <c r="K39" s="306"/>
    </row>
    <row r="40" spans="2:12">
      <c r="B40" s="294"/>
      <c r="C40" s="52"/>
      <c r="D40" s="22"/>
      <c r="E40" s="22"/>
      <c r="F40" s="22"/>
      <c r="G40" s="348"/>
      <c r="H40" s="529"/>
      <c r="I40" s="277"/>
      <c r="K40" s="306"/>
    </row>
    <row r="41" spans="2:12">
      <c r="B41" s="294"/>
      <c r="C41" s="52"/>
      <c r="D41" s="22"/>
      <c r="E41" s="22"/>
      <c r="F41" s="22"/>
      <c r="G41" s="348"/>
      <c r="H41" s="529"/>
      <c r="I41" s="277"/>
    </row>
    <row r="42" spans="2:12">
      <c r="B42" s="294"/>
      <c r="C42" s="52"/>
      <c r="D42" s="22"/>
      <c r="E42" s="22"/>
      <c r="F42" s="22"/>
      <c r="G42" s="348"/>
      <c r="H42" s="529"/>
      <c r="I42" s="277"/>
      <c r="K42" s="1">
        <v>1725</v>
      </c>
      <c r="L42" s="306" t="e">
        <f>K42/F42</f>
        <v>#DIV/0!</v>
      </c>
    </row>
    <row r="43" spans="2:12">
      <c r="B43" s="294"/>
      <c r="C43" s="52"/>
      <c r="D43" s="22"/>
      <c r="E43" s="22"/>
      <c r="F43" s="22"/>
      <c r="G43" s="348"/>
      <c r="H43" s="529"/>
      <c r="I43" s="277"/>
      <c r="K43" s="1">
        <v>100.5</v>
      </c>
      <c r="L43" s="306" t="e">
        <f t="shared" ref="L43:L46" si="2">K43/F43</f>
        <v>#DIV/0!</v>
      </c>
    </row>
    <row r="44" spans="2:12">
      <c r="B44" s="294"/>
      <c r="C44" s="52"/>
      <c r="D44" s="22"/>
      <c r="E44" s="22"/>
      <c r="F44" s="22"/>
      <c r="G44" s="348"/>
      <c r="H44" s="529"/>
      <c r="I44" s="277"/>
      <c r="L44" s="306" t="e">
        <f t="shared" si="2"/>
        <v>#DIV/0!</v>
      </c>
    </row>
    <row r="45" spans="2:12">
      <c r="B45" s="294"/>
      <c r="C45" s="52"/>
      <c r="D45" s="22"/>
      <c r="E45" s="22"/>
      <c r="F45" s="22"/>
      <c r="G45" s="348"/>
      <c r="H45" s="529"/>
      <c r="I45" s="277"/>
      <c r="K45" s="1">
        <v>16905</v>
      </c>
      <c r="L45" s="306" t="e">
        <f t="shared" si="2"/>
        <v>#DIV/0!</v>
      </c>
    </row>
    <row r="46" spans="2:12">
      <c r="B46" s="294"/>
      <c r="C46" s="52"/>
      <c r="D46" s="22"/>
      <c r="E46" s="22"/>
      <c r="F46" s="22"/>
      <c r="G46" s="348"/>
      <c r="H46" s="529"/>
      <c r="I46" s="277"/>
      <c r="K46" s="1">
        <v>10300</v>
      </c>
      <c r="L46" s="306" t="e">
        <f t="shared" si="2"/>
        <v>#DIV/0!</v>
      </c>
    </row>
    <row r="47" spans="2:12">
      <c r="B47" s="48"/>
      <c r="C47" s="52"/>
      <c r="D47" s="22"/>
      <c r="E47" s="22"/>
      <c r="F47" s="22"/>
      <c r="G47" s="348"/>
      <c r="H47" s="529"/>
      <c r="I47" s="277"/>
    </row>
    <row r="48" spans="2:12">
      <c r="B48" s="36"/>
      <c r="C48" s="1"/>
      <c r="D48" s="22"/>
      <c r="E48" s="22"/>
      <c r="F48" s="240"/>
      <c r="G48" s="348"/>
      <c r="H48" s="529" t="str">
        <f t="shared" si="0"/>
        <v/>
      </c>
    </row>
    <row r="49" spans="2:9" s="28" customFormat="1" ht="19.5" customHeight="1">
      <c r="B49" s="82" t="str">
        <f>$B$10</f>
        <v xml:space="preserve">SECTION TWO </v>
      </c>
      <c r="C49" s="29" t="s">
        <v>125</v>
      </c>
      <c r="D49" s="30"/>
      <c r="E49" s="30"/>
      <c r="F49" s="31"/>
      <c r="G49" s="547"/>
      <c r="H49" s="359">
        <f>SUM(H9:H48)</f>
        <v>0</v>
      </c>
      <c r="I49" s="236"/>
    </row>
  </sheetData>
  <sheetProtection algorithmName="SHA-512" hashValue="1W11Qi+R3gl4q+6uMJEQZyaBmXjEog/o6rSNhBnEllN/YbksojlMGPgssdN/rdMQvsO/jkICUeErPVdhwOAuVA==" saltValue="Ibgx3t1rppj5QHC9e42WjQ=="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135B-834E-48E3-AD60-FC924F0AA957}">
  <sheetPr>
    <tabColor rgb="FFFFFF00"/>
  </sheetPr>
  <dimension ref="B1:M49"/>
  <sheetViews>
    <sheetView view="pageBreakPreview" topLeftCell="A4"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3423</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3638</v>
      </c>
      <c r="C9" s="839"/>
      <c r="D9" s="839"/>
      <c r="E9" s="839"/>
      <c r="F9" s="839"/>
      <c r="G9" s="839"/>
      <c r="H9" s="840"/>
      <c r="I9" s="277"/>
    </row>
    <row r="10" spans="2:11" ht="25.5">
      <c r="B10" s="295" t="s">
        <v>3423</v>
      </c>
      <c r="C10" s="7" t="s">
        <v>3682</v>
      </c>
      <c r="D10" s="14"/>
      <c r="E10" s="14"/>
      <c r="F10" s="22"/>
      <c r="G10" s="348"/>
      <c r="H10" s="529" t="str">
        <f t="shared" ref="H10:H48" si="0">IF(D10="","",F10*G10)</f>
        <v/>
      </c>
      <c r="I10" s="277"/>
    </row>
    <row r="11" spans="2:11">
      <c r="B11" s="294"/>
      <c r="C11" s="52"/>
      <c r="D11" s="22"/>
      <c r="E11" s="22"/>
      <c r="F11" s="22"/>
      <c r="G11" s="348"/>
      <c r="H11" s="529" t="str">
        <f t="shared" si="0"/>
        <v/>
      </c>
      <c r="I11" s="277"/>
    </row>
    <row r="12" spans="2:11" ht="37.5" customHeight="1">
      <c r="B12" s="294" t="s">
        <v>3683</v>
      </c>
      <c r="C12" s="52" t="s">
        <v>3360</v>
      </c>
      <c r="D12" s="22"/>
      <c r="E12" s="22"/>
      <c r="F12" s="22"/>
      <c r="G12" s="348"/>
      <c r="H12" s="529"/>
      <c r="I12" s="277"/>
    </row>
    <row r="13" spans="2:11" ht="38.25">
      <c r="B13" s="294" t="s">
        <v>3684</v>
      </c>
      <c r="C13" s="52" t="s">
        <v>3525</v>
      </c>
      <c r="D13" s="22" t="s">
        <v>347</v>
      </c>
      <c r="E13" s="22"/>
      <c r="F13" s="22">
        <v>1250</v>
      </c>
      <c r="G13" s="624"/>
      <c r="H13" s="529">
        <f t="shared" ref="H13:H14" si="1">G13*F13</f>
        <v>0</v>
      </c>
      <c r="I13" s="277" t="s">
        <v>3526</v>
      </c>
    </row>
    <row r="14" spans="2:11" ht="51">
      <c r="B14" s="294" t="s">
        <v>3685</v>
      </c>
      <c r="C14" s="52" t="s">
        <v>3518</v>
      </c>
      <c r="D14" s="22" t="s">
        <v>347</v>
      </c>
      <c r="E14" s="22"/>
      <c r="F14" s="22">
        <f>(5*1300)+(2260)</f>
        <v>8760</v>
      </c>
      <c r="G14" s="624"/>
      <c r="H14" s="529">
        <f t="shared" si="1"/>
        <v>0</v>
      </c>
      <c r="I14" s="277" t="s">
        <v>3526</v>
      </c>
    </row>
    <row r="15" spans="2:11">
      <c r="B15" s="294"/>
      <c r="C15" s="52"/>
      <c r="D15" s="22"/>
      <c r="E15" s="22"/>
      <c r="F15" s="22"/>
      <c r="G15" s="348"/>
      <c r="H15" s="529"/>
      <c r="I15" s="277"/>
    </row>
    <row r="16" spans="2:11">
      <c r="B16" s="294"/>
      <c r="C16" s="52"/>
      <c r="D16" s="22"/>
      <c r="E16" s="22"/>
      <c r="F16" s="22"/>
      <c r="G16" s="348"/>
      <c r="H16" s="529"/>
      <c r="I16" s="277"/>
    </row>
    <row r="17" spans="2:9">
      <c r="B17" s="294"/>
      <c r="C17" s="52"/>
      <c r="D17" s="22"/>
      <c r="E17" s="22"/>
      <c r="F17" s="22"/>
      <c r="G17" s="348"/>
      <c r="H17" s="529"/>
      <c r="I17" s="277"/>
    </row>
    <row r="18" spans="2:9">
      <c r="B18" s="294"/>
      <c r="C18" s="52"/>
      <c r="D18" s="22"/>
      <c r="E18" s="22"/>
      <c r="F18" s="22"/>
      <c r="G18" s="348"/>
      <c r="H18" s="529"/>
      <c r="I18" s="277"/>
    </row>
    <row r="19" spans="2:9">
      <c r="B19" s="294"/>
      <c r="C19" s="52"/>
      <c r="D19" s="22"/>
      <c r="E19" s="22"/>
      <c r="F19" s="22"/>
      <c r="G19" s="348"/>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12">
      <c r="B33" s="294"/>
      <c r="C33" s="52"/>
      <c r="D33" s="22"/>
      <c r="E33" s="22"/>
      <c r="F33" s="22"/>
      <c r="G33" s="348"/>
      <c r="H33" s="529"/>
      <c r="I33" s="277"/>
    </row>
    <row r="34" spans="2:12">
      <c r="B34" s="294"/>
      <c r="C34" s="52"/>
      <c r="D34" s="22"/>
      <c r="E34" s="22"/>
      <c r="F34" s="22"/>
      <c r="G34" s="348"/>
      <c r="H34" s="529"/>
      <c r="I34" s="277"/>
    </row>
    <row r="35" spans="2:12">
      <c r="B35" s="294"/>
      <c r="C35" s="52"/>
      <c r="D35" s="22"/>
      <c r="E35" s="22"/>
      <c r="F35" s="22"/>
      <c r="G35" s="348"/>
      <c r="H35" s="529"/>
      <c r="I35" s="277"/>
    </row>
    <row r="36" spans="2:12">
      <c r="B36" s="294"/>
      <c r="C36" s="52"/>
      <c r="D36" s="22"/>
      <c r="E36" s="22"/>
      <c r="F36" s="22"/>
      <c r="G36" s="348"/>
      <c r="H36" s="529"/>
      <c r="I36" s="277"/>
    </row>
    <row r="37" spans="2:12">
      <c r="B37" s="294"/>
      <c r="C37" s="52"/>
      <c r="D37" s="22"/>
      <c r="E37" s="22"/>
      <c r="F37" s="22"/>
      <c r="G37" s="348"/>
      <c r="H37" s="529"/>
      <c r="I37" s="277"/>
      <c r="K37" s="306"/>
    </row>
    <row r="38" spans="2:12">
      <c r="B38" s="294"/>
      <c r="C38" s="52"/>
      <c r="D38" s="22"/>
      <c r="E38" s="22"/>
      <c r="F38" s="22"/>
      <c r="G38" s="348"/>
      <c r="H38" s="529"/>
      <c r="I38" s="277"/>
      <c r="K38" s="306"/>
    </row>
    <row r="39" spans="2:12">
      <c r="B39" s="294"/>
      <c r="C39" s="52"/>
      <c r="D39" s="22"/>
      <c r="E39" s="22"/>
      <c r="F39" s="22"/>
      <c r="G39" s="348"/>
      <c r="H39" s="529"/>
      <c r="I39" s="277"/>
      <c r="K39" s="306"/>
    </row>
    <row r="40" spans="2:12">
      <c r="B40" s="294"/>
      <c r="C40" s="52"/>
      <c r="D40" s="22"/>
      <c r="E40" s="22"/>
      <c r="F40" s="22"/>
      <c r="G40" s="348"/>
      <c r="H40" s="529"/>
      <c r="I40" s="277"/>
      <c r="K40" s="306"/>
    </row>
    <row r="41" spans="2:12">
      <c r="B41" s="294"/>
      <c r="C41" s="52"/>
      <c r="D41" s="22"/>
      <c r="E41" s="22"/>
      <c r="F41" s="22"/>
      <c r="G41" s="348"/>
      <c r="H41" s="529"/>
      <c r="I41" s="277"/>
    </row>
    <row r="42" spans="2:12">
      <c r="B42" s="294"/>
      <c r="C42" s="52"/>
      <c r="D42" s="22"/>
      <c r="E42" s="22"/>
      <c r="F42" s="22"/>
      <c r="G42" s="348"/>
      <c r="H42" s="529"/>
      <c r="I42" s="277"/>
      <c r="K42" s="1">
        <v>1725</v>
      </c>
      <c r="L42" s="306" t="e">
        <f>K42/F42</f>
        <v>#DIV/0!</v>
      </c>
    </row>
    <row r="43" spans="2:12">
      <c r="B43" s="294"/>
      <c r="C43" s="52"/>
      <c r="D43" s="22"/>
      <c r="E43" s="22"/>
      <c r="F43" s="22"/>
      <c r="G43" s="348"/>
      <c r="H43" s="529"/>
      <c r="I43" s="277"/>
      <c r="K43" s="1">
        <v>100.5</v>
      </c>
      <c r="L43" s="306" t="e">
        <f t="shared" ref="L43:L46" si="2">K43/F43</f>
        <v>#DIV/0!</v>
      </c>
    </row>
    <row r="44" spans="2:12">
      <c r="B44" s="294"/>
      <c r="C44" s="52"/>
      <c r="D44" s="22"/>
      <c r="E44" s="22"/>
      <c r="F44" s="22"/>
      <c r="G44" s="348"/>
      <c r="H44" s="529"/>
      <c r="I44" s="277"/>
      <c r="L44" s="306" t="e">
        <f t="shared" si="2"/>
        <v>#DIV/0!</v>
      </c>
    </row>
    <row r="45" spans="2:12">
      <c r="B45" s="294"/>
      <c r="C45" s="52"/>
      <c r="D45" s="22"/>
      <c r="E45" s="22"/>
      <c r="F45" s="22"/>
      <c r="G45" s="348"/>
      <c r="H45" s="529"/>
      <c r="I45" s="277"/>
      <c r="K45" s="1">
        <v>16905</v>
      </c>
      <c r="L45" s="306" t="e">
        <f t="shared" si="2"/>
        <v>#DIV/0!</v>
      </c>
    </row>
    <row r="46" spans="2:12">
      <c r="B46" s="294"/>
      <c r="C46" s="52"/>
      <c r="D46" s="22"/>
      <c r="E46" s="22"/>
      <c r="F46" s="22"/>
      <c r="G46" s="348"/>
      <c r="H46" s="529"/>
      <c r="I46" s="277"/>
      <c r="K46" s="1">
        <v>10300</v>
      </c>
      <c r="L46" s="306" t="e">
        <f t="shared" si="2"/>
        <v>#DIV/0!</v>
      </c>
    </row>
    <row r="47" spans="2:12">
      <c r="B47" s="48"/>
      <c r="C47" s="52"/>
      <c r="D47" s="22"/>
      <c r="E47" s="22"/>
      <c r="F47" s="22"/>
      <c r="G47" s="348"/>
      <c r="H47" s="529"/>
      <c r="I47" s="277"/>
    </row>
    <row r="48" spans="2:12">
      <c r="B48" s="36"/>
      <c r="C48" s="1"/>
      <c r="D48" s="22"/>
      <c r="E48" s="22"/>
      <c r="F48" s="240"/>
      <c r="G48" s="348"/>
      <c r="H48" s="529" t="str">
        <f t="shared" si="0"/>
        <v/>
      </c>
    </row>
    <row r="49" spans="2:9" s="28" customFormat="1" ht="19.5" customHeight="1">
      <c r="B49" s="82" t="str">
        <f>$B$10</f>
        <v xml:space="preserve">SECTION THREE </v>
      </c>
      <c r="C49" s="29" t="s">
        <v>125</v>
      </c>
      <c r="D49" s="30"/>
      <c r="E49" s="30"/>
      <c r="F49" s="31"/>
      <c r="G49" s="547"/>
      <c r="H49" s="359">
        <f>SUM(H9:H48)</f>
        <v>0</v>
      </c>
      <c r="I49" s="236"/>
    </row>
  </sheetData>
  <sheetProtection algorithmName="SHA-512" hashValue="gjCB/iEhpoOb4UR97/8+X0yTxxjYweBuIWoCDtlGzwUEIyGCAn6/Fw/AATXt8coHd7kYx76Fw2DnC5wJuMjE5g==" saltValue="ptyLKIcCf3ZP/qJRYS7LIQ=="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265B-AE34-4801-B3C2-3E8327CE83D6}">
  <sheetPr>
    <tabColor rgb="FFFFFF00"/>
  </sheetPr>
  <dimension ref="B1:M49"/>
  <sheetViews>
    <sheetView view="pageBreakPreview"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3469</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3638</v>
      </c>
      <c r="C9" s="839"/>
      <c r="D9" s="839"/>
      <c r="E9" s="839"/>
      <c r="F9" s="839"/>
      <c r="G9" s="839"/>
      <c r="H9" s="840"/>
      <c r="I9" s="277"/>
    </row>
    <row r="10" spans="2:11" ht="25.5">
      <c r="B10" s="295" t="s">
        <v>3469</v>
      </c>
      <c r="C10" s="7" t="s">
        <v>3686</v>
      </c>
      <c r="D10" s="14"/>
      <c r="E10" s="14"/>
      <c r="F10" s="22"/>
      <c r="G10" s="348"/>
      <c r="H10" s="529" t="str">
        <f t="shared" ref="H10:H48" si="0">IF(D10="","",F10*G10)</f>
        <v/>
      </c>
      <c r="I10" s="277"/>
    </row>
    <row r="11" spans="2:11">
      <c r="B11" s="294"/>
      <c r="C11" s="52"/>
      <c r="D11" s="22"/>
      <c r="E11" s="22"/>
      <c r="F11" s="22"/>
      <c r="G11" s="348"/>
      <c r="H11" s="529" t="str">
        <f t="shared" si="0"/>
        <v/>
      </c>
      <c r="I11" s="277"/>
    </row>
    <row r="12" spans="2:11" ht="37.5" customHeight="1">
      <c r="B12" s="294" t="s">
        <v>3566</v>
      </c>
      <c r="C12" s="52" t="s">
        <v>3567</v>
      </c>
      <c r="D12" s="22" t="s">
        <v>542</v>
      </c>
      <c r="E12" s="22"/>
      <c r="F12" s="22">
        <v>1</v>
      </c>
      <c r="G12" s="624"/>
      <c r="H12" s="529">
        <f>G12*F12</f>
        <v>0</v>
      </c>
      <c r="I12" s="277"/>
    </row>
    <row r="13" spans="2:11" ht="25.5">
      <c r="B13" s="294" t="s">
        <v>3568</v>
      </c>
      <c r="C13" s="52" t="s">
        <v>3569</v>
      </c>
      <c r="D13" s="22" t="s">
        <v>542</v>
      </c>
      <c r="E13" s="22"/>
      <c r="F13" s="22">
        <v>1</v>
      </c>
      <c r="G13" s="624"/>
      <c r="H13" s="529">
        <f t="shared" ref="H13:H16" si="1">G13*F13</f>
        <v>0</v>
      </c>
      <c r="I13" s="277"/>
    </row>
    <row r="14" spans="2:11">
      <c r="B14" s="294" t="s">
        <v>3570</v>
      </c>
      <c r="C14" s="52" t="s">
        <v>3573</v>
      </c>
      <c r="D14" s="22" t="s">
        <v>85</v>
      </c>
      <c r="E14" s="22"/>
      <c r="F14" s="22">
        <v>10</v>
      </c>
      <c r="G14" s="624"/>
      <c r="H14" s="529">
        <f t="shared" si="1"/>
        <v>0</v>
      </c>
      <c r="I14" s="277"/>
    </row>
    <row r="15" spans="2:11" ht="25.5">
      <c r="B15" s="294" t="s">
        <v>3572</v>
      </c>
      <c r="C15" s="52" t="s">
        <v>3687</v>
      </c>
      <c r="D15" s="22" t="s">
        <v>347</v>
      </c>
      <c r="E15" s="22"/>
      <c r="F15" s="22">
        <v>1760</v>
      </c>
      <c r="G15" s="624"/>
      <c r="H15" s="529">
        <f t="shared" si="1"/>
        <v>0</v>
      </c>
      <c r="I15" s="277"/>
    </row>
    <row r="16" spans="2:11" ht="25.5">
      <c r="B16" s="294" t="s">
        <v>3574</v>
      </c>
      <c r="C16" s="52" t="s">
        <v>3688</v>
      </c>
      <c r="D16" s="22" t="s">
        <v>85</v>
      </c>
      <c r="E16" s="22"/>
      <c r="F16" s="22">
        <v>49</v>
      </c>
      <c r="G16" s="624"/>
      <c r="H16" s="529">
        <f t="shared" si="1"/>
        <v>0</v>
      </c>
      <c r="I16" s="277"/>
    </row>
    <row r="17" spans="2:9">
      <c r="B17" s="294"/>
      <c r="C17" s="52"/>
      <c r="D17" s="22"/>
      <c r="E17" s="22"/>
      <c r="F17" s="22"/>
      <c r="G17" s="348"/>
      <c r="H17" s="529"/>
      <c r="I17" s="277"/>
    </row>
    <row r="18" spans="2:9">
      <c r="B18" s="294"/>
      <c r="C18" s="52"/>
      <c r="D18" s="22"/>
      <c r="E18" s="22"/>
      <c r="F18" s="22"/>
      <c r="G18" s="348"/>
      <c r="H18" s="529"/>
      <c r="I18" s="277"/>
    </row>
    <row r="19" spans="2:9">
      <c r="B19" s="294"/>
      <c r="C19" s="52"/>
      <c r="D19" s="22"/>
      <c r="E19" s="22"/>
      <c r="F19" s="22"/>
      <c r="G19" s="348"/>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12">
      <c r="B33" s="294"/>
      <c r="C33" s="52"/>
      <c r="D33" s="22"/>
      <c r="E33" s="22"/>
      <c r="F33" s="22"/>
      <c r="G33" s="348"/>
      <c r="H33" s="529"/>
      <c r="I33" s="277"/>
    </row>
    <row r="34" spans="2:12">
      <c r="B34" s="294"/>
      <c r="C34" s="52"/>
      <c r="D34" s="22"/>
      <c r="E34" s="22"/>
      <c r="F34" s="22"/>
      <c r="G34" s="348"/>
      <c r="H34" s="529"/>
      <c r="I34" s="277"/>
    </row>
    <row r="35" spans="2:12">
      <c r="B35" s="294"/>
      <c r="C35" s="52"/>
      <c r="D35" s="22"/>
      <c r="E35" s="22"/>
      <c r="F35" s="22"/>
      <c r="G35" s="348"/>
      <c r="H35" s="529"/>
      <c r="I35" s="277"/>
    </row>
    <row r="36" spans="2:12">
      <c r="B36" s="294"/>
      <c r="C36" s="52"/>
      <c r="D36" s="22"/>
      <c r="E36" s="22"/>
      <c r="F36" s="22"/>
      <c r="G36" s="348"/>
      <c r="H36" s="529"/>
      <c r="I36" s="277"/>
    </row>
    <row r="37" spans="2:12">
      <c r="B37" s="294"/>
      <c r="C37" s="52"/>
      <c r="D37" s="22"/>
      <c r="E37" s="22"/>
      <c r="F37" s="22"/>
      <c r="G37" s="348"/>
      <c r="H37" s="529"/>
      <c r="I37" s="277"/>
      <c r="K37" s="306"/>
    </row>
    <row r="38" spans="2:12">
      <c r="B38" s="294"/>
      <c r="C38" s="52"/>
      <c r="D38" s="22"/>
      <c r="E38" s="22"/>
      <c r="F38" s="22"/>
      <c r="G38" s="348"/>
      <c r="H38" s="529"/>
      <c r="I38" s="277"/>
      <c r="K38" s="306"/>
    </row>
    <row r="39" spans="2:12">
      <c r="B39" s="294"/>
      <c r="C39" s="52"/>
      <c r="D39" s="22"/>
      <c r="E39" s="22"/>
      <c r="F39" s="22"/>
      <c r="G39" s="348"/>
      <c r="H39" s="529"/>
      <c r="I39" s="277"/>
      <c r="K39" s="306"/>
    </row>
    <row r="40" spans="2:12">
      <c r="B40" s="294"/>
      <c r="C40" s="52"/>
      <c r="D40" s="22"/>
      <c r="E40" s="22"/>
      <c r="F40" s="22"/>
      <c r="G40" s="348"/>
      <c r="H40" s="529"/>
      <c r="I40" s="277"/>
      <c r="K40" s="306"/>
    </row>
    <row r="41" spans="2:12">
      <c r="B41" s="294"/>
      <c r="C41" s="52"/>
      <c r="D41" s="22"/>
      <c r="E41" s="22"/>
      <c r="F41" s="22"/>
      <c r="G41" s="348"/>
      <c r="H41" s="529"/>
      <c r="I41" s="277"/>
    </row>
    <row r="42" spans="2:12">
      <c r="B42" s="294"/>
      <c r="C42" s="52"/>
      <c r="D42" s="22"/>
      <c r="E42" s="22"/>
      <c r="F42" s="22"/>
      <c r="G42" s="348"/>
      <c r="H42" s="529"/>
      <c r="I42" s="277"/>
      <c r="K42" s="1">
        <v>1725</v>
      </c>
      <c r="L42" s="306" t="e">
        <f>K42/F42</f>
        <v>#DIV/0!</v>
      </c>
    </row>
    <row r="43" spans="2:12">
      <c r="B43" s="294"/>
      <c r="C43" s="52"/>
      <c r="D43" s="22"/>
      <c r="E43" s="22"/>
      <c r="F43" s="22"/>
      <c r="G43" s="348"/>
      <c r="H43" s="529"/>
      <c r="I43" s="277"/>
      <c r="K43" s="1">
        <v>100.5</v>
      </c>
      <c r="L43" s="306" t="e">
        <f t="shared" ref="L43:L46" si="2">K43/F43</f>
        <v>#DIV/0!</v>
      </c>
    </row>
    <row r="44" spans="2:12">
      <c r="B44" s="294"/>
      <c r="C44" s="52"/>
      <c r="D44" s="22"/>
      <c r="E44" s="22"/>
      <c r="F44" s="22"/>
      <c r="G44" s="348"/>
      <c r="H44" s="529"/>
      <c r="I44" s="277"/>
      <c r="L44" s="306" t="e">
        <f t="shared" si="2"/>
        <v>#DIV/0!</v>
      </c>
    </row>
    <row r="45" spans="2:12">
      <c r="B45" s="294"/>
      <c r="C45" s="52"/>
      <c r="D45" s="22"/>
      <c r="E45" s="22"/>
      <c r="F45" s="22"/>
      <c r="G45" s="348"/>
      <c r="H45" s="529"/>
      <c r="I45" s="277"/>
      <c r="K45" s="1">
        <v>16905</v>
      </c>
      <c r="L45" s="306" t="e">
        <f t="shared" si="2"/>
        <v>#DIV/0!</v>
      </c>
    </row>
    <row r="46" spans="2:12">
      <c r="B46" s="294"/>
      <c r="C46" s="52"/>
      <c r="D46" s="22"/>
      <c r="E46" s="22"/>
      <c r="F46" s="22"/>
      <c r="G46" s="348"/>
      <c r="H46" s="529"/>
      <c r="I46" s="277"/>
      <c r="K46" s="1">
        <v>10300</v>
      </c>
      <c r="L46" s="306" t="e">
        <f t="shared" si="2"/>
        <v>#DIV/0!</v>
      </c>
    </row>
    <row r="47" spans="2:12">
      <c r="B47" s="48"/>
      <c r="C47" s="52"/>
      <c r="D47" s="22"/>
      <c r="E47" s="22"/>
      <c r="F47" s="22"/>
      <c r="G47" s="348"/>
      <c r="H47" s="529"/>
      <c r="I47" s="277"/>
    </row>
    <row r="48" spans="2:12">
      <c r="B48" s="36"/>
      <c r="C48" s="1"/>
      <c r="D48" s="22"/>
      <c r="E48" s="22"/>
      <c r="F48" s="240"/>
      <c r="G48" s="348"/>
      <c r="H48" s="529" t="str">
        <f t="shared" si="0"/>
        <v/>
      </c>
    </row>
    <row r="49" spans="2:9" s="28" customFormat="1" ht="19.5" customHeight="1">
      <c r="B49" s="82" t="str">
        <f>$B$10</f>
        <v xml:space="preserve">SECTION FOUR </v>
      </c>
      <c r="C49" s="29" t="s">
        <v>125</v>
      </c>
      <c r="D49" s="30"/>
      <c r="E49" s="30"/>
      <c r="F49" s="31"/>
      <c r="G49" s="547"/>
      <c r="H49" s="359">
        <f>SUM(H9:H48)</f>
        <v>0</v>
      </c>
      <c r="I49" s="236"/>
    </row>
  </sheetData>
  <sheetProtection algorithmName="SHA-512" hashValue="vZQn14t7/KkFQfKDrgbwYuLV2X0dWa/sc29qzqudoXCrYJXSP7yq0IlHKtJqm2vxi5+R2b0YCkC9FPjkHragFQ==" saltValue="hRppmy4rZdKiAopihG6yIQ=="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293F-BE9D-4C7D-BF00-1EA82D0679A0}">
  <sheetPr>
    <tabColor rgb="FFFFFF00"/>
  </sheetPr>
  <dimension ref="B1:M49"/>
  <sheetViews>
    <sheetView view="pageBreakPreview" zoomScaleNormal="70" zoomScaleSheetLayoutView="100" workbookViewId="0">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338" customWidth="1"/>
    <col min="8" max="8" width="15.7109375" style="4" customWidth="1"/>
    <col min="9" max="9" width="37.7109375" style="5" hidden="1" customWidth="1"/>
    <col min="10" max="10" width="0" style="1" hidden="1" customWidth="1"/>
    <col min="11" max="11" width="19.140625" style="1" hidden="1" customWidth="1"/>
    <col min="12" max="12" width="12.5703125" style="1" hidden="1" customWidth="1"/>
    <col min="13" max="13" width="9" style="1" hidden="1" customWidth="1"/>
    <col min="14" max="36" width="0" style="1" hidden="1" customWidth="1"/>
    <col min="37" max="16384" width="6.85546875" style="1"/>
  </cols>
  <sheetData>
    <row r="1" spans="2:11">
      <c r="B1" s="2" t="str">
        <f>Client1</f>
        <v>AIRPORTS COMPANY - SOUTH AFRICA</v>
      </c>
      <c r="F1" s="676" t="str">
        <f>"Contract No. "&amp;ContractNo</f>
        <v>Contract No. KSIA7806/2025/RFP</v>
      </c>
      <c r="G1" s="676"/>
      <c r="H1" s="676"/>
    </row>
    <row r="2" spans="2:11">
      <c r="B2" s="2" t="str">
        <f>Client2</f>
        <v>ACSA</v>
      </c>
    </row>
    <row r="3" spans="2:11">
      <c r="B3" s="71"/>
      <c r="C3" s="71"/>
      <c r="D3" s="72"/>
      <c r="E3" s="72"/>
      <c r="F3" s="72"/>
      <c r="G3" s="545"/>
      <c r="H3" s="72"/>
    </row>
    <row r="4" spans="2:11">
      <c r="B4" s="695"/>
      <c r="C4" s="696"/>
      <c r="D4" s="696"/>
      <c r="E4" s="696"/>
      <c r="F4" s="696"/>
      <c r="G4" s="696"/>
      <c r="H4" s="841" t="s">
        <v>3492</v>
      </c>
      <c r="I4" s="676" t="s">
        <v>3330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76"/>
      <c r="I5" s="676"/>
    </row>
    <row r="6" spans="2:11" ht="12.75" customHeight="1">
      <c r="B6" s="690"/>
      <c r="C6" s="691"/>
      <c r="D6" s="691"/>
      <c r="E6" s="691"/>
      <c r="F6" s="691"/>
      <c r="G6" s="691"/>
      <c r="H6" s="676"/>
      <c r="I6" s="676"/>
    </row>
    <row r="7" spans="2:11" ht="14.25" customHeight="1">
      <c r="B7" s="692"/>
      <c r="C7" s="693"/>
      <c r="D7" s="693"/>
      <c r="E7" s="693"/>
      <c r="F7" s="693"/>
      <c r="G7" s="693"/>
      <c r="H7" s="677"/>
      <c r="I7" s="676"/>
    </row>
    <row r="8" spans="2:11" s="9" customFormat="1" ht="24.95" customHeight="1">
      <c r="B8" s="10" t="s">
        <v>11</v>
      </c>
      <c r="C8" s="11" t="s">
        <v>12</v>
      </c>
      <c r="D8" s="11" t="s">
        <v>13</v>
      </c>
      <c r="E8" s="11" t="s">
        <v>14</v>
      </c>
      <c r="F8" s="11" t="s">
        <v>15</v>
      </c>
      <c r="G8" s="353" t="s">
        <v>16</v>
      </c>
      <c r="H8" s="11" t="s">
        <v>17</v>
      </c>
      <c r="I8" s="12"/>
      <c r="K8" s="546"/>
    </row>
    <row r="9" spans="2:11">
      <c r="B9" s="838" t="s">
        <v>3638</v>
      </c>
      <c r="C9" s="839"/>
      <c r="D9" s="839"/>
      <c r="E9" s="839"/>
      <c r="F9" s="839"/>
      <c r="G9" s="839"/>
      <c r="H9" s="840"/>
      <c r="I9" s="277"/>
    </row>
    <row r="10" spans="2:11" ht="25.5">
      <c r="B10" s="295" t="s">
        <v>3492</v>
      </c>
      <c r="C10" s="7" t="s">
        <v>3689</v>
      </c>
      <c r="D10" s="14"/>
      <c r="E10" s="14"/>
      <c r="F10" s="22"/>
      <c r="G10" s="348"/>
      <c r="H10" s="529" t="str">
        <f t="shared" ref="H10:H48" si="0">IF(D10="","",F10*G10)</f>
        <v/>
      </c>
      <c r="I10" s="277"/>
    </row>
    <row r="11" spans="2:11">
      <c r="B11" s="294"/>
      <c r="C11" s="52"/>
      <c r="D11" s="22"/>
      <c r="E11" s="22"/>
      <c r="F11" s="22"/>
      <c r="G11" s="348"/>
      <c r="H11" s="529" t="str">
        <f t="shared" si="0"/>
        <v/>
      </c>
      <c r="I11" s="277"/>
    </row>
    <row r="12" spans="2:11" ht="37.5" customHeight="1">
      <c r="B12" s="294" t="s">
        <v>3609</v>
      </c>
      <c r="C12" s="52" t="s">
        <v>3610</v>
      </c>
      <c r="D12" s="22"/>
      <c r="E12" s="22"/>
      <c r="F12" s="22"/>
      <c r="G12" s="348"/>
      <c r="H12" s="529"/>
      <c r="I12" s="277"/>
    </row>
    <row r="13" spans="2:11">
      <c r="B13" s="294" t="s">
        <v>3611</v>
      </c>
      <c r="C13" s="52" t="s">
        <v>3612</v>
      </c>
      <c r="D13" s="22"/>
      <c r="E13" s="22"/>
      <c r="F13" s="22"/>
      <c r="G13" s="348"/>
      <c r="H13" s="529"/>
      <c r="I13" s="277"/>
    </row>
    <row r="14" spans="2:11" ht="89.25">
      <c r="B14" s="294" t="s">
        <v>3613</v>
      </c>
      <c r="C14" s="52" t="s">
        <v>3614</v>
      </c>
      <c r="D14" s="22" t="s">
        <v>347</v>
      </c>
      <c r="E14" s="22"/>
      <c r="F14" s="22">
        <v>9</v>
      </c>
      <c r="G14" s="624"/>
      <c r="H14" s="529">
        <f>G14*F14</f>
        <v>0</v>
      </c>
      <c r="I14" s="277"/>
    </row>
    <row r="15" spans="2:11">
      <c r="B15" s="294"/>
      <c r="C15" s="52"/>
      <c r="D15" s="22"/>
      <c r="E15" s="22"/>
      <c r="F15" s="22"/>
      <c r="G15" s="348"/>
      <c r="H15" s="529"/>
      <c r="I15" s="277"/>
    </row>
    <row r="16" spans="2:11">
      <c r="B16" s="294"/>
      <c r="C16" s="52"/>
      <c r="D16" s="22"/>
      <c r="E16" s="22"/>
      <c r="F16" s="22"/>
      <c r="G16" s="348"/>
      <c r="H16" s="529"/>
      <c r="I16" s="277"/>
    </row>
    <row r="17" spans="2:9">
      <c r="B17" s="294"/>
      <c r="C17" s="52"/>
      <c r="D17" s="22"/>
      <c r="E17" s="22"/>
      <c r="F17" s="22"/>
      <c r="G17" s="348"/>
      <c r="H17" s="529"/>
      <c r="I17" s="277"/>
    </row>
    <row r="18" spans="2:9">
      <c r="B18" s="294"/>
      <c r="C18" s="52"/>
      <c r="D18" s="22"/>
      <c r="E18" s="22"/>
      <c r="F18" s="22"/>
      <c r="G18" s="348"/>
      <c r="H18" s="529"/>
      <c r="I18" s="277"/>
    </row>
    <row r="19" spans="2:9">
      <c r="B19" s="294"/>
      <c r="C19" s="52"/>
      <c r="D19" s="22"/>
      <c r="E19" s="22"/>
      <c r="F19" s="22"/>
      <c r="G19" s="348"/>
      <c r="H19" s="529"/>
      <c r="I19" s="277"/>
    </row>
    <row r="20" spans="2:9">
      <c r="B20" s="294"/>
      <c r="C20" s="52"/>
      <c r="D20" s="22"/>
      <c r="E20" s="22"/>
      <c r="F20" s="22"/>
      <c r="G20" s="348"/>
      <c r="H20" s="529"/>
      <c r="I20" s="277"/>
    </row>
    <row r="21" spans="2:9">
      <c r="B21" s="294"/>
      <c r="C21" s="52"/>
      <c r="D21" s="22"/>
      <c r="E21" s="22"/>
      <c r="F21" s="22"/>
      <c r="G21" s="348"/>
      <c r="H21" s="529"/>
      <c r="I21" s="277"/>
    </row>
    <row r="22" spans="2:9">
      <c r="B22" s="294"/>
      <c r="C22" s="52"/>
      <c r="D22" s="22"/>
      <c r="E22" s="22"/>
      <c r="F22" s="22"/>
      <c r="G22" s="348"/>
      <c r="H22" s="529"/>
      <c r="I22" s="277"/>
    </row>
    <row r="23" spans="2:9">
      <c r="B23" s="294"/>
      <c r="C23" s="52"/>
      <c r="D23" s="22"/>
      <c r="E23" s="22"/>
      <c r="F23" s="22"/>
      <c r="G23" s="348"/>
      <c r="H23" s="529"/>
      <c r="I23" s="277"/>
    </row>
    <row r="24" spans="2:9">
      <c r="B24" s="294"/>
      <c r="C24" s="52"/>
      <c r="D24" s="22"/>
      <c r="E24" s="22"/>
      <c r="F24" s="22"/>
      <c r="G24" s="348"/>
      <c r="H24" s="529"/>
      <c r="I24" s="277"/>
    </row>
    <row r="25" spans="2:9">
      <c r="B25" s="294"/>
      <c r="C25" s="52"/>
      <c r="D25" s="22"/>
      <c r="E25" s="22"/>
      <c r="F25" s="22"/>
      <c r="G25" s="348"/>
      <c r="H25" s="529"/>
      <c r="I25" s="277"/>
    </row>
    <row r="26" spans="2:9">
      <c r="B26" s="294"/>
      <c r="C26" s="52"/>
      <c r="D26" s="22"/>
      <c r="E26" s="22"/>
      <c r="F26" s="22"/>
      <c r="G26" s="348"/>
      <c r="H26" s="529"/>
      <c r="I26" s="277"/>
    </row>
    <row r="27" spans="2:9">
      <c r="B27" s="294"/>
      <c r="C27" s="52"/>
      <c r="D27" s="22"/>
      <c r="E27" s="22"/>
      <c r="F27" s="22"/>
      <c r="G27" s="348"/>
      <c r="H27" s="529"/>
      <c r="I27" s="277"/>
    </row>
    <row r="28" spans="2:9">
      <c r="B28" s="294"/>
      <c r="C28" s="52"/>
      <c r="D28" s="22"/>
      <c r="E28" s="22"/>
      <c r="F28" s="22"/>
      <c r="G28" s="348"/>
      <c r="H28" s="529"/>
      <c r="I28" s="277"/>
    </row>
    <row r="29" spans="2:9">
      <c r="B29" s="294"/>
      <c r="C29" s="52"/>
      <c r="D29" s="22"/>
      <c r="E29" s="22"/>
      <c r="F29" s="22"/>
      <c r="G29" s="348"/>
      <c r="H29" s="529"/>
      <c r="I29" s="277"/>
    </row>
    <row r="30" spans="2:9">
      <c r="B30" s="294"/>
      <c r="C30" s="52"/>
      <c r="D30" s="22"/>
      <c r="E30" s="22"/>
      <c r="F30" s="22"/>
      <c r="G30" s="348"/>
      <c r="H30" s="529"/>
      <c r="I30" s="277"/>
    </row>
    <row r="31" spans="2:9">
      <c r="B31" s="294"/>
      <c r="C31" s="52"/>
      <c r="D31" s="22"/>
      <c r="E31" s="22"/>
      <c r="F31" s="22"/>
      <c r="G31" s="348"/>
      <c r="H31" s="529"/>
      <c r="I31" s="277"/>
    </row>
    <row r="32" spans="2:9">
      <c r="B32" s="294"/>
      <c r="C32" s="52"/>
      <c r="D32" s="22"/>
      <c r="E32" s="22"/>
      <c r="F32" s="22"/>
      <c r="G32" s="348"/>
      <c r="H32" s="529"/>
      <c r="I32" s="277"/>
    </row>
    <row r="33" spans="2:12">
      <c r="B33" s="294"/>
      <c r="C33" s="52"/>
      <c r="D33" s="22"/>
      <c r="E33" s="22"/>
      <c r="F33" s="22"/>
      <c r="G33" s="348"/>
      <c r="H33" s="529"/>
      <c r="I33" s="277"/>
    </row>
    <row r="34" spans="2:12">
      <c r="B34" s="294"/>
      <c r="C34" s="52"/>
      <c r="D34" s="22"/>
      <c r="E34" s="22"/>
      <c r="F34" s="22"/>
      <c r="G34" s="348"/>
      <c r="H34" s="529"/>
      <c r="I34" s="277"/>
    </row>
    <row r="35" spans="2:12">
      <c r="B35" s="294"/>
      <c r="C35" s="52"/>
      <c r="D35" s="22"/>
      <c r="E35" s="22"/>
      <c r="F35" s="22"/>
      <c r="G35" s="348"/>
      <c r="H35" s="529"/>
      <c r="I35" s="277"/>
    </row>
    <row r="36" spans="2:12">
      <c r="B36" s="294"/>
      <c r="C36" s="52"/>
      <c r="D36" s="22"/>
      <c r="E36" s="22"/>
      <c r="F36" s="22"/>
      <c r="G36" s="348"/>
      <c r="H36" s="529"/>
      <c r="I36" s="277"/>
    </row>
    <row r="37" spans="2:12">
      <c r="B37" s="294"/>
      <c r="C37" s="52"/>
      <c r="D37" s="22"/>
      <c r="E37" s="22"/>
      <c r="F37" s="22"/>
      <c r="G37" s="348"/>
      <c r="H37" s="529"/>
      <c r="I37" s="277"/>
      <c r="K37" s="306"/>
    </row>
    <row r="38" spans="2:12">
      <c r="B38" s="294"/>
      <c r="C38" s="52"/>
      <c r="D38" s="22"/>
      <c r="E38" s="22"/>
      <c r="F38" s="22"/>
      <c r="G38" s="348"/>
      <c r="H38" s="529"/>
      <c r="I38" s="277"/>
      <c r="K38" s="306"/>
    </row>
    <row r="39" spans="2:12">
      <c r="B39" s="294"/>
      <c r="C39" s="52"/>
      <c r="D39" s="22"/>
      <c r="E39" s="22"/>
      <c r="F39" s="22"/>
      <c r="G39" s="348"/>
      <c r="H39" s="529"/>
      <c r="I39" s="277"/>
      <c r="K39" s="306"/>
    </row>
    <row r="40" spans="2:12">
      <c r="B40" s="294"/>
      <c r="C40" s="52"/>
      <c r="D40" s="22"/>
      <c r="E40" s="22"/>
      <c r="F40" s="22"/>
      <c r="G40" s="348"/>
      <c r="H40" s="529"/>
      <c r="I40" s="277"/>
      <c r="K40" s="306"/>
    </row>
    <row r="41" spans="2:12">
      <c r="B41" s="294"/>
      <c r="C41" s="52"/>
      <c r="D41" s="22"/>
      <c r="E41" s="22"/>
      <c r="F41" s="22"/>
      <c r="G41" s="348"/>
      <c r="H41" s="529"/>
      <c r="I41" s="277"/>
    </row>
    <row r="42" spans="2:12">
      <c r="B42" s="294"/>
      <c r="C42" s="52"/>
      <c r="D42" s="22"/>
      <c r="E42" s="22"/>
      <c r="F42" s="22"/>
      <c r="G42" s="348"/>
      <c r="H42" s="529"/>
      <c r="I42" s="277"/>
      <c r="K42" s="1">
        <v>1725</v>
      </c>
      <c r="L42" s="306" t="e">
        <f>K42/F42</f>
        <v>#DIV/0!</v>
      </c>
    </row>
    <row r="43" spans="2:12">
      <c r="B43" s="294"/>
      <c r="C43" s="52"/>
      <c r="D43" s="22"/>
      <c r="E43" s="22"/>
      <c r="F43" s="22"/>
      <c r="G43" s="348"/>
      <c r="H43" s="529"/>
      <c r="I43" s="277"/>
      <c r="K43" s="1">
        <v>100.5</v>
      </c>
      <c r="L43" s="306" t="e">
        <f t="shared" ref="L43:L46" si="1">K43/F43</f>
        <v>#DIV/0!</v>
      </c>
    </row>
    <row r="44" spans="2:12">
      <c r="B44" s="294"/>
      <c r="C44" s="52"/>
      <c r="D44" s="22"/>
      <c r="E44" s="22"/>
      <c r="F44" s="22"/>
      <c r="G44" s="348"/>
      <c r="H44" s="529"/>
      <c r="I44" s="277"/>
      <c r="L44" s="306" t="e">
        <f t="shared" si="1"/>
        <v>#DIV/0!</v>
      </c>
    </row>
    <row r="45" spans="2:12">
      <c r="B45" s="294"/>
      <c r="C45" s="52"/>
      <c r="D45" s="22"/>
      <c r="E45" s="22"/>
      <c r="F45" s="22"/>
      <c r="G45" s="348"/>
      <c r="H45" s="529"/>
      <c r="I45" s="277"/>
      <c r="K45" s="1">
        <v>16905</v>
      </c>
      <c r="L45" s="306" t="e">
        <f t="shared" si="1"/>
        <v>#DIV/0!</v>
      </c>
    </row>
    <row r="46" spans="2:12">
      <c r="B46" s="294"/>
      <c r="C46" s="52"/>
      <c r="D46" s="22"/>
      <c r="E46" s="22"/>
      <c r="F46" s="22"/>
      <c r="G46" s="348"/>
      <c r="H46" s="529"/>
      <c r="I46" s="277"/>
      <c r="K46" s="1">
        <v>10300</v>
      </c>
      <c r="L46" s="306" t="e">
        <f t="shared" si="1"/>
        <v>#DIV/0!</v>
      </c>
    </row>
    <row r="47" spans="2:12">
      <c r="B47" s="48"/>
      <c r="C47" s="52"/>
      <c r="D47" s="22"/>
      <c r="E47" s="22"/>
      <c r="F47" s="22"/>
      <c r="G47" s="348"/>
      <c r="H47" s="529"/>
      <c r="I47" s="277"/>
    </row>
    <row r="48" spans="2:12">
      <c r="B48" s="36"/>
      <c r="C48" s="1"/>
      <c r="D48" s="22"/>
      <c r="E48" s="22"/>
      <c r="F48" s="240"/>
      <c r="G48" s="348"/>
      <c r="H48" s="529" t="str">
        <f t="shared" si="0"/>
        <v/>
      </c>
    </row>
    <row r="49" spans="2:9" s="28" customFormat="1" ht="19.5" customHeight="1">
      <c r="B49" s="82" t="str">
        <f>$B$10</f>
        <v xml:space="preserve">SECTION FIVE </v>
      </c>
      <c r="C49" s="29" t="s">
        <v>125</v>
      </c>
      <c r="D49" s="30"/>
      <c r="E49" s="30"/>
      <c r="F49" s="31"/>
      <c r="G49" s="547"/>
      <c r="H49" s="359">
        <f>SUM(H9:H48)</f>
        <v>0</v>
      </c>
      <c r="I49" s="236"/>
    </row>
  </sheetData>
  <sheetProtection algorithmName="SHA-512" hashValue="4bmw1C2TgY6KAgRSUSpJf3emUiMz043w3rzo/6Vd5004Of8d3zgr8XMAHrQuWgDi2ccmmTqo45LTRg8wqLTpuA==" saltValue="9qdJVqnoKGr8xQnkQ3IKHQ==" spinCount="100000" sheet="1" objects="1" scenarios="1"/>
  <mergeCells count="6">
    <mergeCell ref="B9:H9"/>
    <mergeCell ref="F1:H1"/>
    <mergeCell ref="B4:G4"/>
    <mergeCell ref="H4:H7"/>
    <mergeCell ref="I4:I7"/>
    <mergeCell ref="B5:G7"/>
  </mergeCells>
  <pageMargins left="0.43307086614173229" right="0.31496062992125984" top="0.43307086614173229" bottom="0.62992125984251968" header="0.35433070866141736" footer="0.31496062992125984"/>
  <pageSetup paperSize="9" scale="60"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22598-D44B-4FC7-A757-1B374D0EA1FA}">
  <sheetPr>
    <tabColor rgb="FFFFFF00"/>
  </sheetPr>
  <dimension ref="B1:Q27"/>
  <sheetViews>
    <sheetView view="pageBreakPreview" zoomScaleNormal="100" zoomScaleSheetLayoutView="100" workbookViewId="0">
      <selection activeCell="C27" sqref="C27"/>
    </sheetView>
  </sheetViews>
  <sheetFormatPr defaultColWidth="8.85546875" defaultRowHeight="12.75"/>
  <cols>
    <col min="1" max="1" width="0.85546875" style="52" customWidth="1"/>
    <col min="2" max="2" width="11.7109375" style="52" customWidth="1"/>
    <col min="3" max="3" width="39.140625" style="52" customWidth="1"/>
    <col min="4" max="4" width="13.7109375" style="52" hidden="1" customWidth="1"/>
    <col min="5" max="5" width="24" style="291" customWidth="1"/>
    <col min="6" max="6" width="10.140625" style="54" customWidth="1"/>
    <col min="7" max="7" width="15.7109375" style="54" customWidth="1"/>
    <col min="8" max="8" width="4.42578125" style="54" customWidth="1"/>
    <col min="9" max="9" width="0.85546875" style="52" hidden="1" customWidth="1"/>
    <col min="10" max="36" width="0" style="52" hidden="1" customWidth="1"/>
    <col min="37" max="16384" width="8.85546875" style="52"/>
  </cols>
  <sheetData>
    <row r="1" spans="2:8" ht="22.5" customHeight="1">
      <c r="B1" s="2" t="str">
        <f>Client1</f>
        <v>AIRPORTS COMPANY - SOUTH AFRICA</v>
      </c>
      <c r="D1" s="3"/>
      <c r="E1" s="3"/>
      <c r="F1" s="676" t="str">
        <f>"Contract No. "&amp;ContractNo</f>
        <v>Contract No. KSIA7806/2025/RFP</v>
      </c>
      <c r="G1" s="676"/>
      <c r="H1" s="676"/>
    </row>
    <row r="2" spans="2:8" s="3" customFormat="1" ht="18" customHeight="1">
      <c r="B2" s="90" t="str">
        <f>Client2</f>
        <v>ACSA</v>
      </c>
      <c r="C2" s="52"/>
      <c r="F2" s="4"/>
      <c r="G2" s="4"/>
      <c r="H2" s="4"/>
    </row>
    <row r="3" spans="2:8" s="3" customFormat="1" ht="16.5" customHeight="1">
      <c r="B3" s="71"/>
      <c r="C3" s="92"/>
      <c r="D3" s="71"/>
      <c r="E3" s="71"/>
      <c r="F3" s="72"/>
      <c r="G3" s="72"/>
      <c r="H3" s="72"/>
    </row>
    <row r="4" spans="2:8" s="3" customFormat="1" ht="7.5" customHeight="1">
      <c r="B4" s="690" t="s">
        <v>354</v>
      </c>
      <c r="C4" s="691"/>
      <c r="D4" s="691"/>
      <c r="E4" s="691"/>
      <c r="F4" s="691"/>
      <c r="G4" s="691"/>
      <c r="H4" s="836"/>
    </row>
    <row r="5" spans="2:8" ht="22.5" customHeight="1">
      <c r="B5" s="690"/>
      <c r="C5" s="691"/>
      <c r="D5" s="691"/>
      <c r="E5" s="691"/>
      <c r="F5" s="691"/>
      <c r="G5" s="691"/>
      <c r="H5" s="836"/>
    </row>
    <row r="6" spans="2:8" ht="7.5" customHeight="1">
      <c r="B6" s="692"/>
      <c r="C6" s="693"/>
      <c r="D6" s="693"/>
      <c r="E6" s="693"/>
      <c r="F6" s="693"/>
      <c r="G6" s="693"/>
      <c r="H6" s="837"/>
    </row>
    <row r="7" spans="2:8" ht="25.5" customHeight="1">
      <c r="B7" s="713" t="s">
        <v>2927</v>
      </c>
      <c r="C7" s="714"/>
      <c r="D7" s="714"/>
      <c r="E7" s="714"/>
      <c r="F7" s="714"/>
      <c r="G7" s="714"/>
      <c r="H7" s="715"/>
    </row>
    <row r="8" spans="2:8" ht="25.5">
      <c r="B8" s="280" t="s">
        <v>3336</v>
      </c>
      <c r="C8" s="716" t="s">
        <v>12</v>
      </c>
      <c r="D8" s="717"/>
      <c r="E8" s="718"/>
      <c r="F8" s="85" t="s">
        <v>357</v>
      </c>
      <c r="G8" s="719" t="s">
        <v>17</v>
      </c>
      <c r="H8" s="720"/>
    </row>
    <row r="9" spans="2:8" ht="15.75" customHeight="1">
      <c r="B9" s="14" t="s">
        <v>3615</v>
      </c>
      <c r="C9" s="721" t="s">
        <v>3690</v>
      </c>
      <c r="D9" s="722"/>
      <c r="E9" s="722"/>
      <c r="F9" s="552" t="s">
        <v>3691</v>
      </c>
      <c r="G9" s="723">
        <f>'QT Section 1 '!H51</f>
        <v>0</v>
      </c>
      <c r="H9" s="724"/>
    </row>
    <row r="10" spans="2:8" ht="15.75" customHeight="1">
      <c r="B10" s="14" t="s">
        <v>3618</v>
      </c>
      <c r="C10" s="721" t="s">
        <v>3692</v>
      </c>
      <c r="D10" s="722"/>
      <c r="E10" s="722"/>
      <c r="F10" s="552" t="s">
        <v>3693</v>
      </c>
      <c r="G10" s="723">
        <f>'QT Section 2'!H49</f>
        <v>0</v>
      </c>
      <c r="H10" s="724"/>
    </row>
    <row r="11" spans="2:8" ht="15.75" customHeight="1">
      <c r="B11" s="14" t="s">
        <v>3620</v>
      </c>
      <c r="C11" s="721" t="s">
        <v>3516</v>
      </c>
      <c r="D11" s="722"/>
      <c r="E11" s="722"/>
      <c r="F11" s="552" t="s">
        <v>3694</v>
      </c>
      <c r="G11" s="723">
        <f>'QT Section 3'!H49</f>
        <v>0</v>
      </c>
      <c r="H11" s="724"/>
    </row>
    <row r="12" spans="2:8" ht="15.75" customHeight="1">
      <c r="B12" s="14" t="s">
        <v>3623</v>
      </c>
      <c r="C12" s="721" t="s">
        <v>3565</v>
      </c>
      <c r="D12" s="722"/>
      <c r="E12" s="722"/>
      <c r="F12" s="552" t="s">
        <v>3695</v>
      </c>
      <c r="G12" s="723">
        <f>'QT Section 4'!H49</f>
        <v>0</v>
      </c>
      <c r="H12" s="724"/>
    </row>
    <row r="13" spans="2:8" ht="15.75" customHeight="1">
      <c r="B13" s="14" t="s">
        <v>3625</v>
      </c>
      <c r="C13" s="721" t="s">
        <v>3595</v>
      </c>
      <c r="D13" s="722"/>
      <c r="E13" s="722"/>
      <c r="F13" s="552" t="s">
        <v>3696</v>
      </c>
      <c r="G13" s="723">
        <f>'QT Section 5'!H49</f>
        <v>0</v>
      </c>
      <c r="H13" s="724"/>
    </row>
    <row r="14" spans="2:8" ht="15.75" customHeight="1">
      <c r="B14" s="14"/>
      <c r="C14" s="275"/>
      <c r="E14" s="100"/>
      <c r="F14" s="22"/>
      <c r="G14" s="723"/>
      <c r="H14" s="724"/>
    </row>
    <row r="15" spans="2:8" ht="15.75" customHeight="1">
      <c r="B15" s="14"/>
      <c r="C15" s="721"/>
      <c r="D15" s="722"/>
      <c r="E15" s="827"/>
      <c r="F15" s="22"/>
      <c r="G15" s="723"/>
      <c r="H15" s="724"/>
    </row>
    <row r="16" spans="2:8" ht="15.75" customHeight="1">
      <c r="B16" s="14"/>
      <c r="C16" s="721"/>
      <c r="D16" s="722"/>
      <c r="E16" s="827"/>
      <c r="F16" s="22"/>
      <c r="G16" s="723"/>
      <c r="H16" s="724"/>
    </row>
    <row r="17" spans="2:17" ht="15.75" customHeight="1">
      <c r="B17" s="14"/>
      <c r="C17" s="275"/>
      <c r="E17" s="100"/>
      <c r="F17" s="22"/>
      <c r="G17" s="723"/>
      <c r="H17" s="724"/>
    </row>
    <row r="18" spans="2:17" ht="15.75" customHeight="1">
      <c r="B18" s="14"/>
      <c r="C18" s="721"/>
      <c r="D18" s="722"/>
      <c r="E18" s="827"/>
      <c r="F18" s="22"/>
      <c r="G18" s="723"/>
      <c r="H18" s="724"/>
    </row>
    <row r="19" spans="2:17" ht="15.75" customHeight="1">
      <c r="B19" s="14"/>
      <c r="C19" s="721"/>
      <c r="D19" s="722"/>
      <c r="E19" s="827"/>
      <c r="F19" s="22"/>
      <c r="G19" s="723"/>
      <c r="H19" s="724"/>
    </row>
    <row r="20" spans="2:17" ht="15.75" customHeight="1">
      <c r="B20" s="14"/>
      <c r="C20" s="721"/>
      <c r="D20" s="722"/>
      <c r="E20" s="827"/>
      <c r="F20" s="22"/>
      <c r="G20" s="828"/>
      <c r="H20" s="724"/>
    </row>
    <row r="21" spans="2:17" ht="15.75" customHeight="1">
      <c r="B21" s="14"/>
      <c r="C21" s="721"/>
      <c r="D21" s="722"/>
      <c r="E21" s="827"/>
      <c r="F21" s="22"/>
      <c r="G21" s="723"/>
      <c r="H21" s="724"/>
    </row>
    <row r="22" spans="2:17" ht="15.75" customHeight="1">
      <c r="B22" s="14"/>
      <c r="C22" s="721"/>
      <c r="D22" s="722"/>
      <c r="E22" s="827"/>
      <c r="F22" s="22"/>
      <c r="G22" s="723"/>
      <c r="H22" s="724"/>
    </row>
    <row r="23" spans="2:17" s="2" customFormat="1" ht="19.5" customHeight="1">
      <c r="B23" s="793" t="s">
        <v>2942</v>
      </c>
      <c r="C23" s="794"/>
      <c r="D23" s="794"/>
      <c r="E23" s="794"/>
      <c r="F23" s="794"/>
      <c r="G23" s="825">
        <f>SUM(G9:H22)</f>
        <v>0</v>
      </c>
      <c r="H23" s="826"/>
      <c r="I23" s="289"/>
    </row>
    <row r="27" spans="2:17">
      <c r="Q27" s="52" t="s">
        <v>3697</v>
      </c>
    </row>
  </sheetData>
  <sheetProtection algorithmName="SHA-512" hashValue="5wBad79jtGFXXQ56rzAHNi+Bij1WtcVhmwG8vHcKzU/65wbTIVgdaa4+QwMrlyRY1TU/a5DnicPSGA3sGUnwmw==" saltValue="i7pGAL4Wvs6pd81K4Hge8w==" spinCount="100000" sheet="1" objects="1" scenarios="1"/>
  <mergeCells count="34">
    <mergeCell ref="F1:H1"/>
    <mergeCell ref="B4:G6"/>
    <mergeCell ref="H4:H6"/>
    <mergeCell ref="B7:H7"/>
    <mergeCell ref="C8:E8"/>
    <mergeCell ref="G8:H8"/>
    <mergeCell ref="C9:E9"/>
    <mergeCell ref="G9:H9"/>
    <mergeCell ref="C10:E10"/>
    <mergeCell ref="G10:H10"/>
    <mergeCell ref="C11:E11"/>
    <mergeCell ref="G11:H11"/>
    <mergeCell ref="C19:E19"/>
    <mergeCell ref="G19:H19"/>
    <mergeCell ref="C12:E12"/>
    <mergeCell ref="G12:H12"/>
    <mergeCell ref="C13:E13"/>
    <mergeCell ref="G13:H13"/>
    <mergeCell ref="G14:H14"/>
    <mergeCell ref="C15:E15"/>
    <mergeCell ref="G15:H15"/>
    <mergeCell ref="C16:E16"/>
    <mergeCell ref="G16:H16"/>
    <mergeCell ref="G17:H17"/>
    <mergeCell ref="C18:E18"/>
    <mergeCell ref="G18:H18"/>
    <mergeCell ref="B23:F23"/>
    <mergeCell ref="G23:H23"/>
    <mergeCell ref="C20:E20"/>
    <mergeCell ref="G20:H20"/>
    <mergeCell ref="C21:E21"/>
    <mergeCell ref="G21:H21"/>
    <mergeCell ref="C22:E22"/>
    <mergeCell ref="G22:H22"/>
  </mergeCells>
  <pageMargins left="0.43307086614173229" right="0.31496062992125984" top="0.43307086614173229" bottom="0.62992125984251968" header="0.35433070866141736" footer="0.31496062992125984"/>
  <pageSetup paperSize="9" scale="75" firstPageNumber="31" fitToHeight="0"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F07A-824B-4697-A0B0-1C80B22D2CF6}">
  <sheetPr>
    <tabColor rgb="FFFF0000"/>
  </sheetPr>
  <dimension ref="B1:P29"/>
  <sheetViews>
    <sheetView view="pageBreakPreview" zoomScaleNormal="100" zoomScaleSheetLayoutView="100" workbookViewId="0">
      <selection activeCell="C27" sqref="C27"/>
    </sheetView>
  </sheetViews>
  <sheetFormatPr defaultColWidth="8.85546875" defaultRowHeight="12.75"/>
  <cols>
    <col min="1" max="1" width="0.85546875" style="51" customWidth="1"/>
    <col min="2" max="2" width="11.7109375" style="54" customWidth="1"/>
    <col min="3" max="3" width="45.7109375" style="52" customWidth="1"/>
    <col min="4" max="4" width="13.7109375" style="52" customWidth="1"/>
    <col min="5" max="5" width="5.7109375" style="237" customWidth="1"/>
    <col min="6" max="6" width="15.7109375" style="54" customWidth="1"/>
    <col min="7" max="7" width="33" style="54" customWidth="1"/>
    <col min="8" max="8" width="0.140625" style="54" customWidth="1"/>
    <col min="9" max="9" width="0.85546875" style="51" hidden="1" customWidth="1"/>
    <col min="10" max="10" width="36.42578125" style="51" hidden="1" customWidth="1"/>
    <col min="11" max="11" width="16.140625" style="51" hidden="1" customWidth="1"/>
    <col min="12" max="12" width="23.7109375" style="51" hidden="1" customWidth="1"/>
    <col min="13" max="13" width="9.42578125" style="51" hidden="1" customWidth="1"/>
    <col min="14" max="14" width="0" style="51" hidden="1" customWidth="1"/>
    <col min="15" max="15" width="16.85546875" style="51" hidden="1" customWidth="1"/>
    <col min="16" max="16" width="28.140625" style="51" hidden="1" customWidth="1"/>
    <col min="17" max="36" width="0" style="51" hidden="1" customWidth="1"/>
    <col min="37" max="16384" width="8.85546875" style="51"/>
  </cols>
  <sheetData>
    <row r="1" spans="2:16">
      <c r="B1" s="2" t="str">
        <f>Client1</f>
        <v>AIRPORTS COMPANY - SOUTH AFRICA</v>
      </c>
      <c r="D1" s="4"/>
      <c r="E1" s="4"/>
      <c r="F1" s="676" t="str">
        <f>"Contract No. "&amp;ContractNo</f>
        <v>Contract No. KSIA7806/2025/RFP</v>
      </c>
      <c r="G1" s="676"/>
      <c r="H1" s="676"/>
    </row>
    <row r="2" spans="2:16" s="1" customFormat="1" ht="18" customHeight="1">
      <c r="B2" s="90" t="str">
        <f>Client2</f>
        <v>ACSA</v>
      </c>
      <c r="C2" s="52"/>
      <c r="D2" s="4"/>
      <c r="E2" s="4"/>
      <c r="F2" s="4"/>
      <c r="G2" s="4"/>
      <c r="H2" s="4"/>
      <c r="L2" s="4"/>
    </row>
    <row r="3" spans="2:16" s="1" customFormat="1" ht="16.5" customHeight="1">
      <c r="B3" s="71"/>
      <c r="C3" s="92"/>
      <c r="D3" s="72"/>
      <c r="E3" s="72"/>
      <c r="F3" s="72"/>
      <c r="G3" s="72"/>
      <c r="H3" s="72"/>
      <c r="J3" s="5"/>
      <c r="K3" s="5"/>
      <c r="L3" s="4"/>
    </row>
    <row r="4" spans="2:16" s="1" customFormat="1" ht="7.5" customHeight="1">
      <c r="B4" s="845" t="str">
        <f>ContractDescription</f>
        <v>PROCUREMENT OF A CIDB GRADE 9 CE CONTRACTOR THE COMPLETION OF BRAVO TAXIWAY EXTENSION AT KING SHAKA INTERNATIONAL AIRPORT FOR A PERIOD OF 12 MONTHS AT KING SHAKA INTERNATIONAL AIRPORT</v>
      </c>
      <c r="C4" s="845"/>
      <c r="D4" s="845"/>
      <c r="E4" s="845"/>
      <c r="F4" s="845"/>
      <c r="G4" s="845"/>
      <c r="H4" s="845"/>
      <c r="J4" s="5"/>
      <c r="K4" s="5"/>
      <c r="L4" s="4"/>
    </row>
    <row r="5" spans="2:16" ht="12.75" customHeight="1">
      <c r="B5" s="845"/>
      <c r="C5" s="845"/>
      <c r="D5" s="845"/>
      <c r="E5" s="845"/>
      <c r="F5" s="845"/>
      <c r="G5" s="845"/>
      <c r="H5" s="845"/>
    </row>
    <row r="6" spans="2:16" ht="7.5" customHeight="1">
      <c r="B6" s="845"/>
      <c r="C6" s="845"/>
      <c r="D6" s="845"/>
      <c r="E6" s="845"/>
      <c r="F6" s="845"/>
      <c r="G6" s="845"/>
      <c r="H6" s="845"/>
    </row>
    <row r="7" spans="2:16" ht="25.5" customHeight="1">
      <c r="B7" s="846" t="s">
        <v>3318</v>
      </c>
      <c r="C7" s="846"/>
      <c r="D7" s="846"/>
      <c r="E7" s="846"/>
      <c r="F7" s="846"/>
      <c r="G7" s="846"/>
      <c r="H7" s="846"/>
      <c r="K7" s="235"/>
    </row>
    <row r="8" spans="2:16">
      <c r="B8" s="845" t="s">
        <v>3319</v>
      </c>
      <c r="C8" s="845"/>
      <c r="D8" s="845"/>
      <c r="E8" s="845"/>
      <c r="F8" s="85" t="s">
        <v>357</v>
      </c>
      <c r="G8" s="11" t="s">
        <v>17</v>
      </c>
      <c r="H8" s="11"/>
      <c r="O8" s="274"/>
      <c r="P8" s="259"/>
    </row>
    <row r="9" spans="2:16">
      <c r="B9" s="847" t="s">
        <v>3698</v>
      </c>
      <c r="C9" s="847"/>
      <c r="D9" s="847"/>
      <c r="E9" s="716"/>
      <c r="F9" s="552" t="s">
        <v>3699</v>
      </c>
      <c r="G9" s="553">
        <f>'P&amp;G - ELECTRICAL'!H50</f>
        <v>0</v>
      </c>
      <c r="H9" s="353"/>
      <c r="J9" s="554">
        <f>(G10+G11)/100*15</f>
        <v>6225</v>
      </c>
      <c r="K9" s="305"/>
      <c r="L9" s="259"/>
      <c r="O9" s="274"/>
      <c r="P9" s="259"/>
    </row>
    <row r="10" spans="2:16">
      <c r="B10" s="716" t="s">
        <v>3340</v>
      </c>
      <c r="C10" s="717"/>
      <c r="D10" s="717"/>
      <c r="E10" s="717"/>
      <c r="F10" s="552" t="s">
        <v>3700</v>
      </c>
      <c r="G10" s="581">
        <f>'BRAVO SUM'!G23:H23</f>
        <v>41500</v>
      </c>
      <c r="H10" s="553"/>
      <c r="J10" s="51">
        <f>G9/(G10+G11)</f>
        <v>0</v>
      </c>
      <c r="K10" s="305"/>
      <c r="L10" s="259"/>
      <c r="O10" s="274"/>
      <c r="P10" s="259"/>
    </row>
    <row r="11" spans="2:16" ht="13.5" thickBot="1">
      <c r="B11" s="842" t="s">
        <v>3701</v>
      </c>
      <c r="C11" s="842"/>
      <c r="D11" s="842"/>
      <c r="E11" s="789"/>
      <c r="F11" s="555" t="s">
        <v>3702</v>
      </c>
      <c r="G11" s="358">
        <f>'QUEBEC SUM'!G23:H23</f>
        <v>0</v>
      </c>
      <c r="H11" s="556"/>
      <c r="K11" s="259"/>
      <c r="L11" s="259"/>
      <c r="O11" s="259"/>
      <c r="P11" s="259"/>
    </row>
    <row r="12" spans="2:16" s="28" customFormat="1" ht="14.25" customHeight="1" thickBot="1">
      <c r="B12" s="843" t="s">
        <v>3703</v>
      </c>
      <c r="C12" s="844"/>
      <c r="D12" s="844"/>
      <c r="E12" s="844"/>
      <c r="F12" s="844"/>
      <c r="G12" s="582">
        <f>SUM(G9:H11)</f>
        <v>41500</v>
      </c>
      <c r="H12" s="583"/>
      <c r="I12" s="236"/>
      <c r="J12" s="245"/>
      <c r="K12" s="306"/>
      <c r="L12" s="245"/>
      <c r="O12" s="245"/>
      <c r="P12" s="245"/>
    </row>
    <row r="14" spans="2:16">
      <c r="H14" s="557"/>
    </row>
    <row r="15" spans="2:16">
      <c r="K15" s="259"/>
    </row>
    <row r="16" spans="2:16">
      <c r="G16" s="557"/>
      <c r="K16" s="259"/>
    </row>
    <row r="17" spans="3:11">
      <c r="G17" s="557"/>
      <c r="K17" s="259"/>
    </row>
    <row r="18" spans="3:11">
      <c r="G18" s="557"/>
    </row>
    <row r="19" spans="3:11">
      <c r="G19" s="557"/>
    </row>
    <row r="22" spans="3:11">
      <c r="G22" s="557"/>
    </row>
    <row r="27" spans="3:11">
      <c r="G27" s="557"/>
    </row>
    <row r="29" spans="3:11">
      <c r="C29" s="3"/>
    </row>
  </sheetData>
  <sheetProtection algorithmName="SHA-512" hashValue="LMQ5tRmgVDt3YkNG2B/vlxk7Buz9m8UvQ++lP3Y2iYQ/1aM+jxwAKAjsPVEr0LCnnMnvdeKri2es3XbaHOspMA==" saltValue="YfQYugXhLU4FEdJj1Dyttg==" spinCount="100000" sheet="1" objects="1" scenarios="1"/>
  <mergeCells count="8">
    <mergeCell ref="B10:E10"/>
    <mergeCell ref="B11:E11"/>
    <mergeCell ref="B12:F12"/>
    <mergeCell ref="F1:H1"/>
    <mergeCell ref="B4:H6"/>
    <mergeCell ref="B7:H7"/>
    <mergeCell ref="B8:E8"/>
    <mergeCell ref="B9:E9"/>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KANTEY &amp; TEMPLER CONSULTING ENGINEERS&amp;R&amp;"Arial,Bold Italic"
</oddHeader>
    <oddFooter>&amp;C&amp;F</oddFooter>
  </headerFooter>
  <legacyDrawingHF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A824-AC28-4C20-AC59-B791E16A833F}">
  <sheetPr>
    <tabColor rgb="FF92D050"/>
  </sheetPr>
  <dimension ref="A24:I24"/>
  <sheetViews>
    <sheetView topLeftCell="A16" zoomScaleNormal="100" workbookViewId="0">
      <selection activeCell="C27" sqref="C27"/>
    </sheetView>
  </sheetViews>
  <sheetFormatPr defaultRowHeight="12.75"/>
  <sheetData>
    <row r="24" spans="1:9" ht="96.75" customHeight="1">
      <c r="A24" s="674" t="s">
        <v>3704</v>
      </c>
      <c r="B24" s="674"/>
      <c r="C24" s="674"/>
      <c r="D24" s="674"/>
      <c r="E24" s="674"/>
      <c r="F24" s="674"/>
      <c r="G24" s="674"/>
      <c r="H24" s="674"/>
      <c r="I24" s="674"/>
    </row>
  </sheetData>
  <sheetProtection algorithmName="SHA-512" hashValue="VooIeiopSgV+8kChDxsGz+7v4csOaMwwrpdR/qIwt5Hu7uYworVXdUrKkYA6X91F3fryVdE0vWeBVpGmLi45VQ==" saltValue="5oqXfke8/kgiq8KhZ8aXGw==" spinCount="100000" sheet="1" objects="1" scenarios="1"/>
  <mergeCells count="1">
    <mergeCell ref="A24:I24"/>
  </mergeCell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9511-15C3-4E3D-8580-43BDDBCB9BAC}">
  <sheetPr>
    <tabColor rgb="FF92D050"/>
  </sheetPr>
  <dimension ref="B1:M50"/>
  <sheetViews>
    <sheetView view="pageBreakPreview" zoomScaleNormal="70" zoomScaleSheetLayoutView="100" workbookViewId="0">
      <pane ySplit="8" topLeftCell="A9" activePane="bottomLeft" state="frozen"/>
      <selection pane="bottomLeft" activeCell="C27" sqref="C27"/>
      <selection activeCell="C27" sqref="C2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3.7109375" style="4" customWidth="1"/>
    <col min="7" max="7" width="16.28515625" style="4" customWidth="1"/>
    <col min="8" max="8" width="20.85546875" style="4" customWidth="1"/>
    <col min="9" max="9" width="0.85546875" style="5" customWidth="1"/>
    <col min="10" max="12" width="0" style="1" hidden="1" customWidth="1"/>
    <col min="13" max="13" width="9" style="1" hidden="1" customWidth="1"/>
    <col min="14" max="53" width="0" style="1" hidden="1" customWidth="1"/>
    <col min="54" max="16384" width="6.85546875" style="1"/>
  </cols>
  <sheetData>
    <row r="1" spans="2:13">
      <c r="B1" s="2" t="str">
        <f>Client1</f>
        <v>AIRPORTS COMPANY - SOUTH AFRICA</v>
      </c>
      <c r="F1" s="676" t="str">
        <f>"Contract No. "&amp;ContractNo</f>
        <v>Contract No. KSIA7806/2025/RFP</v>
      </c>
      <c r="G1" s="676"/>
      <c r="H1" s="676"/>
    </row>
    <row r="2" spans="2:13">
      <c r="B2" s="90" t="str">
        <f>Client2</f>
        <v>ACSA</v>
      </c>
    </row>
    <row r="3" spans="2:13">
      <c r="B3" s="71"/>
      <c r="C3" s="71"/>
      <c r="D3" s="72"/>
      <c r="E3" s="72"/>
      <c r="F3" s="72"/>
      <c r="G3" s="72"/>
      <c r="H3" s="72"/>
    </row>
    <row r="4" spans="2:13">
      <c r="B4" s="695"/>
      <c r="C4" s="696"/>
      <c r="D4" s="696"/>
      <c r="E4" s="696"/>
      <c r="F4" s="696"/>
      <c r="G4" s="696"/>
      <c r="H4" s="770" t="str">
        <f>"CHAPTER "&amp;B10</f>
        <v>CHAPTER P&amp;G</v>
      </c>
      <c r="I4" s="6"/>
    </row>
    <row r="5" spans="2:13"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13" ht="12.75" customHeight="1">
      <c r="B6" s="690"/>
      <c r="C6" s="691"/>
      <c r="D6" s="691"/>
      <c r="E6" s="691"/>
      <c r="F6" s="691"/>
      <c r="G6" s="691"/>
      <c r="H6" s="771"/>
      <c r="I6" s="8"/>
    </row>
    <row r="7" spans="2:13" ht="17.25" customHeight="1">
      <c r="B7" s="692"/>
      <c r="C7" s="693"/>
      <c r="D7" s="693"/>
      <c r="E7" s="693"/>
      <c r="F7" s="693"/>
      <c r="G7" s="693"/>
      <c r="H7" s="772"/>
      <c r="I7" s="8"/>
    </row>
    <row r="8" spans="2:13" s="9" customFormat="1" ht="24.95" customHeight="1">
      <c r="B8" s="10" t="s">
        <v>11</v>
      </c>
      <c r="C8" s="11" t="s">
        <v>12</v>
      </c>
      <c r="D8" s="11" t="s">
        <v>13</v>
      </c>
      <c r="E8" s="11" t="s">
        <v>14</v>
      </c>
      <c r="F8" s="11" t="s">
        <v>15</v>
      </c>
      <c r="G8" s="11" t="s">
        <v>16</v>
      </c>
      <c r="H8" s="11" t="s">
        <v>17</v>
      </c>
      <c r="I8" s="12"/>
    </row>
    <row r="9" spans="2:13">
      <c r="B9" s="105"/>
      <c r="C9" s="52"/>
      <c r="D9" s="78"/>
      <c r="E9" s="15"/>
      <c r="F9" s="15"/>
      <c r="G9" s="15"/>
      <c r="H9" s="529" t="str">
        <f>IF(D9="","",F9*G9)</f>
        <v/>
      </c>
      <c r="I9" s="239"/>
    </row>
    <row r="10" spans="2:13">
      <c r="B10" s="69" t="s">
        <v>3331</v>
      </c>
      <c r="C10" s="7" t="s">
        <v>3332</v>
      </c>
      <c r="D10" s="15"/>
      <c r="E10" s="15"/>
      <c r="F10" s="15"/>
      <c r="G10" s="15"/>
      <c r="H10" s="529" t="str">
        <f t="shared" ref="H10:H49" si="0">IF(D10="","",F10*G10)</f>
        <v/>
      </c>
      <c r="I10" s="239"/>
    </row>
    <row r="11" spans="2:13">
      <c r="B11" s="48"/>
      <c r="C11" s="52"/>
      <c r="D11" s="15"/>
      <c r="E11" s="15"/>
      <c r="F11" s="15"/>
      <c r="G11" s="530"/>
      <c r="H11" s="529" t="str">
        <f t="shared" si="0"/>
        <v/>
      </c>
      <c r="I11" s="239"/>
    </row>
    <row r="12" spans="2:13">
      <c r="B12" s="81">
        <v>1</v>
      </c>
      <c r="C12" s="531" t="s">
        <v>3333</v>
      </c>
      <c r="D12" s="532" t="s">
        <v>33</v>
      </c>
      <c r="E12" s="22"/>
      <c r="F12" s="22">
        <v>1</v>
      </c>
      <c r="G12" s="622"/>
      <c r="H12" s="529">
        <f t="shared" si="0"/>
        <v>0</v>
      </c>
      <c r="I12" s="277"/>
      <c r="L12" s="1" t="s">
        <v>3705</v>
      </c>
    </row>
    <row r="13" spans="2:13">
      <c r="B13" s="81"/>
      <c r="C13" s="531"/>
      <c r="D13" s="533"/>
      <c r="E13" s="22"/>
      <c r="F13" s="22"/>
      <c r="G13" s="622"/>
      <c r="H13" s="529"/>
      <c r="I13" s="277"/>
    </row>
    <row r="14" spans="2:13" s="5" customFormat="1">
      <c r="B14" s="106">
        <v>2</v>
      </c>
      <c r="C14" s="531" t="s">
        <v>3334</v>
      </c>
      <c r="D14" s="534" t="s">
        <v>3335</v>
      </c>
      <c r="E14" s="22"/>
      <c r="F14" s="240">
        <v>12</v>
      </c>
      <c r="G14" s="623"/>
      <c r="H14" s="529">
        <f t="shared" si="0"/>
        <v>0</v>
      </c>
      <c r="J14" s="1"/>
      <c r="K14" s="1"/>
      <c r="L14" s="1"/>
      <c r="M14" s="1"/>
    </row>
    <row r="15" spans="2:13" s="5" customFormat="1">
      <c r="B15" s="106"/>
      <c r="C15" s="536"/>
      <c r="D15" s="534"/>
      <c r="E15" s="22"/>
      <c r="F15" s="240"/>
      <c r="G15" s="623"/>
      <c r="H15" s="529" t="str">
        <f t="shared" si="0"/>
        <v/>
      </c>
      <c r="J15" s="1"/>
      <c r="K15" s="1"/>
      <c r="L15" s="1"/>
      <c r="M15" s="1"/>
    </row>
    <row r="16" spans="2:13" s="5" customFormat="1">
      <c r="B16" s="106">
        <v>3</v>
      </c>
      <c r="C16" s="537" t="s">
        <v>3706</v>
      </c>
      <c r="D16" s="538"/>
      <c r="E16" s="22"/>
      <c r="F16" s="240"/>
      <c r="G16" s="623"/>
      <c r="H16" s="529" t="str">
        <f t="shared" si="0"/>
        <v/>
      </c>
      <c r="J16" s="1"/>
      <c r="K16" s="1"/>
      <c r="L16" s="1"/>
      <c r="M16" s="1"/>
    </row>
    <row r="17" spans="2:13" s="5" customFormat="1">
      <c r="B17" s="106"/>
      <c r="C17" s="537"/>
      <c r="D17" s="538"/>
      <c r="E17" s="22"/>
      <c r="F17" s="240"/>
      <c r="G17" s="623"/>
      <c r="H17" s="529" t="str">
        <f t="shared" si="0"/>
        <v/>
      </c>
      <c r="J17" s="1"/>
      <c r="K17" s="1"/>
      <c r="L17" s="1"/>
      <c r="M17" s="1"/>
    </row>
    <row r="18" spans="2:13" s="5" customFormat="1" ht="24" customHeight="1">
      <c r="B18" s="106"/>
      <c r="C18" s="38" t="s">
        <v>3707</v>
      </c>
      <c r="D18" s="538" t="s">
        <v>3708</v>
      </c>
      <c r="E18" s="22"/>
      <c r="F18" s="240">
        <v>12</v>
      </c>
      <c r="G18" s="623"/>
      <c r="H18" s="529">
        <f t="shared" si="0"/>
        <v>0</v>
      </c>
      <c r="J18" s="1"/>
      <c r="K18" s="1"/>
      <c r="L18" s="1"/>
      <c r="M18" s="1"/>
    </row>
    <row r="19" spans="2:13" s="5" customFormat="1" ht="25.5">
      <c r="B19" s="106"/>
      <c r="C19" s="539" t="s">
        <v>3709</v>
      </c>
      <c r="D19" s="540" t="s">
        <v>3708</v>
      </c>
      <c r="E19" s="22"/>
      <c r="F19" s="240">
        <v>12</v>
      </c>
      <c r="G19" s="623"/>
      <c r="H19" s="529">
        <f t="shared" si="0"/>
        <v>0</v>
      </c>
      <c r="J19" s="1"/>
      <c r="K19" s="1"/>
      <c r="L19" s="1"/>
      <c r="M19" s="1"/>
    </row>
    <row r="20" spans="2:13" s="5" customFormat="1" ht="25.5">
      <c r="B20" s="106"/>
      <c r="C20" s="539" t="s">
        <v>3710</v>
      </c>
      <c r="D20" s="533" t="s">
        <v>33</v>
      </c>
      <c r="E20" s="22"/>
      <c r="F20" s="240">
        <v>1</v>
      </c>
      <c r="G20" s="623"/>
      <c r="H20" s="529">
        <f>IF(D20="","",F20*G20)</f>
        <v>0</v>
      </c>
      <c r="J20" s="1"/>
      <c r="K20" s="1"/>
      <c r="L20" s="1"/>
      <c r="M20" s="1"/>
    </row>
    <row r="21" spans="2:13" s="5" customFormat="1">
      <c r="B21" s="106"/>
      <c r="C21" s="539"/>
      <c r="D21" s="541"/>
      <c r="E21" s="22"/>
      <c r="F21" s="240"/>
      <c r="G21" s="535"/>
      <c r="H21" s="529"/>
      <c r="J21" s="1"/>
      <c r="K21" s="1"/>
      <c r="L21" s="1"/>
      <c r="M21" s="1"/>
    </row>
    <row r="22" spans="2:13" s="5" customFormat="1">
      <c r="B22" s="106"/>
      <c r="C22" s="539"/>
      <c r="D22" s="532"/>
      <c r="E22" s="22"/>
      <c r="F22" s="240"/>
      <c r="G22" s="535"/>
      <c r="H22" s="529"/>
      <c r="J22" s="1"/>
      <c r="K22" s="1"/>
      <c r="L22" s="1"/>
      <c r="M22" s="1"/>
    </row>
    <row r="23" spans="2:13" s="5" customFormat="1">
      <c r="B23" s="106"/>
      <c r="C23" s="539"/>
      <c r="D23" s="532"/>
      <c r="E23" s="22"/>
      <c r="F23" s="240"/>
      <c r="G23" s="535"/>
      <c r="H23" s="529"/>
      <c r="J23" s="1"/>
      <c r="K23" s="1"/>
      <c r="L23" s="1"/>
      <c r="M23" s="1"/>
    </row>
    <row r="24" spans="2:13" s="5" customFormat="1">
      <c r="B24" s="106"/>
      <c r="C24" s="539"/>
      <c r="D24" s="541"/>
      <c r="E24" s="22"/>
      <c r="F24" s="240"/>
      <c r="G24" s="535"/>
      <c r="H24" s="529"/>
      <c r="J24" s="1"/>
      <c r="K24" s="1"/>
      <c r="L24" s="1"/>
      <c r="M24" s="1"/>
    </row>
    <row r="25" spans="2:13" s="5" customFormat="1">
      <c r="B25" s="106"/>
      <c r="C25" s="539"/>
      <c r="D25" s="541"/>
      <c r="E25" s="22"/>
      <c r="F25" s="240"/>
      <c r="G25" s="535"/>
      <c r="H25" s="529"/>
      <c r="J25" s="1"/>
      <c r="K25" s="1"/>
      <c r="L25" s="1"/>
      <c r="M25" s="1"/>
    </row>
    <row r="26" spans="2:13" s="5" customFormat="1">
      <c r="B26" s="106"/>
      <c r="C26" s="539"/>
      <c r="D26" s="541"/>
      <c r="E26" s="22"/>
      <c r="F26" s="240"/>
      <c r="G26" s="535"/>
      <c r="H26" s="529"/>
      <c r="J26" s="1"/>
      <c r="K26" s="1"/>
      <c r="L26" s="1"/>
      <c r="M26" s="1"/>
    </row>
    <row r="27" spans="2:13" s="5" customFormat="1">
      <c r="B27" s="106"/>
      <c r="C27" s="536"/>
      <c r="D27" s="541"/>
      <c r="E27" s="22"/>
      <c r="F27" s="240"/>
      <c r="G27" s="535"/>
      <c r="H27" s="529" t="str">
        <f t="shared" si="0"/>
        <v/>
      </c>
      <c r="J27" s="1"/>
      <c r="K27" s="1"/>
      <c r="L27" s="1"/>
      <c r="M27" s="1"/>
    </row>
    <row r="28" spans="2:13" s="5" customFormat="1">
      <c r="B28" s="106"/>
      <c r="C28" s="309"/>
      <c r="D28" s="538"/>
      <c r="E28" s="22"/>
      <c r="F28" s="240"/>
      <c r="G28" s="535"/>
      <c r="H28" s="529"/>
      <c r="J28" s="1"/>
      <c r="K28" s="1"/>
      <c r="L28" s="1"/>
      <c r="M28" s="1"/>
    </row>
    <row r="29" spans="2:13" s="5" customFormat="1">
      <c r="B29" s="106"/>
      <c r="C29" s="542"/>
      <c r="D29" s="538"/>
      <c r="E29" s="22"/>
      <c r="F29" s="240"/>
      <c r="G29" s="535"/>
      <c r="H29" s="529"/>
      <c r="J29" s="1"/>
      <c r="K29" s="1"/>
      <c r="L29" s="1"/>
      <c r="M29" s="1"/>
    </row>
    <row r="30" spans="2:13" s="5" customFormat="1">
      <c r="B30" s="106"/>
      <c r="C30" s="38"/>
      <c r="D30" s="538"/>
      <c r="E30" s="22"/>
      <c r="F30" s="240"/>
      <c r="G30" s="535"/>
      <c r="H30" s="529"/>
      <c r="J30" s="1"/>
      <c r="K30" s="1"/>
      <c r="L30" s="1"/>
      <c r="M30" s="1"/>
    </row>
    <row r="31" spans="2:13" s="5" customFormat="1">
      <c r="B31" s="106"/>
      <c r="C31" s="38"/>
      <c r="D31" s="543"/>
      <c r="E31" s="22"/>
      <c r="F31" s="240"/>
      <c r="G31" s="535"/>
      <c r="H31" s="529"/>
      <c r="J31" s="1"/>
      <c r="K31" s="1"/>
      <c r="L31" s="1"/>
      <c r="M31" s="1"/>
    </row>
    <row r="32" spans="2:13" s="5" customFormat="1">
      <c r="B32" s="106"/>
      <c r="C32" s="544"/>
      <c r="D32" s="543"/>
      <c r="E32" s="22"/>
      <c r="F32" s="240"/>
      <c r="G32" s="535"/>
      <c r="H32" s="529"/>
      <c r="J32" s="1"/>
      <c r="K32" s="1"/>
      <c r="L32" s="1"/>
      <c r="M32" s="1"/>
    </row>
    <row r="33" spans="2:13" s="5" customFormat="1">
      <c r="B33" s="106"/>
      <c r="C33" s="544"/>
      <c r="D33" s="543"/>
      <c r="E33" s="22"/>
      <c r="F33" s="240"/>
      <c r="G33" s="535"/>
      <c r="H33" s="529"/>
      <c r="J33" s="1"/>
      <c r="K33" s="1"/>
      <c r="L33" s="1"/>
      <c r="M33" s="1"/>
    </row>
    <row r="34" spans="2:13" s="5" customFormat="1">
      <c r="B34" s="106"/>
      <c r="C34" s="544"/>
      <c r="D34" s="543"/>
      <c r="E34" s="22"/>
      <c r="F34" s="240"/>
      <c r="G34" s="535"/>
      <c r="H34" s="529"/>
      <c r="J34" s="1"/>
      <c r="K34" s="1"/>
      <c r="L34" s="1"/>
      <c r="M34" s="1"/>
    </row>
    <row r="35" spans="2:13" s="5" customFormat="1">
      <c r="B35" s="106"/>
      <c r="C35" s="544"/>
      <c r="D35" s="543"/>
      <c r="E35" s="22"/>
      <c r="F35" s="240"/>
      <c r="G35" s="535"/>
      <c r="H35" s="529"/>
      <c r="J35" s="1"/>
      <c r="K35" s="1"/>
      <c r="L35" s="1"/>
      <c r="M35" s="1"/>
    </row>
    <row r="36" spans="2:13" s="5" customFormat="1">
      <c r="B36" s="106"/>
      <c r="C36" s="544"/>
      <c r="D36" s="543"/>
      <c r="E36" s="22"/>
      <c r="F36" s="240"/>
      <c r="G36" s="535"/>
      <c r="H36" s="529"/>
      <c r="J36" s="1"/>
      <c r="K36" s="1"/>
      <c r="L36" s="1"/>
      <c r="M36" s="1"/>
    </row>
    <row r="37" spans="2:13" s="5" customFormat="1">
      <c r="B37" s="106"/>
      <c r="C37" s="544"/>
      <c r="D37" s="543"/>
      <c r="E37" s="22"/>
      <c r="F37" s="240"/>
      <c r="G37" s="535"/>
      <c r="H37" s="529"/>
      <c r="J37" s="1"/>
      <c r="K37" s="1"/>
      <c r="L37" s="1"/>
      <c r="M37" s="1"/>
    </row>
    <row r="38" spans="2:13" s="5" customFormat="1">
      <c r="B38" s="106"/>
      <c r="C38" s="309"/>
      <c r="D38" s="543"/>
      <c r="E38" s="22"/>
      <c r="F38" s="240"/>
      <c r="G38" s="535"/>
      <c r="H38" s="529"/>
      <c r="J38" s="1"/>
      <c r="K38" s="1"/>
      <c r="L38" s="1"/>
      <c r="M38" s="1"/>
    </row>
    <row r="39" spans="2:13" s="5" customFormat="1">
      <c r="B39" s="106"/>
      <c r="C39" s="537"/>
      <c r="D39" s="543"/>
      <c r="E39" s="22"/>
      <c r="F39" s="240"/>
      <c r="G39" s="535"/>
      <c r="H39" s="529"/>
      <c r="J39" s="1"/>
      <c r="K39" s="1"/>
      <c r="L39" s="1"/>
      <c r="M39" s="1"/>
    </row>
    <row r="40" spans="2:13" s="5" customFormat="1">
      <c r="B40" s="106"/>
      <c r="C40" s="309"/>
      <c r="D40" s="543"/>
      <c r="E40" s="22"/>
      <c r="F40" s="240"/>
      <c r="G40" s="535"/>
      <c r="H40" s="529"/>
      <c r="J40" s="1"/>
      <c r="K40" s="1"/>
      <c r="L40" s="1"/>
      <c r="M40" s="1"/>
    </row>
    <row r="41" spans="2:13" s="5" customFormat="1">
      <c r="B41" s="106"/>
      <c r="C41" s="309"/>
      <c r="D41" s="543"/>
      <c r="E41" s="22"/>
      <c r="F41" s="240"/>
      <c r="G41" s="535"/>
      <c r="H41" s="529"/>
      <c r="J41" s="1"/>
      <c r="K41" s="1"/>
      <c r="L41" s="1"/>
      <c r="M41" s="1"/>
    </row>
    <row r="42" spans="2:13" s="5" customFormat="1">
      <c r="B42" s="106"/>
      <c r="C42" s="1"/>
      <c r="D42" s="22"/>
      <c r="E42" s="22"/>
      <c r="F42" s="240"/>
      <c r="G42" s="535"/>
      <c r="H42" s="529"/>
      <c r="J42" s="1"/>
      <c r="K42" s="1"/>
      <c r="L42" s="1"/>
      <c r="M42" s="1"/>
    </row>
    <row r="43" spans="2:13" s="5" customFormat="1">
      <c r="B43" s="106"/>
      <c r="C43" s="1"/>
      <c r="D43" s="22"/>
      <c r="E43" s="22"/>
      <c r="F43" s="240"/>
      <c r="G43" s="535"/>
      <c r="H43" s="529"/>
      <c r="J43" s="1"/>
      <c r="K43" s="1"/>
      <c r="L43" s="1"/>
      <c r="M43" s="1"/>
    </row>
    <row r="44" spans="2:13" s="5" customFormat="1">
      <c r="B44" s="106"/>
      <c r="C44" s="1"/>
      <c r="D44" s="22"/>
      <c r="E44" s="22"/>
      <c r="F44" s="240"/>
      <c r="G44" s="535"/>
      <c r="H44" s="529" t="str">
        <f t="shared" si="0"/>
        <v/>
      </c>
      <c r="J44" s="1"/>
      <c r="K44" s="1"/>
      <c r="L44" s="1"/>
      <c r="M44" s="1"/>
    </row>
    <row r="45" spans="2:13" s="5" customFormat="1">
      <c r="B45" s="106"/>
      <c r="C45" s="1"/>
      <c r="D45" s="22"/>
      <c r="E45" s="22"/>
      <c r="F45" s="240"/>
      <c r="G45" s="535"/>
      <c r="H45" s="529" t="str">
        <f t="shared" si="0"/>
        <v/>
      </c>
      <c r="J45" s="1"/>
      <c r="K45" s="1"/>
      <c r="L45" s="1"/>
      <c r="M45" s="1"/>
    </row>
    <row r="46" spans="2:13" s="5" customFormat="1">
      <c r="B46" s="106"/>
      <c r="C46" s="1"/>
      <c r="D46" s="22"/>
      <c r="E46" s="22"/>
      <c r="F46" s="240"/>
      <c r="G46" s="535"/>
      <c r="H46" s="529" t="str">
        <f t="shared" si="0"/>
        <v/>
      </c>
      <c r="J46" s="1"/>
      <c r="K46" s="1"/>
      <c r="L46" s="1"/>
      <c r="M46" s="1"/>
    </row>
    <row r="47" spans="2:13" s="5" customFormat="1">
      <c r="B47" s="106"/>
      <c r="C47" s="1"/>
      <c r="D47" s="22"/>
      <c r="E47" s="22"/>
      <c r="F47" s="240"/>
      <c r="G47" s="535"/>
      <c r="H47" s="529" t="str">
        <f t="shared" si="0"/>
        <v/>
      </c>
      <c r="J47" s="1"/>
      <c r="K47" s="1"/>
      <c r="L47" s="1"/>
      <c r="M47" s="1"/>
    </row>
    <row r="48" spans="2:13" s="5" customFormat="1">
      <c r="B48" s="106"/>
      <c r="C48" s="1"/>
      <c r="D48" s="22"/>
      <c r="E48" s="22"/>
      <c r="F48" s="240"/>
      <c r="G48" s="535"/>
      <c r="H48" s="529" t="str">
        <f t="shared" si="0"/>
        <v/>
      </c>
      <c r="J48" s="1"/>
      <c r="K48" s="1"/>
      <c r="L48" s="1"/>
      <c r="M48" s="1"/>
    </row>
    <row r="49" spans="2:13" s="5" customFormat="1">
      <c r="B49" s="106"/>
      <c r="C49" s="1"/>
      <c r="D49" s="22"/>
      <c r="E49" s="22"/>
      <c r="F49" s="240"/>
      <c r="G49" s="535"/>
      <c r="H49" s="529" t="str">
        <f t="shared" si="0"/>
        <v/>
      </c>
      <c r="J49" s="1"/>
      <c r="K49" s="1"/>
      <c r="L49" s="1"/>
      <c r="M49" s="1"/>
    </row>
    <row r="50" spans="2:13" s="28" customFormat="1" ht="19.5" customHeight="1">
      <c r="B50" s="82" t="str">
        <f>$B$10</f>
        <v>P&amp;G</v>
      </c>
      <c r="C50" s="29" t="s">
        <v>125</v>
      </c>
      <c r="D50" s="30"/>
      <c r="E50" s="30"/>
      <c r="F50" s="31"/>
      <c r="G50" s="31"/>
      <c r="H50" s="359">
        <f>SUM(H7:H49)</f>
        <v>0</v>
      </c>
      <c r="I50" s="236"/>
    </row>
  </sheetData>
  <sheetProtection algorithmName="SHA-512" hashValue="VsJHgcaMk8K2jJqlRjZIVFdTBEbZbqLwmAc+OTNi7/g9emwHlxXSvXegiRTzCTcZqeBC+HjSEh2IY/jwjDhIiw==" saltValue="GTwyAlF8lRe/OyCo+hT/sQ==" spinCount="100000" sheet="1" objects="1" scenarios="1"/>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KATEY &amp; TEMPLER CONSULTING ENGINEERS&amp;R&amp;"Arial,Bold Italic"
</oddHeader>
    <oddFooter>&amp;C&amp;F</oddFooter>
  </headerFooter>
  <legacyDrawingHF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593C-24B8-4A37-A9AF-EB6BBF5AEFCB}">
  <sheetPr>
    <tabColor rgb="FF92D050"/>
  </sheetPr>
  <dimension ref="B1:S135"/>
  <sheetViews>
    <sheetView view="pageBreakPreview" topLeftCell="A54" zoomScaleNormal="70" zoomScaleSheetLayoutView="100" workbookViewId="0">
      <selection activeCell="G75" sqref="G75"/>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3.7109375" style="4" customWidth="1"/>
    <col min="7" max="7" width="16.28515625" style="4" customWidth="1"/>
    <col min="8" max="8" width="20.85546875" style="4" customWidth="1"/>
    <col min="9" max="9" width="0.85546875" style="5" customWidth="1"/>
    <col min="10" max="12" width="0" style="1" hidden="1" customWidth="1"/>
    <col min="13" max="13" width="17" style="1" hidden="1" customWidth="1"/>
    <col min="14" max="53" width="0" style="1" hidden="1" customWidth="1"/>
    <col min="54" max="16384" width="6.85546875" style="1"/>
  </cols>
  <sheetData>
    <row r="1" spans="2:11">
      <c r="B1" s="2" t="str">
        <f>Client1</f>
        <v>AIRPORTS COMPANY - SOUTH AFRICA</v>
      </c>
      <c r="F1" s="676" t="str">
        <f>"Contract No. "&amp;ContractNo</f>
        <v>Contract No. KSIA7806/2025/RFP</v>
      </c>
      <c r="G1" s="676"/>
      <c r="H1" s="676"/>
    </row>
    <row r="2" spans="2:11">
      <c r="B2" s="90" t="str">
        <f>Client2</f>
        <v>ACSA</v>
      </c>
    </row>
    <row r="3" spans="2:11">
      <c r="B3" s="71"/>
      <c r="C3" s="71"/>
      <c r="D3" s="72"/>
      <c r="E3" s="72"/>
      <c r="F3" s="72"/>
      <c r="G3" s="72"/>
      <c r="H3" s="72"/>
    </row>
    <row r="4" spans="2:11">
      <c r="B4" s="695"/>
      <c r="C4" s="696"/>
      <c r="D4" s="696"/>
      <c r="E4" s="696"/>
      <c r="F4" s="696"/>
      <c r="G4" s="696"/>
      <c r="H4" s="770" t="str">
        <f>"CHAPTER "&amp;B10</f>
        <v>CHAPTER PSS1</v>
      </c>
      <c r="I4" s="6"/>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11" ht="12.75" customHeight="1">
      <c r="B6" s="690"/>
      <c r="C6" s="691"/>
      <c r="D6" s="691"/>
      <c r="E6" s="691"/>
      <c r="F6" s="691"/>
      <c r="G6" s="691"/>
      <c r="H6" s="771"/>
      <c r="I6" s="8"/>
    </row>
    <row r="7" spans="2:11" ht="17.25" customHeight="1">
      <c r="B7" s="692"/>
      <c r="C7" s="693"/>
      <c r="D7" s="693"/>
      <c r="E7" s="693"/>
      <c r="F7" s="693"/>
      <c r="G7" s="693"/>
      <c r="H7" s="772"/>
      <c r="I7" s="8"/>
    </row>
    <row r="8" spans="2:11" s="9" customFormat="1" ht="24.95" customHeight="1">
      <c r="B8" s="10" t="s">
        <v>11</v>
      </c>
      <c r="C8" s="11" t="s">
        <v>12</v>
      </c>
      <c r="D8" s="11" t="s">
        <v>13</v>
      </c>
      <c r="E8" s="11" t="s">
        <v>14</v>
      </c>
      <c r="F8" s="11" t="s">
        <v>15</v>
      </c>
      <c r="G8" s="11" t="s">
        <v>16</v>
      </c>
      <c r="H8" s="11" t="s">
        <v>17</v>
      </c>
      <c r="I8" s="12"/>
      <c r="K8" s="546" t="s">
        <v>3711</v>
      </c>
    </row>
    <row r="9" spans="2:11">
      <c r="B9" s="105"/>
      <c r="C9" s="52"/>
      <c r="D9" s="78"/>
      <c r="E9" s="15"/>
      <c r="F9" s="15"/>
      <c r="G9" s="15"/>
      <c r="H9" s="558" t="str">
        <f>IF(D9="","",F9*G9)</f>
        <v/>
      </c>
      <c r="I9" s="239"/>
    </row>
    <row r="10" spans="2:11" ht="25.5">
      <c r="B10" s="559" t="s">
        <v>3712</v>
      </c>
      <c r="C10" s="7" t="s">
        <v>3713</v>
      </c>
      <c r="D10" s="15"/>
      <c r="E10" s="15"/>
      <c r="F10" s="15"/>
      <c r="G10" s="15"/>
      <c r="H10" s="529" t="str">
        <f t="shared" ref="H10:H134" si="0">IF(D10="","",F10*G10)</f>
        <v/>
      </c>
      <c r="I10" s="239"/>
    </row>
    <row r="11" spans="2:11">
      <c r="B11" s="559"/>
      <c r="C11" s="7"/>
      <c r="D11" s="15"/>
      <c r="E11" s="15"/>
      <c r="F11" s="15"/>
      <c r="G11" s="15"/>
      <c r="H11" s="529"/>
      <c r="I11" s="239"/>
    </row>
    <row r="12" spans="2:11" ht="25.5">
      <c r="B12" s="559"/>
      <c r="C12" s="52" t="s">
        <v>3714</v>
      </c>
      <c r="D12" s="15"/>
      <c r="E12" s="15"/>
      <c r="F12" s="15"/>
      <c r="G12" s="324"/>
      <c r="H12" s="529"/>
      <c r="I12" s="239"/>
    </row>
    <row r="13" spans="2:11">
      <c r="B13" s="59"/>
      <c r="C13" s="52"/>
      <c r="D13" s="15"/>
      <c r="E13" s="15"/>
      <c r="F13" s="15"/>
      <c r="G13" s="324"/>
      <c r="H13" s="529" t="str">
        <f t="shared" si="0"/>
        <v/>
      </c>
      <c r="I13" s="239"/>
    </row>
    <row r="14" spans="2:11">
      <c r="B14" s="59" t="s">
        <v>3715</v>
      </c>
      <c r="C14" s="7" t="s">
        <v>3716</v>
      </c>
      <c r="D14" s="22"/>
      <c r="E14" s="22"/>
      <c r="F14" s="22"/>
      <c r="G14" s="324"/>
      <c r="H14" s="529" t="str">
        <f t="shared" si="0"/>
        <v/>
      </c>
      <c r="I14" s="277"/>
    </row>
    <row r="15" spans="2:11">
      <c r="B15" s="59"/>
      <c r="C15" s="7"/>
      <c r="D15" s="22"/>
      <c r="E15" s="22"/>
      <c r="F15" s="22"/>
      <c r="G15" s="324"/>
      <c r="H15" s="529"/>
      <c r="I15" s="277"/>
    </row>
    <row r="16" spans="2:11">
      <c r="B16" s="59"/>
      <c r="C16" s="3" t="s">
        <v>3717</v>
      </c>
      <c r="D16" s="22"/>
      <c r="E16" s="22"/>
      <c r="F16" s="22"/>
      <c r="G16" s="324"/>
      <c r="H16" s="529"/>
      <c r="I16" s="277"/>
    </row>
    <row r="17" spans="2:13">
      <c r="B17" s="59" t="s">
        <v>271</v>
      </c>
      <c r="C17" s="7" t="s">
        <v>3718</v>
      </c>
      <c r="D17" s="22"/>
      <c r="E17" s="22"/>
      <c r="F17" s="22"/>
      <c r="G17" s="535"/>
      <c r="H17" s="529"/>
      <c r="I17" s="277"/>
    </row>
    <row r="18" spans="2:13">
      <c r="B18" s="59"/>
      <c r="C18" s="55" t="s">
        <v>3719</v>
      </c>
      <c r="D18" s="22" t="s">
        <v>347</v>
      </c>
      <c r="E18" s="22"/>
      <c r="F18" s="240">
        <v>802</v>
      </c>
      <c r="G18" s="623"/>
      <c r="H18" s="529">
        <f t="shared" ref="H18:H26" si="1">IF(D18="","",F18*G18)</f>
        <v>0</v>
      </c>
      <c r="I18" s="277"/>
      <c r="K18" s="560" t="s">
        <v>3720</v>
      </c>
    </row>
    <row r="19" spans="2:13">
      <c r="B19" s="339"/>
      <c r="C19" s="55"/>
      <c r="D19" s="22"/>
      <c r="E19" s="22"/>
      <c r="F19" s="240"/>
      <c r="G19" s="623"/>
      <c r="H19" s="529" t="str">
        <f t="shared" si="1"/>
        <v/>
      </c>
      <c r="I19" s="278"/>
    </row>
    <row r="20" spans="2:13">
      <c r="B20" s="339" t="s">
        <v>273</v>
      </c>
      <c r="C20" s="561" t="s">
        <v>3721</v>
      </c>
      <c r="D20" s="22"/>
      <c r="E20" s="22"/>
      <c r="F20" s="240"/>
      <c r="G20" s="623"/>
      <c r="H20" s="529" t="str">
        <f t="shared" si="1"/>
        <v/>
      </c>
      <c r="I20" s="278"/>
    </row>
    <row r="21" spans="2:13">
      <c r="B21" s="339"/>
      <c r="C21" s="55" t="s">
        <v>3722</v>
      </c>
      <c r="D21" s="22" t="s">
        <v>347</v>
      </c>
      <c r="E21" s="22"/>
      <c r="F21" s="240">
        <f>F18</f>
        <v>802</v>
      </c>
      <c r="G21" s="623"/>
      <c r="H21" s="529">
        <f t="shared" si="1"/>
        <v>0</v>
      </c>
      <c r="I21" s="278"/>
      <c r="M21" s="306">
        <f>H18+H21+H24+H27+H30+H36+H43</f>
        <v>0</v>
      </c>
    </row>
    <row r="22" spans="2:13">
      <c r="B22" s="340"/>
      <c r="D22" s="22"/>
      <c r="E22" s="22"/>
      <c r="F22" s="240"/>
      <c r="G22" s="623"/>
      <c r="H22" s="529" t="str">
        <f t="shared" si="1"/>
        <v/>
      </c>
      <c r="I22" s="278"/>
      <c r="M22" s="306">
        <f>M21/2</f>
        <v>0</v>
      </c>
    </row>
    <row r="23" spans="2:13">
      <c r="B23" s="339" t="s">
        <v>1422</v>
      </c>
      <c r="C23" s="561" t="s">
        <v>3723</v>
      </c>
      <c r="D23" s="22"/>
      <c r="E23" s="22"/>
      <c r="F23" s="240"/>
      <c r="G23" s="623"/>
      <c r="H23" s="529" t="str">
        <f t="shared" si="1"/>
        <v/>
      </c>
      <c r="I23" s="278"/>
    </row>
    <row r="24" spans="2:13">
      <c r="B24" s="339"/>
      <c r="C24" s="55" t="s">
        <v>3724</v>
      </c>
      <c r="D24" s="22" t="s">
        <v>347</v>
      </c>
      <c r="E24" s="22"/>
      <c r="F24" s="240">
        <v>802</v>
      </c>
      <c r="G24" s="623"/>
      <c r="H24" s="529">
        <f t="shared" si="1"/>
        <v>0</v>
      </c>
      <c r="I24" s="278"/>
    </row>
    <row r="25" spans="2:13">
      <c r="B25" s="340"/>
      <c r="D25" s="22"/>
      <c r="E25" s="22"/>
      <c r="F25" s="240"/>
      <c r="G25" s="623"/>
      <c r="H25" s="529" t="str">
        <f t="shared" si="1"/>
        <v/>
      </c>
      <c r="I25" s="278"/>
    </row>
    <row r="26" spans="2:13">
      <c r="B26" s="339" t="s">
        <v>3725</v>
      </c>
      <c r="C26" s="28" t="s">
        <v>3726</v>
      </c>
      <c r="D26" s="22"/>
      <c r="E26" s="22"/>
      <c r="F26" s="240"/>
      <c r="G26" s="623"/>
      <c r="H26" s="529" t="str">
        <f t="shared" si="1"/>
        <v/>
      </c>
      <c r="I26" s="277"/>
    </row>
    <row r="27" spans="2:13">
      <c r="B27" s="339"/>
      <c r="C27" s="3" t="s">
        <v>3727</v>
      </c>
      <c r="D27" s="22" t="s">
        <v>3250</v>
      </c>
      <c r="E27" s="22"/>
      <c r="F27" s="240">
        <v>6</v>
      </c>
      <c r="G27" s="623"/>
      <c r="H27" s="529">
        <f t="shared" si="0"/>
        <v>0</v>
      </c>
    </row>
    <row r="28" spans="2:13">
      <c r="B28" s="339"/>
      <c r="D28" s="22"/>
      <c r="E28" s="22"/>
      <c r="F28" s="240"/>
      <c r="G28" s="623"/>
      <c r="H28" s="529"/>
    </row>
    <row r="29" spans="2:13">
      <c r="B29" s="339" t="s">
        <v>3728</v>
      </c>
      <c r="C29" s="28" t="s">
        <v>3729</v>
      </c>
      <c r="D29" s="22"/>
      <c r="E29" s="22"/>
      <c r="F29" s="240"/>
      <c r="G29" s="623"/>
      <c r="H29" s="529" t="str">
        <f t="shared" si="0"/>
        <v/>
      </c>
    </row>
    <row r="30" spans="2:13">
      <c r="B30" s="339"/>
      <c r="C30" s="1" t="s">
        <v>3727</v>
      </c>
      <c r="D30" s="22" t="s">
        <v>3250</v>
      </c>
      <c r="E30" s="22"/>
      <c r="F30" s="240">
        <v>4</v>
      </c>
      <c r="G30" s="623"/>
      <c r="H30" s="529">
        <f t="shared" si="0"/>
        <v>0</v>
      </c>
    </row>
    <row r="31" spans="2:13">
      <c r="B31" s="339"/>
      <c r="C31" s="1"/>
      <c r="D31" s="22"/>
      <c r="E31" s="22"/>
      <c r="F31" s="240"/>
      <c r="G31" s="623"/>
      <c r="H31" s="529" t="str">
        <f t="shared" si="0"/>
        <v/>
      </c>
    </row>
    <row r="32" spans="2:13">
      <c r="B32" s="339" t="s">
        <v>3730</v>
      </c>
      <c r="C32" s="28" t="s">
        <v>3731</v>
      </c>
      <c r="D32" s="22"/>
      <c r="E32" s="22"/>
      <c r="F32" s="240"/>
      <c r="G32" s="623"/>
      <c r="H32" s="529" t="str">
        <f t="shared" si="0"/>
        <v/>
      </c>
    </row>
    <row r="33" spans="2:13">
      <c r="B33" s="339"/>
      <c r="C33" s="28"/>
      <c r="D33" s="22"/>
      <c r="E33" s="22"/>
      <c r="F33" s="240"/>
      <c r="G33" s="623"/>
      <c r="H33" s="529"/>
    </row>
    <row r="34" spans="2:13" ht="25.5">
      <c r="B34" s="339"/>
      <c r="C34" s="51" t="s">
        <v>3732</v>
      </c>
      <c r="D34" s="22"/>
      <c r="E34" s="22"/>
      <c r="F34" s="240"/>
      <c r="G34" s="623"/>
      <c r="H34" s="529"/>
    </row>
    <row r="35" spans="2:13" ht="25.5">
      <c r="B35" s="339"/>
      <c r="C35" s="51" t="s">
        <v>3733</v>
      </c>
      <c r="D35" s="22"/>
      <c r="E35" s="22"/>
      <c r="F35" s="240"/>
      <c r="G35" s="623"/>
      <c r="H35" s="529" t="str">
        <f t="shared" si="0"/>
        <v/>
      </c>
    </row>
    <row r="36" spans="2:13">
      <c r="B36" s="339"/>
      <c r="C36" s="55" t="s">
        <v>3719</v>
      </c>
      <c r="D36" s="22" t="s">
        <v>3250</v>
      </c>
      <c r="E36" s="22" t="s">
        <v>14</v>
      </c>
      <c r="F36" s="240">
        <f>ROUNDUP(F18/6,0)</f>
        <v>134</v>
      </c>
      <c r="G36" s="623"/>
      <c r="H36" s="529">
        <f t="shared" si="0"/>
        <v>0</v>
      </c>
    </row>
    <row r="37" spans="2:13">
      <c r="B37" s="339"/>
      <c r="C37" s="1"/>
      <c r="D37" s="22"/>
      <c r="E37" s="22"/>
      <c r="F37" s="240"/>
      <c r="G37" s="623"/>
      <c r="H37" s="529" t="str">
        <f t="shared" si="0"/>
        <v/>
      </c>
    </row>
    <row r="38" spans="2:13">
      <c r="B38" s="339" t="s">
        <v>3734</v>
      </c>
      <c r="C38" s="28" t="s">
        <v>3735</v>
      </c>
      <c r="D38" s="22"/>
      <c r="E38" s="22"/>
      <c r="F38" s="240"/>
      <c r="G38" s="623"/>
      <c r="H38" s="529" t="str">
        <f t="shared" si="0"/>
        <v/>
      </c>
      <c r="K38" s="560" t="s">
        <v>3736</v>
      </c>
    </row>
    <row r="39" spans="2:13">
      <c r="B39" s="339"/>
      <c r="C39" s="28"/>
      <c r="D39" s="22"/>
      <c r="E39" s="22"/>
      <c r="F39" s="240"/>
      <c r="G39" s="623"/>
      <c r="H39" s="529"/>
    </row>
    <row r="40" spans="2:13" ht="34.5" customHeight="1">
      <c r="B40" s="339"/>
      <c r="C40" s="51" t="s">
        <v>3733</v>
      </c>
      <c r="D40" s="22"/>
      <c r="E40" s="22"/>
      <c r="F40" s="240"/>
      <c r="G40" s="623"/>
      <c r="H40" s="529" t="str">
        <f t="shared" si="0"/>
        <v/>
      </c>
    </row>
    <row r="41" spans="2:13" ht="25.5">
      <c r="B41" s="339"/>
      <c r="C41" s="562" t="s">
        <v>3737</v>
      </c>
      <c r="D41" s="22"/>
      <c r="E41" s="22"/>
      <c r="F41" s="240"/>
      <c r="G41" s="623"/>
      <c r="H41" s="529"/>
    </row>
    <row r="42" spans="2:13" ht="25.5">
      <c r="B42" s="339"/>
      <c r="C42" s="51" t="s">
        <v>3738</v>
      </c>
      <c r="D42" s="22"/>
      <c r="E42" s="22"/>
      <c r="F42" s="240"/>
      <c r="G42" s="623"/>
      <c r="H42" s="529"/>
    </row>
    <row r="43" spans="2:13">
      <c r="B43" s="339"/>
      <c r="C43" s="55" t="s">
        <v>3719</v>
      </c>
      <c r="D43" s="22" t="s">
        <v>3250</v>
      </c>
      <c r="E43" s="22" t="s">
        <v>14</v>
      </c>
      <c r="F43" s="240">
        <v>110</v>
      </c>
      <c r="G43" s="623"/>
      <c r="H43" s="529">
        <f>IF(D43="","",F43*G43)</f>
        <v>0</v>
      </c>
    </row>
    <row r="44" spans="2:13">
      <c r="B44" s="339"/>
      <c r="C44" s="1"/>
      <c r="D44" s="22"/>
      <c r="E44" s="22"/>
      <c r="F44" s="240"/>
      <c r="G44" s="623"/>
      <c r="H44" s="529"/>
    </row>
    <row r="45" spans="2:13">
      <c r="B45" s="339" t="s">
        <v>3739</v>
      </c>
      <c r="C45" s="28" t="s">
        <v>3740</v>
      </c>
      <c r="D45" s="563"/>
      <c r="E45" s="22"/>
      <c r="F45" s="240"/>
      <c r="G45" s="623"/>
      <c r="H45" s="529" t="str">
        <f t="shared" si="0"/>
        <v/>
      </c>
      <c r="K45" s="560" t="s">
        <v>3736</v>
      </c>
    </row>
    <row r="46" spans="2:13">
      <c r="B46" s="339"/>
      <c r="C46" s="28"/>
      <c r="D46" s="563"/>
      <c r="E46" s="22"/>
      <c r="F46" s="240"/>
      <c r="G46" s="623"/>
      <c r="H46" s="529"/>
    </row>
    <row r="47" spans="2:13" ht="25.5">
      <c r="B47" s="339"/>
      <c r="C47" s="562" t="s">
        <v>3737</v>
      </c>
      <c r="D47" s="563"/>
      <c r="E47" s="22"/>
      <c r="F47" s="240"/>
      <c r="G47" s="623"/>
      <c r="H47" s="529"/>
    </row>
    <row r="48" spans="2:13" ht="25.5">
      <c r="B48" s="339"/>
      <c r="C48" s="51" t="s">
        <v>3738</v>
      </c>
      <c r="D48" s="563"/>
      <c r="E48" s="22"/>
      <c r="F48" s="240"/>
      <c r="G48" s="623"/>
      <c r="H48" s="529"/>
      <c r="M48" s="306">
        <f>H43+H50+H53+H62+H63</f>
        <v>0</v>
      </c>
    </row>
    <row r="49" spans="2:11" ht="25.5">
      <c r="B49" s="339"/>
      <c r="C49" s="51" t="s">
        <v>3741</v>
      </c>
      <c r="D49" s="563"/>
      <c r="E49" s="22"/>
      <c r="F49" s="240"/>
      <c r="G49" s="623"/>
      <c r="H49" s="529" t="str">
        <f t="shared" si="0"/>
        <v/>
      </c>
    </row>
    <row r="50" spans="2:11">
      <c r="B50" s="339" t="s">
        <v>83</v>
      </c>
      <c r="C50" s="1" t="s">
        <v>3742</v>
      </c>
      <c r="D50" s="22" t="s">
        <v>33</v>
      </c>
      <c r="E50" s="22" t="s">
        <v>14</v>
      </c>
      <c r="F50" s="240">
        <v>1</v>
      </c>
      <c r="G50" s="623"/>
      <c r="H50" s="529">
        <f t="shared" si="0"/>
        <v>0</v>
      </c>
    </row>
    <row r="51" spans="2:11" ht="25.5">
      <c r="B51" s="339"/>
      <c r="C51" s="51" t="s">
        <v>3743</v>
      </c>
      <c r="D51" s="22"/>
      <c r="E51" s="22"/>
      <c r="F51" s="240"/>
      <c r="G51" s="623"/>
      <c r="H51" s="529" t="str">
        <f t="shared" si="0"/>
        <v/>
      </c>
    </row>
    <row r="52" spans="2:11">
      <c r="B52" s="339"/>
      <c r="C52" s="1"/>
      <c r="D52" s="22"/>
      <c r="E52" s="22"/>
      <c r="F52" s="240"/>
      <c r="G52" s="623"/>
      <c r="H52" s="529" t="str">
        <f t="shared" si="0"/>
        <v/>
      </c>
    </row>
    <row r="53" spans="2:11">
      <c r="B53" s="339" t="s">
        <v>86</v>
      </c>
      <c r="C53" s="1" t="s">
        <v>3742</v>
      </c>
      <c r="D53" s="22" t="s">
        <v>33</v>
      </c>
      <c r="E53" s="22" t="s">
        <v>14</v>
      </c>
      <c r="F53" s="240">
        <v>1</v>
      </c>
      <c r="G53" s="623"/>
      <c r="H53" s="529">
        <f t="shared" si="0"/>
        <v>0</v>
      </c>
    </row>
    <row r="54" spans="2:11" ht="25.5">
      <c r="B54" s="339"/>
      <c r="C54" s="51" t="s">
        <v>3743</v>
      </c>
      <c r="D54" s="22"/>
      <c r="E54" s="22"/>
      <c r="F54" s="240"/>
      <c r="G54" s="623"/>
      <c r="H54" s="529" t="str">
        <f t="shared" si="0"/>
        <v/>
      </c>
    </row>
    <row r="55" spans="2:11">
      <c r="B55" s="339"/>
      <c r="C55" s="1"/>
      <c r="D55" s="22"/>
      <c r="E55" s="22"/>
      <c r="F55" s="240"/>
      <c r="G55" s="623"/>
      <c r="H55" s="529" t="str">
        <f t="shared" si="0"/>
        <v/>
      </c>
    </row>
    <row r="56" spans="2:11" ht="25.5">
      <c r="B56" s="339" t="s">
        <v>3744</v>
      </c>
      <c r="C56" s="56" t="s">
        <v>3745</v>
      </c>
      <c r="D56" s="22"/>
      <c r="E56" s="22"/>
      <c r="F56" s="240"/>
      <c r="G56" s="623"/>
      <c r="H56" s="529" t="str">
        <f t="shared" si="0"/>
        <v/>
      </c>
      <c r="K56" s="560" t="s">
        <v>3746</v>
      </c>
    </row>
    <row r="57" spans="2:11">
      <c r="B57" s="339"/>
      <c r="C57" s="56"/>
      <c r="D57" s="22"/>
      <c r="E57" s="22"/>
      <c r="F57" s="240"/>
      <c r="G57" s="623"/>
      <c r="H57" s="529"/>
    </row>
    <row r="58" spans="2:11" ht="25.5">
      <c r="B58" s="339"/>
      <c r="C58" s="51" t="s">
        <v>3747</v>
      </c>
      <c r="D58" s="22"/>
      <c r="E58" s="22"/>
      <c r="F58" s="240"/>
      <c r="G58" s="623"/>
      <c r="H58" s="529"/>
    </row>
    <row r="59" spans="2:11" ht="25.5">
      <c r="B59" s="339"/>
      <c r="C59" s="51" t="s">
        <v>3738</v>
      </c>
      <c r="D59" s="22"/>
      <c r="E59" s="22"/>
      <c r="F59" s="240"/>
      <c r="G59" s="623"/>
      <c r="H59" s="529"/>
    </row>
    <row r="60" spans="2:11" ht="25.5">
      <c r="B60" s="339"/>
      <c r="C60" s="51" t="s">
        <v>3741</v>
      </c>
      <c r="D60" s="22"/>
      <c r="E60" s="22"/>
      <c r="F60" s="240"/>
      <c r="G60" s="623"/>
      <c r="H60" s="529"/>
    </row>
    <row r="61" spans="2:11">
      <c r="B61" s="339"/>
      <c r="C61" s="51" t="s">
        <v>3748</v>
      </c>
      <c r="D61" s="22"/>
      <c r="E61" s="22"/>
      <c r="F61" s="240"/>
      <c r="G61" s="623"/>
      <c r="H61" s="529"/>
    </row>
    <row r="62" spans="2:11">
      <c r="B62" s="339" t="s">
        <v>271</v>
      </c>
      <c r="C62" s="1" t="s">
        <v>3749</v>
      </c>
      <c r="D62" s="22" t="s">
        <v>33</v>
      </c>
      <c r="E62" s="22" t="s">
        <v>14</v>
      </c>
      <c r="F62" s="240">
        <v>1</v>
      </c>
      <c r="G62" s="623"/>
      <c r="H62" s="529">
        <f t="shared" si="0"/>
        <v>0</v>
      </c>
    </row>
    <row r="63" spans="2:11">
      <c r="B63" s="339" t="s">
        <v>273</v>
      </c>
      <c r="C63" s="1" t="s">
        <v>3750</v>
      </c>
      <c r="D63" s="22" t="s">
        <v>33</v>
      </c>
      <c r="E63" s="22" t="s">
        <v>14</v>
      </c>
      <c r="F63" s="240">
        <v>1</v>
      </c>
      <c r="G63" s="623"/>
      <c r="H63" s="529">
        <f t="shared" si="0"/>
        <v>0</v>
      </c>
    </row>
    <row r="64" spans="2:11">
      <c r="B64" s="339"/>
      <c r="C64" s="1"/>
      <c r="D64" s="22"/>
      <c r="E64" s="22"/>
      <c r="F64" s="240"/>
      <c r="G64" s="623"/>
      <c r="H64" s="529"/>
    </row>
    <row r="65" spans="2:19">
      <c r="B65" s="339"/>
      <c r="C65" s="1"/>
      <c r="D65" s="22"/>
      <c r="E65" s="22"/>
      <c r="F65" s="240"/>
      <c r="G65" s="623"/>
      <c r="H65" s="529"/>
    </row>
    <row r="66" spans="2:19">
      <c r="B66" s="339"/>
      <c r="C66" s="1"/>
      <c r="D66" s="22"/>
      <c r="E66" s="22"/>
      <c r="F66" s="240"/>
      <c r="G66" s="623"/>
      <c r="H66" s="529"/>
    </row>
    <row r="67" spans="2:19">
      <c r="B67" s="339"/>
      <c r="C67" s="560"/>
      <c r="D67" s="22"/>
      <c r="E67" s="22"/>
      <c r="F67" s="240"/>
      <c r="G67" s="623"/>
      <c r="H67" s="529"/>
    </row>
    <row r="68" spans="2:19" s="5" customFormat="1">
      <c r="B68" s="339" t="s">
        <v>3751</v>
      </c>
      <c r="C68" s="28" t="s">
        <v>3752</v>
      </c>
      <c r="D68" s="22"/>
      <c r="E68" s="22"/>
      <c r="F68" s="240"/>
      <c r="G68" s="623"/>
      <c r="H68" s="529" t="str">
        <f>IF(D68="","",F68*G68)</f>
        <v/>
      </c>
      <c r="J68" s="1"/>
      <c r="K68" s="560" t="s">
        <v>3720</v>
      </c>
      <c r="L68" s="1"/>
      <c r="M68" s="1"/>
    </row>
    <row r="69" spans="2:19" s="5" customFormat="1">
      <c r="B69" s="339"/>
      <c r="C69" s="28"/>
      <c r="D69" s="22"/>
      <c r="E69" s="22"/>
      <c r="F69" s="240"/>
      <c r="G69" s="623"/>
      <c r="H69" s="529"/>
      <c r="J69" s="1"/>
      <c r="K69" s="1"/>
      <c r="L69" s="1"/>
      <c r="M69" s="1"/>
    </row>
    <row r="70" spans="2:19" s="5" customFormat="1" ht="25.5">
      <c r="B70" s="339"/>
      <c r="C70" s="51" t="s">
        <v>3753</v>
      </c>
      <c r="D70" s="22"/>
      <c r="E70" s="22"/>
      <c r="F70" s="240"/>
      <c r="G70" s="623"/>
      <c r="H70" s="529"/>
      <c r="J70" s="1"/>
      <c r="K70" s="1"/>
      <c r="L70" s="1"/>
      <c r="M70" s="1"/>
    </row>
    <row r="71" spans="2:19" s="5" customFormat="1" ht="25.5">
      <c r="B71" s="339" t="s">
        <v>271</v>
      </c>
      <c r="C71" s="51" t="s">
        <v>3754</v>
      </c>
      <c r="D71" s="22" t="s">
        <v>33</v>
      </c>
      <c r="E71" s="22"/>
      <c r="F71" s="240">
        <v>1</v>
      </c>
      <c r="G71" s="623"/>
      <c r="H71" s="529">
        <f t="shared" ref="H71:H117" si="2">IF(D71="","",F71*G71)</f>
        <v>0</v>
      </c>
      <c r="J71" s="1"/>
      <c r="K71" s="1"/>
      <c r="L71" s="1"/>
      <c r="M71" s="1"/>
    </row>
    <row r="72" spans="2:19" s="5" customFormat="1">
      <c r="B72" s="339"/>
      <c r="C72" s="51" t="s">
        <v>3755</v>
      </c>
      <c r="D72" s="22"/>
      <c r="E72" s="22"/>
      <c r="F72" s="240"/>
      <c r="G72" s="535"/>
      <c r="H72" s="529"/>
      <c r="J72" s="1"/>
      <c r="K72" s="1"/>
      <c r="L72" s="1"/>
      <c r="M72" s="1"/>
    </row>
    <row r="73" spans="2:19" s="5" customFormat="1" ht="25.5">
      <c r="B73" s="339"/>
      <c r="C73" s="51" t="s">
        <v>3738</v>
      </c>
      <c r="D73" s="22"/>
      <c r="E73" s="22"/>
      <c r="F73" s="240"/>
      <c r="G73" s="535"/>
      <c r="H73" s="529"/>
      <c r="J73" s="1"/>
      <c r="K73" s="1"/>
      <c r="L73" s="1"/>
      <c r="M73" s="1"/>
    </row>
    <row r="74" spans="2:19" s="5" customFormat="1">
      <c r="B74" s="339" t="s">
        <v>273</v>
      </c>
      <c r="C74" s="1" t="s">
        <v>3756</v>
      </c>
      <c r="D74" s="22" t="s">
        <v>52</v>
      </c>
      <c r="E74" s="22"/>
      <c r="F74" s="240">
        <v>1</v>
      </c>
      <c r="G74" s="535">
        <v>2800000</v>
      </c>
      <c r="H74" s="529">
        <f t="shared" si="2"/>
        <v>2800000</v>
      </c>
      <c r="J74" s="1"/>
      <c r="K74" s="1"/>
      <c r="L74" s="1"/>
      <c r="M74" s="1"/>
    </row>
    <row r="75" spans="2:19" s="5" customFormat="1">
      <c r="B75" s="339"/>
      <c r="C75" s="1" t="s">
        <v>3757</v>
      </c>
      <c r="D75" s="22" t="s">
        <v>55</v>
      </c>
      <c r="E75" s="22"/>
      <c r="F75" s="240">
        <f>H74</f>
        <v>2800000</v>
      </c>
      <c r="G75" s="626"/>
      <c r="H75" s="529">
        <f t="shared" si="2"/>
        <v>0</v>
      </c>
      <c r="J75" s="1"/>
      <c r="K75" s="1"/>
      <c r="L75" s="1"/>
      <c r="M75" s="1"/>
    </row>
    <row r="76" spans="2:19" s="5" customFormat="1" ht="25.5">
      <c r="B76" s="339" t="s">
        <v>1422</v>
      </c>
      <c r="C76" s="51" t="s">
        <v>3758</v>
      </c>
      <c r="D76" s="22" t="s">
        <v>33</v>
      </c>
      <c r="E76" s="22" t="s">
        <v>14</v>
      </c>
      <c r="F76" s="240">
        <v>1</v>
      </c>
      <c r="G76" s="623"/>
      <c r="H76" s="529">
        <f t="shared" si="2"/>
        <v>0</v>
      </c>
      <c r="J76" s="1"/>
      <c r="K76" s="1"/>
      <c r="L76" s="1"/>
      <c r="M76" s="1"/>
    </row>
    <row r="77" spans="2:19" s="5" customFormat="1" ht="30.75" customHeight="1">
      <c r="B77" s="339" t="s">
        <v>3725</v>
      </c>
      <c r="C77" s="51" t="s">
        <v>3759</v>
      </c>
      <c r="D77" s="22" t="s">
        <v>33</v>
      </c>
      <c r="E77" s="22" t="s">
        <v>14</v>
      </c>
      <c r="F77" s="240">
        <v>1</v>
      </c>
      <c r="G77" s="623"/>
      <c r="H77" s="529">
        <f t="shared" si="2"/>
        <v>0</v>
      </c>
      <c r="J77" s="1"/>
      <c r="K77" s="1"/>
      <c r="L77" s="1"/>
      <c r="M77" s="1"/>
      <c r="S77" s="5" t="s">
        <v>3328</v>
      </c>
    </row>
    <row r="78" spans="2:19" s="5" customFormat="1">
      <c r="B78" s="339" t="s">
        <v>3728</v>
      </c>
      <c r="C78" s="1" t="s">
        <v>3760</v>
      </c>
      <c r="D78" s="22" t="s">
        <v>33</v>
      </c>
      <c r="E78" s="22" t="s">
        <v>14</v>
      </c>
      <c r="F78" s="240">
        <v>1</v>
      </c>
      <c r="G78" s="623"/>
      <c r="H78" s="529">
        <f t="shared" si="2"/>
        <v>0</v>
      </c>
      <c r="J78" s="1"/>
      <c r="K78" s="1"/>
      <c r="L78" s="1"/>
      <c r="M78" s="1"/>
    </row>
    <row r="79" spans="2:19" s="5" customFormat="1">
      <c r="B79" s="339"/>
      <c r="C79" s="51" t="s">
        <v>3755</v>
      </c>
      <c r="D79" s="22"/>
      <c r="E79" s="22"/>
      <c r="F79" s="240"/>
      <c r="G79" s="623"/>
      <c r="H79" s="529" t="str">
        <f t="shared" si="2"/>
        <v/>
      </c>
      <c r="J79" s="1"/>
      <c r="K79" s="1"/>
      <c r="L79" s="1"/>
      <c r="M79" s="1"/>
    </row>
    <row r="80" spans="2:19" s="5" customFormat="1">
      <c r="B80" s="339"/>
      <c r="C80" s="1" t="s">
        <v>3761</v>
      </c>
      <c r="D80" s="22"/>
      <c r="E80" s="22"/>
      <c r="F80" s="240"/>
      <c r="G80" s="623"/>
      <c r="H80" s="529" t="str">
        <f t="shared" si="2"/>
        <v/>
      </c>
      <c r="J80" s="1"/>
      <c r="K80" s="1"/>
      <c r="L80" s="1"/>
      <c r="M80" s="1"/>
    </row>
    <row r="81" spans="2:13" s="5" customFormat="1">
      <c r="B81" s="339" t="s">
        <v>3730</v>
      </c>
      <c r="C81" s="1" t="s">
        <v>3762</v>
      </c>
      <c r="D81" s="22" t="s">
        <v>33</v>
      </c>
      <c r="E81" s="22" t="s">
        <v>14</v>
      </c>
      <c r="F81" s="240">
        <v>1</v>
      </c>
      <c r="G81" s="623"/>
      <c r="H81" s="529">
        <f t="shared" si="2"/>
        <v>0</v>
      </c>
      <c r="J81" s="1"/>
      <c r="K81" s="1"/>
      <c r="L81" s="1"/>
      <c r="M81" s="1"/>
    </row>
    <row r="82" spans="2:13" s="5" customFormat="1">
      <c r="B82" s="339"/>
      <c r="C82" s="1" t="s">
        <v>3761</v>
      </c>
      <c r="D82" s="22"/>
      <c r="E82" s="22"/>
      <c r="F82" s="240"/>
      <c r="G82" s="623"/>
      <c r="H82" s="529" t="str">
        <f t="shared" si="2"/>
        <v/>
      </c>
      <c r="J82" s="1"/>
      <c r="K82" s="1"/>
      <c r="L82" s="1"/>
      <c r="M82" s="1"/>
    </row>
    <row r="83" spans="2:13" s="5" customFormat="1" ht="25.5">
      <c r="B83" s="339" t="s">
        <v>3734</v>
      </c>
      <c r="C83" s="51" t="s">
        <v>3763</v>
      </c>
      <c r="D83" s="22" t="s">
        <v>33</v>
      </c>
      <c r="E83" s="22"/>
      <c r="F83" s="240">
        <v>1</v>
      </c>
      <c r="G83" s="623"/>
      <c r="H83" s="529">
        <f t="shared" si="2"/>
        <v>0</v>
      </c>
      <c r="J83" s="1"/>
      <c r="K83" s="1"/>
      <c r="L83" s="1"/>
      <c r="M83" s="1"/>
    </row>
    <row r="84" spans="2:13" s="5" customFormat="1">
      <c r="B84" s="339"/>
      <c r="C84" s="1"/>
      <c r="D84" s="22"/>
      <c r="E84" s="22"/>
      <c r="F84" s="240"/>
      <c r="G84" s="535"/>
      <c r="H84" s="529" t="str">
        <f t="shared" si="2"/>
        <v/>
      </c>
      <c r="J84" s="1"/>
      <c r="K84" s="1"/>
      <c r="L84" s="1"/>
      <c r="M84" s="1"/>
    </row>
    <row r="85" spans="2:13" s="5" customFormat="1">
      <c r="B85" s="339"/>
      <c r="C85" s="1"/>
      <c r="D85" s="22"/>
      <c r="E85" s="22"/>
      <c r="F85" s="240"/>
      <c r="G85" s="535"/>
      <c r="H85" s="529" t="str">
        <f t="shared" si="2"/>
        <v/>
      </c>
      <c r="J85" s="1"/>
      <c r="K85" s="1"/>
      <c r="L85" s="1"/>
      <c r="M85" s="1"/>
    </row>
    <row r="86" spans="2:13" s="5" customFormat="1">
      <c r="B86" s="339"/>
      <c r="C86" s="1"/>
      <c r="D86" s="22"/>
      <c r="E86" s="22"/>
      <c r="F86" s="240"/>
      <c r="G86" s="535"/>
      <c r="H86" s="529" t="str">
        <f t="shared" si="2"/>
        <v/>
      </c>
      <c r="J86" s="1"/>
      <c r="K86" s="1"/>
      <c r="L86" s="1"/>
      <c r="M86" s="1"/>
    </row>
    <row r="87" spans="2:13" s="5" customFormat="1">
      <c r="B87" s="339"/>
      <c r="C87" s="1"/>
      <c r="D87" s="22"/>
      <c r="E87" s="22"/>
      <c r="F87" s="240"/>
      <c r="G87" s="535"/>
      <c r="H87" s="529" t="str">
        <f t="shared" si="2"/>
        <v/>
      </c>
      <c r="J87" s="1"/>
      <c r="K87" s="1"/>
      <c r="L87" s="1"/>
      <c r="M87" s="1"/>
    </row>
    <row r="88" spans="2:13" s="5" customFormat="1">
      <c r="B88" s="339"/>
      <c r="C88" s="1"/>
      <c r="D88" s="22"/>
      <c r="E88" s="22"/>
      <c r="F88" s="240"/>
      <c r="G88" s="535"/>
      <c r="H88" s="529" t="str">
        <f t="shared" si="2"/>
        <v/>
      </c>
      <c r="J88" s="1"/>
      <c r="K88" s="1"/>
      <c r="L88" s="1"/>
      <c r="M88" s="1"/>
    </row>
    <row r="89" spans="2:13" s="5" customFormat="1">
      <c r="B89" s="339"/>
      <c r="C89" s="1"/>
      <c r="D89" s="22"/>
      <c r="E89" s="22"/>
      <c r="F89" s="240"/>
      <c r="G89" s="535"/>
      <c r="H89" s="529" t="str">
        <f t="shared" si="2"/>
        <v/>
      </c>
      <c r="J89" s="1"/>
      <c r="K89" s="1"/>
      <c r="L89" s="1"/>
      <c r="M89" s="1"/>
    </row>
    <row r="90" spans="2:13" s="5" customFormat="1">
      <c r="B90" s="339"/>
      <c r="C90" s="1"/>
      <c r="D90" s="22"/>
      <c r="E90" s="22"/>
      <c r="F90" s="240"/>
      <c r="G90" s="535"/>
      <c r="H90" s="529" t="str">
        <f t="shared" si="2"/>
        <v/>
      </c>
      <c r="J90" s="1"/>
      <c r="K90" s="1"/>
      <c r="L90" s="1"/>
      <c r="M90" s="1"/>
    </row>
    <row r="91" spans="2:13" s="5" customFormat="1">
      <c r="B91" s="339"/>
      <c r="C91" s="1"/>
      <c r="D91" s="22"/>
      <c r="E91" s="22"/>
      <c r="F91" s="240"/>
      <c r="G91" s="535"/>
      <c r="H91" s="529" t="str">
        <f t="shared" si="2"/>
        <v/>
      </c>
      <c r="J91" s="1"/>
      <c r="K91" s="1"/>
      <c r="L91" s="1"/>
      <c r="M91" s="1"/>
    </row>
    <row r="92" spans="2:13" s="5" customFormat="1">
      <c r="B92" s="339"/>
      <c r="C92" s="1"/>
      <c r="D92" s="22"/>
      <c r="E92" s="22"/>
      <c r="F92" s="240"/>
      <c r="G92" s="535"/>
      <c r="H92" s="529" t="str">
        <f t="shared" si="2"/>
        <v/>
      </c>
      <c r="J92" s="1"/>
      <c r="K92" s="1"/>
      <c r="L92" s="1"/>
      <c r="M92" s="1"/>
    </row>
    <row r="93" spans="2:13" s="5" customFormat="1">
      <c r="B93" s="339"/>
      <c r="C93" s="1"/>
      <c r="D93" s="22"/>
      <c r="E93" s="22"/>
      <c r="F93" s="240"/>
      <c r="G93" s="535"/>
      <c r="H93" s="529" t="str">
        <f t="shared" si="2"/>
        <v/>
      </c>
      <c r="J93" s="1"/>
      <c r="K93" s="1"/>
      <c r="L93" s="1"/>
      <c r="M93" s="1"/>
    </row>
    <row r="94" spans="2:13" s="5" customFormat="1">
      <c r="B94" s="339"/>
      <c r="C94" s="1"/>
      <c r="D94" s="22"/>
      <c r="E94" s="22"/>
      <c r="F94" s="240"/>
      <c r="G94" s="535"/>
      <c r="H94" s="529" t="str">
        <f t="shared" si="2"/>
        <v/>
      </c>
      <c r="J94" s="1"/>
      <c r="K94" s="1"/>
      <c r="L94" s="1"/>
      <c r="M94" s="1"/>
    </row>
    <row r="95" spans="2:13" s="5" customFormat="1">
      <c r="B95" s="339"/>
      <c r="C95" s="1"/>
      <c r="D95" s="22"/>
      <c r="E95" s="22"/>
      <c r="F95" s="240"/>
      <c r="G95" s="535"/>
      <c r="H95" s="529" t="str">
        <f t="shared" si="2"/>
        <v/>
      </c>
      <c r="J95" s="1"/>
      <c r="K95" s="1"/>
      <c r="L95" s="1"/>
      <c r="M95" s="1"/>
    </row>
    <row r="96" spans="2:13" s="5" customFormat="1">
      <c r="B96" s="339"/>
      <c r="C96" s="1"/>
      <c r="D96" s="22"/>
      <c r="E96" s="22"/>
      <c r="F96" s="240"/>
      <c r="G96" s="535"/>
      <c r="H96" s="529"/>
      <c r="J96" s="1"/>
      <c r="K96" s="1"/>
      <c r="L96" s="1"/>
      <c r="M96" s="1"/>
    </row>
    <row r="97" spans="2:13" s="5" customFormat="1">
      <c r="B97" s="339"/>
      <c r="C97" s="1"/>
      <c r="D97" s="22"/>
      <c r="E97" s="22"/>
      <c r="F97" s="240"/>
      <c r="G97" s="535"/>
      <c r="H97" s="529"/>
      <c r="J97" s="1"/>
      <c r="K97" s="1"/>
      <c r="L97" s="1"/>
      <c r="M97" s="1"/>
    </row>
    <row r="98" spans="2:13" s="5" customFormat="1">
      <c r="B98" s="339"/>
      <c r="C98" s="1"/>
      <c r="D98" s="22"/>
      <c r="E98" s="22"/>
      <c r="F98" s="240"/>
      <c r="G98" s="535"/>
      <c r="H98" s="529"/>
      <c r="J98" s="1"/>
      <c r="K98" s="1"/>
      <c r="L98" s="1"/>
      <c r="M98" s="1"/>
    </row>
    <row r="99" spans="2:13" s="5" customFormat="1">
      <c r="B99" s="339"/>
      <c r="C99" s="1"/>
      <c r="D99" s="22"/>
      <c r="E99" s="22"/>
      <c r="F99" s="240"/>
      <c r="G99" s="535"/>
      <c r="H99" s="529"/>
      <c r="J99" s="1"/>
      <c r="K99" s="1"/>
      <c r="L99" s="1"/>
      <c r="M99" s="1"/>
    </row>
    <row r="100" spans="2:13" s="5" customFormat="1">
      <c r="B100" s="339"/>
      <c r="C100" s="1"/>
      <c r="D100" s="22"/>
      <c r="E100" s="22"/>
      <c r="F100" s="240"/>
      <c r="G100" s="535"/>
      <c r="H100" s="529"/>
      <c r="J100" s="1"/>
      <c r="K100" s="1"/>
      <c r="L100" s="1"/>
      <c r="M100" s="1"/>
    </row>
    <row r="101" spans="2:13" s="5" customFormat="1">
      <c r="B101" s="339"/>
      <c r="C101" s="1"/>
      <c r="D101" s="22"/>
      <c r="E101" s="22"/>
      <c r="F101" s="240"/>
      <c r="G101" s="535"/>
      <c r="H101" s="529"/>
      <c r="J101" s="1"/>
      <c r="K101" s="1"/>
      <c r="L101" s="1"/>
      <c r="M101" s="1"/>
    </row>
    <row r="102" spans="2:13" s="5" customFormat="1">
      <c r="B102" s="339"/>
      <c r="C102" s="1"/>
      <c r="D102" s="22"/>
      <c r="E102" s="22"/>
      <c r="F102" s="240"/>
      <c r="G102" s="535"/>
      <c r="H102" s="529"/>
      <c r="J102" s="1"/>
      <c r="K102" s="1"/>
      <c r="L102" s="1"/>
      <c r="M102" s="1"/>
    </row>
    <row r="103" spans="2:13" s="5" customFormat="1">
      <c r="B103" s="339"/>
      <c r="C103" s="1"/>
      <c r="D103" s="22"/>
      <c r="E103" s="22"/>
      <c r="F103" s="240"/>
      <c r="G103" s="535"/>
      <c r="H103" s="529"/>
      <c r="J103" s="1"/>
      <c r="K103" s="1"/>
      <c r="L103" s="1"/>
      <c r="M103" s="1"/>
    </row>
    <row r="104" spans="2:13" s="5" customFormat="1">
      <c r="B104" s="339"/>
      <c r="C104" s="1"/>
      <c r="D104" s="22"/>
      <c r="E104" s="22"/>
      <c r="F104" s="240"/>
      <c r="G104" s="535"/>
      <c r="H104" s="529"/>
      <c r="J104" s="1"/>
      <c r="K104" s="1"/>
      <c r="L104" s="1"/>
      <c r="M104" s="1"/>
    </row>
    <row r="105" spans="2:13" s="5" customFormat="1">
      <c r="B105" s="339"/>
      <c r="C105" s="1"/>
      <c r="D105" s="22"/>
      <c r="E105" s="22"/>
      <c r="F105" s="240"/>
      <c r="G105" s="535"/>
      <c r="H105" s="529"/>
      <c r="J105" s="1"/>
      <c r="K105" s="1"/>
      <c r="L105" s="1"/>
      <c r="M105" s="1"/>
    </row>
    <row r="106" spans="2:13" s="5" customFormat="1">
      <c r="B106" s="339"/>
      <c r="C106" s="1"/>
      <c r="D106" s="22"/>
      <c r="E106" s="22"/>
      <c r="F106" s="240"/>
      <c r="G106" s="535"/>
      <c r="H106" s="529"/>
      <c r="J106" s="1"/>
      <c r="K106" s="1"/>
      <c r="L106" s="1"/>
      <c r="M106" s="1"/>
    </row>
    <row r="107" spans="2:13" s="5" customFormat="1">
      <c r="B107" s="339"/>
      <c r="C107" s="1"/>
      <c r="D107" s="22"/>
      <c r="E107" s="22"/>
      <c r="F107" s="240"/>
      <c r="G107" s="535"/>
      <c r="H107" s="529"/>
      <c r="J107" s="1"/>
      <c r="K107" s="1"/>
      <c r="L107" s="1"/>
      <c r="M107" s="1"/>
    </row>
    <row r="108" spans="2:13" s="5" customFormat="1">
      <c r="B108" s="339"/>
      <c r="C108" s="1"/>
      <c r="D108" s="22"/>
      <c r="E108" s="22"/>
      <c r="F108" s="240"/>
      <c r="G108" s="535"/>
      <c r="H108" s="529"/>
      <c r="J108" s="1"/>
      <c r="K108" s="1"/>
      <c r="L108" s="1"/>
      <c r="M108" s="1"/>
    </row>
    <row r="109" spans="2:13" s="5" customFormat="1">
      <c r="B109" s="339"/>
      <c r="C109" s="1"/>
      <c r="D109" s="22"/>
      <c r="E109" s="22"/>
      <c r="F109" s="240"/>
      <c r="G109" s="535"/>
      <c r="H109" s="529"/>
      <c r="J109" s="1"/>
      <c r="K109" s="1"/>
      <c r="L109" s="1"/>
      <c r="M109" s="1"/>
    </row>
    <row r="110" spans="2:13" s="5" customFormat="1">
      <c r="B110" s="339"/>
      <c r="C110" s="1"/>
      <c r="D110" s="22"/>
      <c r="E110" s="22"/>
      <c r="F110" s="240"/>
      <c r="G110" s="535"/>
      <c r="H110" s="529"/>
      <c r="J110" s="1"/>
      <c r="K110" s="1"/>
      <c r="L110" s="1"/>
      <c r="M110" s="1"/>
    </row>
    <row r="111" spans="2:13" s="5" customFormat="1">
      <c r="B111" s="339"/>
      <c r="C111" s="1"/>
      <c r="D111" s="22"/>
      <c r="E111" s="22"/>
      <c r="F111" s="240"/>
      <c r="G111" s="535"/>
      <c r="H111" s="529"/>
      <c r="J111" s="1"/>
      <c r="K111" s="1"/>
      <c r="L111" s="1"/>
      <c r="M111" s="1"/>
    </row>
    <row r="112" spans="2:13" s="5" customFormat="1">
      <c r="B112" s="339"/>
      <c r="C112" s="1"/>
      <c r="D112" s="22"/>
      <c r="E112" s="22"/>
      <c r="F112" s="240"/>
      <c r="G112" s="535"/>
      <c r="H112" s="529" t="str">
        <f t="shared" si="2"/>
        <v/>
      </c>
      <c r="J112" s="1"/>
      <c r="K112" s="1"/>
      <c r="L112" s="1"/>
      <c r="M112" s="1"/>
    </row>
    <row r="113" spans="2:13" s="5" customFormat="1">
      <c r="B113" s="339"/>
      <c r="C113" s="1"/>
      <c r="D113" s="22"/>
      <c r="E113" s="22"/>
      <c r="F113" s="240"/>
      <c r="G113" s="535"/>
      <c r="H113" s="529" t="str">
        <f t="shared" si="2"/>
        <v/>
      </c>
      <c r="J113" s="1"/>
      <c r="K113" s="1"/>
      <c r="L113" s="1"/>
      <c r="M113" s="1"/>
    </row>
    <row r="114" spans="2:13" s="5" customFormat="1">
      <c r="B114" s="339"/>
      <c r="C114" s="1"/>
      <c r="D114" s="22"/>
      <c r="E114" s="22"/>
      <c r="F114" s="240"/>
      <c r="G114" s="535"/>
      <c r="H114" s="529" t="str">
        <f t="shared" si="2"/>
        <v/>
      </c>
      <c r="J114" s="1"/>
      <c r="K114" s="1"/>
      <c r="L114" s="1"/>
      <c r="M114" s="1"/>
    </row>
    <row r="115" spans="2:13" s="5" customFormat="1">
      <c r="B115" s="339"/>
      <c r="C115" s="1"/>
      <c r="D115" s="22"/>
      <c r="E115" s="22"/>
      <c r="F115" s="240"/>
      <c r="G115" s="535"/>
      <c r="H115" s="529" t="str">
        <f t="shared" si="2"/>
        <v/>
      </c>
      <c r="J115" s="1"/>
      <c r="K115" s="1"/>
      <c r="L115" s="1"/>
      <c r="M115" s="1"/>
    </row>
    <row r="116" spans="2:13" s="5" customFormat="1">
      <c r="B116" s="339"/>
      <c r="C116" s="1"/>
      <c r="D116" s="22"/>
      <c r="E116" s="22"/>
      <c r="F116" s="240"/>
      <c r="G116" s="535"/>
      <c r="H116" s="529" t="str">
        <f t="shared" si="2"/>
        <v/>
      </c>
      <c r="J116" s="1"/>
      <c r="K116" s="1"/>
      <c r="L116" s="1"/>
      <c r="M116" s="1"/>
    </row>
    <row r="117" spans="2:13" s="5" customFormat="1">
      <c r="B117" s="339"/>
      <c r="C117" s="1"/>
      <c r="D117" s="22"/>
      <c r="E117" s="22"/>
      <c r="F117" s="240"/>
      <c r="G117" s="535"/>
      <c r="H117" s="529" t="str">
        <f t="shared" si="2"/>
        <v/>
      </c>
      <c r="J117" s="1"/>
      <c r="K117" s="1"/>
      <c r="L117" s="1"/>
      <c r="M117" s="1"/>
    </row>
    <row r="118" spans="2:13" s="5" customFormat="1">
      <c r="B118" s="339"/>
      <c r="C118" s="1"/>
      <c r="D118" s="22"/>
      <c r="E118" s="22"/>
      <c r="F118" s="240"/>
      <c r="G118" s="535"/>
      <c r="H118" s="529"/>
      <c r="J118" s="1"/>
      <c r="K118" s="1"/>
      <c r="L118" s="1"/>
      <c r="M118" s="1"/>
    </row>
    <row r="119" spans="2:13" s="5" customFormat="1">
      <c r="B119" s="339"/>
      <c r="C119" s="1"/>
      <c r="D119" s="22"/>
      <c r="E119" s="22"/>
      <c r="F119" s="240"/>
      <c r="G119" s="535"/>
      <c r="H119" s="529"/>
      <c r="J119" s="1"/>
      <c r="K119" s="1"/>
      <c r="L119" s="1"/>
      <c r="M119" s="1"/>
    </row>
    <row r="120" spans="2:13" s="5" customFormat="1">
      <c r="B120" s="339"/>
      <c r="C120" s="1"/>
      <c r="D120" s="22"/>
      <c r="E120" s="22"/>
      <c r="F120" s="240"/>
      <c r="G120" s="535"/>
      <c r="H120" s="529"/>
      <c r="J120" s="1"/>
      <c r="K120" s="1"/>
      <c r="L120" s="1"/>
      <c r="M120" s="1"/>
    </row>
    <row r="121" spans="2:13" s="5" customFormat="1">
      <c r="B121" s="339"/>
      <c r="C121" s="1"/>
      <c r="D121" s="22"/>
      <c r="E121" s="22"/>
      <c r="F121" s="240"/>
      <c r="G121" s="535"/>
      <c r="H121" s="529"/>
      <c r="J121" s="1"/>
      <c r="K121" s="1"/>
      <c r="L121" s="1"/>
      <c r="M121" s="1"/>
    </row>
    <row r="122" spans="2:13" s="5" customFormat="1">
      <c r="B122" s="339"/>
      <c r="C122" s="1"/>
      <c r="D122" s="22"/>
      <c r="E122" s="22"/>
      <c r="F122" s="240"/>
      <c r="G122" s="535"/>
      <c r="H122" s="529"/>
      <c r="J122" s="1"/>
      <c r="K122" s="1"/>
      <c r="L122" s="1"/>
      <c r="M122" s="1"/>
    </row>
    <row r="123" spans="2:13" s="5" customFormat="1">
      <c r="B123" s="339"/>
      <c r="C123" s="1"/>
      <c r="D123" s="22"/>
      <c r="E123" s="22"/>
      <c r="F123" s="240"/>
      <c r="G123" s="535"/>
      <c r="H123" s="529"/>
      <c r="J123" s="1"/>
      <c r="K123" s="1"/>
      <c r="L123" s="1"/>
      <c r="M123" s="1"/>
    </row>
    <row r="124" spans="2:13" s="5" customFormat="1">
      <c r="B124" s="339"/>
      <c r="C124" s="1"/>
      <c r="D124" s="22"/>
      <c r="E124" s="22"/>
      <c r="F124" s="240"/>
      <c r="G124" s="535"/>
      <c r="H124" s="529"/>
      <c r="J124" s="1"/>
      <c r="K124" s="1"/>
      <c r="L124" s="1"/>
      <c r="M124" s="1"/>
    </row>
    <row r="125" spans="2:13" s="5" customFormat="1">
      <c r="B125" s="339"/>
      <c r="C125" s="1"/>
      <c r="D125" s="22"/>
      <c r="E125" s="22"/>
      <c r="F125" s="240"/>
      <c r="G125" s="535"/>
      <c r="H125" s="529"/>
      <c r="J125" s="1"/>
      <c r="K125" s="1"/>
      <c r="L125" s="1"/>
      <c r="M125" s="1"/>
    </row>
    <row r="126" spans="2:13" s="5" customFormat="1">
      <c r="B126" s="339"/>
      <c r="C126" s="1"/>
      <c r="D126" s="22"/>
      <c r="E126" s="22"/>
      <c r="F126" s="240"/>
      <c r="G126" s="535"/>
      <c r="H126" s="529"/>
      <c r="J126" s="1"/>
      <c r="K126" s="1"/>
      <c r="L126" s="1"/>
      <c r="M126" s="1"/>
    </row>
    <row r="127" spans="2:13" s="5" customFormat="1">
      <c r="B127" s="339"/>
      <c r="C127" s="1"/>
      <c r="D127" s="22"/>
      <c r="E127" s="22"/>
      <c r="F127" s="240"/>
      <c r="G127" s="535"/>
      <c r="H127" s="529"/>
      <c r="J127" s="1"/>
      <c r="K127" s="1"/>
      <c r="L127" s="1"/>
      <c r="M127" s="1"/>
    </row>
    <row r="128" spans="2:13" s="5" customFormat="1">
      <c r="B128" s="339"/>
      <c r="C128" s="1"/>
      <c r="D128" s="22"/>
      <c r="E128" s="22"/>
      <c r="F128" s="240"/>
      <c r="G128" s="535"/>
      <c r="H128" s="529"/>
      <c r="J128" s="1"/>
      <c r="K128" s="1"/>
      <c r="L128" s="1"/>
      <c r="M128" s="1"/>
    </row>
    <row r="129" spans="2:13" s="5" customFormat="1">
      <c r="B129" s="339"/>
      <c r="C129" s="1"/>
      <c r="D129" s="22"/>
      <c r="E129" s="22"/>
      <c r="F129" s="240"/>
      <c r="G129" s="535"/>
      <c r="H129" s="529"/>
      <c r="J129" s="1"/>
      <c r="K129" s="1"/>
      <c r="L129" s="1"/>
      <c r="M129" s="1"/>
    </row>
    <row r="130" spans="2:13" s="5" customFormat="1">
      <c r="B130" s="339"/>
      <c r="C130" s="1"/>
      <c r="D130" s="22"/>
      <c r="E130" s="22"/>
      <c r="F130" s="240"/>
      <c r="G130" s="535"/>
      <c r="H130" s="529"/>
      <c r="J130" s="1"/>
      <c r="K130" s="1"/>
      <c r="L130" s="1"/>
      <c r="M130" s="1"/>
    </row>
    <row r="131" spans="2:13" s="5" customFormat="1">
      <c r="B131" s="339"/>
      <c r="C131" s="1"/>
      <c r="D131" s="22"/>
      <c r="E131" s="22"/>
      <c r="F131" s="240"/>
      <c r="G131" s="535"/>
      <c r="H131" s="529"/>
      <c r="J131" s="1"/>
      <c r="K131" s="1"/>
      <c r="L131" s="1"/>
      <c r="M131" s="1"/>
    </row>
    <row r="132" spans="2:13" s="5" customFormat="1">
      <c r="B132" s="339"/>
      <c r="C132" s="1"/>
      <c r="D132" s="22"/>
      <c r="E132" s="22"/>
      <c r="F132" s="240"/>
      <c r="G132" s="535"/>
      <c r="H132" s="529"/>
      <c r="J132" s="1"/>
      <c r="K132" s="1"/>
      <c r="L132" s="1"/>
      <c r="M132" s="1"/>
    </row>
    <row r="133" spans="2:13" s="5" customFormat="1">
      <c r="B133" s="339"/>
      <c r="C133" s="1"/>
      <c r="D133" s="22"/>
      <c r="E133" s="22"/>
      <c r="F133" s="240"/>
      <c r="G133" s="535"/>
      <c r="H133" s="529"/>
      <c r="J133" s="1"/>
      <c r="K133" s="1"/>
      <c r="L133" s="1"/>
      <c r="M133" s="1"/>
    </row>
    <row r="134" spans="2:13" s="5" customFormat="1">
      <c r="B134" s="339"/>
      <c r="C134" s="1"/>
      <c r="D134" s="22"/>
      <c r="E134" s="22"/>
      <c r="F134" s="240"/>
      <c r="G134" s="535"/>
      <c r="H134" s="529" t="str">
        <f t="shared" si="0"/>
        <v/>
      </c>
      <c r="J134" s="1"/>
      <c r="K134" s="1"/>
      <c r="L134" s="1"/>
      <c r="M134" s="1"/>
    </row>
    <row r="135" spans="2:13" s="28" customFormat="1" ht="19.5" customHeight="1">
      <c r="B135" s="82" t="str">
        <f>$B$10</f>
        <v>PSS1</v>
      </c>
      <c r="C135" s="29" t="s">
        <v>125</v>
      </c>
      <c r="D135" s="30"/>
      <c r="E135" s="30"/>
      <c r="F135" s="31"/>
      <c r="G135" s="31"/>
      <c r="H135" s="359">
        <f>SUM(H7:H134)</f>
        <v>2800000</v>
      </c>
      <c r="I135" s="236"/>
    </row>
  </sheetData>
  <sheetProtection algorithmName="SHA-512" hashValue="lraqN7pQhHeAQO0oCbDPQ3jrIeHGHaF2Y3Epgf+lAq/ItgoyU8CJhNR/zhC5Uhav4hiH6+/agrYBMf4PUES8TQ==" saltValue="PKvMtsKCcRqp+Xtr5uu6hw==" spinCount="100000" sheet="1" objects="1" scenarios="1"/>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KANTEY &amp; TEMPLER CONSULTING ENGINEERS&amp;R&amp;"Arial,Bold Italic"
</oddHeader>
    <oddFooter>&amp;C&amp;F</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1">
    <pageSetUpPr fitToPage="1"/>
  </sheetPr>
  <dimension ref="B1:I75"/>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ht="12.75" customHeight="1">
      <c r="B4" s="695" t="s">
        <v>456</v>
      </c>
      <c r="C4" s="696"/>
      <c r="D4" s="696"/>
      <c r="E4" s="696"/>
      <c r="F4" s="696"/>
      <c r="G4" s="696"/>
      <c r="H4" s="733" t="str">
        <f>"CHAPTER "&amp;B10</f>
        <v>CHAPTER C2.4</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34"/>
      <c r="I5" s="8"/>
    </row>
    <row r="6" spans="2:9" ht="12.75" customHeight="1">
      <c r="B6" s="690"/>
      <c r="C6" s="691"/>
      <c r="D6" s="691"/>
      <c r="E6" s="691"/>
      <c r="F6" s="691"/>
      <c r="G6" s="691"/>
      <c r="H6" s="734"/>
      <c r="I6" s="8"/>
    </row>
    <row r="7" spans="2:9" s="9" customFormat="1" ht="7.5" customHeight="1">
      <c r="B7" s="692"/>
      <c r="C7" s="693"/>
      <c r="D7" s="693"/>
      <c r="E7" s="693"/>
      <c r="F7" s="693"/>
      <c r="G7" s="693"/>
      <c r="H7" s="735"/>
      <c r="I7" s="12"/>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 t="shared" ref="H9:H20" si="0">IF(D9="","",F9*G9)</f>
        <v/>
      </c>
      <c r="I9" s="18"/>
    </row>
    <row r="10" spans="2:9">
      <c r="B10" s="69" t="s">
        <v>669</v>
      </c>
      <c r="C10" s="20" t="s">
        <v>670</v>
      </c>
      <c r="D10" s="15"/>
      <c r="E10" s="15"/>
      <c r="F10" s="15"/>
      <c r="G10" s="16"/>
      <c r="H10" s="17" t="str">
        <f t="shared" si="0"/>
        <v/>
      </c>
      <c r="I10" s="18"/>
    </row>
    <row r="11" spans="2:9">
      <c r="B11" s="48"/>
      <c r="C11" s="14"/>
      <c r="D11" s="15"/>
      <c r="E11" s="15"/>
      <c r="F11" s="15"/>
      <c r="G11" s="16"/>
      <c r="H11" s="17" t="str">
        <f t="shared" si="0"/>
        <v/>
      </c>
      <c r="I11" s="18"/>
    </row>
    <row r="12" spans="2:9">
      <c r="B12" s="59" t="s">
        <v>671</v>
      </c>
      <c r="C12" s="14" t="s">
        <v>672</v>
      </c>
      <c r="D12" s="15"/>
      <c r="E12" s="15"/>
      <c r="F12" s="15"/>
      <c r="G12" s="16"/>
      <c r="H12" s="17" t="str">
        <f t="shared" si="0"/>
        <v/>
      </c>
      <c r="I12" s="18"/>
    </row>
    <row r="13" spans="2:9">
      <c r="B13" s="59"/>
      <c r="C13" s="14"/>
      <c r="D13" s="15"/>
      <c r="E13" s="15"/>
      <c r="F13" s="15"/>
      <c r="G13" s="16"/>
      <c r="H13" s="17" t="str">
        <f t="shared" si="0"/>
        <v/>
      </c>
      <c r="I13" s="18"/>
    </row>
    <row r="14" spans="2:9">
      <c r="B14" s="48" t="s">
        <v>673</v>
      </c>
      <c r="C14" s="14" t="s">
        <v>674</v>
      </c>
      <c r="D14" s="22" t="s">
        <v>478</v>
      </c>
      <c r="E14" s="22"/>
      <c r="F14" s="23"/>
      <c r="G14" s="24"/>
      <c r="H14" s="25">
        <f t="shared" si="0"/>
        <v>0</v>
      </c>
      <c r="I14" s="58"/>
    </row>
    <row r="15" spans="2:9">
      <c r="B15" s="59"/>
      <c r="C15" s="14"/>
      <c r="D15" s="15"/>
      <c r="E15" s="15"/>
      <c r="F15" s="26"/>
      <c r="G15" s="16"/>
      <c r="H15" s="25" t="str">
        <f t="shared" si="0"/>
        <v/>
      </c>
      <c r="I15" s="18"/>
    </row>
    <row r="16" spans="2:9">
      <c r="B16" s="48" t="s">
        <v>675</v>
      </c>
      <c r="C16" s="14" t="s">
        <v>676</v>
      </c>
      <c r="D16" s="22" t="s">
        <v>478</v>
      </c>
      <c r="E16" s="15"/>
      <c r="F16" s="26"/>
      <c r="G16" s="60"/>
      <c r="H16" s="25">
        <f t="shared" si="0"/>
        <v>0</v>
      </c>
      <c r="I16" s="18"/>
    </row>
    <row r="17" spans="2:9">
      <c r="B17" s="59"/>
      <c r="C17" s="14"/>
      <c r="D17" s="15"/>
      <c r="E17" s="15"/>
      <c r="F17" s="26"/>
      <c r="G17" s="16"/>
      <c r="H17" s="25" t="str">
        <f t="shared" si="0"/>
        <v/>
      </c>
      <c r="I17" s="61"/>
    </row>
    <row r="18" spans="2:9">
      <c r="B18" s="48" t="s">
        <v>677</v>
      </c>
      <c r="C18" s="100" t="s">
        <v>678</v>
      </c>
      <c r="D18" s="22" t="s">
        <v>478</v>
      </c>
      <c r="E18" s="62"/>
      <c r="F18" s="26"/>
      <c r="G18" s="63"/>
      <c r="H18" s="25">
        <f t="shared" si="0"/>
        <v>0</v>
      </c>
      <c r="I18" s="64"/>
    </row>
    <row r="19" spans="2:9">
      <c r="B19" s="59"/>
      <c r="C19" s="252"/>
      <c r="D19" s="62"/>
      <c r="E19" s="62"/>
      <c r="F19" s="26"/>
      <c r="G19" s="63"/>
      <c r="H19" s="25" t="str">
        <f t="shared" si="0"/>
        <v/>
      </c>
      <c r="I19" s="64"/>
    </row>
    <row r="20" spans="2:9">
      <c r="B20" s="48" t="s">
        <v>679</v>
      </c>
      <c r="C20" s="14" t="s">
        <v>680</v>
      </c>
      <c r="D20" s="22"/>
      <c r="E20" s="62"/>
      <c r="F20" s="26"/>
      <c r="G20" s="65"/>
      <c r="H20" s="25" t="str">
        <f t="shared" si="0"/>
        <v/>
      </c>
      <c r="I20" s="64"/>
    </row>
    <row r="21" spans="2:9">
      <c r="B21" s="48"/>
      <c r="C21" s="100"/>
      <c r="D21" s="22"/>
      <c r="E21" s="62"/>
      <c r="F21" s="26"/>
      <c r="G21" s="65"/>
      <c r="H21" s="25"/>
      <c r="I21" s="64"/>
    </row>
    <row r="22" spans="2:9">
      <c r="B22" s="48" t="s">
        <v>681</v>
      </c>
      <c r="C22" s="100" t="s">
        <v>483</v>
      </c>
      <c r="D22" s="22"/>
      <c r="E22" s="62"/>
      <c r="F22" s="26"/>
      <c r="G22" s="65"/>
      <c r="H22" s="25"/>
      <c r="I22" s="64"/>
    </row>
    <row r="23" spans="2:9">
      <c r="B23" s="59"/>
      <c r="C23" s="252"/>
      <c r="D23" s="62"/>
      <c r="E23" s="62"/>
      <c r="F23" s="26"/>
      <c r="G23" s="63"/>
      <c r="H23" s="25" t="str">
        <f t="shared" ref="H23:H45" si="1">IF(D23="","",F23*G23)</f>
        <v/>
      </c>
      <c r="I23" s="64"/>
    </row>
    <row r="24" spans="2:9">
      <c r="B24" s="48" t="s">
        <v>83</v>
      </c>
      <c r="C24" s="14" t="s">
        <v>682</v>
      </c>
      <c r="D24" s="22" t="s">
        <v>478</v>
      </c>
      <c r="E24" s="62"/>
      <c r="F24" s="26"/>
      <c r="G24" s="60"/>
      <c r="H24" s="25">
        <f t="shared" si="1"/>
        <v>0</v>
      </c>
      <c r="I24" s="64"/>
    </row>
    <row r="25" spans="2:9">
      <c r="B25" s="59"/>
      <c r="C25" s="14"/>
      <c r="D25" s="15"/>
      <c r="E25" s="62"/>
      <c r="F25" s="26"/>
      <c r="G25" s="63"/>
      <c r="H25" s="25" t="str">
        <f t="shared" si="1"/>
        <v/>
      </c>
      <c r="I25" s="64"/>
    </row>
    <row r="26" spans="2:9">
      <c r="B26" s="48" t="s">
        <v>86</v>
      </c>
      <c r="C26" s="100" t="s">
        <v>683</v>
      </c>
      <c r="D26" s="22" t="s">
        <v>478</v>
      </c>
      <c r="E26" s="15"/>
      <c r="F26" s="26"/>
      <c r="G26" s="16"/>
      <c r="H26" s="25">
        <f t="shared" si="1"/>
        <v>0</v>
      </c>
      <c r="I26" s="18"/>
    </row>
    <row r="27" spans="2:9">
      <c r="B27" s="59"/>
      <c r="C27" s="14"/>
      <c r="D27" s="15"/>
      <c r="E27" s="15"/>
      <c r="F27" s="26"/>
      <c r="G27" s="16"/>
      <c r="H27" s="25" t="str">
        <f t="shared" si="1"/>
        <v/>
      </c>
      <c r="I27" s="18"/>
    </row>
    <row r="28" spans="2:9" ht="25.5">
      <c r="B28" s="48" t="s">
        <v>684</v>
      </c>
      <c r="C28" s="14" t="s">
        <v>685</v>
      </c>
      <c r="D28" s="22"/>
      <c r="E28" s="15"/>
      <c r="F28" s="26"/>
      <c r="G28" s="65"/>
      <c r="H28" s="25" t="str">
        <f t="shared" si="1"/>
        <v/>
      </c>
      <c r="I28" s="58"/>
    </row>
    <row r="29" spans="2:9">
      <c r="B29" s="59"/>
      <c r="C29" s="14"/>
      <c r="D29" s="15"/>
      <c r="E29" s="15"/>
      <c r="F29" s="26"/>
      <c r="G29" s="65"/>
      <c r="H29" s="25" t="str">
        <f t="shared" si="1"/>
        <v/>
      </c>
      <c r="I29" s="18"/>
    </row>
    <row r="30" spans="2:9">
      <c r="B30" s="48" t="s">
        <v>686</v>
      </c>
      <c r="C30" s="14" t="s">
        <v>687</v>
      </c>
      <c r="D30" s="22" t="s">
        <v>478</v>
      </c>
      <c r="E30" s="15"/>
      <c r="F30" s="26"/>
      <c r="G30" s="60"/>
      <c r="H30" s="25">
        <f t="shared" si="1"/>
        <v>0</v>
      </c>
      <c r="I30" s="18"/>
    </row>
    <row r="31" spans="2:9">
      <c r="B31" s="59"/>
      <c r="C31" s="14"/>
      <c r="D31" s="15"/>
      <c r="E31" s="15"/>
      <c r="F31" s="26"/>
      <c r="G31" s="27"/>
      <c r="H31" s="25" t="str">
        <f t="shared" si="1"/>
        <v/>
      </c>
      <c r="I31" s="18"/>
    </row>
    <row r="32" spans="2:9" ht="25.5">
      <c r="B32" s="48" t="s">
        <v>688</v>
      </c>
      <c r="C32" s="14" t="s">
        <v>689</v>
      </c>
      <c r="D32" s="22" t="s">
        <v>478</v>
      </c>
      <c r="E32" s="15"/>
      <c r="F32" s="26"/>
      <c r="G32" s="27"/>
      <c r="H32" s="25">
        <f t="shared" si="1"/>
        <v>0</v>
      </c>
      <c r="I32" s="18"/>
    </row>
    <row r="33" spans="2:9">
      <c r="B33" s="59"/>
      <c r="C33" s="14"/>
      <c r="D33" s="15"/>
      <c r="E33" s="15"/>
      <c r="F33" s="26"/>
      <c r="G33" s="27"/>
      <c r="H33" s="25" t="str">
        <f t="shared" si="1"/>
        <v/>
      </c>
      <c r="I33" s="18"/>
    </row>
    <row r="34" spans="2:9" ht="25.5">
      <c r="B34" s="48" t="s">
        <v>690</v>
      </c>
      <c r="C34" s="100" t="s">
        <v>691</v>
      </c>
      <c r="D34" s="22"/>
      <c r="E34" s="15"/>
      <c r="F34" s="26"/>
      <c r="G34" s="65"/>
      <c r="H34" s="25" t="str">
        <f t="shared" si="1"/>
        <v/>
      </c>
      <c r="I34" s="58"/>
    </row>
    <row r="35" spans="2:9">
      <c r="B35" s="59"/>
      <c r="C35" s="14"/>
      <c r="D35" s="15"/>
      <c r="E35" s="15"/>
      <c r="F35" s="26"/>
      <c r="G35" s="27"/>
      <c r="H35" s="25" t="str">
        <f t="shared" si="1"/>
        <v/>
      </c>
      <c r="I35" s="18"/>
    </row>
    <row r="36" spans="2:9">
      <c r="B36" s="48" t="s">
        <v>692</v>
      </c>
      <c r="C36" s="14" t="s">
        <v>693</v>
      </c>
      <c r="D36" s="22" t="s">
        <v>347</v>
      </c>
      <c r="E36" s="15"/>
      <c r="F36" s="26"/>
      <c r="G36" s="60"/>
      <c r="H36" s="25">
        <f t="shared" si="1"/>
        <v>0</v>
      </c>
      <c r="I36" s="18"/>
    </row>
    <row r="37" spans="2:9">
      <c r="B37" s="59"/>
      <c r="C37" s="14"/>
      <c r="D37" s="15"/>
      <c r="E37" s="15"/>
      <c r="F37" s="15"/>
      <c r="G37" s="16"/>
      <c r="H37" s="25" t="str">
        <f t="shared" si="1"/>
        <v/>
      </c>
      <c r="I37" s="18"/>
    </row>
    <row r="38" spans="2:9" ht="25.5">
      <c r="B38" s="48" t="s">
        <v>694</v>
      </c>
      <c r="C38" s="14" t="s">
        <v>695</v>
      </c>
      <c r="D38" s="22" t="s">
        <v>347</v>
      </c>
      <c r="E38" s="15"/>
      <c r="F38" s="15"/>
      <c r="G38" s="65"/>
      <c r="H38" s="25">
        <f t="shared" si="1"/>
        <v>0</v>
      </c>
      <c r="I38" s="18"/>
    </row>
    <row r="39" spans="2:9">
      <c r="B39" s="59"/>
      <c r="C39" s="14"/>
      <c r="D39" s="15"/>
      <c r="E39" s="15"/>
      <c r="F39" s="15"/>
      <c r="G39" s="65"/>
      <c r="H39" s="25" t="str">
        <f t="shared" si="1"/>
        <v/>
      </c>
      <c r="I39" s="18"/>
    </row>
    <row r="40" spans="2:9">
      <c r="B40" s="48" t="s">
        <v>696</v>
      </c>
      <c r="C40" s="100" t="s">
        <v>697</v>
      </c>
      <c r="D40" s="22" t="s">
        <v>347</v>
      </c>
      <c r="E40" s="15"/>
      <c r="F40" s="15"/>
      <c r="G40" s="65"/>
      <c r="H40" s="25">
        <f t="shared" si="1"/>
        <v>0</v>
      </c>
      <c r="I40" s="18"/>
    </row>
    <row r="41" spans="2:9">
      <c r="B41" s="59"/>
      <c r="C41" s="14"/>
      <c r="D41" s="15"/>
      <c r="E41" s="15"/>
      <c r="F41" s="15"/>
      <c r="G41" s="65"/>
      <c r="H41" s="25" t="str">
        <f t="shared" si="1"/>
        <v/>
      </c>
      <c r="I41" s="18"/>
    </row>
    <row r="42" spans="2:9">
      <c r="B42" s="48" t="s">
        <v>698</v>
      </c>
      <c r="C42" s="14" t="s">
        <v>527</v>
      </c>
      <c r="D42" s="22"/>
      <c r="E42" s="15"/>
      <c r="F42" s="15"/>
      <c r="G42" s="66"/>
      <c r="H42" s="25" t="str">
        <f t="shared" si="1"/>
        <v/>
      </c>
      <c r="I42" s="18"/>
    </row>
    <row r="43" spans="2:9">
      <c r="B43" s="59"/>
      <c r="C43" s="14"/>
      <c r="D43" s="15"/>
      <c r="E43" s="15"/>
      <c r="F43" s="15"/>
      <c r="G43" s="65"/>
      <c r="H43" s="25" t="str">
        <f t="shared" si="1"/>
        <v/>
      </c>
      <c r="I43" s="18"/>
    </row>
    <row r="44" spans="2:9">
      <c r="B44" s="48" t="s">
        <v>83</v>
      </c>
      <c r="C44" s="14" t="s">
        <v>528</v>
      </c>
      <c r="D44" s="22" t="s">
        <v>347</v>
      </c>
      <c r="E44" s="62"/>
      <c r="F44" s="62"/>
      <c r="G44" s="65"/>
      <c r="H44" s="25">
        <f t="shared" si="1"/>
        <v>0</v>
      </c>
      <c r="I44" s="64"/>
    </row>
    <row r="45" spans="2:9">
      <c r="B45" s="59"/>
      <c r="C45" s="14"/>
      <c r="D45" s="15"/>
      <c r="E45" s="15"/>
      <c r="F45" s="15"/>
      <c r="G45" s="65"/>
      <c r="H45" s="25" t="str">
        <f t="shared" si="1"/>
        <v/>
      </c>
      <c r="I45" s="18"/>
    </row>
    <row r="46" spans="2:9">
      <c r="B46" s="48" t="s">
        <v>86</v>
      </c>
      <c r="C46" s="100" t="s">
        <v>528</v>
      </c>
      <c r="D46" s="22" t="s">
        <v>85</v>
      </c>
      <c r="E46" s="62"/>
      <c r="F46" s="62"/>
      <c r="G46" s="65"/>
      <c r="H46" s="25">
        <f t="shared" ref="H46:H74" si="2">IF(D46="","",F46*G46)</f>
        <v>0</v>
      </c>
      <c r="I46" s="18"/>
    </row>
    <row r="47" spans="2:9">
      <c r="B47" s="48"/>
      <c r="C47" s="100"/>
      <c r="D47" s="22"/>
      <c r="E47" s="62"/>
      <c r="F47" s="62"/>
      <c r="G47" s="65"/>
      <c r="H47" s="25" t="str">
        <f t="shared" si="2"/>
        <v/>
      </c>
      <c r="I47" s="18"/>
    </row>
    <row r="48" spans="2:9">
      <c r="B48" s="48"/>
      <c r="C48" s="100"/>
      <c r="D48" s="22"/>
      <c r="E48" s="62"/>
      <c r="F48" s="62"/>
      <c r="G48" s="65"/>
      <c r="H48" s="25" t="str">
        <f t="shared" si="2"/>
        <v/>
      </c>
      <c r="I48" s="18"/>
    </row>
    <row r="49" spans="2:9">
      <c r="B49" s="48"/>
      <c r="C49" s="100"/>
      <c r="D49" s="22"/>
      <c r="E49" s="62"/>
      <c r="F49" s="62"/>
      <c r="G49" s="65"/>
      <c r="H49" s="25" t="str">
        <f t="shared" si="2"/>
        <v/>
      </c>
      <c r="I49" s="18"/>
    </row>
    <row r="50" spans="2:9">
      <c r="B50" s="48"/>
      <c r="C50" s="100"/>
      <c r="D50" s="22"/>
      <c r="E50" s="62"/>
      <c r="F50" s="62"/>
      <c r="G50" s="65"/>
      <c r="H50" s="25" t="str">
        <f t="shared" si="2"/>
        <v/>
      </c>
      <c r="I50" s="18"/>
    </row>
    <row r="51" spans="2:9">
      <c r="B51" s="48"/>
      <c r="C51" s="100"/>
      <c r="D51" s="22"/>
      <c r="E51" s="62"/>
      <c r="F51" s="62"/>
      <c r="G51" s="65"/>
      <c r="H51" s="25" t="str">
        <f t="shared" si="2"/>
        <v/>
      </c>
      <c r="I51" s="18"/>
    </row>
    <row r="52" spans="2:9">
      <c r="B52" s="48"/>
      <c r="C52" s="100"/>
      <c r="D52" s="22"/>
      <c r="E52" s="62"/>
      <c r="F52" s="62"/>
      <c r="G52" s="65"/>
      <c r="H52" s="25" t="str">
        <f t="shared" si="2"/>
        <v/>
      </c>
      <c r="I52" s="18"/>
    </row>
    <row r="53" spans="2:9">
      <c r="B53" s="48"/>
      <c r="C53" s="100"/>
      <c r="D53" s="22"/>
      <c r="E53" s="62"/>
      <c r="F53" s="62"/>
      <c r="G53" s="65"/>
      <c r="H53" s="25" t="str">
        <f t="shared" si="2"/>
        <v/>
      </c>
      <c r="I53" s="18"/>
    </row>
    <row r="54" spans="2:9">
      <c r="B54" s="48"/>
      <c r="C54" s="100"/>
      <c r="D54" s="22"/>
      <c r="E54" s="62"/>
      <c r="F54" s="62"/>
      <c r="G54" s="65"/>
      <c r="H54" s="25" t="str">
        <f t="shared" si="2"/>
        <v/>
      </c>
      <c r="I54" s="18"/>
    </row>
    <row r="55" spans="2:9">
      <c r="B55" s="48"/>
      <c r="C55" s="100"/>
      <c r="D55" s="22"/>
      <c r="E55" s="62"/>
      <c r="F55" s="62"/>
      <c r="G55" s="65"/>
      <c r="H55" s="25" t="str">
        <f t="shared" si="2"/>
        <v/>
      </c>
      <c r="I55" s="18"/>
    </row>
    <row r="56" spans="2:9">
      <c r="B56" s="48"/>
      <c r="C56" s="100"/>
      <c r="D56" s="22"/>
      <c r="E56" s="62"/>
      <c r="F56" s="62"/>
      <c r="G56" s="65"/>
      <c r="H56" s="25" t="str">
        <f t="shared" si="2"/>
        <v/>
      </c>
      <c r="I56" s="18"/>
    </row>
    <row r="57" spans="2:9">
      <c r="B57" s="48"/>
      <c r="C57" s="100"/>
      <c r="D57" s="22"/>
      <c r="E57" s="62"/>
      <c r="F57" s="62"/>
      <c r="G57" s="65"/>
      <c r="H57" s="25" t="str">
        <f t="shared" si="2"/>
        <v/>
      </c>
      <c r="I57" s="18"/>
    </row>
    <row r="58" spans="2:9">
      <c r="B58" s="48"/>
      <c r="C58" s="100"/>
      <c r="D58" s="22"/>
      <c r="E58" s="62"/>
      <c r="F58" s="62"/>
      <c r="G58" s="65"/>
      <c r="H58" s="25" t="str">
        <f t="shared" si="2"/>
        <v/>
      </c>
      <c r="I58" s="18"/>
    </row>
    <row r="59" spans="2:9">
      <c r="B59" s="48"/>
      <c r="C59" s="100"/>
      <c r="D59" s="22"/>
      <c r="E59" s="62"/>
      <c r="F59" s="62"/>
      <c r="G59" s="65"/>
      <c r="H59" s="25" t="str">
        <f t="shared" si="2"/>
        <v/>
      </c>
      <c r="I59" s="18"/>
    </row>
    <row r="60" spans="2:9">
      <c r="B60" s="48"/>
      <c r="C60" s="100"/>
      <c r="D60" s="22"/>
      <c r="E60" s="62"/>
      <c r="F60" s="62"/>
      <c r="G60" s="65"/>
      <c r="H60" s="25" t="str">
        <f t="shared" si="2"/>
        <v/>
      </c>
      <c r="I60" s="18"/>
    </row>
    <row r="61" spans="2:9">
      <c r="B61" s="48"/>
      <c r="C61" s="100"/>
      <c r="D61" s="22"/>
      <c r="E61" s="62"/>
      <c r="F61" s="62"/>
      <c r="G61" s="65"/>
      <c r="H61" s="25" t="str">
        <f t="shared" si="2"/>
        <v/>
      </c>
      <c r="I61" s="18"/>
    </row>
    <row r="62" spans="2:9">
      <c r="B62" s="48"/>
      <c r="C62" s="100"/>
      <c r="D62" s="22"/>
      <c r="E62" s="62"/>
      <c r="F62" s="62"/>
      <c r="G62" s="65"/>
      <c r="H62" s="25" t="str">
        <f t="shared" si="2"/>
        <v/>
      </c>
      <c r="I62" s="18"/>
    </row>
    <row r="63" spans="2:9">
      <c r="B63" s="48"/>
      <c r="C63" s="100"/>
      <c r="D63" s="22"/>
      <c r="E63" s="62"/>
      <c r="F63" s="62"/>
      <c r="G63" s="65"/>
      <c r="H63" s="25" t="str">
        <f t="shared" si="2"/>
        <v/>
      </c>
      <c r="I63" s="18"/>
    </row>
    <row r="64" spans="2:9">
      <c r="B64" s="48"/>
      <c r="C64" s="100"/>
      <c r="D64" s="22"/>
      <c r="E64" s="62"/>
      <c r="F64" s="62"/>
      <c r="G64" s="65"/>
      <c r="H64" s="25" t="str">
        <f t="shared" si="2"/>
        <v/>
      </c>
      <c r="I64" s="18"/>
    </row>
    <row r="65" spans="2:9">
      <c r="B65" s="48"/>
      <c r="C65" s="100"/>
      <c r="D65" s="22"/>
      <c r="E65" s="62"/>
      <c r="F65" s="62"/>
      <c r="G65" s="65"/>
      <c r="H65" s="25" t="str">
        <f t="shared" si="2"/>
        <v/>
      </c>
      <c r="I65" s="18"/>
    </row>
    <row r="66" spans="2:9">
      <c r="B66" s="48"/>
      <c r="C66" s="100"/>
      <c r="D66" s="22"/>
      <c r="E66" s="62"/>
      <c r="F66" s="62"/>
      <c r="G66" s="65"/>
      <c r="H66" s="25" t="str">
        <f t="shared" si="2"/>
        <v/>
      </c>
      <c r="I66" s="18"/>
    </row>
    <row r="67" spans="2:9">
      <c r="B67" s="48"/>
      <c r="C67" s="100"/>
      <c r="D67" s="22"/>
      <c r="E67" s="62"/>
      <c r="F67" s="62"/>
      <c r="G67" s="65"/>
      <c r="H67" s="25" t="str">
        <f t="shared" si="2"/>
        <v/>
      </c>
      <c r="I67" s="18"/>
    </row>
    <row r="68" spans="2:9">
      <c r="B68" s="48"/>
      <c r="C68" s="100"/>
      <c r="D68" s="22"/>
      <c r="E68" s="62"/>
      <c r="F68" s="62"/>
      <c r="G68" s="65"/>
      <c r="H68" s="25" t="str">
        <f t="shared" si="2"/>
        <v/>
      </c>
      <c r="I68" s="18"/>
    </row>
    <row r="69" spans="2:9">
      <c r="B69" s="48"/>
      <c r="C69" s="100"/>
      <c r="D69" s="22"/>
      <c r="E69" s="62"/>
      <c r="F69" s="62"/>
      <c r="G69" s="65"/>
      <c r="H69" s="25" t="str">
        <f t="shared" si="2"/>
        <v/>
      </c>
      <c r="I69" s="18"/>
    </row>
    <row r="70" spans="2:9">
      <c r="B70" s="48"/>
      <c r="C70" s="100"/>
      <c r="D70" s="22"/>
      <c r="E70" s="62"/>
      <c r="F70" s="62"/>
      <c r="G70" s="65"/>
      <c r="H70" s="25" t="str">
        <f t="shared" si="2"/>
        <v/>
      </c>
      <c r="I70" s="18"/>
    </row>
    <row r="71" spans="2:9">
      <c r="B71" s="48"/>
      <c r="C71" s="100"/>
      <c r="D71" s="22"/>
      <c r="E71" s="62"/>
      <c r="F71" s="62"/>
      <c r="G71" s="65"/>
      <c r="H71" s="25" t="str">
        <f t="shared" si="2"/>
        <v/>
      </c>
      <c r="I71" s="18"/>
    </row>
    <row r="72" spans="2:9">
      <c r="B72" s="48"/>
      <c r="C72" s="100"/>
      <c r="D72" s="22"/>
      <c r="E72" s="62"/>
      <c r="F72" s="62"/>
      <c r="G72" s="65"/>
      <c r="H72" s="25" t="str">
        <f t="shared" si="2"/>
        <v/>
      </c>
      <c r="I72" s="18"/>
    </row>
    <row r="73" spans="2:9">
      <c r="B73" s="48"/>
      <c r="C73" s="100"/>
      <c r="D73" s="22"/>
      <c r="E73" s="62"/>
      <c r="F73" s="62"/>
      <c r="G73" s="65"/>
      <c r="H73" s="25" t="str">
        <f t="shared" si="2"/>
        <v/>
      </c>
      <c r="I73" s="18"/>
    </row>
    <row r="74" spans="2:9">
      <c r="B74" s="48"/>
      <c r="C74" s="100"/>
      <c r="D74" s="22"/>
      <c r="E74" s="62"/>
      <c r="F74" s="62"/>
      <c r="G74" s="65"/>
      <c r="H74" s="25" t="str">
        <f t="shared" si="2"/>
        <v/>
      </c>
      <c r="I74" s="18"/>
    </row>
    <row r="75" spans="2:9" s="28" customFormat="1" ht="24.95" customHeight="1">
      <c r="B75" s="82" t="str">
        <f>$B$10</f>
        <v>C2.4</v>
      </c>
      <c r="C75" s="29" t="s">
        <v>125</v>
      </c>
      <c r="D75" s="30"/>
      <c r="E75" s="30"/>
      <c r="F75" s="31"/>
      <c r="G75" s="30"/>
      <c r="H75" s="32">
        <f>SUM(H9:H74)</f>
        <v>0</v>
      </c>
      <c r="I75" s="33"/>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23AE-DECA-459E-A56E-771091CAC433}">
  <sheetPr>
    <tabColor rgb="FFFFC000"/>
  </sheetPr>
  <dimension ref="B1:M228"/>
  <sheetViews>
    <sheetView view="pageBreakPreview" topLeftCell="A154" zoomScaleNormal="70" zoomScaleSheetLayoutView="100" workbookViewId="0">
      <selection activeCell="G177" sqref="G177"/>
    </sheetView>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3.7109375" style="4" customWidth="1"/>
    <col min="7" max="7" width="16.28515625" style="4" customWidth="1"/>
    <col min="8" max="8" width="20.85546875" style="4" customWidth="1"/>
    <col min="9" max="9" width="0.85546875" style="5" hidden="1" customWidth="1"/>
    <col min="10" max="10" width="0" style="1" hidden="1" customWidth="1"/>
    <col min="11" max="11" width="16.85546875" style="1" hidden="1" customWidth="1"/>
    <col min="12" max="12" width="0" style="1" hidden="1" customWidth="1"/>
    <col min="13" max="13" width="9" style="1" hidden="1" customWidth="1"/>
    <col min="14" max="53" width="0" style="1" hidden="1" customWidth="1"/>
    <col min="54" max="16384" width="6.85546875" style="1"/>
  </cols>
  <sheetData>
    <row r="1" spans="2:11">
      <c r="B1" s="2" t="str">
        <f>Client1</f>
        <v>AIRPORTS COMPANY - SOUTH AFRICA</v>
      </c>
      <c r="F1" s="676" t="str">
        <f>"Contract No. "&amp;ContractNo</f>
        <v>Contract No. KSIA7806/2025/RFP</v>
      </c>
      <c r="G1" s="676"/>
      <c r="H1" s="676"/>
    </row>
    <row r="2" spans="2:11">
      <c r="B2" s="90" t="str">
        <f>Client2</f>
        <v>ACSA</v>
      </c>
    </row>
    <row r="3" spans="2:11">
      <c r="B3" s="71"/>
      <c r="C3" s="71"/>
      <c r="D3" s="72"/>
      <c r="E3" s="72"/>
      <c r="F3" s="72"/>
      <c r="G3" s="72"/>
      <c r="H3" s="72"/>
    </row>
    <row r="4" spans="2:11">
      <c r="B4" s="695"/>
      <c r="C4" s="696"/>
      <c r="D4" s="696"/>
      <c r="E4" s="696"/>
      <c r="F4" s="696"/>
      <c r="G4" s="696"/>
      <c r="H4" s="770" t="str">
        <f>"CHAPTER "&amp;B10</f>
        <v>CHAPTER PSS2</v>
      </c>
      <c r="I4" s="6"/>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11" ht="12.75" customHeight="1">
      <c r="B6" s="690"/>
      <c r="C6" s="691"/>
      <c r="D6" s="691"/>
      <c r="E6" s="691"/>
      <c r="F6" s="691"/>
      <c r="G6" s="691"/>
      <c r="H6" s="771"/>
      <c r="I6" s="8"/>
    </row>
    <row r="7" spans="2:11" ht="17.25" customHeight="1">
      <c r="B7" s="692"/>
      <c r="C7" s="693"/>
      <c r="D7" s="693"/>
      <c r="E7" s="693"/>
      <c r="F7" s="693"/>
      <c r="G7" s="693"/>
      <c r="H7" s="772"/>
      <c r="I7" s="8"/>
    </row>
    <row r="8" spans="2:11" s="9" customFormat="1" ht="24.95" customHeight="1">
      <c r="B8" s="10" t="s">
        <v>11</v>
      </c>
      <c r="C8" s="11" t="s">
        <v>12</v>
      </c>
      <c r="D8" s="11" t="s">
        <v>13</v>
      </c>
      <c r="E8" s="11" t="s">
        <v>14</v>
      </c>
      <c r="F8" s="11" t="s">
        <v>15</v>
      </c>
      <c r="G8" s="11" t="s">
        <v>16</v>
      </c>
      <c r="H8" s="11" t="s">
        <v>17</v>
      </c>
      <c r="I8" s="12"/>
      <c r="K8" s="546" t="s">
        <v>3711</v>
      </c>
    </row>
    <row r="9" spans="2:11">
      <c r="B9" s="105"/>
      <c r="C9" s="52"/>
      <c r="D9" s="78"/>
      <c r="E9" s="22"/>
      <c r="F9" s="15"/>
      <c r="G9" s="15"/>
      <c r="H9" s="558" t="str">
        <f>IF(D9="","",F9*G9)</f>
        <v/>
      </c>
      <c r="I9" s="239"/>
    </row>
    <row r="10" spans="2:11" ht="25.5">
      <c r="B10" s="559" t="s">
        <v>3764</v>
      </c>
      <c r="C10" s="7" t="s">
        <v>3765</v>
      </c>
      <c r="D10" s="15"/>
      <c r="E10" s="22"/>
      <c r="F10" s="15"/>
      <c r="G10" s="15"/>
      <c r="H10" s="558" t="str">
        <f t="shared" ref="H10:H12" si="0">IF(D10="","",F10*G10)</f>
        <v/>
      </c>
      <c r="I10" s="239"/>
    </row>
    <row r="11" spans="2:11">
      <c r="B11" s="59"/>
      <c r="C11" s="52"/>
      <c r="D11" s="15"/>
      <c r="E11" s="22"/>
      <c r="F11" s="15"/>
      <c r="G11" s="22"/>
      <c r="H11" s="529" t="str">
        <f t="shared" si="0"/>
        <v/>
      </c>
      <c r="I11" s="239"/>
    </row>
    <row r="12" spans="2:11">
      <c r="B12" s="59" t="s">
        <v>3766</v>
      </c>
      <c r="C12" s="7" t="s">
        <v>3767</v>
      </c>
      <c r="D12" s="22"/>
      <c r="E12" s="22"/>
      <c r="F12" s="22"/>
      <c r="G12" s="535"/>
      <c r="H12" s="529" t="str">
        <f t="shared" si="0"/>
        <v/>
      </c>
      <c r="I12" s="277"/>
    </row>
    <row r="13" spans="2:11">
      <c r="B13" s="59"/>
      <c r="C13" s="7"/>
      <c r="D13" s="22"/>
      <c r="E13" s="22"/>
      <c r="F13" s="564"/>
      <c r="G13" s="535"/>
      <c r="H13" s="529"/>
      <c r="I13" s="277"/>
    </row>
    <row r="14" spans="2:11" ht="25.5">
      <c r="B14" s="339" t="s">
        <v>271</v>
      </c>
      <c r="C14" s="55" t="s">
        <v>3768</v>
      </c>
      <c r="D14" s="22" t="s">
        <v>3250</v>
      </c>
      <c r="E14" s="22"/>
      <c r="F14" s="564">
        <v>3</v>
      </c>
      <c r="G14" s="623"/>
      <c r="H14" s="529">
        <f>IF(D14="","",F14*G14)</f>
        <v>0</v>
      </c>
      <c r="I14" s="278"/>
    </row>
    <row r="15" spans="2:11">
      <c r="B15" s="339" t="s">
        <v>273</v>
      </c>
      <c r="C15" s="1" t="s">
        <v>3769</v>
      </c>
      <c r="D15" s="22" t="s">
        <v>3770</v>
      </c>
      <c r="E15" s="22"/>
      <c r="F15" s="564">
        <v>2</v>
      </c>
      <c r="G15" s="623"/>
      <c r="H15" s="529">
        <f t="shared" ref="H15:H78" si="1">IF(D15="","",F15*G15)</f>
        <v>0</v>
      </c>
    </row>
    <row r="16" spans="2:11">
      <c r="B16" s="339" t="s">
        <v>1422</v>
      </c>
      <c r="C16" s="1" t="s">
        <v>3771</v>
      </c>
      <c r="D16" s="22" t="s">
        <v>3770</v>
      </c>
      <c r="E16" s="22"/>
      <c r="F16" s="564">
        <v>4</v>
      </c>
      <c r="G16" s="623"/>
      <c r="H16" s="529">
        <f t="shared" si="1"/>
        <v>0</v>
      </c>
    </row>
    <row r="17" spans="2:8" s="5" customFormat="1">
      <c r="B17" s="339" t="s">
        <v>3725</v>
      </c>
      <c r="C17" s="1" t="s">
        <v>3772</v>
      </c>
      <c r="D17" s="22" t="s">
        <v>3770</v>
      </c>
      <c r="E17" s="22"/>
      <c r="F17" s="564">
        <v>3</v>
      </c>
      <c r="G17" s="623"/>
      <c r="H17" s="529">
        <f t="shared" si="1"/>
        <v>0</v>
      </c>
    </row>
    <row r="18" spans="2:8" s="5" customFormat="1">
      <c r="B18" s="339" t="s">
        <v>3728</v>
      </c>
      <c r="C18" s="1" t="s">
        <v>3773</v>
      </c>
      <c r="D18" s="22" t="s">
        <v>3770</v>
      </c>
      <c r="E18" s="22"/>
      <c r="F18" s="564">
        <v>1</v>
      </c>
      <c r="G18" s="623"/>
      <c r="H18" s="529">
        <f t="shared" si="1"/>
        <v>0</v>
      </c>
    </row>
    <row r="19" spans="2:8" s="5" customFormat="1">
      <c r="B19" s="339"/>
      <c r="C19" s="1"/>
      <c r="D19" s="22"/>
      <c r="E19" s="22"/>
      <c r="F19" s="564"/>
      <c r="G19" s="623"/>
      <c r="H19" s="529" t="str">
        <f t="shared" si="1"/>
        <v/>
      </c>
    </row>
    <row r="20" spans="2:8" s="5" customFormat="1" ht="25.5">
      <c r="B20" s="59" t="s">
        <v>3766</v>
      </c>
      <c r="C20" s="561" t="s">
        <v>3774</v>
      </c>
      <c r="D20" s="22"/>
      <c r="E20" s="240"/>
      <c r="F20" s="565"/>
      <c r="G20" s="623"/>
      <c r="H20" s="529" t="str">
        <f t="shared" si="1"/>
        <v/>
      </c>
    </row>
    <row r="21" spans="2:8" s="5" customFormat="1">
      <c r="B21" s="339"/>
      <c r="C21" s="561"/>
      <c r="D21" s="22"/>
      <c r="E21" s="240"/>
      <c r="F21" s="566"/>
      <c r="G21" s="623"/>
      <c r="H21" s="529"/>
    </row>
    <row r="22" spans="2:8" s="5" customFormat="1">
      <c r="B22" s="339" t="s">
        <v>271</v>
      </c>
      <c r="C22" s="35" t="s">
        <v>3775</v>
      </c>
      <c r="D22" s="22"/>
      <c r="E22" s="36"/>
      <c r="F22" s="4"/>
      <c r="G22" s="623"/>
      <c r="H22" s="529"/>
    </row>
    <row r="23" spans="2:8" s="5" customFormat="1">
      <c r="B23" s="339"/>
      <c r="C23" s="35" t="s">
        <v>3776</v>
      </c>
      <c r="D23" s="22" t="s">
        <v>3250</v>
      </c>
      <c r="E23" s="36"/>
      <c r="F23" s="4">
        <v>1</v>
      </c>
      <c r="G23" s="623"/>
      <c r="H23" s="529">
        <f t="shared" ref="H23:H25" si="2">IF(D23="","",F23*G23)</f>
        <v>0</v>
      </c>
    </row>
    <row r="24" spans="2:8" s="5" customFormat="1">
      <c r="B24" s="339"/>
      <c r="C24" s="35" t="s">
        <v>3777</v>
      </c>
      <c r="D24" s="22" t="s">
        <v>3250</v>
      </c>
      <c r="E24" s="36"/>
      <c r="F24" s="4">
        <v>1</v>
      </c>
      <c r="G24" s="623"/>
      <c r="H24" s="529">
        <f t="shared" si="2"/>
        <v>0</v>
      </c>
    </row>
    <row r="25" spans="2:8" s="5" customFormat="1" ht="25.5">
      <c r="B25" s="339"/>
      <c r="C25" s="55" t="s">
        <v>3778</v>
      </c>
      <c r="D25" s="22" t="s">
        <v>3250</v>
      </c>
      <c r="E25" s="36"/>
      <c r="F25" s="4">
        <v>1</v>
      </c>
      <c r="G25" s="623"/>
      <c r="H25" s="529">
        <f t="shared" si="2"/>
        <v>0</v>
      </c>
    </row>
    <row r="26" spans="2:8" s="5" customFormat="1">
      <c r="B26" s="339" t="s">
        <v>273</v>
      </c>
      <c r="C26" s="35" t="s">
        <v>3779</v>
      </c>
      <c r="D26" s="22"/>
      <c r="E26" s="36"/>
      <c r="F26" s="4"/>
      <c r="G26" s="623"/>
      <c r="H26" s="529" t="str">
        <f t="shared" si="1"/>
        <v/>
      </c>
    </row>
    <row r="27" spans="2:8" s="5" customFormat="1">
      <c r="B27" s="339"/>
      <c r="C27" s="35" t="s">
        <v>3776</v>
      </c>
      <c r="D27" s="22" t="s">
        <v>3250</v>
      </c>
      <c r="E27" s="36"/>
      <c r="F27" s="4">
        <v>2</v>
      </c>
      <c r="G27" s="623"/>
      <c r="H27" s="529">
        <f>G27*F27</f>
        <v>0</v>
      </c>
    </row>
    <row r="28" spans="2:8" s="5" customFormat="1">
      <c r="B28" s="339"/>
      <c r="C28" s="35" t="s">
        <v>3777</v>
      </c>
      <c r="D28" s="22" t="s">
        <v>3250</v>
      </c>
      <c r="E28" s="36"/>
      <c r="F28" s="4">
        <v>2</v>
      </c>
      <c r="G28" s="623"/>
      <c r="H28" s="529">
        <f t="shared" ref="H28:H29" si="3">G28*F28</f>
        <v>0</v>
      </c>
    </row>
    <row r="29" spans="2:8" s="5" customFormat="1" ht="25.5">
      <c r="B29" s="339"/>
      <c r="C29" s="55" t="s">
        <v>3778</v>
      </c>
      <c r="D29" s="22" t="s">
        <v>3250</v>
      </c>
      <c r="E29" s="36"/>
      <c r="F29" s="4">
        <v>2</v>
      </c>
      <c r="G29" s="623"/>
      <c r="H29" s="529">
        <f t="shared" si="3"/>
        <v>0</v>
      </c>
    </row>
    <row r="30" spans="2:8" s="5" customFormat="1">
      <c r="B30" s="339" t="s">
        <v>1422</v>
      </c>
      <c r="C30" s="35" t="s">
        <v>3780</v>
      </c>
      <c r="D30" s="22"/>
      <c r="E30" s="36"/>
      <c r="F30" s="4"/>
      <c r="G30" s="623"/>
      <c r="H30" s="529"/>
    </row>
    <row r="31" spans="2:8" s="5" customFormat="1">
      <c r="B31" s="339"/>
      <c r="C31" s="35" t="s">
        <v>3776</v>
      </c>
      <c r="D31" s="22" t="s">
        <v>3250</v>
      </c>
      <c r="E31" s="36"/>
      <c r="F31" s="4">
        <v>1</v>
      </c>
      <c r="G31" s="623"/>
      <c r="H31" s="529">
        <f>G31*F31</f>
        <v>0</v>
      </c>
    </row>
    <row r="32" spans="2:8" s="5" customFormat="1">
      <c r="B32" s="339"/>
      <c r="C32" s="35" t="s">
        <v>3777</v>
      </c>
      <c r="D32" s="22" t="s">
        <v>3250</v>
      </c>
      <c r="E32" s="36"/>
      <c r="F32" s="4">
        <v>1</v>
      </c>
      <c r="G32" s="623"/>
      <c r="H32" s="529">
        <f t="shared" ref="H32:H33" si="4">G32*F32</f>
        <v>0</v>
      </c>
    </row>
    <row r="33" spans="2:13" ht="25.5">
      <c r="B33" s="339"/>
      <c r="C33" s="55" t="s">
        <v>3778</v>
      </c>
      <c r="D33" s="22" t="s">
        <v>3250</v>
      </c>
      <c r="E33" s="36"/>
      <c r="F33" s="4">
        <v>1</v>
      </c>
      <c r="G33" s="623"/>
      <c r="H33" s="529">
        <f t="shared" si="4"/>
        <v>0</v>
      </c>
    </row>
    <row r="34" spans="2:13" ht="25.5">
      <c r="B34" s="339" t="s">
        <v>3725</v>
      </c>
      <c r="C34" s="55" t="s">
        <v>3781</v>
      </c>
      <c r="D34" s="22"/>
      <c r="E34" s="36"/>
      <c r="G34" s="623"/>
      <c r="H34" s="529"/>
    </row>
    <row r="35" spans="2:13">
      <c r="B35" s="339"/>
      <c r="C35" s="35" t="s">
        <v>3776</v>
      </c>
      <c r="D35" s="22" t="s">
        <v>3250</v>
      </c>
      <c r="E35" s="36"/>
      <c r="F35" s="4">
        <v>8</v>
      </c>
      <c r="G35" s="623"/>
      <c r="H35" s="529">
        <f>G35*F35</f>
        <v>0</v>
      </c>
    </row>
    <row r="36" spans="2:13">
      <c r="B36" s="339"/>
      <c r="C36" s="35" t="s">
        <v>3777</v>
      </c>
      <c r="D36" s="22" t="s">
        <v>3250</v>
      </c>
      <c r="E36" s="36"/>
      <c r="F36" s="4">
        <v>8</v>
      </c>
      <c r="G36" s="623"/>
      <c r="H36" s="529">
        <f t="shared" ref="H36:H37" si="5">G36*F36</f>
        <v>0</v>
      </c>
    </row>
    <row r="37" spans="2:13" ht="25.5">
      <c r="B37" s="339"/>
      <c r="C37" s="55" t="s">
        <v>3778</v>
      </c>
      <c r="D37" s="22" t="s">
        <v>3250</v>
      </c>
      <c r="E37" s="36"/>
      <c r="F37" s="4">
        <v>8</v>
      </c>
      <c r="G37" s="623"/>
      <c r="H37" s="529">
        <f t="shared" si="5"/>
        <v>0</v>
      </c>
    </row>
    <row r="38" spans="2:13">
      <c r="B38" s="339"/>
      <c r="C38" s="1"/>
      <c r="D38" s="22"/>
      <c r="E38" s="36"/>
      <c r="G38" s="623"/>
      <c r="H38" s="529" t="str">
        <f t="shared" si="1"/>
        <v/>
      </c>
    </row>
    <row r="39" spans="2:13">
      <c r="B39" s="59" t="s">
        <v>3766</v>
      </c>
      <c r="C39" s="76" t="s">
        <v>3782</v>
      </c>
      <c r="D39" s="22"/>
      <c r="E39" s="36"/>
      <c r="G39" s="623"/>
      <c r="H39" s="529" t="str">
        <f t="shared" si="1"/>
        <v/>
      </c>
    </row>
    <row r="40" spans="2:13">
      <c r="B40" s="339"/>
      <c r="C40" s="76"/>
      <c r="D40" s="22"/>
      <c r="E40" s="36"/>
      <c r="G40" s="623"/>
      <c r="H40" s="529"/>
    </row>
    <row r="41" spans="2:13">
      <c r="B41" s="339" t="s">
        <v>271</v>
      </c>
      <c r="C41" s="35" t="s">
        <v>3783</v>
      </c>
      <c r="D41" s="22" t="s">
        <v>347</v>
      </c>
      <c r="E41" s="22"/>
      <c r="F41" s="564">
        <v>12</v>
      </c>
      <c r="G41" s="623"/>
      <c r="H41" s="529">
        <f t="shared" si="1"/>
        <v>0</v>
      </c>
    </row>
    <row r="42" spans="2:13">
      <c r="B42" s="339" t="s">
        <v>273</v>
      </c>
      <c r="C42" s="35" t="s">
        <v>3784</v>
      </c>
      <c r="D42" s="22" t="s">
        <v>347</v>
      </c>
      <c r="E42" s="22"/>
      <c r="F42" s="564">
        <v>18</v>
      </c>
      <c r="G42" s="623"/>
      <c r="H42" s="529">
        <f t="shared" si="1"/>
        <v>0</v>
      </c>
    </row>
    <row r="43" spans="2:13">
      <c r="B43" s="339" t="s">
        <v>1422</v>
      </c>
      <c r="C43" s="35" t="s">
        <v>3785</v>
      </c>
      <c r="D43" s="22" t="s">
        <v>347</v>
      </c>
      <c r="E43" s="22"/>
      <c r="F43" s="564">
        <v>60</v>
      </c>
      <c r="G43" s="623"/>
      <c r="H43" s="529">
        <f t="shared" si="1"/>
        <v>0</v>
      </c>
    </row>
    <row r="44" spans="2:13">
      <c r="B44" s="339"/>
      <c r="C44" s="1"/>
      <c r="D44" s="22"/>
      <c r="E44" s="22"/>
      <c r="F44" s="564"/>
      <c r="G44" s="623"/>
      <c r="H44" s="529" t="str">
        <f t="shared" si="1"/>
        <v/>
      </c>
    </row>
    <row r="45" spans="2:13">
      <c r="B45" s="59" t="s">
        <v>3766</v>
      </c>
      <c r="C45" s="76" t="s">
        <v>3786</v>
      </c>
      <c r="D45" s="22"/>
      <c r="E45" s="22"/>
      <c r="F45" s="564"/>
      <c r="G45" s="623"/>
      <c r="H45" s="529" t="str">
        <f t="shared" si="1"/>
        <v/>
      </c>
    </row>
    <row r="46" spans="2:13">
      <c r="B46" s="339"/>
      <c r="C46" s="76"/>
      <c r="D46" s="22"/>
      <c r="E46" s="22"/>
      <c r="F46" s="564"/>
      <c r="G46" s="623"/>
      <c r="H46" s="529"/>
    </row>
    <row r="47" spans="2:13" s="5" customFormat="1">
      <c r="B47" s="339" t="s">
        <v>271</v>
      </c>
      <c r="C47" s="35" t="s">
        <v>3787</v>
      </c>
      <c r="D47" s="22" t="s">
        <v>3250</v>
      </c>
      <c r="E47" s="22"/>
      <c r="F47" s="564">
        <v>8</v>
      </c>
      <c r="G47" s="623"/>
      <c r="H47" s="529">
        <f t="shared" si="1"/>
        <v>0</v>
      </c>
      <c r="J47" s="1"/>
      <c r="K47" s="1"/>
      <c r="L47" s="1"/>
      <c r="M47" s="1"/>
    </row>
    <row r="48" spans="2:13" s="5" customFormat="1">
      <c r="B48" s="339" t="s">
        <v>273</v>
      </c>
      <c r="C48" s="35" t="s">
        <v>3788</v>
      </c>
      <c r="D48" s="22" t="s">
        <v>3250</v>
      </c>
      <c r="E48" s="22"/>
      <c r="F48" s="564">
        <v>5</v>
      </c>
      <c r="G48" s="623"/>
      <c r="H48" s="529">
        <f t="shared" si="1"/>
        <v>0</v>
      </c>
      <c r="J48" s="1"/>
      <c r="K48" s="1"/>
      <c r="L48" s="1"/>
      <c r="M48" s="1"/>
    </row>
    <row r="49" spans="2:13" s="5" customFormat="1">
      <c r="B49" s="339"/>
      <c r="C49" s="1"/>
      <c r="D49" s="22"/>
      <c r="E49" s="22"/>
      <c r="F49" s="564"/>
      <c r="G49" s="623"/>
      <c r="H49" s="529" t="str">
        <f t="shared" si="1"/>
        <v/>
      </c>
      <c r="J49" s="1"/>
      <c r="K49" s="1"/>
      <c r="L49" s="1"/>
      <c r="M49" s="1"/>
    </row>
    <row r="50" spans="2:13" s="5" customFormat="1">
      <c r="B50" s="59" t="s">
        <v>3766</v>
      </c>
      <c r="C50" s="76" t="s">
        <v>3789</v>
      </c>
      <c r="D50" s="22"/>
      <c r="E50" s="22"/>
      <c r="F50" s="564"/>
      <c r="G50" s="623"/>
      <c r="H50" s="529" t="str">
        <f t="shared" si="1"/>
        <v/>
      </c>
      <c r="J50" s="1"/>
      <c r="K50" s="1"/>
      <c r="L50" s="1"/>
      <c r="M50" s="1"/>
    </row>
    <row r="51" spans="2:13" s="5" customFormat="1">
      <c r="B51" s="339"/>
      <c r="C51" s="76"/>
      <c r="D51" s="22"/>
      <c r="E51" s="22"/>
      <c r="F51" s="564"/>
      <c r="G51" s="623"/>
      <c r="H51" s="529"/>
      <c r="J51" s="1"/>
      <c r="K51" s="1"/>
      <c r="L51" s="1"/>
      <c r="M51" s="1"/>
    </row>
    <row r="52" spans="2:13" s="5" customFormat="1">
      <c r="B52" s="339" t="s">
        <v>271</v>
      </c>
      <c r="C52" s="35" t="s">
        <v>3790</v>
      </c>
      <c r="D52" s="22" t="s">
        <v>3250</v>
      </c>
      <c r="E52" s="22"/>
      <c r="F52" s="564">
        <v>1</v>
      </c>
      <c r="G52" s="623"/>
      <c r="H52" s="529">
        <f t="shared" si="1"/>
        <v>0</v>
      </c>
      <c r="J52" s="1"/>
      <c r="K52" s="1"/>
      <c r="L52" s="1"/>
      <c r="M52" s="1"/>
    </row>
    <row r="53" spans="2:13" s="5" customFormat="1">
      <c r="B53" s="339" t="s">
        <v>273</v>
      </c>
      <c r="C53" s="35" t="s">
        <v>3791</v>
      </c>
      <c r="D53" s="22" t="s">
        <v>3250</v>
      </c>
      <c r="E53" s="22"/>
      <c r="F53" s="564">
        <v>8</v>
      </c>
      <c r="G53" s="623"/>
      <c r="H53" s="529">
        <f t="shared" si="1"/>
        <v>0</v>
      </c>
      <c r="J53" s="1"/>
      <c r="K53" s="1"/>
      <c r="L53" s="1"/>
      <c r="M53" s="1"/>
    </row>
    <row r="54" spans="2:13" s="5" customFormat="1">
      <c r="B54" s="339" t="s">
        <v>1422</v>
      </c>
      <c r="C54" s="35" t="s">
        <v>3792</v>
      </c>
      <c r="D54" s="22" t="s">
        <v>3250</v>
      </c>
      <c r="E54" s="22"/>
      <c r="F54" s="564">
        <v>2</v>
      </c>
      <c r="G54" s="623"/>
      <c r="H54" s="529">
        <f t="shared" si="1"/>
        <v>0</v>
      </c>
      <c r="J54" s="1"/>
      <c r="K54" s="1"/>
      <c r="L54" s="1"/>
      <c r="M54" s="1"/>
    </row>
    <row r="55" spans="2:13" s="5" customFormat="1">
      <c r="B55" s="339" t="s">
        <v>3725</v>
      </c>
      <c r="C55" s="35" t="s">
        <v>3793</v>
      </c>
      <c r="D55" s="22" t="s">
        <v>3250</v>
      </c>
      <c r="E55" s="22"/>
      <c r="F55" s="564">
        <v>2</v>
      </c>
      <c r="G55" s="623"/>
      <c r="H55" s="529">
        <f t="shared" si="1"/>
        <v>0</v>
      </c>
      <c r="J55" s="1"/>
      <c r="K55" s="1"/>
      <c r="L55" s="1"/>
      <c r="M55" s="1"/>
    </row>
    <row r="56" spans="2:13" s="5" customFormat="1">
      <c r="B56" s="339"/>
      <c r="C56" s="1"/>
      <c r="D56" s="22"/>
      <c r="E56" s="22"/>
      <c r="F56" s="564"/>
      <c r="G56" s="623"/>
      <c r="H56" s="529" t="str">
        <f t="shared" si="1"/>
        <v/>
      </c>
      <c r="J56" s="1"/>
      <c r="K56" s="1"/>
      <c r="L56" s="1"/>
      <c r="M56" s="1"/>
    </row>
    <row r="57" spans="2:13" s="5" customFormat="1">
      <c r="B57" s="59" t="s">
        <v>3766</v>
      </c>
      <c r="C57" s="76" t="s">
        <v>3794</v>
      </c>
      <c r="D57" s="22"/>
      <c r="E57" s="22"/>
      <c r="F57" s="564"/>
      <c r="G57" s="623"/>
      <c r="H57" s="529" t="str">
        <f t="shared" si="1"/>
        <v/>
      </c>
      <c r="J57" s="1"/>
      <c r="K57" s="1"/>
      <c r="L57" s="1"/>
      <c r="M57" s="1"/>
    </row>
    <row r="58" spans="2:13" s="5" customFormat="1">
      <c r="B58" s="339" t="s">
        <v>271</v>
      </c>
      <c r="C58" s="35" t="s">
        <v>3795</v>
      </c>
      <c r="D58" s="22" t="s">
        <v>3250</v>
      </c>
      <c r="E58" s="22"/>
      <c r="F58" s="564">
        <v>3</v>
      </c>
      <c r="G58" s="623"/>
      <c r="H58" s="529">
        <f t="shared" si="1"/>
        <v>0</v>
      </c>
      <c r="J58" s="1"/>
      <c r="K58" s="1"/>
      <c r="L58" s="1"/>
      <c r="M58" s="1"/>
    </row>
    <row r="59" spans="2:13" s="5" customFormat="1">
      <c r="B59" s="339" t="s">
        <v>273</v>
      </c>
      <c r="C59" s="35" t="s">
        <v>3796</v>
      </c>
      <c r="D59" s="22" t="s">
        <v>3250</v>
      </c>
      <c r="E59" s="22"/>
      <c r="F59" s="564">
        <v>6</v>
      </c>
      <c r="G59" s="623"/>
      <c r="H59" s="529">
        <f t="shared" si="1"/>
        <v>0</v>
      </c>
      <c r="J59" s="1"/>
      <c r="K59" s="1"/>
      <c r="L59" s="1"/>
      <c r="M59" s="1"/>
    </row>
    <row r="60" spans="2:13" s="5" customFormat="1">
      <c r="B60" s="339" t="s">
        <v>1422</v>
      </c>
      <c r="C60" s="35" t="s">
        <v>3797</v>
      </c>
      <c r="D60" s="22" t="s">
        <v>3250</v>
      </c>
      <c r="E60" s="22"/>
      <c r="F60" s="564">
        <v>2</v>
      </c>
      <c r="G60" s="623"/>
      <c r="H60" s="529">
        <f t="shared" si="1"/>
        <v>0</v>
      </c>
      <c r="J60" s="1"/>
      <c r="K60" s="1"/>
      <c r="L60" s="1"/>
      <c r="M60" s="1"/>
    </row>
    <row r="61" spans="2:13" s="5" customFormat="1">
      <c r="B61" s="339" t="s">
        <v>3725</v>
      </c>
      <c r="C61" s="35" t="s">
        <v>3798</v>
      </c>
      <c r="D61" s="22" t="s">
        <v>3250</v>
      </c>
      <c r="E61" s="22"/>
      <c r="F61" s="564">
        <v>10</v>
      </c>
      <c r="G61" s="623"/>
      <c r="H61" s="529">
        <f t="shared" si="1"/>
        <v>0</v>
      </c>
      <c r="J61" s="1"/>
      <c r="K61" s="1"/>
      <c r="L61" s="1"/>
      <c r="M61" s="1"/>
    </row>
    <row r="62" spans="2:13" s="5" customFormat="1">
      <c r="B62" s="339" t="s">
        <v>3728</v>
      </c>
      <c r="C62" s="35" t="s">
        <v>3799</v>
      </c>
      <c r="D62" s="22" t="s">
        <v>3250</v>
      </c>
      <c r="E62" s="22"/>
      <c r="F62" s="564">
        <v>3</v>
      </c>
      <c r="G62" s="623"/>
      <c r="H62" s="529">
        <f t="shared" si="1"/>
        <v>0</v>
      </c>
      <c r="J62" s="1"/>
      <c r="K62" s="1"/>
      <c r="L62" s="1"/>
      <c r="M62" s="1"/>
    </row>
    <row r="63" spans="2:13" s="5" customFormat="1">
      <c r="B63" s="339" t="s">
        <v>3730</v>
      </c>
      <c r="C63" s="35" t="s">
        <v>3800</v>
      </c>
      <c r="D63" s="22" t="s">
        <v>3250</v>
      </c>
      <c r="E63" s="22"/>
      <c r="F63" s="564">
        <v>6</v>
      </c>
      <c r="G63" s="623"/>
      <c r="H63" s="529">
        <f t="shared" si="1"/>
        <v>0</v>
      </c>
      <c r="J63" s="1"/>
      <c r="K63" s="1"/>
      <c r="L63" s="1"/>
      <c r="M63" s="1"/>
    </row>
    <row r="64" spans="2:13" s="5" customFormat="1">
      <c r="B64" s="339" t="s">
        <v>3734</v>
      </c>
      <c r="C64" s="35" t="s">
        <v>3801</v>
      </c>
      <c r="D64" s="22" t="s">
        <v>3250</v>
      </c>
      <c r="E64" s="22"/>
      <c r="F64" s="564">
        <v>4</v>
      </c>
      <c r="G64" s="623"/>
      <c r="H64" s="529">
        <f t="shared" si="1"/>
        <v>0</v>
      </c>
      <c r="J64" s="1"/>
      <c r="K64" s="1"/>
      <c r="L64" s="1"/>
      <c r="M64" s="1"/>
    </row>
    <row r="65" spans="2:13" s="5" customFormat="1">
      <c r="B65" s="339" t="s">
        <v>3739</v>
      </c>
      <c r="C65" s="567" t="s">
        <v>3802</v>
      </c>
      <c r="D65" s="22" t="s">
        <v>3250</v>
      </c>
      <c r="E65" s="22"/>
      <c r="F65" s="564">
        <v>8</v>
      </c>
      <c r="G65" s="623"/>
      <c r="H65" s="529">
        <f t="shared" si="1"/>
        <v>0</v>
      </c>
      <c r="J65" s="1"/>
      <c r="K65" s="1"/>
      <c r="L65" s="1"/>
      <c r="M65" s="1"/>
    </row>
    <row r="66" spans="2:13" s="5" customFormat="1">
      <c r="B66" s="339" t="s">
        <v>3803</v>
      </c>
      <c r="C66" s="567" t="s">
        <v>3804</v>
      </c>
      <c r="D66" s="22" t="s">
        <v>3250</v>
      </c>
      <c r="E66" s="22"/>
      <c r="F66" s="564">
        <v>3</v>
      </c>
      <c r="G66" s="623"/>
      <c r="H66" s="529">
        <f t="shared" si="1"/>
        <v>0</v>
      </c>
      <c r="J66" s="1"/>
      <c r="K66" s="1"/>
      <c r="L66" s="1"/>
      <c r="M66" s="1"/>
    </row>
    <row r="67" spans="2:13" s="5" customFormat="1">
      <c r="B67" s="339" t="s">
        <v>3805</v>
      </c>
      <c r="C67" s="567" t="s">
        <v>3806</v>
      </c>
      <c r="D67" s="22" t="s">
        <v>3250</v>
      </c>
      <c r="E67" s="22"/>
      <c r="F67" s="564">
        <v>8</v>
      </c>
      <c r="G67" s="623"/>
      <c r="H67" s="529">
        <f t="shared" si="1"/>
        <v>0</v>
      </c>
      <c r="J67" s="1"/>
      <c r="K67" s="1"/>
      <c r="L67" s="1"/>
      <c r="M67" s="1"/>
    </row>
    <row r="68" spans="2:13" s="5" customFormat="1">
      <c r="B68" s="339" t="s">
        <v>3807</v>
      </c>
      <c r="C68" s="567" t="s">
        <v>3808</v>
      </c>
      <c r="D68" s="22" t="s">
        <v>3250</v>
      </c>
      <c r="E68" s="22"/>
      <c r="F68" s="564">
        <v>2</v>
      </c>
      <c r="G68" s="623"/>
      <c r="H68" s="529">
        <f t="shared" si="1"/>
        <v>0</v>
      </c>
      <c r="J68" s="1"/>
      <c r="K68" s="1"/>
      <c r="L68" s="1"/>
      <c r="M68" s="1"/>
    </row>
    <row r="69" spans="2:13" s="5" customFormat="1">
      <c r="B69" s="339" t="s">
        <v>3809</v>
      </c>
      <c r="C69" s="567" t="s">
        <v>3810</v>
      </c>
      <c r="D69" s="22" t="s">
        <v>3250</v>
      </c>
      <c r="E69" s="22"/>
      <c r="F69" s="564">
        <v>8</v>
      </c>
      <c r="G69" s="623"/>
      <c r="H69" s="529">
        <f t="shared" si="1"/>
        <v>0</v>
      </c>
      <c r="J69" s="1"/>
      <c r="K69" s="1"/>
      <c r="L69" s="1"/>
      <c r="M69" s="1"/>
    </row>
    <row r="70" spans="2:13" s="5" customFormat="1">
      <c r="B70" s="339" t="s">
        <v>3811</v>
      </c>
      <c r="C70" s="567" t="s">
        <v>3812</v>
      </c>
      <c r="D70" s="22" t="s">
        <v>3250</v>
      </c>
      <c r="E70" s="22"/>
      <c r="F70" s="564">
        <v>13</v>
      </c>
      <c r="G70" s="623"/>
      <c r="H70" s="529">
        <f t="shared" si="1"/>
        <v>0</v>
      </c>
      <c r="J70" s="1"/>
      <c r="K70" s="1"/>
      <c r="L70" s="1"/>
      <c r="M70" s="1"/>
    </row>
    <row r="71" spans="2:13" s="5" customFormat="1">
      <c r="B71" s="339" t="s">
        <v>3813</v>
      </c>
      <c r="C71" s="567" t="s">
        <v>3814</v>
      </c>
      <c r="D71" s="22" t="s">
        <v>3250</v>
      </c>
      <c r="E71" s="22"/>
      <c r="F71" s="564">
        <v>1</v>
      </c>
      <c r="G71" s="623"/>
      <c r="H71" s="529">
        <f t="shared" si="1"/>
        <v>0</v>
      </c>
      <c r="J71" s="1"/>
      <c r="K71" s="1"/>
      <c r="L71" s="1"/>
      <c r="M71" s="1"/>
    </row>
    <row r="72" spans="2:13" s="5" customFormat="1">
      <c r="B72" s="339" t="s">
        <v>3815</v>
      </c>
      <c r="C72" s="567" t="s">
        <v>3816</v>
      </c>
      <c r="D72" s="22" t="s">
        <v>3250</v>
      </c>
      <c r="E72" s="22"/>
      <c r="F72" s="564">
        <v>1</v>
      </c>
      <c r="G72" s="623"/>
      <c r="H72" s="529">
        <f t="shared" si="1"/>
        <v>0</v>
      </c>
      <c r="J72" s="1"/>
      <c r="K72" s="1"/>
      <c r="L72" s="1"/>
      <c r="M72" s="1"/>
    </row>
    <row r="73" spans="2:13" s="5" customFormat="1">
      <c r="B73" s="339" t="s">
        <v>3817</v>
      </c>
      <c r="C73" s="567" t="s">
        <v>3818</v>
      </c>
      <c r="D73" s="22" t="s">
        <v>3250</v>
      </c>
      <c r="E73" s="22"/>
      <c r="F73" s="564">
        <v>1</v>
      </c>
      <c r="G73" s="623"/>
      <c r="H73" s="529">
        <f t="shared" si="1"/>
        <v>0</v>
      </c>
      <c r="J73" s="1"/>
      <c r="K73" s="1"/>
      <c r="L73" s="1"/>
      <c r="M73" s="1"/>
    </row>
    <row r="74" spans="2:13" s="5" customFormat="1">
      <c r="B74" s="339"/>
      <c r="C74" s="1"/>
      <c r="D74" s="22"/>
      <c r="E74" s="22"/>
      <c r="F74" s="564"/>
      <c r="G74" s="623"/>
      <c r="H74" s="529" t="str">
        <f t="shared" si="1"/>
        <v/>
      </c>
      <c r="J74" s="1"/>
      <c r="K74" s="1"/>
      <c r="L74" s="1"/>
      <c r="M74" s="1"/>
    </row>
    <row r="75" spans="2:13" s="5" customFormat="1">
      <c r="B75" s="59" t="s">
        <v>3766</v>
      </c>
      <c r="C75" s="28" t="s">
        <v>3819</v>
      </c>
      <c r="D75" s="22"/>
      <c r="E75" s="22"/>
      <c r="F75" s="564"/>
      <c r="G75" s="623"/>
      <c r="H75" s="529" t="str">
        <f t="shared" si="1"/>
        <v/>
      </c>
      <c r="J75" s="1"/>
      <c r="K75" s="1"/>
      <c r="L75" s="1"/>
      <c r="M75" s="1"/>
    </row>
    <row r="76" spans="2:13" s="5" customFormat="1">
      <c r="B76" s="339"/>
      <c r="C76" s="28"/>
      <c r="D76" s="22"/>
      <c r="E76" s="22"/>
      <c r="F76" s="564"/>
      <c r="G76" s="623"/>
      <c r="H76" s="529"/>
      <c r="J76" s="1"/>
      <c r="K76" s="1"/>
      <c r="L76" s="1"/>
      <c r="M76" s="1"/>
    </row>
    <row r="77" spans="2:13" s="5" customFormat="1">
      <c r="B77" s="339" t="s">
        <v>271</v>
      </c>
      <c r="C77" s="567" t="s">
        <v>3820</v>
      </c>
      <c r="D77" s="22" t="s">
        <v>3250</v>
      </c>
      <c r="E77" s="22"/>
      <c r="F77" s="564">
        <v>4</v>
      </c>
      <c r="G77" s="623"/>
      <c r="H77" s="529">
        <f t="shared" si="1"/>
        <v>0</v>
      </c>
      <c r="J77" s="1"/>
      <c r="K77" s="1"/>
      <c r="L77" s="1"/>
      <c r="M77" s="1"/>
    </row>
    <row r="78" spans="2:13" s="5" customFormat="1">
      <c r="B78" s="339" t="s">
        <v>273</v>
      </c>
      <c r="C78" s="567" t="s">
        <v>3821</v>
      </c>
      <c r="D78" s="22" t="s">
        <v>3250</v>
      </c>
      <c r="E78" s="22"/>
      <c r="F78" s="564">
        <v>6</v>
      </c>
      <c r="G78" s="623"/>
      <c r="H78" s="529">
        <f t="shared" si="1"/>
        <v>0</v>
      </c>
      <c r="J78" s="1"/>
      <c r="K78" s="1"/>
      <c r="L78" s="1"/>
      <c r="M78" s="1"/>
    </row>
    <row r="79" spans="2:13" s="5" customFormat="1">
      <c r="B79" s="339" t="s">
        <v>1422</v>
      </c>
      <c r="C79" s="567" t="s">
        <v>3822</v>
      </c>
      <c r="D79" s="22" t="s">
        <v>3250</v>
      </c>
      <c r="E79" s="22"/>
      <c r="F79" s="564">
        <v>4</v>
      </c>
      <c r="G79" s="623"/>
      <c r="H79" s="529">
        <f t="shared" ref="H79:H142" si="6">IF(D79="","",F79*G79)</f>
        <v>0</v>
      </c>
      <c r="J79" s="1"/>
      <c r="K79" s="1"/>
      <c r="L79" s="1"/>
      <c r="M79" s="1"/>
    </row>
    <row r="80" spans="2:13" s="5" customFormat="1">
      <c r="B80" s="339"/>
      <c r="C80" s="1"/>
      <c r="D80" s="22"/>
      <c r="E80" s="22"/>
      <c r="F80" s="564"/>
      <c r="G80" s="623"/>
      <c r="H80" s="529" t="str">
        <f t="shared" si="6"/>
        <v/>
      </c>
      <c r="J80" s="1"/>
      <c r="K80" s="1"/>
      <c r="L80" s="1"/>
      <c r="M80" s="1"/>
    </row>
    <row r="81" spans="2:8" s="5" customFormat="1">
      <c r="B81" s="59" t="s">
        <v>3766</v>
      </c>
      <c r="C81" s="28" t="s">
        <v>3823</v>
      </c>
      <c r="D81" s="22"/>
      <c r="E81" s="22"/>
      <c r="F81" s="564"/>
      <c r="G81" s="623"/>
      <c r="H81" s="529" t="str">
        <f t="shared" si="6"/>
        <v/>
      </c>
    </row>
    <row r="82" spans="2:8" s="5" customFormat="1">
      <c r="B82" s="339"/>
      <c r="C82" s="28"/>
      <c r="D82" s="22"/>
      <c r="E82" s="22"/>
      <c r="F82" s="564"/>
      <c r="G82" s="623"/>
      <c r="H82" s="529"/>
    </row>
    <row r="83" spans="2:8" s="5" customFormat="1">
      <c r="B83" s="339" t="s">
        <v>271</v>
      </c>
      <c r="C83" s="568" t="s">
        <v>3824</v>
      </c>
      <c r="D83" s="22" t="s">
        <v>3250</v>
      </c>
      <c r="E83" s="22"/>
      <c r="F83" s="564">
        <v>2</v>
      </c>
      <c r="G83" s="623"/>
      <c r="H83" s="529">
        <f t="shared" si="6"/>
        <v>0</v>
      </c>
    </row>
    <row r="84" spans="2:8" s="5" customFormat="1">
      <c r="B84" s="339"/>
      <c r="C84" s="44"/>
      <c r="D84" s="22"/>
      <c r="E84" s="22"/>
      <c r="F84" s="564"/>
      <c r="G84" s="623"/>
      <c r="H84" s="529" t="str">
        <f t="shared" si="6"/>
        <v/>
      </c>
    </row>
    <row r="85" spans="2:8" s="5" customFormat="1">
      <c r="B85" s="59" t="s">
        <v>3766</v>
      </c>
      <c r="C85" s="28" t="s">
        <v>3825</v>
      </c>
      <c r="D85" s="22"/>
      <c r="E85" s="22"/>
      <c r="F85" s="564"/>
      <c r="G85" s="623"/>
      <c r="H85" s="529" t="str">
        <f t="shared" si="6"/>
        <v/>
      </c>
    </row>
    <row r="86" spans="2:8" s="5" customFormat="1">
      <c r="B86" s="339"/>
      <c r="C86" s="28"/>
      <c r="D86" s="22"/>
      <c r="E86" s="22"/>
      <c r="F86" s="564"/>
      <c r="G86" s="623"/>
      <c r="H86" s="529"/>
    </row>
    <row r="87" spans="2:8" s="5" customFormat="1">
      <c r="B87" s="339" t="s">
        <v>271</v>
      </c>
      <c r="C87" s="567" t="s">
        <v>3826</v>
      </c>
      <c r="D87" s="22" t="s">
        <v>3250</v>
      </c>
      <c r="E87" s="22"/>
      <c r="F87" s="564">
        <v>3</v>
      </c>
      <c r="G87" s="623"/>
      <c r="H87" s="529">
        <f t="shared" si="6"/>
        <v>0</v>
      </c>
    </row>
    <row r="88" spans="2:8" s="5" customFormat="1">
      <c r="B88" s="339"/>
      <c r="C88" s="1"/>
      <c r="D88" s="22"/>
      <c r="E88" s="22"/>
      <c r="F88" s="564"/>
      <c r="G88" s="623"/>
      <c r="H88" s="529" t="str">
        <f t="shared" si="6"/>
        <v/>
      </c>
    </row>
    <row r="89" spans="2:8" s="5" customFormat="1">
      <c r="B89" s="59" t="s">
        <v>3766</v>
      </c>
      <c r="C89" s="28" t="s">
        <v>3827</v>
      </c>
      <c r="D89" s="22"/>
      <c r="E89" s="22"/>
      <c r="F89" s="564"/>
      <c r="G89" s="623"/>
      <c r="H89" s="529" t="str">
        <f t="shared" si="6"/>
        <v/>
      </c>
    </row>
    <row r="90" spans="2:8" s="5" customFormat="1">
      <c r="B90" s="339"/>
      <c r="C90" s="28"/>
      <c r="D90" s="22"/>
      <c r="E90" s="22"/>
      <c r="F90" s="564"/>
      <c r="G90" s="623"/>
      <c r="H90" s="529"/>
    </row>
    <row r="91" spans="2:8" s="5" customFormat="1">
      <c r="B91" s="340" t="s">
        <v>271</v>
      </c>
      <c r="C91" s="567" t="s">
        <v>3828</v>
      </c>
      <c r="D91" s="22" t="s">
        <v>3250</v>
      </c>
      <c r="E91" s="22"/>
      <c r="F91" s="564">
        <v>6</v>
      </c>
      <c r="G91" s="623"/>
      <c r="H91" s="529">
        <f t="shared" si="6"/>
        <v>0</v>
      </c>
    </row>
    <row r="92" spans="2:8" s="5" customFormat="1">
      <c r="B92" s="339" t="s">
        <v>273</v>
      </c>
      <c r="C92" s="567" t="s">
        <v>3829</v>
      </c>
      <c r="D92" s="22" t="s">
        <v>3250</v>
      </c>
      <c r="E92" s="22"/>
      <c r="F92" s="564">
        <v>1</v>
      </c>
      <c r="G92" s="623"/>
      <c r="H92" s="529">
        <f t="shared" si="6"/>
        <v>0</v>
      </c>
    </row>
    <row r="93" spans="2:8" s="5" customFormat="1">
      <c r="B93" s="340" t="s">
        <v>1422</v>
      </c>
      <c r="C93" s="567" t="s">
        <v>3830</v>
      </c>
      <c r="D93" s="22" t="s">
        <v>3250</v>
      </c>
      <c r="E93" s="22"/>
      <c r="F93" s="564">
        <v>1</v>
      </c>
      <c r="G93" s="623"/>
      <c r="H93" s="529">
        <f t="shared" si="6"/>
        <v>0</v>
      </c>
    </row>
    <row r="94" spans="2:8" s="5" customFormat="1">
      <c r="B94" s="339"/>
      <c r="C94" s="51"/>
      <c r="D94" s="22"/>
      <c r="E94" s="22"/>
      <c r="F94" s="564"/>
      <c r="G94" s="627"/>
      <c r="H94" s="529" t="str">
        <f t="shared" si="6"/>
        <v/>
      </c>
    </row>
    <row r="95" spans="2:8" s="5" customFormat="1">
      <c r="B95" s="59" t="s">
        <v>3766</v>
      </c>
      <c r="C95" s="569" t="s">
        <v>3831</v>
      </c>
      <c r="D95" s="22"/>
      <c r="E95" s="22"/>
      <c r="F95" s="564"/>
      <c r="G95" s="627"/>
      <c r="H95" s="529" t="str">
        <f t="shared" si="6"/>
        <v/>
      </c>
    </row>
    <row r="96" spans="2:8" s="5" customFormat="1">
      <c r="B96" s="339"/>
      <c r="C96" s="569"/>
      <c r="D96" s="22"/>
      <c r="E96" s="22"/>
      <c r="F96" s="564"/>
      <c r="G96" s="627"/>
      <c r="H96" s="529"/>
    </row>
    <row r="97" spans="2:8" s="5" customFormat="1">
      <c r="B97" s="339" t="s">
        <v>271</v>
      </c>
      <c r="C97" s="567" t="s">
        <v>3832</v>
      </c>
      <c r="D97" s="22" t="s">
        <v>3250</v>
      </c>
      <c r="E97" s="22"/>
      <c r="F97" s="564">
        <v>1</v>
      </c>
      <c r="G97" s="627"/>
      <c r="H97" s="529">
        <f t="shared" si="6"/>
        <v>0</v>
      </c>
    </row>
    <row r="98" spans="2:8" s="5" customFormat="1">
      <c r="B98" s="339"/>
      <c r="C98" s="51"/>
      <c r="D98" s="22"/>
      <c r="E98" s="22"/>
      <c r="F98" s="564"/>
      <c r="G98" s="627"/>
      <c r="H98" s="529" t="str">
        <f t="shared" si="6"/>
        <v/>
      </c>
    </row>
    <row r="99" spans="2:8" s="5" customFormat="1">
      <c r="B99" s="59" t="s">
        <v>3766</v>
      </c>
      <c r="C99" s="569" t="s">
        <v>3833</v>
      </c>
      <c r="D99" s="22"/>
      <c r="E99" s="22"/>
      <c r="F99" s="564"/>
      <c r="G99" s="627"/>
      <c r="H99" s="529" t="str">
        <f t="shared" si="6"/>
        <v/>
      </c>
    </row>
    <row r="100" spans="2:8" s="5" customFormat="1">
      <c r="B100" s="339"/>
      <c r="C100" s="569"/>
      <c r="D100" s="22"/>
      <c r="E100" s="22"/>
      <c r="F100" s="564"/>
      <c r="G100" s="627"/>
      <c r="H100" s="529"/>
    </row>
    <row r="101" spans="2:8" s="5" customFormat="1">
      <c r="B101" s="339" t="s">
        <v>271</v>
      </c>
      <c r="C101" s="567" t="s">
        <v>3834</v>
      </c>
      <c r="D101" s="22" t="s">
        <v>3250</v>
      </c>
      <c r="E101" s="22"/>
      <c r="F101" s="564">
        <v>5</v>
      </c>
      <c r="G101" s="627"/>
      <c r="H101" s="529">
        <f t="shared" si="6"/>
        <v>0</v>
      </c>
    </row>
    <row r="102" spans="2:8" s="5" customFormat="1">
      <c r="B102" s="339"/>
      <c r="C102" s="51"/>
      <c r="D102" s="22"/>
      <c r="E102" s="22"/>
      <c r="F102" s="564"/>
      <c r="G102" s="627"/>
      <c r="H102" s="529" t="str">
        <f t="shared" si="6"/>
        <v/>
      </c>
    </row>
    <row r="103" spans="2:8" s="5" customFormat="1">
      <c r="B103" s="59" t="s">
        <v>3766</v>
      </c>
      <c r="C103" s="569" t="s">
        <v>3835</v>
      </c>
      <c r="D103" s="22"/>
      <c r="E103" s="22"/>
      <c r="F103" s="564"/>
      <c r="G103" s="627"/>
      <c r="H103" s="529" t="str">
        <f t="shared" si="6"/>
        <v/>
      </c>
    </row>
    <row r="104" spans="2:8" s="5" customFormat="1">
      <c r="B104" s="339" t="s">
        <v>271</v>
      </c>
      <c r="C104" s="567" t="s">
        <v>3836</v>
      </c>
      <c r="D104" s="22" t="s">
        <v>3250</v>
      </c>
      <c r="E104" s="22"/>
      <c r="F104" s="564">
        <v>6</v>
      </c>
      <c r="G104" s="627"/>
      <c r="H104" s="529">
        <f t="shared" si="6"/>
        <v>0</v>
      </c>
    </row>
    <row r="105" spans="2:8" s="5" customFormat="1">
      <c r="B105" s="339" t="s">
        <v>273</v>
      </c>
      <c r="C105" s="567" t="s">
        <v>3837</v>
      </c>
      <c r="D105" s="22" t="s">
        <v>3250</v>
      </c>
      <c r="E105" s="22"/>
      <c r="F105" s="564">
        <v>15</v>
      </c>
      <c r="G105" s="627"/>
      <c r="H105" s="529">
        <f t="shared" si="6"/>
        <v>0</v>
      </c>
    </row>
    <row r="106" spans="2:8" s="5" customFormat="1">
      <c r="B106" s="339" t="s">
        <v>1422</v>
      </c>
      <c r="C106" s="567" t="s">
        <v>3838</v>
      </c>
      <c r="D106" s="22" t="s">
        <v>3250</v>
      </c>
      <c r="E106" s="22"/>
      <c r="F106" s="564">
        <v>1</v>
      </c>
      <c r="G106" s="627"/>
      <c r="H106" s="529">
        <f t="shared" si="6"/>
        <v>0</v>
      </c>
    </row>
    <row r="107" spans="2:8" s="5" customFormat="1">
      <c r="B107" s="339" t="s">
        <v>3725</v>
      </c>
      <c r="C107" s="567" t="s">
        <v>3838</v>
      </c>
      <c r="D107" s="22" t="s">
        <v>3250</v>
      </c>
      <c r="E107" s="22"/>
      <c r="F107" s="564">
        <v>1</v>
      </c>
      <c r="G107" s="627"/>
      <c r="H107" s="529">
        <f t="shared" si="6"/>
        <v>0</v>
      </c>
    </row>
    <row r="108" spans="2:8" s="5" customFormat="1">
      <c r="B108" s="339" t="s">
        <v>3728</v>
      </c>
      <c r="C108" s="568" t="s">
        <v>3839</v>
      </c>
      <c r="D108" s="22" t="s">
        <v>3250</v>
      </c>
      <c r="E108" s="22"/>
      <c r="F108" s="564">
        <v>8</v>
      </c>
      <c r="G108" s="627"/>
      <c r="H108" s="529">
        <f t="shared" si="6"/>
        <v>0</v>
      </c>
    </row>
    <row r="109" spans="2:8" s="5" customFormat="1">
      <c r="B109" s="339" t="s">
        <v>3730</v>
      </c>
      <c r="C109" s="567" t="s">
        <v>3840</v>
      </c>
      <c r="D109" s="22" t="s">
        <v>3250</v>
      </c>
      <c r="E109" s="22"/>
      <c r="F109" s="564">
        <v>9</v>
      </c>
      <c r="G109" s="627"/>
      <c r="H109" s="529">
        <f t="shared" si="6"/>
        <v>0</v>
      </c>
    </row>
    <row r="110" spans="2:8" s="5" customFormat="1">
      <c r="B110" s="339" t="s">
        <v>3734</v>
      </c>
      <c r="C110" s="567" t="s">
        <v>3841</v>
      </c>
      <c r="D110" s="22" t="s">
        <v>3250</v>
      </c>
      <c r="E110" s="22"/>
      <c r="F110" s="564">
        <v>10</v>
      </c>
      <c r="G110" s="627"/>
      <c r="H110" s="529">
        <f t="shared" si="6"/>
        <v>0</v>
      </c>
    </row>
    <row r="111" spans="2:8" s="5" customFormat="1">
      <c r="B111" s="339"/>
      <c r="C111" s="51"/>
      <c r="D111" s="22"/>
      <c r="E111" s="22"/>
      <c r="F111" s="564"/>
      <c r="G111" s="627"/>
      <c r="H111" s="529" t="str">
        <f t="shared" si="6"/>
        <v/>
      </c>
    </row>
    <row r="112" spans="2:8" s="5" customFormat="1">
      <c r="B112" s="59" t="s">
        <v>3766</v>
      </c>
      <c r="C112" s="569" t="s">
        <v>3842</v>
      </c>
      <c r="D112" s="22"/>
      <c r="E112" s="22"/>
      <c r="F112" s="564"/>
      <c r="G112" s="627"/>
      <c r="H112" s="529" t="str">
        <f t="shared" si="6"/>
        <v/>
      </c>
    </row>
    <row r="113" spans="2:8" s="5" customFormat="1">
      <c r="B113" s="339"/>
      <c r="C113" s="569"/>
      <c r="D113" s="22"/>
      <c r="E113" s="22"/>
      <c r="F113" s="564"/>
      <c r="G113" s="627"/>
      <c r="H113" s="529"/>
    </row>
    <row r="114" spans="2:8" s="5" customFormat="1">
      <c r="B114" s="339" t="s">
        <v>271</v>
      </c>
      <c r="C114" s="567" t="s">
        <v>3843</v>
      </c>
      <c r="D114" s="22" t="s">
        <v>3250</v>
      </c>
      <c r="E114" s="22"/>
      <c r="F114" s="564">
        <v>24</v>
      </c>
      <c r="G114" s="627"/>
      <c r="H114" s="529">
        <f t="shared" si="6"/>
        <v>0</v>
      </c>
    </row>
    <row r="115" spans="2:8" s="5" customFormat="1">
      <c r="B115" s="339" t="s">
        <v>273</v>
      </c>
      <c r="C115" s="567" t="s">
        <v>3844</v>
      </c>
      <c r="D115" s="22" t="s">
        <v>3250</v>
      </c>
      <c r="E115" s="22"/>
      <c r="F115" s="564">
        <v>30</v>
      </c>
      <c r="G115" s="627"/>
      <c r="H115" s="529">
        <f t="shared" si="6"/>
        <v>0</v>
      </c>
    </row>
    <row r="116" spans="2:8" s="5" customFormat="1">
      <c r="B116" s="339" t="s">
        <v>1422</v>
      </c>
      <c r="C116" s="567" t="s">
        <v>3845</v>
      </c>
      <c r="D116" s="22" t="s">
        <v>3250</v>
      </c>
      <c r="E116" s="22"/>
      <c r="F116" s="564">
        <v>4</v>
      </c>
      <c r="G116" s="627"/>
      <c r="H116" s="529">
        <f t="shared" si="6"/>
        <v>0</v>
      </c>
    </row>
    <row r="117" spans="2:8" s="5" customFormat="1">
      <c r="B117" s="339" t="s">
        <v>3725</v>
      </c>
      <c r="C117" s="567" t="s">
        <v>3846</v>
      </c>
      <c r="D117" s="22" t="s">
        <v>3250</v>
      </c>
      <c r="E117" s="22"/>
      <c r="F117" s="564">
        <v>24</v>
      </c>
      <c r="G117" s="627"/>
      <c r="H117" s="529">
        <f t="shared" si="6"/>
        <v>0</v>
      </c>
    </row>
    <row r="118" spans="2:8" s="5" customFormat="1">
      <c r="B118" s="339" t="s">
        <v>3728</v>
      </c>
      <c r="C118" s="567" t="s">
        <v>3847</v>
      </c>
      <c r="D118" s="22" t="s">
        <v>3250</v>
      </c>
      <c r="E118" s="22"/>
      <c r="F118" s="564">
        <v>32</v>
      </c>
      <c r="G118" s="627"/>
      <c r="H118" s="529">
        <f t="shared" si="6"/>
        <v>0</v>
      </c>
    </row>
    <row r="119" spans="2:8" s="5" customFormat="1">
      <c r="B119" s="339" t="s">
        <v>3730</v>
      </c>
      <c r="C119" s="567" t="s">
        <v>3848</v>
      </c>
      <c r="D119" s="22" t="s">
        <v>3250</v>
      </c>
      <c r="E119" s="22"/>
      <c r="F119" s="564">
        <v>16</v>
      </c>
      <c r="G119" s="627"/>
      <c r="H119" s="529">
        <f t="shared" si="6"/>
        <v>0</v>
      </c>
    </row>
    <row r="120" spans="2:8" s="5" customFormat="1">
      <c r="B120" s="339" t="s">
        <v>3734</v>
      </c>
      <c r="C120" s="567" t="s">
        <v>3849</v>
      </c>
      <c r="D120" s="22" t="s">
        <v>3250</v>
      </c>
      <c r="E120" s="22"/>
      <c r="F120" s="564">
        <v>72</v>
      </c>
      <c r="G120" s="627"/>
      <c r="H120" s="529">
        <f t="shared" si="6"/>
        <v>0</v>
      </c>
    </row>
    <row r="121" spans="2:8" s="5" customFormat="1">
      <c r="B121" s="339" t="s">
        <v>3739</v>
      </c>
      <c r="C121" s="567" t="s">
        <v>3850</v>
      </c>
      <c r="D121" s="22" t="s">
        <v>3250</v>
      </c>
      <c r="E121" s="22"/>
      <c r="F121" s="564">
        <v>32</v>
      </c>
      <c r="G121" s="627"/>
      <c r="H121" s="529">
        <f t="shared" si="6"/>
        <v>0</v>
      </c>
    </row>
    <row r="122" spans="2:8" s="5" customFormat="1">
      <c r="B122" s="339" t="s">
        <v>3803</v>
      </c>
      <c r="C122" s="567" t="s">
        <v>3851</v>
      </c>
      <c r="D122" s="22" t="s">
        <v>3250</v>
      </c>
      <c r="E122" s="22"/>
      <c r="F122" s="564">
        <v>32</v>
      </c>
      <c r="G122" s="627"/>
      <c r="H122" s="529">
        <f t="shared" si="6"/>
        <v>0</v>
      </c>
    </row>
    <row r="123" spans="2:8" s="5" customFormat="1">
      <c r="B123" s="339" t="s">
        <v>3805</v>
      </c>
      <c r="C123" s="567" t="s">
        <v>3852</v>
      </c>
      <c r="D123" s="22" t="s">
        <v>3250</v>
      </c>
      <c r="E123" s="22"/>
      <c r="F123" s="564">
        <v>56</v>
      </c>
      <c r="G123" s="627"/>
      <c r="H123" s="529">
        <f t="shared" si="6"/>
        <v>0</v>
      </c>
    </row>
    <row r="124" spans="2:8" s="5" customFormat="1">
      <c r="B124" s="339" t="s">
        <v>3807</v>
      </c>
      <c r="C124" s="567" t="s">
        <v>3853</v>
      </c>
      <c r="D124" s="22" t="s">
        <v>3250</v>
      </c>
      <c r="E124" s="22"/>
      <c r="F124" s="564">
        <v>32</v>
      </c>
      <c r="G124" s="627"/>
      <c r="H124" s="529">
        <f t="shared" si="6"/>
        <v>0</v>
      </c>
    </row>
    <row r="125" spans="2:8" s="5" customFormat="1">
      <c r="B125" s="339" t="s">
        <v>3809</v>
      </c>
      <c r="C125" s="567" t="s">
        <v>3854</v>
      </c>
      <c r="D125" s="22" t="s">
        <v>3250</v>
      </c>
      <c r="E125" s="22"/>
      <c r="F125" s="564">
        <v>32</v>
      </c>
      <c r="G125" s="627"/>
      <c r="H125" s="529">
        <f t="shared" si="6"/>
        <v>0</v>
      </c>
    </row>
    <row r="126" spans="2:8" s="5" customFormat="1">
      <c r="B126" s="339"/>
      <c r="C126" s="39"/>
      <c r="D126" s="22"/>
      <c r="E126" s="22"/>
      <c r="F126" s="564"/>
      <c r="G126" s="627"/>
      <c r="H126" s="529" t="str">
        <f t="shared" si="6"/>
        <v/>
      </c>
    </row>
    <row r="127" spans="2:8" s="5" customFormat="1">
      <c r="B127" s="59" t="s">
        <v>3766</v>
      </c>
      <c r="C127" s="570" t="s">
        <v>3855</v>
      </c>
      <c r="D127" s="22"/>
      <c r="E127" s="22"/>
      <c r="F127" s="564"/>
      <c r="G127" s="627"/>
      <c r="H127" s="529" t="str">
        <f t="shared" si="6"/>
        <v/>
      </c>
    </row>
    <row r="128" spans="2:8" s="5" customFormat="1">
      <c r="B128" s="339"/>
      <c r="C128" s="571"/>
      <c r="D128" s="22"/>
      <c r="E128" s="22"/>
      <c r="F128" s="564"/>
      <c r="G128" s="627"/>
      <c r="H128" s="529"/>
    </row>
    <row r="129" spans="2:8" s="5" customFormat="1">
      <c r="B129" s="339" t="s">
        <v>271</v>
      </c>
      <c r="C129" s="567" t="s">
        <v>3856</v>
      </c>
      <c r="D129" s="22" t="s">
        <v>3250</v>
      </c>
      <c r="E129" s="22"/>
      <c r="F129" s="564">
        <v>72</v>
      </c>
      <c r="G129" s="627"/>
      <c r="H129" s="529">
        <f t="shared" si="6"/>
        <v>0</v>
      </c>
    </row>
    <row r="130" spans="2:8" s="5" customFormat="1">
      <c r="B130" s="339" t="s">
        <v>273</v>
      </c>
      <c r="C130" s="567" t="s">
        <v>3857</v>
      </c>
      <c r="D130" s="22" t="s">
        <v>3250</v>
      </c>
      <c r="E130" s="22"/>
      <c r="F130" s="564">
        <v>104</v>
      </c>
      <c r="G130" s="627"/>
      <c r="H130" s="529">
        <f t="shared" si="6"/>
        <v>0</v>
      </c>
    </row>
    <row r="131" spans="2:8" s="5" customFormat="1">
      <c r="B131" s="339" t="s">
        <v>1422</v>
      </c>
      <c r="C131" s="567" t="s">
        <v>3858</v>
      </c>
      <c r="D131" s="22" t="s">
        <v>3250</v>
      </c>
      <c r="E131" s="22"/>
      <c r="F131" s="564">
        <v>32</v>
      </c>
      <c r="G131" s="627"/>
      <c r="H131" s="529">
        <f t="shared" si="6"/>
        <v>0</v>
      </c>
    </row>
    <row r="132" spans="2:8" s="5" customFormat="1">
      <c r="B132" s="339" t="s">
        <v>3725</v>
      </c>
      <c r="C132" s="567" t="s">
        <v>3859</v>
      </c>
      <c r="D132" s="22" t="s">
        <v>3250</v>
      </c>
      <c r="E132" s="22"/>
      <c r="F132" s="564">
        <v>144</v>
      </c>
      <c r="G132" s="627"/>
      <c r="H132" s="529">
        <f t="shared" si="6"/>
        <v>0</v>
      </c>
    </row>
    <row r="133" spans="2:8" s="5" customFormat="1">
      <c r="B133" s="339" t="s">
        <v>3728</v>
      </c>
      <c r="C133" s="567" t="s">
        <v>3860</v>
      </c>
      <c r="D133" s="22" t="s">
        <v>3250</v>
      </c>
      <c r="E133" s="22"/>
      <c r="F133" s="564">
        <v>144</v>
      </c>
      <c r="G133" s="627"/>
      <c r="H133" s="529">
        <f t="shared" si="6"/>
        <v>0</v>
      </c>
    </row>
    <row r="134" spans="2:8" s="5" customFormat="1">
      <c r="B134" s="339" t="s">
        <v>3730</v>
      </c>
      <c r="C134" s="567" t="s">
        <v>3861</v>
      </c>
      <c r="D134" s="22" t="s">
        <v>3250</v>
      </c>
      <c r="E134" s="22"/>
      <c r="F134" s="564">
        <v>112</v>
      </c>
      <c r="G134" s="627"/>
      <c r="H134" s="529">
        <f t="shared" si="6"/>
        <v>0</v>
      </c>
    </row>
    <row r="135" spans="2:8" s="5" customFormat="1">
      <c r="B135" s="339"/>
      <c r="C135" s="51"/>
      <c r="D135" s="22"/>
      <c r="E135" s="22"/>
      <c r="F135" s="564"/>
      <c r="G135" s="627"/>
      <c r="H135" s="529" t="str">
        <f t="shared" si="6"/>
        <v/>
      </c>
    </row>
    <row r="136" spans="2:8" s="5" customFormat="1">
      <c r="B136" s="59" t="s">
        <v>3766</v>
      </c>
      <c r="C136" s="569" t="s">
        <v>3862</v>
      </c>
      <c r="D136" s="22"/>
      <c r="E136" s="22"/>
      <c r="F136" s="564"/>
      <c r="G136" s="627"/>
      <c r="H136" s="529" t="str">
        <f t="shared" si="6"/>
        <v/>
      </c>
    </row>
    <row r="137" spans="2:8" s="5" customFormat="1">
      <c r="B137" s="339"/>
      <c r="C137" s="569"/>
      <c r="D137" s="22"/>
      <c r="E137" s="22"/>
      <c r="F137" s="564"/>
      <c r="G137" s="627"/>
      <c r="H137" s="529"/>
    </row>
    <row r="138" spans="2:8" s="5" customFormat="1">
      <c r="B138" s="339" t="s">
        <v>271</v>
      </c>
      <c r="C138" s="567" t="s">
        <v>3863</v>
      </c>
      <c r="D138" s="22" t="s">
        <v>3250</v>
      </c>
      <c r="E138" s="22"/>
      <c r="F138" s="564">
        <v>36</v>
      </c>
      <c r="G138" s="627"/>
      <c r="H138" s="529">
        <f t="shared" si="6"/>
        <v>0</v>
      </c>
    </row>
    <row r="139" spans="2:8" s="5" customFormat="1">
      <c r="B139" s="339" t="s">
        <v>273</v>
      </c>
      <c r="C139" s="567" t="s">
        <v>3864</v>
      </c>
      <c r="D139" s="22" t="s">
        <v>3250</v>
      </c>
      <c r="E139" s="22"/>
      <c r="F139" s="564">
        <v>104</v>
      </c>
      <c r="G139" s="627"/>
      <c r="H139" s="529">
        <f t="shared" si="6"/>
        <v>0</v>
      </c>
    </row>
    <row r="140" spans="2:8" s="5" customFormat="1">
      <c r="B140" s="339" t="s">
        <v>1422</v>
      </c>
      <c r="C140" s="567" t="s">
        <v>3865</v>
      </c>
      <c r="D140" s="22" t="s">
        <v>3250</v>
      </c>
      <c r="E140" s="22"/>
      <c r="F140" s="564">
        <v>32</v>
      </c>
      <c r="G140" s="627"/>
      <c r="H140" s="529">
        <f t="shared" si="6"/>
        <v>0</v>
      </c>
    </row>
    <row r="141" spans="2:8" s="5" customFormat="1">
      <c r="B141" s="339" t="s">
        <v>3725</v>
      </c>
      <c r="C141" s="567" t="s">
        <v>3866</v>
      </c>
      <c r="D141" s="22" t="s">
        <v>3250</v>
      </c>
      <c r="E141" s="22"/>
      <c r="F141" s="564">
        <v>144</v>
      </c>
      <c r="G141" s="627"/>
      <c r="H141" s="529">
        <f t="shared" si="6"/>
        <v>0</v>
      </c>
    </row>
    <row r="142" spans="2:8" s="5" customFormat="1">
      <c r="B142" s="339" t="s">
        <v>3728</v>
      </c>
      <c r="C142" s="567" t="s">
        <v>3867</v>
      </c>
      <c r="D142" s="22" t="s">
        <v>3250</v>
      </c>
      <c r="E142" s="22"/>
      <c r="F142" s="564">
        <v>144</v>
      </c>
      <c r="G142" s="627"/>
      <c r="H142" s="529">
        <f t="shared" si="6"/>
        <v>0</v>
      </c>
    </row>
    <row r="143" spans="2:8" s="5" customFormat="1">
      <c r="B143" s="339" t="s">
        <v>3730</v>
      </c>
      <c r="C143" s="567" t="s">
        <v>3868</v>
      </c>
      <c r="D143" s="22" t="s">
        <v>3250</v>
      </c>
      <c r="E143" s="22"/>
      <c r="F143" s="564">
        <v>144</v>
      </c>
      <c r="G143" s="627"/>
      <c r="H143" s="529">
        <f t="shared" ref="H143:H176" si="7">IF(D143="","",F143*G143)</f>
        <v>0</v>
      </c>
    </row>
    <row r="144" spans="2:8" s="5" customFormat="1">
      <c r="B144" s="339" t="s">
        <v>3730</v>
      </c>
      <c r="C144" s="567" t="s">
        <v>3869</v>
      </c>
      <c r="D144" s="22" t="s">
        <v>3250</v>
      </c>
      <c r="E144" s="22"/>
      <c r="F144" s="564">
        <v>112</v>
      </c>
      <c r="G144" s="627"/>
      <c r="H144" s="529">
        <f t="shared" si="7"/>
        <v>0</v>
      </c>
    </row>
    <row r="145" spans="2:11">
      <c r="B145" s="339"/>
      <c r="C145" s="51"/>
      <c r="D145" s="22"/>
      <c r="E145" s="22"/>
      <c r="F145" s="564"/>
      <c r="G145" s="627"/>
      <c r="H145" s="529" t="str">
        <f t="shared" si="7"/>
        <v/>
      </c>
    </row>
    <row r="146" spans="2:11">
      <c r="B146" s="339"/>
      <c r="C146" s="51"/>
      <c r="D146" s="22"/>
      <c r="E146" s="22"/>
      <c r="F146" s="564"/>
      <c r="G146" s="627"/>
      <c r="H146" s="529"/>
    </row>
    <row r="147" spans="2:11">
      <c r="B147" s="339"/>
      <c r="C147" s="51"/>
      <c r="D147" s="22"/>
      <c r="E147" s="22"/>
      <c r="F147" s="564"/>
      <c r="G147" s="627"/>
      <c r="H147" s="529"/>
    </row>
    <row r="148" spans="2:11">
      <c r="B148" s="339"/>
      <c r="C148" s="51"/>
      <c r="D148" s="22"/>
      <c r="E148" s="22"/>
      <c r="F148" s="564"/>
      <c r="G148" s="627"/>
      <c r="H148" s="529"/>
    </row>
    <row r="149" spans="2:11">
      <c r="B149" s="339"/>
      <c r="C149" s="51"/>
      <c r="D149" s="22"/>
      <c r="E149" s="22"/>
      <c r="F149" s="564"/>
      <c r="G149" s="627"/>
      <c r="H149" s="529"/>
    </row>
    <row r="150" spans="2:11">
      <c r="B150" s="339"/>
      <c r="C150" s="51"/>
      <c r="D150" s="22"/>
      <c r="E150" s="22"/>
      <c r="F150" s="564"/>
      <c r="G150" s="627"/>
      <c r="H150" s="529"/>
    </row>
    <row r="151" spans="2:11">
      <c r="B151" s="339"/>
      <c r="C151" s="51"/>
      <c r="D151" s="22"/>
      <c r="E151" s="22"/>
      <c r="F151" s="564"/>
      <c r="G151" s="627"/>
      <c r="H151" s="529"/>
    </row>
    <row r="152" spans="2:11">
      <c r="B152" s="339"/>
      <c r="C152" s="51"/>
      <c r="D152" s="22"/>
      <c r="E152" s="22"/>
      <c r="F152" s="564"/>
      <c r="G152" s="627"/>
      <c r="H152" s="529"/>
    </row>
    <row r="153" spans="2:11">
      <c r="B153" s="339"/>
      <c r="C153" s="51"/>
      <c r="D153" s="22"/>
      <c r="E153" s="22"/>
      <c r="F153" s="564"/>
      <c r="G153" s="627"/>
      <c r="H153" s="529"/>
    </row>
    <row r="154" spans="2:11">
      <c r="B154" s="339"/>
      <c r="C154" s="51"/>
      <c r="D154" s="22"/>
      <c r="E154" s="22"/>
      <c r="F154" s="564"/>
      <c r="G154" s="627"/>
      <c r="H154" s="529"/>
    </row>
    <row r="155" spans="2:11" ht="25.5">
      <c r="B155" s="59" t="s">
        <v>3870</v>
      </c>
      <c r="C155" s="561" t="s">
        <v>3871</v>
      </c>
      <c r="D155" s="22"/>
      <c r="E155" s="22"/>
      <c r="F155" s="564"/>
      <c r="G155" s="627"/>
      <c r="H155" s="529" t="str">
        <f t="shared" si="7"/>
        <v/>
      </c>
      <c r="K155" s="560" t="s">
        <v>3736</v>
      </c>
    </row>
    <row r="156" spans="2:11">
      <c r="B156" s="339"/>
      <c r="C156" s="561"/>
      <c r="D156" s="22"/>
      <c r="E156" s="22"/>
      <c r="F156" s="564"/>
      <c r="G156" s="627"/>
      <c r="H156" s="529"/>
    </row>
    <row r="157" spans="2:11" ht="25.5">
      <c r="B157" s="339"/>
      <c r="C157" s="562" t="s">
        <v>3737</v>
      </c>
      <c r="D157" s="22"/>
      <c r="E157" s="22"/>
      <c r="F157" s="564"/>
      <c r="G157" s="627"/>
      <c r="H157" s="529"/>
    </row>
    <row r="158" spans="2:11" ht="25.5">
      <c r="B158" s="339"/>
      <c r="C158" s="51" t="s">
        <v>3738</v>
      </c>
      <c r="D158" s="22"/>
      <c r="E158" s="22"/>
      <c r="F158" s="564"/>
      <c r="G158" s="627"/>
      <c r="H158" s="529"/>
    </row>
    <row r="159" spans="2:11" ht="25.5">
      <c r="B159" s="339"/>
      <c r="C159" s="51" t="s">
        <v>3872</v>
      </c>
      <c r="D159" s="22"/>
      <c r="E159" s="22"/>
      <c r="F159" s="564"/>
      <c r="G159" s="627"/>
      <c r="H159" s="529"/>
    </row>
    <row r="160" spans="2:11">
      <c r="B160" s="339" t="s">
        <v>271</v>
      </c>
      <c r="C160" s="568" t="s">
        <v>3873</v>
      </c>
      <c r="D160" s="22" t="s">
        <v>33</v>
      </c>
      <c r="E160" s="22" t="s">
        <v>14</v>
      </c>
      <c r="F160" s="564">
        <v>1</v>
      </c>
      <c r="G160" s="627"/>
      <c r="H160" s="529">
        <f t="shared" si="7"/>
        <v>0</v>
      </c>
      <c r="K160" s="306">
        <f>H160+H161+H162+H173+H174+H175</f>
        <v>0</v>
      </c>
    </row>
    <row r="161" spans="2:11">
      <c r="B161" s="339" t="s">
        <v>273</v>
      </c>
      <c r="C161" s="567" t="s">
        <v>3874</v>
      </c>
      <c r="D161" s="22" t="s">
        <v>33</v>
      </c>
      <c r="E161" s="22" t="s">
        <v>14</v>
      </c>
      <c r="F161" s="564">
        <v>1</v>
      </c>
      <c r="G161" s="627"/>
      <c r="H161" s="529">
        <f t="shared" si="7"/>
        <v>0</v>
      </c>
    </row>
    <row r="162" spans="2:11">
      <c r="B162" s="339" t="s">
        <v>1422</v>
      </c>
      <c r="C162" s="567" t="s">
        <v>3875</v>
      </c>
      <c r="D162" s="22" t="s">
        <v>33</v>
      </c>
      <c r="E162" s="22" t="s">
        <v>14</v>
      </c>
      <c r="F162" s="564">
        <v>1</v>
      </c>
      <c r="G162" s="627"/>
      <c r="H162" s="529">
        <f>IF(D162="","",F162*G162)</f>
        <v>0</v>
      </c>
    </row>
    <row r="163" spans="2:11">
      <c r="B163" s="339"/>
      <c r="C163" s="51"/>
      <c r="D163" s="22"/>
      <c r="E163" s="22"/>
      <c r="F163" s="564"/>
      <c r="G163" s="627"/>
      <c r="H163" s="529" t="str">
        <f t="shared" si="7"/>
        <v/>
      </c>
    </row>
    <row r="164" spans="2:11" ht="25.5">
      <c r="B164" s="59" t="s">
        <v>3876</v>
      </c>
      <c r="C164" s="561" t="s">
        <v>3877</v>
      </c>
      <c r="D164" s="22"/>
      <c r="E164" s="22"/>
      <c r="F164" s="564"/>
      <c r="G164" s="627"/>
      <c r="H164" s="529"/>
    </row>
    <row r="165" spans="2:11">
      <c r="B165" s="339"/>
      <c r="C165" s="561"/>
      <c r="D165" s="22"/>
      <c r="E165" s="22"/>
      <c r="F165" s="564"/>
      <c r="G165" s="627"/>
      <c r="H165" s="529"/>
    </row>
    <row r="166" spans="2:11" ht="25.5">
      <c r="B166" s="339"/>
      <c r="C166" s="55" t="s">
        <v>3264</v>
      </c>
      <c r="D166" s="22"/>
      <c r="E166" s="22"/>
      <c r="F166" s="564"/>
      <c r="G166" s="627"/>
      <c r="H166" s="529"/>
    </row>
    <row r="167" spans="2:11" ht="25.5">
      <c r="B167" s="339"/>
      <c r="C167" s="51" t="s">
        <v>3872</v>
      </c>
      <c r="D167" s="22"/>
      <c r="E167" s="22"/>
      <c r="F167" s="564"/>
      <c r="G167" s="627"/>
      <c r="H167" s="529"/>
    </row>
    <row r="168" spans="2:11">
      <c r="B168" s="339" t="s">
        <v>271</v>
      </c>
      <c r="C168" s="567" t="s">
        <v>3878</v>
      </c>
      <c r="D168" s="22" t="s">
        <v>33</v>
      </c>
      <c r="E168" s="22" t="s">
        <v>14</v>
      </c>
      <c r="F168" s="564">
        <v>1</v>
      </c>
      <c r="G168" s="627"/>
      <c r="H168" s="529">
        <f>IF(D168="","",F168*G168)</f>
        <v>0</v>
      </c>
    </row>
    <row r="169" spans="2:11">
      <c r="B169" s="339" t="s">
        <v>273</v>
      </c>
      <c r="C169" s="567" t="s">
        <v>3879</v>
      </c>
      <c r="D169" s="22" t="s">
        <v>3250</v>
      </c>
      <c r="E169" s="22"/>
      <c r="F169" s="564">
        <v>8</v>
      </c>
      <c r="G169" s="627"/>
      <c r="H169" s="529">
        <f>IF(D169="","",F169*G169)</f>
        <v>0</v>
      </c>
    </row>
    <row r="170" spans="2:11">
      <c r="B170" s="339"/>
      <c r="C170" s="51"/>
      <c r="D170" s="22"/>
      <c r="E170" s="22"/>
      <c r="F170" s="564"/>
      <c r="G170" s="627"/>
      <c r="H170" s="529"/>
    </row>
    <row r="171" spans="2:11">
      <c r="B171" s="59" t="s">
        <v>3876</v>
      </c>
      <c r="C171" s="569" t="s">
        <v>3880</v>
      </c>
      <c r="D171" s="22"/>
      <c r="E171" s="22"/>
      <c r="F171" s="564"/>
      <c r="G171" s="627"/>
      <c r="H171" s="529" t="str">
        <f t="shared" si="7"/>
        <v/>
      </c>
      <c r="K171" s="560" t="s">
        <v>3736</v>
      </c>
    </row>
    <row r="172" spans="2:11">
      <c r="B172" s="339"/>
      <c r="C172" s="569"/>
      <c r="D172" s="22"/>
      <c r="E172" s="22"/>
      <c r="F172" s="564"/>
      <c r="G172" s="627"/>
      <c r="H172" s="529"/>
    </row>
    <row r="173" spans="2:11">
      <c r="B173" s="339" t="s">
        <v>271</v>
      </c>
      <c r="C173" s="567" t="s">
        <v>3881</v>
      </c>
      <c r="D173" s="22" t="s">
        <v>3250</v>
      </c>
      <c r="E173" s="22"/>
      <c r="F173" s="564">
        <v>1</v>
      </c>
      <c r="G173" s="627"/>
      <c r="H173" s="529">
        <f t="shared" si="7"/>
        <v>0</v>
      </c>
    </row>
    <row r="174" spans="2:11">
      <c r="B174" s="339" t="s">
        <v>273</v>
      </c>
      <c r="C174" s="567" t="s">
        <v>3882</v>
      </c>
      <c r="D174" s="22" t="s">
        <v>3250</v>
      </c>
      <c r="E174" s="22"/>
      <c r="F174" s="564">
        <v>3</v>
      </c>
      <c r="G174" s="627"/>
      <c r="H174" s="529">
        <f t="shared" si="7"/>
        <v>0</v>
      </c>
    </row>
    <row r="175" spans="2:11">
      <c r="B175" s="339" t="s">
        <v>1422</v>
      </c>
      <c r="C175" s="572" t="s">
        <v>3883</v>
      </c>
      <c r="D175" s="22" t="s">
        <v>3250</v>
      </c>
      <c r="E175" s="22"/>
      <c r="F175" s="564">
        <v>12</v>
      </c>
      <c r="G175" s="627"/>
      <c r="H175" s="529">
        <f t="shared" si="7"/>
        <v>0</v>
      </c>
    </row>
    <row r="176" spans="2:11">
      <c r="B176" s="339"/>
      <c r="C176" s="572"/>
      <c r="D176" s="22"/>
      <c r="E176" s="22"/>
      <c r="F176" s="564"/>
      <c r="G176" s="627"/>
      <c r="H176" s="529" t="str">
        <f t="shared" si="7"/>
        <v/>
      </c>
    </row>
    <row r="177" spans="2:8" s="5" customFormat="1">
      <c r="B177" s="339"/>
      <c r="C177" s="573"/>
      <c r="D177" s="22"/>
      <c r="E177" s="22"/>
      <c r="F177" s="564"/>
      <c r="G177" s="627"/>
      <c r="H177" s="529"/>
    </row>
    <row r="178" spans="2:8" s="5" customFormat="1">
      <c r="B178" s="339"/>
      <c r="C178" s="573"/>
      <c r="D178" s="22"/>
      <c r="E178" s="22"/>
      <c r="F178" s="564"/>
      <c r="G178" s="627"/>
      <c r="H178" s="529"/>
    </row>
    <row r="179" spans="2:8" s="5" customFormat="1">
      <c r="B179" s="339"/>
      <c r="C179" s="573"/>
      <c r="D179" s="22"/>
      <c r="E179" s="22"/>
      <c r="F179" s="564"/>
      <c r="G179" s="356"/>
      <c r="H179" s="529"/>
    </row>
    <row r="180" spans="2:8" s="5" customFormat="1">
      <c r="B180" s="339"/>
      <c r="C180" s="573"/>
      <c r="D180" s="22"/>
      <c r="E180" s="22"/>
      <c r="F180" s="564"/>
      <c r="G180" s="356"/>
      <c r="H180" s="529"/>
    </row>
    <row r="181" spans="2:8" s="5" customFormat="1">
      <c r="B181" s="339"/>
      <c r="C181" s="573"/>
      <c r="D181" s="22"/>
      <c r="E181" s="22"/>
      <c r="F181" s="564"/>
      <c r="G181" s="356"/>
      <c r="H181" s="529"/>
    </row>
    <row r="182" spans="2:8" s="5" customFormat="1">
      <c r="B182" s="339"/>
      <c r="C182" s="573"/>
      <c r="D182" s="22"/>
      <c r="E182" s="22"/>
      <c r="F182" s="564"/>
      <c r="G182" s="356"/>
      <c r="H182" s="529"/>
    </row>
    <row r="183" spans="2:8" s="5" customFormat="1">
      <c r="B183" s="339"/>
      <c r="C183" s="573"/>
      <c r="D183" s="22"/>
      <c r="E183" s="22"/>
      <c r="F183" s="564"/>
      <c r="G183" s="356"/>
      <c r="H183" s="529"/>
    </row>
    <row r="184" spans="2:8" s="5" customFormat="1">
      <c r="B184" s="339"/>
      <c r="C184" s="573"/>
      <c r="D184" s="22"/>
      <c r="E184" s="22"/>
      <c r="F184" s="564"/>
      <c r="G184" s="356"/>
      <c r="H184" s="529"/>
    </row>
    <row r="185" spans="2:8" s="5" customFormat="1">
      <c r="B185" s="339"/>
      <c r="C185" s="573"/>
      <c r="D185" s="22"/>
      <c r="E185" s="22"/>
      <c r="F185" s="564"/>
      <c r="G185" s="356"/>
      <c r="H185" s="529"/>
    </row>
    <row r="186" spans="2:8" s="5" customFormat="1">
      <c r="B186" s="339"/>
      <c r="C186" s="573"/>
      <c r="D186" s="22"/>
      <c r="E186" s="22"/>
      <c r="F186" s="564"/>
      <c r="G186" s="356"/>
      <c r="H186" s="529"/>
    </row>
    <row r="187" spans="2:8" s="5" customFormat="1">
      <c r="B187" s="339"/>
      <c r="C187" s="573"/>
      <c r="D187" s="22"/>
      <c r="E187" s="22"/>
      <c r="F187" s="564"/>
      <c r="G187" s="356"/>
      <c r="H187" s="529"/>
    </row>
    <row r="188" spans="2:8" s="5" customFormat="1">
      <c r="B188" s="339"/>
      <c r="C188" s="573"/>
      <c r="D188" s="22"/>
      <c r="E188" s="22"/>
      <c r="F188" s="564"/>
      <c r="G188" s="356"/>
      <c r="H188" s="529"/>
    </row>
    <row r="189" spans="2:8" s="5" customFormat="1">
      <c r="B189" s="339"/>
      <c r="C189" s="573"/>
      <c r="D189" s="22"/>
      <c r="E189" s="22"/>
      <c r="F189" s="564"/>
      <c r="G189" s="356"/>
      <c r="H189" s="529"/>
    </row>
    <row r="190" spans="2:8" s="5" customFormat="1">
      <c r="B190" s="339"/>
      <c r="C190" s="573"/>
      <c r="D190" s="22"/>
      <c r="E190" s="22"/>
      <c r="F190" s="564"/>
      <c r="G190" s="356"/>
      <c r="H190" s="529"/>
    </row>
    <row r="191" spans="2:8" s="5" customFormat="1">
      <c r="B191" s="339"/>
      <c r="C191" s="573"/>
      <c r="D191" s="22"/>
      <c r="E191" s="22"/>
      <c r="F191" s="564"/>
      <c r="G191" s="356"/>
      <c r="H191" s="529"/>
    </row>
    <row r="192" spans="2:8" s="5" customFormat="1">
      <c r="B192" s="339"/>
      <c r="C192" s="573"/>
      <c r="D192" s="22"/>
      <c r="E192" s="22"/>
      <c r="F192" s="564"/>
      <c r="G192" s="356"/>
      <c r="H192" s="529"/>
    </row>
    <row r="193" spans="2:8" s="5" customFormat="1">
      <c r="B193" s="339"/>
      <c r="C193" s="573"/>
      <c r="D193" s="22"/>
      <c r="E193" s="22"/>
      <c r="F193" s="564"/>
      <c r="G193" s="356"/>
      <c r="H193" s="529"/>
    </row>
    <row r="194" spans="2:8" s="5" customFormat="1">
      <c r="B194" s="339"/>
      <c r="C194" s="573"/>
      <c r="D194" s="22"/>
      <c r="E194" s="22"/>
      <c r="F194" s="564"/>
      <c r="G194" s="356"/>
      <c r="H194" s="529"/>
    </row>
    <row r="195" spans="2:8" s="5" customFormat="1">
      <c r="B195" s="339"/>
      <c r="C195" s="573"/>
      <c r="D195" s="22"/>
      <c r="E195" s="22"/>
      <c r="F195" s="564"/>
      <c r="G195" s="356"/>
      <c r="H195" s="529"/>
    </row>
    <row r="196" spans="2:8" s="5" customFormat="1">
      <c r="B196" s="339"/>
      <c r="C196" s="573"/>
      <c r="D196" s="22"/>
      <c r="E196" s="22"/>
      <c r="F196" s="564"/>
      <c r="G196" s="356"/>
      <c r="H196" s="529"/>
    </row>
    <row r="197" spans="2:8" s="5" customFormat="1">
      <c r="B197" s="339"/>
      <c r="C197" s="573"/>
      <c r="D197" s="22"/>
      <c r="E197" s="22"/>
      <c r="F197" s="564"/>
      <c r="G197" s="356"/>
      <c r="H197" s="529"/>
    </row>
    <row r="198" spans="2:8" s="5" customFormat="1">
      <c r="B198" s="339"/>
      <c r="C198" s="573"/>
      <c r="D198" s="22"/>
      <c r="E198" s="22"/>
      <c r="F198" s="564"/>
      <c r="G198" s="356"/>
      <c r="H198" s="529"/>
    </row>
    <row r="199" spans="2:8" s="5" customFormat="1">
      <c r="B199" s="339"/>
      <c r="C199" s="573"/>
      <c r="D199" s="22"/>
      <c r="E199" s="22"/>
      <c r="F199" s="564"/>
      <c r="G199" s="356"/>
      <c r="H199" s="529"/>
    </row>
    <row r="200" spans="2:8" s="5" customFormat="1">
      <c r="B200" s="339"/>
      <c r="C200" s="573"/>
      <c r="D200" s="22"/>
      <c r="E200" s="22"/>
      <c r="F200" s="564"/>
      <c r="G200" s="356"/>
      <c r="H200" s="529"/>
    </row>
    <row r="201" spans="2:8" s="5" customFormat="1">
      <c r="B201" s="339"/>
      <c r="C201" s="573"/>
      <c r="D201" s="22"/>
      <c r="E201" s="22"/>
      <c r="F201" s="564"/>
      <c r="G201" s="356"/>
      <c r="H201" s="529"/>
    </row>
    <row r="202" spans="2:8" s="5" customFormat="1">
      <c r="B202" s="339"/>
      <c r="C202" s="573"/>
      <c r="D202" s="22"/>
      <c r="E202" s="22"/>
      <c r="F202" s="564"/>
      <c r="G202" s="356"/>
      <c r="H202" s="529"/>
    </row>
    <row r="203" spans="2:8" s="5" customFormat="1">
      <c r="B203" s="339"/>
      <c r="C203" s="573"/>
      <c r="D203" s="22"/>
      <c r="E203" s="22"/>
      <c r="F203" s="564"/>
      <c r="G203" s="356"/>
      <c r="H203" s="529"/>
    </row>
    <row r="204" spans="2:8" s="5" customFormat="1">
      <c r="B204" s="339"/>
      <c r="C204" s="573"/>
      <c r="D204" s="22"/>
      <c r="E204" s="22"/>
      <c r="F204" s="564"/>
      <c r="G204" s="356"/>
      <c r="H204" s="529"/>
    </row>
    <row r="205" spans="2:8" s="5" customFormat="1">
      <c r="B205" s="339"/>
      <c r="C205" s="573"/>
      <c r="D205" s="22"/>
      <c r="E205" s="22"/>
      <c r="F205" s="564"/>
      <c r="G205" s="356"/>
      <c r="H205" s="529"/>
    </row>
    <row r="206" spans="2:8" s="5" customFormat="1">
      <c r="B206" s="339"/>
      <c r="C206" s="573"/>
      <c r="D206" s="22"/>
      <c r="E206" s="22"/>
      <c r="F206" s="564"/>
      <c r="G206" s="356"/>
      <c r="H206" s="529"/>
    </row>
    <row r="207" spans="2:8" s="5" customFormat="1">
      <c r="B207" s="339"/>
      <c r="C207" s="573"/>
      <c r="D207" s="22"/>
      <c r="E207" s="22"/>
      <c r="F207" s="564"/>
      <c r="G207" s="356"/>
      <c r="H207" s="529"/>
    </row>
    <row r="208" spans="2:8" s="5" customFormat="1">
      <c r="B208" s="339"/>
      <c r="C208" s="573"/>
      <c r="D208" s="22"/>
      <c r="E208" s="22"/>
      <c r="F208" s="564"/>
      <c r="G208" s="356"/>
      <c r="H208" s="529"/>
    </row>
    <row r="209" spans="2:8" s="5" customFormat="1">
      <c r="B209" s="339"/>
      <c r="C209" s="573"/>
      <c r="D209" s="22"/>
      <c r="E209" s="22"/>
      <c r="F209" s="564"/>
      <c r="G209" s="356"/>
      <c r="H209" s="529"/>
    </row>
    <row r="210" spans="2:8" s="5" customFormat="1">
      <c r="B210" s="339"/>
      <c r="C210" s="573"/>
      <c r="D210" s="22"/>
      <c r="E210" s="22"/>
      <c r="F210" s="564"/>
      <c r="G210" s="356"/>
      <c r="H210" s="529"/>
    </row>
    <row r="211" spans="2:8" s="5" customFormat="1">
      <c r="B211" s="339"/>
      <c r="C211" s="573"/>
      <c r="D211" s="22"/>
      <c r="E211" s="22"/>
      <c r="F211" s="564"/>
      <c r="G211" s="356"/>
      <c r="H211" s="529"/>
    </row>
    <row r="212" spans="2:8" s="5" customFormat="1">
      <c r="B212" s="339"/>
      <c r="C212" s="573"/>
      <c r="D212" s="22"/>
      <c r="E212" s="22"/>
      <c r="F212" s="564"/>
      <c r="G212" s="356"/>
      <c r="H212" s="529"/>
    </row>
    <row r="213" spans="2:8" s="5" customFormat="1">
      <c r="B213" s="339"/>
      <c r="C213" s="573"/>
      <c r="D213" s="22"/>
      <c r="E213" s="22"/>
      <c r="F213" s="564"/>
      <c r="G213" s="356"/>
      <c r="H213" s="529"/>
    </row>
    <row r="214" spans="2:8" s="5" customFormat="1">
      <c r="B214" s="339"/>
      <c r="C214" s="573"/>
      <c r="D214" s="22"/>
      <c r="E214" s="22"/>
      <c r="F214" s="564"/>
      <c r="G214" s="356"/>
      <c r="H214" s="529"/>
    </row>
    <row r="215" spans="2:8" s="5" customFormat="1">
      <c r="B215" s="339"/>
      <c r="C215" s="573"/>
      <c r="D215" s="22"/>
      <c r="E215" s="22"/>
      <c r="F215" s="564"/>
      <c r="G215" s="356"/>
      <c r="H215" s="529"/>
    </row>
    <row r="216" spans="2:8" s="5" customFormat="1">
      <c r="B216" s="339"/>
      <c r="C216" s="573"/>
      <c r="D216" s="22"/>
      <c r="E216" s="22"/>
      <c r="F216" s="564"/>
      <c r="G216" s="356"/>
      <c r="H216" s="529"/>
    </row>
    <row r="217" spans="2:8" s="5" customFormat="1">
      <c r="B217" s="339"/>
      <c r="C217" s="573"/>
      <c r="D217" s="22"/>
      <c r="E217" s="22"/>
      <c r="F217" s="564"/>
      <c r="G217" s="356"/>
      <c r="H217" s="529"/>
    </row>
    <row r="218" spans="2:8" s="5" customFormat="1">
      <c r="B218" s="339"/>
      <c r="C218" s="573"/>
      <c r="D218" s="22"/>
      <c r="E218" s="22"/>
      <c r="F218" s="564"/>
      <c r="G218" s="356"/>
      <c r="H218" s="529"/>
    </row>
    <row r="219" spans="2:8" s="5" customFormat="1">
      <c r="B219" s="339"/>
      <c r="C219" s="573"/>
      <c r="D219" s="22"/>
      <c r="E219" s="22"/>
      <c r="F219" s="564"/>
      <c r="G219" s="356"/>
      <c r="H219" s="529"/>
    </row>
    <row r="220" spans="2:8" s="5" customFormat="1">
      <c r="B220" s="339"/>
      <c r="C220" s="573"/>
      <c r="D220" s="22"/>
      <c r="E220" s="22"/>
      <c r="F220" s="564"/>
      <c r="G220" s="356"/>
      <c r="H220" s="529"/>
    </row>
    <row r="221" spans="2:8" s="5" customFormat="1">
      <c r="B221" s="339"/>
      <c r="C221" s="573"/>
      <c r="D221" s="22"/>
      <c r="E221" s="22"/>
      <c r="F221" s="564"/>
      <c r="G221" s="356"/>
      <c r="H221" s="529"/>
    </row>
    <row r="222" spans="2:8" s="5" customFormat="1">
      <c r="B222" s="339"/>
      <c r="C222" s="573"/>
      <c r="D222" s="22"/>
      <c r="E222" s="22"/>
      <c r="F222" s="564"/>
      <c r="G222" s="356"/>
      <c r="H222" s="529"/>
    </row>
    <row r="223" spans="2:8" s="5" customFormat="1">
      <c r="B223" s="339"/>
      <c r="C223" s="573"/>
      <c r="D223" s="22"/>
      <c r="E223" s="22"/>
      <c r="F223" s="564"/>
      <c r="G223" s="356"/>
      <c r="H223" s="529"/>
    </row>
    <row r="224" spans="2:8" s="5" customFormat="1">
      <c r="B224" s="339"/>
      <c r="C224" s="573"/>
      <c r="D224" s="22"/>
      <c r="E224" s="22"/>
      <c r="F224" s="564"/>
      <c r="G224" s="356"/>
      <c r="H224" s="529"/>
    </row>
    <row r="225" spans="2:9">
      <c r="B225" s="339"/>
      <c r="C225" s="573"/>
      <c r="D225" s="22"/>
      <c r="E225" s="22"/>
      <c r="F225" s="564"/>
      <c r="G225" s="356"/>
      <c r="H225" s="529"/>
    </row>
    <row r="226" spans="2:9">
      <c r="B226" s="339"/>
      <c r="C226" s="573"/>
      <c r="D226" s="22"/>
      <c r="E226" s="22"/>
      <c r="F226" s="564"/>
      <c r="G226" s="356"/>
      <c r="H226" s="529"/>
    </row>
    <row r="227" spans="2:9">
      <c r="B227" s="339"/>
      <c r="C227" s="573"/>
      <c r="D227" s="22"/>
      <c r="E227" s="22"/>
      <c r="F227" s="564"/>
      <c r="G227" s="356"/>
      <c r="H227" s="529"/>
    </row>
    <row r="228" spans="2:9" s="28" customFormat="1" ht="19.5" customHeight="1">
      <c r="B228" s="82" t="str">
        <f>$B$10</f>
        <v>PSS2</v>
      </c>
      <c r="C228" s="29" t="s">
        <v>125</v>
      </c>
      <c r="D228" s="30"/>
      <c r="E228" s="31"/>
      <c r="F228" s="31"/>
      <c r="G228" s="31"/>
      <c r="H228" s="359">
        <f>SUM(H7:H227)</f>
        <v>0</v>
      </c>
      <c r="I228" s="236"/>
    </row>
  </sheetData>
  <sheetProtection algorithmName="SHA-512" hashValue="y+SY2p6laEmCnUDBuMpfwHBlqLSq09JT27MDplFJ2oO8mu7ZCmEzrQhyuPIWM6BrdHke8aVevDqkU2jTSYnybQ==" saltValue="M20yrb0iEoSI3oQ+/hGmOQ==" spinCount="100000" sheet="1" selectLockedCells="1"/>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KANTEY &amp; TEMPLER CONSULTING ENGINEERS&amp;R&amp;"Arial,Bold Italic"
</oddHeader>
    <oddFooter>&amp;C&amp;F</oddFooter>
  </headerFooter>
  <legacyDrawingHF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1775-EEDB-4CC3-B0CC-B99EA2727DB0}">
  <sheetPr>
    <tabColor rgb="FFFF0000"/>
  </sheetPr>
  <dimension ref="B1:P29"/>
  <sheetViews>
    <sheetView view="pageBreakPreview" zoomScaleNormal="100" zoomScaleSheetLayoutView="100" workbookViewId="0">
      <selection activeCell="C27" sqref="C27"/>
    </sheetView>
  </sheetViews>
  <sheetFormatPr defaultColWidth="8.85546875" defaultRowHeight="12.75"/>
  <cols>
    <col min="1" max="1" width="0.85546875" style="51" customWidth="1"/>
    <col min="2" max="2" width="11.7109375" style="54" customWidth="1"/>
    <col min="3" max="3" width="45.7109375" style="52" customWidth="1"/>
    <col min="4" max="4" width="13.7109375" style="52" customWidth="1"/>
    <col min="5" max="5" width="5.7109375" style="237" customWidth="1"/>
    <col min="6" max="6" width="13.7109375" style="54" customWidth="1"/>
    <col min="7" max="7" width="28" style="54" customWidth="1"/>
    <col min="8" max="8" width="20.85546875" style="54" hidden="1" customWidth="1"/>
    <col min="9" max="9" width="0.85546875" style="51" customWidth="1"/>
    <col min="10" max="10" width="36.42578125" style="51" hidden="1" customWidth="1"/>
    <col min="11" max="11" width="16.140625" style="51" hidden="1" customWidth="1"/>
    <col min="12" max="12" width="23.7109375" style="51" hidden="1" customWidth="1"/>
    <col min="13" max="13" width="9.42578125" style="51" hidden="1" customWidth="1"/>
    <col min="14" max="14" width="0" style="51" hidden="1" customWidth="1"/>
    <col min="15" max="15" width="16.85546875" style="51" hidden="1" customWidth="1"/>
    <col min="16" max="16" width="28.140625" style="51" hidden="1" customWidth="1"/>
    <col min="17" max="53" width="0" style="51" hidden="1" customWidth="1"/>
    <col min="54" max="16384" width="8.85546875" style="51"/>
  </cols>
  <sheetData>
    <row r="1" spans="2:16">
      <c r="B1" s="2" t="str">
        <f>Client1</f>
        <v>AIRPORTS COMPANY - SOUTH AFRICA</v>
      </c>
      <c r="D1" s="4"/>
      <c r="E1" s="4"/>
      <c r="F1" s="676" t="str">
        <f>"Contract No. "&amp;ContractNo</f>
        <v>Contract No. KSIA7806/2025/RFP</v>
      </c>
      <c r="G1" s="676"/>
      <c r="H1" s="676"/>
    </row>
    <row r="2" spans="2:16" s="1" customFormat="1" ht="18" customHeight="1">
      <c r="B2" s="90" t="str">
        <f>Client2</f>
        <v>ACSA</v>
      </c>
      <c r="C2" s="52"/>
      <c r="D2" s="4"/>
      <c r="E2" s="4"/>
      <c r="F2" s="4"/>
      <c r="G2" s="4"/>
      <c r="H2" s="4"/>
      <c r="L2" s="4"/>
    </row>
    <row r="3" spans="2:16" s="1" customFormat="1" ht="16.5" customHeight="1">
      <c r="B3" s="71"/>
      <c r="C3" s="92"/>
      <c r="D3" s="72"/>
      <c r="E3" s="72"/>
      <c r="F3" s="72"/>
      <c r="G3" s="72"/>
      <c r="H3" s="72"/>
      <c r="J3" s="5"/>
      <c r="K3" s="5"/>
      <c r="L3" s="4"/>
    </row>
    <row r="4" spans="2:16" s="1" customFormat="1" ht="7.5" customHeight="1">
      <c r="B4" s="845" t="str">
        <f>ContractDescription</f>
        <v>PROCUREMENT OF A CIDB GRADE 9 CE CONTRACTOR THE COMPLETION OF BRAVO TAXIWAY EXTENSION AT KING SHAKA INTERNATIONAL AIRPORT FOR A PERIOD OF 12 MONTHS AT KING SHAKA INTERNATIONAL AIRPORT</v>
      </c>
      <c r="C4" s="845"/>
      <c r="D4" s="845"/>
      <c r="E4" s="845"/>
      <c r="F4" s="845"/>
      <c r="G4" s="845"/>
      <c r="H4" s="845"/>
      <c r="J4" s="5"/>
      <c r="K4" s="5"/>
      <c r="L4" s="4"/>
    </row>
    <row r="5" spans="2:16" ht="12.75" customHeight="1">
      <c r="B5" s="845"/>
      <c r="C5" s="845"/>
      <c r="D5" s="845"/>
      <c r="E5" s="845"/>
      <c r="F5" s="845"/>
      <c r="G5" s="845"/>
      <c r="H5" s="845"/>
    </row>
    <row r="6" spans="2:16" ht="7.5" customHeight="1">
      <c r="B6" s="845"/>
      <c r="C6" s="845"/>
      <c r="D6" s="845"/>
      <c r="E6" s="845"/>
      <c r="F6" s="845"/>
      <c r="G6" s="845"/>
      <c r="H6" s="845"/>
    </row>
    <row r="7" spans="2:16" ht="17.25" customHeight="1">
      <c r="B7" s="846" t="s">
        <v>3318</v>
      </c>
      <c r="C7" s="846"/>
      <c r="D7" s="846"/>
      <c r="E7" s="846"/>
      <c r="F7" s="846"/>
      <c r="G7" s="846"/>
      <c r="H7" s="846"/>
      <c r="K7" s="235"/>
    </row>
    <row r="8" spans="2:16">
      <c r="B8" s="845" t="s">
        <v>3319</v>
      </c>
      <c r="C8" s="845"/>
      <c r="D8" s="845"/>
      <c r="E8" s="845"/>
      <c r="F8" s="11" t="s">
        <v>357</v>
      </c>
      <c r="G8" s="11" t="s">
        <v>17</v>
      </c>
      <c r="H8" s="11"/>
      <c r="O8" s="274"/>
      <c r="P8" s="259"/>
    </row>
    <row r="9" spans="2:16" ht="25.5">
      <c r="B9" s="847" t="s">
        <v>3698</v>
      </c>
      <c r="C9" s="847"/>
      <c r="D9" s="847"/>
      <c r="E9" s="847"/>
      <c r="F9" s="10"/>
      <c r="G9" s="353">
        <f>'P&amp;G - MECHANICAL'!H50</f>
        <v>0</v>
      </c>
      <c r="H9" s="353"/>
      <c r="I9" s="574"/>
      <c r="J9" s="575" t="s">
        <v>3884</v>
      </c>
      <c r="K9" s="305" t="s">
        <v>3885</v>
      </c>
      <c r="L9" s="259" t="s">
        <v>3886</v>
      </c>
      <c r="O9" s="274"/>
      <c r="P9" s="259"/>
    </row>
    <row r="10" spans="2:16" ht="26.25" customHeight="1">
      <c r="B10" s="847" t="str">
        <f>'PSS1 - Pipework'!C10</f>
        <v>SUPPLY, INSTALLATION, AND TESTING OF PIPEWORK AND ANCILLARIES</v>
      </c>
      <c r="C10" s="847"/>
      <c r="D10" s="847"/>
      <c r="E10" s="847"/>
      <c r="F10" s="10" t="str">
        <f>'PSS1 - Pipework'!B10</f>
        <v>PSS1</v>
      </c>
      <c r="G10" s="353">
        <f>'PSS1 - Pipework'!H135</f>
        <v>2800000</v>
      </c>
      <c r="H10" s="353"/>
      <c r="K10" s="259"/>
      <c r="L10" s="259"/>
      <c r="O10" s="259"/>
      <c r="P10" s="259"/>
    </row>
    <row r="11" spans="2:16" ht="27" customHeight="1" thickBot="1">
      <c r="B11" s="842" t="str">
        <f>'PSS2 - Valves'!C10</f>
        <v>SUPPLY, FABRICATION, INSTALLATION, AND TESTING OF VALVES AND ANCILLARIES</v>
      </c>
      <c r="C11" s="842"/>
      <c r="D11" s="842"/>
      <c r="E11" s="842"/>
      <c r="F11" s="86" t="str">
        <f>'PSS2 - Valves'!B10</f>
        <v>PSS2</v>
      </c>
      <c r="G11" s="556">
        <f>'PSS2 - Valves'!H228</f>
        <v>0</v>
      </c>
      <c r="H11" s="556"/>
      <c r="K11" s="259"/>
      <c r="L11" s="259"/>
      <c r="O11" s="259"/>
      <c r="P11" s="259"/>
    </row>
    <row r="12" spans="2:16" s="28" customFormat="1" ht="14.25" customHeight="1" thickTop="1" thickBot="1">
      <c r="B12" s="848" t="s">
        <v>3703</v>
      </c>
      <c r="C12" s="848"/>
      <c r="D12" s="848"/>
      <c r="E12" s="848"/>
      <c r="F12" s="848"/>
      <c r="G12" s="577">
        <f>SUM(G9:H11)</f>
        <v>2800000</v>
      </c>
      <c r="H12" s="577"/>
      <c r="I12" s="236"/>
      <c r="J12" s="245" t="s">
        <v>3887</v>
      </c>
      <c r="K12" s="306"/>
      <c r="L12" s="245"/>
      <c r="O12" s="245"/>
      <c r="P12" s="245"/>
    </row>
    <row r="13" spans="2:16" ht="13.5" thickTop="1"/>
    <row r="14" spans="2:16">
      <c r="H14" s="557"/>
    </row>
    <row r="15" spans="2:16">
      <c r="K15" s="259"/>
    </row>
    <row r="16" spans="2:16">
      <c r="G16" s="557"/>
      <c r="K16" s="259"/>
    </row>
    <row r="17" spans="3:11">
      <c r="G17" s="557"/>
      <c r="K17" s="259"/>
    </row>
    <row r="18" spans="3:11">
      <c r="G18" s="557"/>
    </row>
    <row r="19" spans="3:11">
      <c r="G19" s="557"/>
    </row>
    <row r="22" spans="3:11">
      <c r="G22" s="557"/>
    </row>
    <row r="27" spans="3:11">
      <c r="G27" s="557"/>
    </row>
    <row r="29" spans="3:11">
      <c r="C29" s="3"/>
    </row>
  </sheetData>
  <sheetProtection algorithmName="SHA-512" hashValue="D0xPlJLMRex65yVVOn2ivOFrMmy6Zjs/f1glUY+4f7f8kjuX+cJBVg1PMcVC35JooOzaBIDrXYlsXL6Kx03jRg==" saltValue="UW3jAuET6Gd6G8Vka9Seig==" spinCount="100000" sheet="1" objects="1" scenarios="1"/>
  <mergeCells count="8">
    <mergeCell ref="B10:E10"/>
    <mergeCell ref="B11:E11"/>
    <mergeCell ref="B12:F12"/>
    <mergeCell ref="F1:H1"/>
    <mergeCell ref="B4:H6"/>
    <mergeCell ref="B7:H7"/>
    <mergeCell ref="B8:E8"/>
    <mergeCell ref="B9:E9"/>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KANTEY &amp; TEMPLER CONSULTING ENGINEERS&amp;R&amp;"Arial,Bold Italic"
</oddHeader>
    <oddFooter>&amp;C&amp;F</oddFooter>
  </headerFooter>
  <legacyDrawingHF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E654-95B4-45FE-BE50-314DA65E95A5}">
  <sheetPr>
    <tabColor rgb="FFFF0000"/>
  </sheetPr>
  <dimension ref="B1:O41"/>
  <sheetViews>
    <sheetView view="pageBreakPreview" topLeftCell="A2" zoomScaleNormal="100" zoomScaleSheetLayoutView="100" workbookViewId="0">
      <selection activeCell="C27" sqref="C27"/>
    </sheetView>
  </sheetViews>
  <sheetFormatPr defaultColWidth="8.85546875" defaultRowHeight="12.75"/>
  <cols>
    <col min="1" max="1" width="0.85546875" style="51" customWidth="1"/>
    <col min="2" max="2" width="11.7109375" style="54" customWidth="1"/>
    <col min="3" max="3" width="45.7109375" style="52" customWidth="1"/>
    <col min="4" max="4" width="13.7109375" style="52" customWidth="1"/>
    <col min="5" max="5" width="5.7109375" style="237" customWidth="1"/>
    <col min="6" max="6" width="16.28515625" style="54" customWidth="1"/>
    <col min="7" max="7" width="20.85546875" style="54" customWidth="1"/>
    <col min="8" max="8" width="0.85546875" style="51" customWidth="1"/>
    <col min="9" max="9" width="36.42578125" style="51" hidden="1" customWidth="1"/>
    <col min="10" max="10" width="16.140625" style="51" hidden="1" customWidth="1"/>
    <col min="11" max="11" width="23.7109375" style="51" hidden="1" customWidth="1"/>
    <col min="12" max="12" width="9.42578125" style="51" hidden="1" customWidth="1"/>
    <col min="13" max="13" width="0" style="51" hidden="1" customWidth="1"/>
    <col min="14" max="14" width="16.85546875" style="51" hidden="1" customWidth="1"/>
    <col min="15" max="15" width="28.140625" style="51" hidden="1" customWidth="1"/>
    <col min="16" max="52" width="0" style="51" hidden="1" customWidth="1"/>
    <col min="53" max="16384" width="8.85546875" style="51"/>
  </cols>
  <sheetData>
    <row r="1" spans="2:15">
      <c r="B1" s="697" t="str">
        <f>Client1</f>
        <v>AIRPORTS COMPANY - SOUTH AFRICA</v>
      </c>
      <c r="C1" s="697"/>
      <c r="D1" s="697"/>
      <c r="E1" s="697"/>
      <c r="F1" s="697"/>
      <c r="G1" s="697"/>
    </row>
    <row r="2" spans="2:15" s="1" customFormat="1" ht="18" customHeight="1">
      <c r="B2" s="736"/>
      <c r="C2" s="736"/>
      <c r="D2" s="736"/>
      <c r="E2" s="736"/>
      <c r="F2" s="736"/>
      <c r="G2" s="736"/>
      <c r="K2" s="4"/>
    </row>
    <row r="3" spans="2:15" s="1" customFormat="1" ht="18" customHeight="1">
      <c r="B3" s="851" t="s">
        <v>3888</v>
      </c>
      <c r="C3" s="851"/>
      <c r="D3" s="851"/>
      <c r="E3" s="851"/>
      <c r="F3" s="851"/>
      <c r="G3" s="851"/>
      <c r="K3" s="4"/>
    </row>
    <row r="4" spans="2:15" s="1" customFormat="1" ht="18" customHeight="1">
      <c r="B4" s="736"/>
      <c r="C4" s="736"/>
      <c r="D4" s="736"/>
      <c r="E4" s="736"/>
      <c r="F4" s="736"/>
      <c r="G4" s="736"/>
      <c r="K4" s="4"/>
    </row>
    <row r="5" spans="2:15" s="1" customFormat="1" ht="18" customHeight="1">
      <c r="B5" s="736" t="s">
        <v>3889</v>
      </c>
      <c r="C5" s="736"/>
      <c r="D5" s="736"/>
      <c r="E5" s="736"/>
      <c r="F5" s="736"/>
      <c r="G5" s="736"/>
      <c r="K5" s="4"/>
    </row>
    <row r="6" spans="2:15" s="1" customFormat="1" ht="18" customHeight="1">
      <c r="B6" s="736"/>
      <c r="C6" s="736"/>
      <c r="D6" s="736"/>
      <c r="E6" s="736"/>
      <c r="F6" s="736"/>
      <c r="G6" s="736"/>
      <c r="K6" s="4"/>
    </row>
    <row r="7" spans="2:15" s="1" customFormat="1" ht="7.5" customHeight="1">
      <c r="B7" s="845" t="str">
        <f>ContractDescription</f>
        <v>PROCUREMENT OF A CIDB GRADE 9 CE CONTRACTOR THE COMPLETION OF BRAVO TAXIWAY EXTENSION AT KING SHAKA INTERNATIONAL AIRPORT FOR A PERIOD OF 12 MONTHS AT KING SHAKA INTERNATIONAL AIRPORT</v>
      </c>
      <c r="C7" s="845"/>
      <c r="D7" s="845"/>
      <c r="E7" s="845"/>
      <c r="F7" s="845"/>
      <c r="G7" s="845"/>
      <c r="I7" s="5"/>
      <c r="J7" s="5"/>
      <c r="K7" s="4"/>
    </row>
    <row r="8" spans="2:15" ht="12.75" customHeight="1">
      <c r="B8" s="845"/>
      <c r="C8" s="845"/>
      <c r="D8" s="845"/>
      <c r="E8" s="845"/>
      <c r="F8" s="845"/>
      <c r="G8" s="845"/>
    </row>
    <row r="9" spans="2:15" ht="7.5" customHeight="1">
      <c r="B9" s="845"/>
      <c r="C9" s="845"/>
      <c r="D9" s="845"/>
      <c r="E9" s="845"/>
      <c r="F9" s="845"/>
      <c r="G9" s="845"/>
    </row>
    <row r="10" spans="2:15" ht="17.25" customHeight="1">
      <c r="B10" s="846" t="s">
        <v>3890</v>
      </c>
      <c r="C10" s="846"/>
      <c r="D10" s="846"/>
      <c r="E10" s="846"/>
      <c r="F10" s="846"/>
      <c r="G10" s="846"/>
      <c r="J10" s="235"/>
    </row>
    <row r="11" spans="2:15">
      <c r="B11" s="845" t="s">
        <v>12</v>
      </c>
      <c r="C11" s="845"/>
      <c r="D11" s="845"/>
      <c r="E11" s="845"/>
      <c r="F11" s="845" t="s">
        <v>17</v>
      </c>
      <c r="G11" s="845"/>
      <c r="N11" s="274"/>
      <c r="O11" s="259"/>
    </row>
    <row r="12" spans="2:15" ht="25.5">
      <c r="B12" s="847" t="s">
        <v>3891</v>
      </c>
      <c r="C12" s="847"/>
      <c r="D12" s="847"/>
      <c r="E12" s="847"/>
      <c r="F12" s="849"/>
      <c r="G12" s="850"/>
      <c r="H12" s="574"/>
      <c r="I12" s="575" t="s">
        <v>3884</v>
      </c>
      <c r="J12" s="305" t="s">
        <v>3885</v>
      </c>
      <c r="K12" s="259" t="s">
        <v>3886</v>
      </c>
      <c r="N12" s="274"/>
      <c r="O12" s="259"/>
    </row>
    <row r="13" spans="2:15" ht="26.25" customHeight="1">
      <c r="B13" s="847" t="s">
        <v>3892</v>
      </c>
      <c r="C13" s="847"/>
      <c r="D13" s="847"/>
      <c r="E13" s="847"/>
      <c r="F13" s="849">
        <f>'CIVIL BOQ Summary'!G13</f>
        <v>10169000</v>
      </c>
      <c r="G13" s="850"/>
      <c r="J13" s="259"/>
      <c r="K13" s="259"/>
      <c r="N13" s="259"/>
      <c r="O13" s="259"/>
    </row>
    <row r="14" spans="2:15" ht="26.25" customHeight="1">
      <c r="B14" s="716" t="s">
        <v>3893</v>
      </c>
      <c r="C14" s="717"/>
      <c r="D14" s="717"/>
      <c r="E14" s="718"/>
      <c r="F14" s="849">
        <f>'ELECTRICAL BOQ SUMMARY'!G12</f>
        <v>41500</v>
      </c>
      <c r="G14" s="850"/>
      <c r="J14" s="259"/>
      <c r="K14" s="259"/>
      <c r="N14" s="259"/>
      <c r="O14" s="259"/>
    </row>
    <row r="15" spans="2:15" ht="26.25" customHeight="1">
      <c r="B15" s="716" t="s">
        <v>3894</v>
      </c>
      <c r="C15" s="717"/>
      <c r="D15" s="717"/>
      <c r="E15" s="718"/>
      <c r="F15" s="849">
        <f>'MECHANICAL BOQ SUMMARY'!G12</f>
        <v>2800000</v>
      </c>
      <c r="G15" s="850"/>
      <c r="J15" s="259"/>
      <c r="K15" s="259"/>
      <c r="N15" s="259"/>
      <c r="O15" s="259"/>
    </row>
    <row r="16" spans="2:15" ht="26.25" customHeight="1">
      <c r="B16" s="716" t="s">
        <v>3895</v>
      </c>
      <c r="C16" s="717"/>
      <c r="D16" s="717"/>
      <c r="E16" s="718"/>
      <c r="F16" s="849">
        <f>SUM(F13:G15)</f>
        <v>13010500</v>
      </c>
      <c r="G16" s="850"/>
      <c r="J16" s="259"/>
      <c r="K16" s="259"/>
      <c r="N16" s="259"/>
      <c r="O16" s="259"/>
    </row>
    <row r="17" spans="2:15" ht="26.25" customHeight="1">
      <c r="B17" s="716" t="s">
        <v>3896</v>
      </c>
      <c r="C17" s="717"/>
      <c r="D17" s="717"/>
      <c r="E17" s="718"/>
      <c r="F17" s="849">
        <f>F16*0.25%</f>
        <v>32526.25</v>
      </c>
      <c r="G17" s="850"/>
      <c r="J17" s="259"/>
      <c r="K17" s="259"/>
      <c r="N17" s="259"/>
      <c r="O17" s="259"/>
    </row>
    <row r="18" spans="2:15" ht="26.25" customHeight="1">
      <c r="B18" s="716" t="s">
        <v>3897</v>
      </c>
      <c r="C18" s="717"/>
      <c r="D18" s="717"/>
      <c r="E18" s="718"/>
      <c r="F18" s="849">
        <f>F17+F16</f>
        <v>13043026.25</v>
      </c>
      <c r="G18" s="850"/>
      <c r="J18" s="259"/>
      <c r="K18" s="259"/>
      <c r="N18" s="259"/>
      <c r="O18" s="259"/>
    </row>
    <row r="19" spans="2:15" ht="26.25" customHeight="1">
      <c r="B19" s="716" t="s">
        <v>3898</v>
      </c>
      <c r="C19" s="717"/>
      <c r="D19" s="717"/>
      <c r="E19" s="718"/>
      <c r="F19" s="849">
        <f>F18*10%</f>
        <v>1304302.625</v>
      </c>
      <c r="G19" s="850"/>
      <c r="J19" s="259"/>
      <c r="K19" s="259"/>
      <c r="N19" s="259"/>
      <c r="O19" s="259"/>
    </row>
    <row r="20" spans="2:15" ht="26.25" customHeight="1">
      <c r="B20" s="716" t="s">
        <v>3899</v>
      </c>
      <c r="C20" s="717"/>
      <c r="D20" s="717"/>
      <c r="E20" s="718"/>
      <c r="F20" s="849">
        <f>F19+F18</f>
        <v>14347328.875</v>
      </c>
      <c r="G20" s="850"/>
      <c r="J20" s="259"/>
      <c r="K20" s="259"/>
      <c r="N20" s="259"/>
      <c r="O20" s="259"/>
    </row>
    <row r="21" spans="2:15" ht="26.25" customHeight="1">
      <c r="B21" s="716" t="s">
        <v>3900</v>
      </c>
      <c r="C21" s="717"/>
      <c r="D21" s="717"/>
      <c r="E21" s="718"/>
      <c r="F21" s="849">
        <f>F20*10%</f>
        <v>1434732.8875000002</v>
      </c>
      <c r="G21" s="850"/>
      <c r="J21" s="259"/>
      <c r="K21" s="259"/>
      <c r="N21" s="259"/>
      <c r="O21" s="259"/>
    </row>
    <row r="22" spans="2:15" ht="26.25" customHeight="1">
      <c r="B22" s="716" t="s">
        <v>3901</v>
      </c>
      <c r="C22" s="717"/>
      <c r="D22" s="717"/>
      <c r="E22" s="718"/>
      <c r="F22" s="849">
        <f>F21+F20</f>
        <v>15782061.762499999</v>
      </c>
      <c r="G22" s="850"/>
      <c r="J22" s="259"/>
      <c r="K22" s="259"/>
      <c r="N22" s="259"/>
      <c r="O22" s="259"/>
    </row>
    <row r="23" spans="2:15" ht="26.25" customHeight="1">
      <c r="B23" s="716" t="s">
        <v>3902</v>
      </c>
      <c r="C23" s="717"/>
      <c r="D23" s="717"/>
      <c r="E23" s="718"/>
      <c r="F23" s="849">
        <f>F22*15%</f>
        <v>2367309.2643749998</v>
      </c>
      <c r="G23" s="850"/>
      <c r="J23" s="259"/>
      <c r="K23" s="259"/>
      <c r="N23" s="259"/>
      <c r="O23" s="259"/>
    </row>
    <row r="24" spans="2:15" ht="27" customHeight="1">
      <c r="B24" s="842" t="s">
        <v>3903</v>
      </c>
      <c r="C24" s="842"/>
      <c r="D24" s="842"/>
      <c r="E24" s="842"/>
      <c r="F24" s="852">
        <f>F23+F22</f>
        <v>18149371.026875</v>
      </c>
      <c r="G24" s="852"/>
      <c r="J24" s="259"/>
      <c r="K24" s="259"/>
      <c r="N24" s="259"/>
      <c r="O24" s="259"/>
    </row>
    <row r="26" spans="2:15">
      <c r="G26" s="557"/>
    </row>
    <row r="27" spans="2:15">
      <c r="J27" s="259"/>
    </row>
    <row r="28" spans="2:15">
      <c r="F28" s="557"/>
      <c r="J28" s="259"/>
    </row>
    <row r="29" spans="2:15">
      <c r="F29" s="557"/>
      <c r="J29" s="259"/>
    </row>
    <row r="30" spans="2:15">
      <c r="F30" s="557"/>
    </row>
    <row r="31" spans="2:15">
      <c r="F31" s="557"/>
    </row>
    <row r="34" spans="3:6">
      <c r="F34" s="557"/>
    </row>
    <row r="39" spans="3:6">
      <c r="F39" s="557"/>
    </row>
    <row r="41" spans="3:6">
      <c r="C41" s="3"/>
    </row>
  </sheetData>
  <sheetProtection algorithmName="SHA-512" hashValue="eEaHYswcPb0btvdjcH2+8TpJl+Tk4/Bij+wYuv4yJBApPShb4cmJz3h/M+cPRKJ42r3jx68DWRSkO57+OwsSBg==" saltValue="8nnjvtXpmoZupzkyyL1pyg==" spinCount="100000" sheet="1" objects="1" scenarios="1"/>
  <mergeCells count="36">
    <mergeCell ref="B24:E24"/>
    <mergeCell ref="F24:G24"/>
    <mergeCell ref="F14:G14"/>
    <mergeCell ref="F15:G15"/>
    <mergeCell ref="F16:G16"/>
    <mergeCell ref="F17:G17"/>
    <mergeCell ref="F18:G18"/>
    <mergeCell ref="F19:G19"/>
    <mergeCell ref="F20:G20"/>
    <mergeCell ref="F21:G21"/>
    <mergeCell ref="F22:G22"/>
    <mergeCell ref="B20:E20"/>
    <mergeCell ref="B21:E21"/>
    <mergeCell ref="B22:E22"/>
    <mergeCell ref="B23:E23"/>
    <mergeCell ref="B18:E18"/>
    <mergeCell ref="B1:G1"/>
    <mergeCell ref="B2:G2"/>
    <mergeCell ref="B3:G3"/>
    <mergeCell ref="B4:G4"/>
    <mergeCell ref="B5:G5"/>
    <mergeCell ref="B19:E19"/>
    <mergeCell ref="F23:G23"/>
    <mergeCell ref="B13:E13"/>
    <mergeCell ref="B6:G6"/>
    <mergeCell ref="B14:E14"/>
    <mergeCell ref="B15:E15"/>
    <mergeCell ref="B16:E16"/>
    <mergeCell ref="B17:E17"/>
    <mergeCell ref="F13:G13"/>
    <mergeCell ref="B7:G9"/>
    <mergeCell ref="B10:G10"/>
    <mergeCell ref="B11:E11"/>
    <mergeCell ref="F11:G11"/>
    <mergeCell ref="B12:E12"/>
    <mergeCell ref="F12:G12"/>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KANTEY &amp; TEMPLER CONSULTING ENGINEERS&amp;R&amp;"Arial,Bold Italic"
</oddHeader>
    <oddFooter>&amp;C&amp;F</oddFooter>
  </headerFooter>
  <legacyDrawingHF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8DBE-50D1-42B8-A105-DDA1BC85ED4E}">
  <sheetPr codeName="Sheet115"/>
  <dimension ref="A2:O50"/>
  <sheetViews>
    <sheetView view="pageBreakPreview" zoomScale="60" zoomScaleNormal="145" workbookViewId="0">
      <selection activeCell="K18" sqref="K18"/>
    </sheetView>
  </sheetViews>
  <sheetFormatPr defaultColWidth="9.140625" defaultRowHeight="12.75"/>
  <cols>
    <col min="1" max="1" width="4.7109375" style="1" customWidth="1"/>
    <col min="2" max="2" width="5.7109375" style="1" customWidth="1"/>
    <col min="3" max="6" width="9.140625" style="1"/>
    <col min="7" max="7" width="21.42578125" style="1" customWidth="1"/>
    <col min="8" max="8" width="9.140625" style="1"/>
    <col min="9" max="9" width="15.7109375" style="1" customWidth="1"/>
    <col min="10" max="12" width="9.140625" style="1"/>
    <col min="13" max="13" width="17.140625" style="1" customWidth="1"/>
    <col min="14" max="14" width="13.140625" style="1" bestFit="1" customWidth="1"/>
    <col min="15" max="15" width="14.28515625" style="1" bestFit="1" customWidth="1"/>
    <col min="16" max="16" width="13.140625" style="1" bestFit="1" customWidth="1"/>
    <col min="17" max="16384" width="9.140625" style="1"/>
  </cols>
  <sheetData>
    <row r="2" spans="1:9">
      <c r="A2" s="676" t="s">
        <v>1</v>
      </c>
      <c r="B2" s="676"/>
      <c r="C2" s="676"/>
      <c r="D2" s="676"/>
      <c r="E2" s="676"/>
      <c r="F2" s="676"/>
      <c r="G2" s="676"/>
      <c r="H2" s="676"/>
      <c r="I2" s="676"/>
    </row>
    <row r="3" spans="1:9">
      <c r="A3" s="676" t="s">
        <v>3</v>
      </c>
      <c r="B3" s="676"/>
      <c r="C3" s="676"/>
      <c r="D3" s="676"/>
      <c r="E3" s="676"/>
      <c r="F3" s="676"/>
      <c r="G3" s="676"/>
      <c r="H3" s="676"/>
      <c r="I3" s="676"/>
    </row>
    <row r="4" spans="1:9">
      <c r="A4" s="28"/>
      <c r="B4" s="28"/>
      <c r="C4" s="28"/>
      <c r="D4" s="28"/>
      <c r="E4" s="28"/>
      <c r="F4" s="28"/>
      <c r="G4" s="28"/>
      <c r="H4" s="28"/>
      <c r="I4" s="28"/>
    </row>
    <row r="5" spans="1:9">
      <c r="A5" s="676" t="s">
        <v>3904</v>
      </c>
      <c r="B5" s="676"/>
      <c r="C5" s="676"/>
      <c r="D5" s="676"/>
      <c r="E5" s="676"/>
      <c r="F5" s="676"/>
      <c r="G5" s="676"/>
      <c r="H5" s="676"/>
      <c r="I5" s="676"/>
    </row>
    <row r="6" spans="1:9" ht="11.25" customHeight="1">
      <c r="A6" s="676" t="s">
        <v>3905</v>
      </c>
      <c r="B6" s="676"/>
      <c r="C6" s="676"/>
      <c r="D6" s="676"/>
      <c r="E6" s="676"/>
      <c r="F6" s="676"/>
      <c r="G6" s="676"/>
      <c r="H6" s="676"/>
      <c r="I6" s="676"/>
    </row>
    <row r="7" spans="1:9" ht="65.25" customHeight="1">
      <c r="A7" s="788" t="s">
        <v>354</v>
      </c>
      <c r="B7" s="788"/>
      <c r="C7" s="788"/>
      <c r="D7" s="788"/>
      <c r="E7" s="788"/>
      <c r="F7" s="788"/>
      <c r="G7" s="788"/>
      <c r="H7" s="788"/>
      <c r="I7" s="788"/>
    </row>
    <row r="8" spans="1:9">
      <c r="A8" s="28"/>
      <c r="B8" s="28"/>
      <c r="C8" s="28"/>
      <c r="D8" s="28"/>
      <c r="E8" s="28"/>
      <c r="F8" s="28"/>
      <c r="G8" s="28"/>
      <c r="H8" s="28"/>
      <c r="I8" s="28"/>
    </row>
    <row r="9" spans="1:9">
      <c r="A9" s="676" t="s">
        <v>3906</v>
      </c>
      <c r="B9" s="676"/>
      <c r="C9" s="676"/>
      <c r="D9" s="676"/>
      <c r="E9" s="676"/>
      <c r="F9" s="676"/>
      <c r="G9" s="676"/>
      <c r="H9" s="676"/>
      <c r="I9" s="676"/>
    </row>
    <row r="10" spans="1:9">
      <c r="A10" s="28"/>
      <c r="B10" s="28"/>
      <c r="C10" s="28"/>
      <c r="D10" s="28"/>
      <c r="E10" s="28"/>
      <c r="F10" s="28"/>
      <c r="G10" s="28"/>
      <c r="H10" s="28"/>
      <c r="I10" s="28"/>
    </row>
    <row r="11" spans="1:9">
      <c r="A11" s="676" t="s">
        <v>3907</v>
      </c>
      <c r="B11" s="676"/>
      <c r="C11" s="676"/>
      <c r="D11" s="676"/>
      <c r="E11" s="676"/>
      <c r="F11" s="676"/>
      <c r="G11" s="676"/>
      <c r="H11" s="676"/>
      <c r="I11" s="676"/>
    </row>
    <row r="12" spans="1:9">
      <c r="A12" s="853" t="s">
        <v>3908</v>
      </c>
      <c r="B12" s="853"/>
      <c r="C12" s="854" t="s">
        <v>3909</v>
      </c>
      <c r="D12" s="854"/>
      <c r="E12" s="854"/>
      <c r="F12" s="854"/>
      <c r="G12" s="854"/>
      <c r="H12" s="854" t="s">
        <v>3910</v>
      </c>
      <c r="I12" s="854"/>
    </row>
    <row r="13" spans="1:9">
      <c r="A13" s="860" t="s">
        <v>10</v>
      </c>
      <c r="B13" s="861"/>
      <c r="C13" s="861"/>
      <c r="D13" s="861"/>
      <c r="E13" s="861"/>
      <c r="F13" s="861"/>
      <c r="G13" s="861"/>
      <c r="H13" s="861"/>
      <c r="I13" s="861"/>
    </row>
    <row r="14" spans="1:9" ht="36" customHeight="1">
      <c r="A14" s="877" t="s">
        <v>323</v>
      </c>
      <c r="B14" s="878"/>
      <c r="C14" s="855" t="s">
        <v>332</v>
      </c>
      <c r="D14" s="856"/>
      <c r="E14" s="856"/>
      <c r="F14" s="856"/>
      <c r="G14" s="857"/>
      <c r="H14" s="858">
        <f>'C2.1A'!H20</f>
        <v>450000</v>
      </c>
      <c r="I14" s="859"/>
    </row>
    <row r="15" spans="1:9" ht="36" customHeight="1">
      <c r="A15" s="879"/>
      <c r="B15" s="880"/>
      <c r="C15" s="855" t="s">
        <v>342</v>
      </c>
      <c r="D15" s="856"/>
      <c r="E15" s="856"/>
      <c r="F15" s="856"/>
      <c r="G15" s="857"/>
      <c r="H15" s="858">
        <f>'C2.1A'!H28</f>
        <v>400000</v>
      </c>
      <c r="I15" s="859"/>
    </row>
    <row r="16" spans="1:9" ht="22.5" customHeight="1">
      <c r="A16" s="819" t="s">
        <v>366</v>
      </c>
      <c r="B16" s="820"/>
      <c r="C16" s="820"/>
      <c r="D16" s="820"/>
      <c r="E16" s="820"/>
      <c r="F16" s="820"/>
      <c r="G16" s="820"/>
      <c r="H16" s="820"/>
      <c r="I16" s="820"/>
    </row>
    <row r="17" spans="1:13">
      <c r="A17" s="866" t="s">
        <v>402</v>
      </c>
      <c r="B17" s="867"/>
      <c r="C17" s="855" t="s">
        <v>403</v>
      </c>
      <c r="D17" s="856"/>
      <c r="E17" s="856"/>
      <c r="F17" s="856"/>
      <c r="G17" s="857"/>
      <c r="H17" s="858">
        <f>'C3.1B'!H60</f>
        <v>0</v>
      </c>
      <c r="I17" s="859"/>
      <c r="L17" s="327"/>
      <c r="M17" s="327"/>
    </row>
    <row r="18" spans="1:13">
      <c r="A18" s="862" t="s">
        <v>699</v>
      </c>
      <c r="B18" s="863"/>
      <c r="C18" s="864" t="s">
        <v>700</v>
      </c>
      <c r="D18" s="864"/>
      <c r="E18" s="864"/>
      <c r="F18" s="864"/>
      <c r="G18" s="864"/>
      <c r="H18" s="865">
        <f>'C3.2B'!H67</f>
        <v>0</v>
      </c>
      <c r="I18" s="865"/>
      <c r="L18" s="328"/>
      <c r="M18" s="329"/>
    </row>
    <row r="19" spans="1:13">
      <c r="A19" s="862" t="s">
        <v>1554</v>
      </c>
      <c r="B19" s="863"/>
      <c r="C19" s="864" t="s">
        <v>1555</v>
      </c>
      <c r="D19" s="864"/>
      <c r="E19" s="864"/>
      <c r="F19" s="864"/>
      <c r="G19" s="864"/>
      <c r="H19" s="865">
        <f>'C11.8B'!H50</f>
        <v>0</v>
      </c>
      <c r="I19" s="865"/>
      <c r="L19" s="328"/>
      <c r="M19" s="329"/>
    </row>
    <row r="20" spans="1:13" ht="22.5" customHeight="1">
      <c r="A20" s="819" t="s">
        <v>2943</v>
      </c>
      <c r="B20" s="820"/>
      <c r="C20" s="820"/>
      <c r="D20" s="820"/>
      <c r="E20" s="820"/>
      <c r="F20" s="820"/>
      <c r="G20" s="820"/>
      <c r="H20" s="820"/>
      <c r="I20" s="820"/>
      <c r="L20" s="328"/>
      <c r="M20" s="329"/>
    </row>
    <row r="21" spans="1:13" ht="22.5" customHeight="1">
      <c r="A21" s="866" t="s">
        <v>323</v>
      </c>
      <c r="B21" s="867"/>
      <c r="C21" s="855" t="s">
        <v>324</v>
      </c>
      <c r="D21" s="856"/>
      <c r="E21" s="856"/>
      <c r="F21" s="856"/>
      <c r="G21" s="857"/>
      <c r="H21" s="865">
        <f>'C2.1C'!H118</f>
        <v>0</v>
      </c>
      <c r="I21" s="865"/>
      <c r="L21" s="328"/>
      <c r="M21" s="329"/>
    </row>
    <row r="22" spans="1:13" ht="22.5" customHeight="1">
      <c r="A22" s="866" t="s">
        <v>2999</v>
      </c>
      <c r="B22" s="867"/>
      <c r="C22" s="855" t="s">
        <v>3000</v>
      </c>
      <c r="D22" s="856"/>
      <c r="E22" s="856"/>
      <c r="F22" s="856"/>
      <c r="G22" s="857"/>
      <c r="H22" s="865">
        <f>'C2.2C'!H68</f>
        <v>0</v>
      </c>
      <c r="I22" s="865"/>
      <c r="L22" s="328"/>
      <c r="M22" s="329"/>
    </row>
    <row r="23" spans="1:13">
      <c r="A23" s="866" t="s">
        <v>402</v>
      </c>
      <c r="B23" s="867"/>
      <c r="C23" s="855" t="s">
        <v>403</v>
      </c>
      <c r="D23" s="856"/>
      <c r="E23" s="856"/>
      <c r="F23" s="856"/>
      <c r="G23" s="857"/>
      <c r="H23" s="865">
        <f>'C3.1C'!H62</f>
        <v>0</v>
      </c>
      <c r="I23" s="865"/>
      <c r="L23" s="328"/>
      <c r="M23" s="329"/>
    </row>
    <row r="24" spans="1:13">
      <c r="A24" s="862" t="s">
        <v>699</v>
      </c>
      <c r="B24" s="863"/>
      <c r="C24" s="864" t="s">
        <v>700</v>
      </c>
      <c r="D24" s="864"/>
      <c r="E24" s="864"/>
      <c r="F24" s="864"/>
      <c r="G24" s="864"/>
      <c r="H24" s="865">
        <f>'C3.2C'!H59</f>
        <v>0</v>
      </c>
      <c r="I24" s="865"/>
      <c r="L24" s="328"/>
      <c r="M24" s="329"/>
    </row>
    <row r="25" spans="1:13">
      <c r="A25" s="862" t="s">
        <v>1554</v>
      </c>
      <c r="B25" s="863"/>
      <c r="C25" s="864" t="s">
        <v>1555</v>
      </c>
      <c r="D25" s="864"/>
      <c r="E25" s="864"/>
      <c r="F25" s="864"/>
      <c r="G25" s="864"/>
      <c r="H25" s="865">
        <f>'C11.8C'!H50</f>
        <v>0</v>
      </c>
      <c r="I25" s="865"/>
      <c r="L25" s="328"/>
      <c r="M25" s="329"/>
    </row>
    <row r="26" spans="1:13">
      <c r="A26" s="819" t="s">
        <v>3196</v>
      </c>
      <c r="B26" s="820"/>
      <c r="C26" s="820"/>
      <c r="D26" s="820"/>
      <c r="E26" s="820"/>
      <c r="F26" s="820"/>
      <c r="G26" s="820"/>
      <c r="H26" s="820"/>
      <c r="I26" s="820"/>
      <c r="L26" s="328"/>
      <c r="M26" s="329"/>
    </row>
    <row r="27" spans="1:13">
      <c r="A27" s="862" t="s">
        <v>367</v>
      </c>
      <c r="B27" s="863"/>
      <c r="C27" s="864" t="s">
        <v>368</v>
      </c>
      <c r="D27" s="864"/>
      <c r="E27" s="864"/>
      <c r="F27" s="864"/>
      <c r="G27" s="864"/>
      <c r="H27" s="865">
        <f>'C1.6D'!H60</f>
        <v>0</v>
      </c>
      <c r="I27" s="865"/>
      <c r="L27" s="328"/>
      <c r="M27" s="329"/>
    </row>
    <row r="28" spans="1:13">
      <c r="A28" s="862" t="s">
        <v>380</v>
      </c>
      <c r="B28" s="863"/>
      <c r="C28" s="864" t="s">
        <v>381</v>
      </c>
      <c r="D28" s="864"/>
      <c r="E28" s="864"/>
      <c r="F28" s="864"/>
      <c r="G28" s="864"/>
      <c r="H28" s="865">
        <f>'C1.7D'!H65</f>
        <v>0</v>
      </c>
      <c r="I28" s="865"/>
      <c r="L28" s="328"/>
      <c r="M28" s="329"/>
    </row>
    <row r="29" spans="1:13">
      <c r="A29" s="862" t="s">
        <v>323</v>
      </c>
      <c r="B29" s="863"/>
      <c r="C29" s="864" t="s">
        <v>324</v>
      </c>
      <c r="D29" s="864"/>
      <c r="E29" s="864"/>
      <c r="F29" s="864"/>
      <c r="G29" s="864"/>
      <c r="H29" s="865">
        <f>'C2.1D'!H132</f>
        <v>0</v>
      </c>
      <c r="I29" s="865"/>
      <c r="L29" s="328"/>
      <c r="M29" s="329"/>
    </row>
    <row r="30" spans="1:13">
      <c r="A30" s="862" t="s">
        <v>2999</v>
      </c>
      <c r="B30" s="863"/>
      <c r="C30" s="864" t="s">
        <v>3000</v>
      </c>
      <c r="D30" s="864"/>
      <c r="E30" s="864"/>
      <c r="F30" s="864"/>
      <c r="G30" s="864"/>
      <c r="H30" s="865">
        <f>'C2.2D'!H74</f>
        <v>0</v>
      </c>
      <c r="I30" s="865"/>
      <c r="L30" s="328"/>
      <c r="M30" s="329"/>
    </row>
    <row r="31" spans="1:13">
      <c r="A31" s="862" t="s">
        <v>765</v>
      </c>
      <c r="B31" s="863"/>
      <c r="C31" s="864" t="s">
        <v>766</v>
      </c>
      <c r="D31" s="864"/>
      <c r="E31" s="864"/>
      <c r="F31" s="864"/>
      <c r="G31" s="864"/>
      <c r="H31" s="865">
        <f>'C4.2D'!H41</f>
        <v>0</v>
      </c>
      <c r="I31" s="865"/>
      <c r="L31" s="328"/>
      <c r="M31" s="329"/>
    </row>
    <row r="32" spans="1:13">
      <c r="A32" s="862" t="s">
        <v>836</v>
      </c>
      <c r="B32" s="863"/>
      <c r="C32" s="864" t="s">
        <v>837</v>
      </c>
      <c r="D32" s="864"/>
      <c r="E32" s="864"/>
      <c r="F32" s="864"/>
      <c r="G32" s="864"/>
      <c r="H32" s="865">
        <f>'C4.4D'!H40</f>
        <v>0</v>
      </c>
      <c r="I32" s="865"/>
      <c r="L32" s="328"/>
      <c r="M32" s="329"/>
    </row>
    <row r="33" spans="1:15" ht="15.75" customHeight="1">
      <c r="A33" s="862" t="s">
        <v>867</v>
      </c>
      <c r="B33" s="863"/>
      <c r="C33" s="864" t="s">
        <v>868</v>
      </c>
      <c r="D33" s="864"/>
      <c r="E33" s="864"/>
      <c r="F33" s="864"/>
      <c r="G33" s="864"/>
      <c r="H33" s="865">
        <f>'C5.2D'!H43</f>
        <v>0</v>
      </c>
      <c r="I33" s="865"/>
      <c r="L33" s="328"/>
      <c r="M33" s="330"/>
    </row>
    <row r="34" spans="1:15" ht="29.25" customHeight="1">
      <c r="A34" s="868" t="s">
        <v>3911</v>
      </c>
      <c r="B34" s="869"/>
      <c r="C34" s="869"/>
      <c r="D34" s="869"/>
      <c r="E34" s="869"/>
      <c r="F34" s="869"/>
      <c r="G34" s="870"/>
      <c r="H34" s="871">
        <f>SUM(H14:I33)</f>
        <v>850000</v>
      </c>
      <c r="I34" s="872"/>
      <c r="M34" s="306"/>
      <c r="O34" s="325"/>
    </row>
    <row r="35" spans="1:15" ht="20.25" customHeight="1">
      <c r="A35" s="873" t="s">
        <v>3912</v>
      </c>
      <c r="B35" s="874"/>
      <c r="C35" s="874"/>
      <c r="D35" s="874"/>
      <c r="E35" s="874"/>
      <c r="F35" s="874"/>
      <c r="G35" s="875"/>
      <c r="H35" s="876" t="e">
        <f>H34/'CIVIL BOQ Summary'!#REF!</f>
        <v>#REF!</v>
      </c>
      <c r="I35" s="876"/>
      <c r="M35" s="306"/>
      <c r="O35" s="326"/>
    </row>
    <row r="37" spans="1:15">
      <c r="K37" s="306"/>
    </row>
    <row r="42" spans="1:15">
      <c r="I42" s="306"/>
    </row>
    <row r="43" spans="1:15">
      <c r="I43" s="306"/>
    </row>
    <row r="44" spans="1:15">
      <c r="I44" s="306"/>
    </row>
    <row r="45" spans="1:15">
      <c r="I45" s="306"/>
    </row>
    <row r="46" spans="1:15">
      <c r="I46" s="306"/>
    </row>
    <row r="47" spans="1:15">
      <c r="I47" s="306"/>
    </row>
    <row r="48" spans="1:15">
      <c r="I48" s="306"/>
    </row>
    <row r="49" spans="9:9">
      <c r="I49" s="306"/>
    </row>
    <row r="50" spans="9:9">
      <c r="I50" s="306"/>
    </row>
  </sheetData>
  <mergeCells count="68">
    <mergeCell ref="C15:G15"/>
    <mergeCell ref="A14:B15"/>
    <mergeCell ref="H15:I15"/>
    <mergeCell ref="A16:I16"/>
    <mergeCell ref="A20:I20"/>
    <mergeCell ref="A17:B17"/>
    <mergeCell ref="C17:G17"/>
    <mergeCell ref="H17:I17"/>
    <mergeCell ref="A18:B18"/>
    <mergeCell ref="C18:G18"/>
    <mergeCell ref="H18:I18"/>
    <mergeCell ref="A34:G34"/>
    <mergeCell ref="H34:I34"/>
    <mergeCell ref="A35:G35"/>
    <mergeCell ref="H35:I35"/>
    <mergeCell ref="A26:I26"/>
    <mergeCell ref="A32:B32"/>
    <mergeCell ref="C32:G32"/>
    <mergeCell ref="H32:I32"/>
    <mergeCell ref="A29:B29"/>
    <mergeCell ref="C29:G29"/>
    <mergeCell ref="H29:I29"/>
    <mergeCell ref="A31:B31"/>
    <mergeCell ref="C31:G31"/>
    <mergeCell ref="H31:I31"/>
    <mergeCell ref="A27:B27"/>
    <mergeCell ref="C27:G27"/>
    <mergeCell ref="A23:B23"/>
    <mergeCell ref="C23:G23"/>
    <mergeCell ref="H23:I23"/>
    <mergeCell ref="A19:B19"/>
    <mergeCell ref="C19:G19"/>
    <mergeCell ref="H19:I19"/>
    <mergeCell ref="A21:B21"/>
    <mergeCell ref="C21:G21"/>
    <mergeCell ref="H21:I21"/>
    <mergeCell ref="A22:B22"/>
    <mergeCell ref="C22:G22"/>
    <mergeCell ref="H22:I22"/>
    <mergeCell ref="A33:B33"/>
    <mergeCell ref="C33:G33"/>
    <mergeCell ref="H33:I33"/>
    <mergeCell ref="A24:B24"/>
    <mergeCell ref="C24:G24"/>
    <mergeCell ref="H24:I24"/>
    <mergeCell ref="H27:I27"/>
    <mergeCell ref="A28:B28"/>
    <mergeCell ref="C28:G28"/>
    <mergeCell ref="H28:I28"/>
    <mergeCell ref="A25:B25"/>
    <mergeCell ref="C25:G25"/>
    <mergeCell ref="H25:I25"/>
    <mergeCell ref="A30:B30"/>
    <mergeCell ref="C30:G30"/>
    <mergeCell ref="H30:I30"/>
    <mergeCell ref="A11:I11"/>
    <mergeCell ref="A12:B12"/>
    <mergeCell ref="C12:G12"/>
    <mergeCell ref="H12:I12"/>
    <mergeCell ref="C14:G14"/>
    <mergeCell ref="H14:I14"/>
    <mergeCell ref="A13:I13"/>
    <mergeCell ref="A9:I9"/>
    <mergeCell ref="A2:I2"/>
    <mergeCell ref="A3:I3"/>
    <mergeCell ref="A5:I5"/>
    <mergeCell ref="A6:I6"/>
    <mergeCell ref="A7:I7"/>
  </mergeCells>
  <pageMargins left="0.23622047244094491" right="0.23622047244094491" top="0.74803149606299213" bottom="0.74803149606299213" header="0.31496062992125984" footer="0.31496062992125984"/>
  <pageSetup paperSize="9" scale="80" orientation="portrait" r:id="rId1"/>
  <headerFooter alignWithMargins="0">
    <oddHeader xml:space="preserve">&amp;R&amp;"Arial,Bold Italic"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00B0F0"/>
  </sheetPr>
  <dimension ref="A1:U91"/>
  <sheetViews>
    <sheetView view="pageBreakPreview" topLeftCell="A24" zoomScaleNormal="100" zoomScaleSheetLayoutView="100" workbookViewId="0">
      <selection activeCell="C27" sqref="C27"/>
    </sheetView>
  </sheetViews>
  <sheetFormatPr defaultColWidth="6.85546875" defaultRowHeight="12.75"/>
  <cols>
    <col min="1" max="1" width="0.85546875" style="3" customWidth="1"/>
    <col min="2" max="2" width="11.7109375" style="3"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25.7109375" style="399" customWidth="1"/>
    <col min="9" max="9" width="37.28515625" style="4" hidden="1" customWidth="1"/>
    <col min="10" max="10" width="0" style="3" hidden="1" customWidth="1"/>
    <col min="11" max="11" width="15.42578125" style="3" hidden="1" customWidth="1"/>
    <col min="12" max="15" width="0" style="3" hidden="1" customWidth="1"/>
    <col min="16" max="16" width="9.85546875" style="3" hidden="1" customWidth="1"/>
    <col min="17" max="18" width="0" style="3" hidden="1" customWidth="1"/>
    <col min="19" max="19" width="11.28515625" style="3" hidden="1" customWidth="1"/>
    <col min="20" max="20" width="0" style="3" hidden="1" customWidth="1"/>
    <col min="21" max="21" width="9" style="3" hidden="1" customWidth="1"/>
    <col min="22" max="36" width="0" style="3" hidden="1" customWidth="1"/>
    <col min="37" max="16384" width="6.85546875" style="3"/>
  </cols>
  <sheetData>
    <row r="1" spans="1:11" ht="22.5" customHeight="1">
      <c r="B1" s="2" t="str">
        <f>Client1</f>
        <v>AIRPORTS COMPANY - SOUTH AFRICA</v>
      </c>
      <c r="F1" s="676" t="str">
        <f>"Contract No. "&amp;ContractNo</f>
        <v>Contract No. KSIA7806/2025/RFP</v>
      </c>
      <c r="G1" s="676"/>
      <c r="H1" s="676"/>
    </row>
    <row r="2" spans="1:11">
      <c r="B2" s="2" t="str">
        <f>Client2</f>
        <v>ACSA</v>
      </c>
    </row>
    <row r="3" spans="1:11">
      <c r="B3" s="71"/>
      <c r="C3" s="71"/>
      <c r="D3" s="71"/>
      <c r="E3" s="71"/>
      <c r="F3" s="72"/>
      <c r="G3" s="400"/>
      <c r="H3" s="401"/>
    </row>
    <row r="4" spans="1:11">
      <c r="B4" s="695" t="s">
        <v>366</v>
      </c>
      <c r="C4" s="696"/>
      <c r="D4" s="696"/>
      <c r="E4" s="696"/>
      <c r="F4" s="696"/>
      <c r="G4" s="696"/>
      <c r="H4" s="684" t="str">
        <f>"CHAPTER "&amp;B10</f>
        <v>CHAPTER C3.2</v>
      </c>
      <c r="I4" s="676" t="s">
        <v>100</v>
      </c>
    </row>
    <row r="5" spans="1: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c r="I5" s="676"/>
    </row>
    <row r="6" spans="1:11" ht="19.5" customHeight="1">
      <c r="B6" s="690"/>
      <c r="C6" s="691"/>
      <c r="D6" s="691"/>
      <c r="E6" s="691"/>
      <c r="F6" s="691"/>
      <c r="G6" s="691"/>
      <c r="H6" s="694"/>
      <c r="I6" s="676"/>
    </row>
    <row r="7" spans="1:11" ht="7.5" customHeight="1">
      <c r="B7" s="692"/>
      <c r="C7" s="693"/>
      <c r="D7" s="693"/>
      <c r="E7" s="693"/>
      <c r="F7" s="693"/>
      <c r="G7" s="693"/>
      <c r="H7" s="686"/>
      <c r="I7" s="676"/>
    </row>
    <row r="8" spans="1:11" ht="24.95" customHeight="1">
      <c r="A8" s="2"/>
      <c r="B8" s="282" t="s">
        <v>11</v>
      </c>
      <c r="C8" s="280" t="s">
        <v>12</v>
      </c>
      <c r="D8" s="280" t="s">
        <v>13</v>
      </c>
      <c r="E8" s="280" t="s">
        <v>14</v>
      </c>
      <c r="F8" s="11" t="s">
        <v>15</v>
      </c>
      <c r="G8" s="409" t="s">
        <v>16</v>
      </c>
      <c r="H8" s="364" t="s">
        <v>17</v>
      </c>
      <c r="I8" s="676"/>
      <c r="J8" s="2"/>
    </row>
    <row r="9" spans="1:11">
      <c r="A9" s="2"/>
      <c r="B9" s="19"/>
      <c r="C9" s="20"/>
      <c r="D9" s="20"/>
      <c r="E9" s="20"/>
      <c r="F9" s="49"/>
      <c r="G9" s="488"/>
      <c r="H9" s="363" t="str">
        <f t="shared" ref="H9:H33" si="0">IF(D9="","",F9*G9)</f>
        <v/>
      </c>
      <c r="I9" s="12"/>
      <c r="J9" s="2"/>
    </row>
    <row r="10" spans="1:11">
      <c r="B10" s="19" t="s">
        <v>699</v>
      </c>
      <c r="C10" s="20" t="s">
        <v>700</v>
      </c>
      <c r="D10" s="14"/>
      <c r="E10" s="14"/>
      <c r="F10" s="22"/>
      <c r="G10" s="410"/>
      <c r="H10" s="363" t="str">
        <f t="shared" si="0"/>
        <v/>
      </c>
      <c r="I10" s="331"/>
    </row>
    <row r="11" spans="1:11">
      <c r="B11" s="13"/>
      <c r="C11" s="14"/>
      <c r="D11" s="14"/>
      <c r="E11" s="14"/>
      <c r="F11" s="22"/>
      <c r="G11" s="410"/>
      <c r="H11" s="363" t="str">
        <f t="shared" si="0"/>
        <v/>
      </c>
      <c r="I11" s="331"/>
    </row>
    <row r="12" spans="1:11">
      <c r="B12" s="13" t="s">
        <v>701</v>
      </c>
      <c r="C12" s="100" t="s">
        <v>702</v>
      </c>
      <c r="D12" s="50"/>
      <c r="E12" s="50"/>
      <c r="F12" s="240"/>
      <c r="G12" s="431"/>
      <c r="H12" s="363" t="str">
        <f t="shared" si="0"/>
        <v/>
      </c>
      <c r="I12" s="331"/>
    </row>
    <row r="13" spans="1:11">
      <c r="B13" s="13"/>
      <c r="C13" s="100"/>
      <c r="D13" s="50"/>
      <c r="E13" s="50"/>
      <c r="F13" s="240"/>
      <c r="G13" s="590"/>
      <c r="H13" s="363" t="str">
        <f t="shared" si="0"/>
        <v/>
      </c>
      <c r="I13" s="331"/>
    </row>
    <row r="14" spans="1:11" ht="25.5">
      <c r="B14" s="13" t="s">
        <v>703</v>
      </c>
      <c r="C14" s="100" t="s">
        <v>704</v>
      </c>
      <c r="D14" s="50"/>
      <c r="E14" s="50"/>
      <c r="F14" s="240"/>
      <c r="G14" s="590"/>
      <c r="H14" s="363" t="str">
        <f t="shared" si="0"/>
        <v/>
      </c>
      <c r="I14" s="332"/>
    </row>
    <row r="15" spans="1:11" ht="14.25">
      <c r="B15" s="13" t="s">
        <v>83</v>
      </c>
      <c r="C15" s="100" t="s">
        <v>408</v>
      </c>
      <c r="D15" s="50" t="s">
        <v>386</v>
      </c>
      <c r="E15" s="50"/>
      <c r="F15" s="240">
        <v>2625</v>
      </c>
      <c r="G15" s="590"/>
      <c r="H15" s="363">
        <f t="shared" si="0"/>
        <v>0</v>
      </c>
      <c r="I15" s="331"/>
      <c r="K15" s="3">
        <f>F15/100*35</f>
        <v>918.75</v>
      </c>
    </row>
    <row r="16" spans="1:11">
      <c r="B16" s="13"/>
      <c r="C16" s="100"/>
      <c r="D16" s="50"/>
      <c r="E16" s="50"/>
      <c r="F16" s="240"/>
      <c r="G16" s="590"/>
      <c r="H16" s="363" t="str">
        <f t="shared" si="0"/>
        <v/>
      </c>
      <c r="K16" s="3">
        <f t="shared" ref="K16:K34" si="1">F16/100*35</f>
        <v>0</v>
      </c>
    </row>
    <row r="17" spans="2:16" ht="14.25">
      <c r="B17" s="13" t="s">
        <v>86</v>
      </c>
      <c r="C17" s="100" t="s">
        <v>409</v>
      </c>
      <c r="D17" s="50" t="s">
        <v>386</v>
      </c>
      <c r="E17" s="50"/>
      <c r="F17" s="240">
        <v>656.25</v>
      </c>
      <c r="G17" s="590"/>
      <c r="H17" s="363">
        <f t="shared" si="0"/>
        <v>0</v>
      </c>
      <c r="K17" s="3">
        <f t="shared" si="1"/>
        <v>229.6875</v>
      </c>
    </row>
    <row r="18" spans="2:16">
      <c r="B18" s="13"/>
      <c r="C18" s="100"/>
      <c r="D18" s="50"/>
      <c r="E18" s="50"/>
      <c r="F18" s="240"/>
      <c r="G18" s="590"/>
      <c r="H18" s="363" t="str">
        <f t="shared" si="0"/>
        <v/>
      </c>
      <c r="K18" s="3">
        <f t="shared" si="1"/>
        <v>0</v>
      </c>
    </row>
    <row r="19" spans="2:16" ht="25.5">
      <c r="B19" s="13" t="s">
        <v>705</v>
      </c>
      <c r="C19" s="100" t="s">
        <v>706</v>
      </c>
      <c r="D19" s="50" t="s">
        <v>386</v>
      </c>
      <c r="E19" s="50"/>
      <c r="F19" s="240">
        <v>52.5</v>
      </c>
      <c r="G19" s="590"/>
      <c r="H19" s="363">
        <f t="shared" si="0"/>
        <v>0</v>
      </c>
      <c r="K19" s="3">
        <f t="shared" si="1"/>
        <v>18.375</v>
      </c>
    </row>
    <row r="20" spans="2:16">
      <c r="B20" s="13"/>
      <c r="C20" s="100"/>
      <c r="D20" s="50"/>
      <c r="E20" s="50"/>
      <c r="F20" s="240"/>
      <c r="G20" s="590"/>
      <c r="H20" s="363" t="str">
        <f t="shared" si="0"/>
        <v/>
      </c>
      <c r="I20" s="331"/>
      <c r="K20" s="3">
        <f t="shared" si="1"/>
        <v>0</v>
      </c>
    </row>
    <row r="21" spans="2:16">
      <c r="B21" s="13" t="s">
        <v>707</v>
      </c>
      <c r="C21" s="100" t="s">
        <v>708</v>
      </c>
      <c r="D21" s="50"/>
      <c r="E21" s="50"/>
      <c r="F21" s="240"/>
      <c r="G21" s="590"/>
      <c r="H21" s="363" t="str">
        <f t="shared" si="0"/>
        <v/>
      </c>
      <c r="I21" s="331"/>
      <c r="K21" s="3">
        <f t="shared" si="1"/>
        <v>0</v>
      </c>
    </row>
    <row r="22" spans="2:16">
      <c r="B22" s="13"/>
      <c r="C22" s="100"/>
      <c r="D22" s="50"/>
      <c r="E22" s="50"/>
      <c r="F22" s="240"/>
      <c r="G22" s="590"/>
      <c r="H22" s="363" t="str">
        <f t="shared" si="0"/>
        <v/>
      </c>
      <c r="I22" s="331"/>
      <c r="K22" s="3">
        <f t="shared" si="1"/>
        <v>0</v>
      </c>
    </row>
    <row r="23" spans="2:16" ht="14.25">
      <c r="B23" s="13" t="s">
        <v>709</v>
      </c>
      <c r="C23" s="100" t="s">
        <v>710</v>
      </c>
      <c r="D23" s="50" t="s">
        <v>386</v>
      </c>
      <c r="E23" s="50"/>
      <c r="F23" s="240">
        <v>1662.5</v>
      </c>
      <c r="G23" s="590"/>
      <c r="H23" s="363">
        <f t="shared" si="0"/>
        <v>0</v>
      </c>
      <c r="I23" s="331"/>
      <c r="K23" s="3">
        <f t="shared" si="1"/>
        <v>581.875</v>
      </c>
    </row>
    <row r="24" spans="2:16">
      <c r="B24" s="13"/>
      <c r="C24" s="100"/>
      <c r="D24" s="50"/>
      <c r="E24" s="50"/>
      <c r="F24" s="240"/>
      <c r="G24" s="590"/>
      <c r="H24" s="363" t="str">
        <f t="shared" si="0"/>
        <v/>
      </c>
      <c r="I24" s="331"/>
      <c r="K24" s="3">
        <f t="shared" si="1"/>
        <v>0</v>
      </c>
    </row>
    <row r="25" spans="2:16">
      <c r="B25" s="13" t="s">
        <v>711</v>
      </c>
      <c r="C25" s="100" t="s">
        <v>712</v>
      </c>
      <c r="D25" s="50"/>
      <c r="E25" s="50"/>
      <c r="F25" s="240"/>
      <c r="G25" s="590"/>
      <c r="H25" s="363" t="str">
        <f t="shared" si="0"/>
        <v/>
      </c>
      <c r="I25" s="331"/>
      <c r="K25" s="3">
        <f t="shared" si="1"/>
        <v>0</v>
      </c>
    </row>
    <row r="26" spans="2:16" ht="14.25">
      <c r="B26" s="13" t="s">
        <v>83</v>
      </c>
      <c r="C26" s="100" t="s">
        <v>713</v>
      </c>
      <c r="D26" s="50" t="s">
        <v>386</v>
      </c>
      <c r="E26" s="50"/>
      <c r="F26" s="240">
        <v>175</v>
      </c>
      <c r="G26" s="590"/>
      <c r="H26" s="363">
        <f t="shared" si="0"/>
        <v>0</v>
      </c>
      <c r="I26" s="332"/>
      <c r="K26" s="3">
        <f t="shared" si="1"/>
        <v>61.25</v>
      </c>
      <c r="P26" s="3">
        <f>35*2.44</f>
        <v>85.399999999999991</v>
      </c>
    </row>
    <row r="27" spans="2:16">
      <c r="B27" s="13"/>
      <c r="C27" s="100"/>
      <c r="D27" s="50"/>
      <c r="E27" s="50"/>
      <c r="F27" s="240"/>
      <c r="G27" s="590"/>
      <c r="H27" s="363" t="str">
        <f t="shared" si="0"/>
        <v/>
      </c>
      <c r="I27" s="331"/>
      <c r="K27" s="3">
        <f t="shared" si="1"/>
        <v>0</v>
      </c>
    </row>
    <row r="28" spans="2:16">
      <c r="B28" s="13" t="s">
        <v>714</v>
      </c>
      <c r="C28" s="100" t="s">
        <v>715</v>
      </c>
      <c r="D28" s="50"/>
      <c r="E28" s="50"/>
      <c r="F28" s="240"/>
      <c r="G28" s="590"/>
      <c r="H28" s="363" t="str">
        <f t="shared" si="0"/>
        <v/>
      </c>
      <c r="I28" s="331"/>
      <c r="K28" s="3">
        <f t="shared" si="1"/>
        <v>0</v>
      </c>
    </row>
    <row r="29" spans="2:16">
      <c r="B29" s="13"/>
      <c r="C29" s="100"/>
      <c r="D29" s="50"/>
      <c r="E29" s="50"/>
      <c r="F29" s="240"/>
      <c r="G29" s="590"/>
      <c r="H29" s="363" t="str">
        <f t="shared" si="0"/>
        <v/>
      </c>
      <c r="I29" s="331"/>
      <c r="K29" s="3">
        <f t="shared" si="1"/>
        <v>0</v>
      </c>
    </row>
    <row r="30" spans="2:16">
      <c r="B30" s="13" t="s">
        <v>716</v>
      </c>
      <c r="C30" s="100" t="s">
        <v>717</v>
      </c>
      <c r="D30" s="50" t="s">
        <v>347</v>
      </c>
      <c r="E30" s="50"/>
      <c r="F30" s="240">
        <v>108.5</v>
      </c>
      <c r="G30" s="590"/>
      <c r="H30" s="363">
        <f t="shared" si="0"/>
        <v>0</v>
      </c>
      <c r="I30" s="331"/>
      <c r="K30" s="3">
        <f t="shared" si="1"/>
        <v>37.975000000000001</v>
      </c>
    </row>
    <row r="31" spans="2:16">
      <c r="B31" s="13"/>
      <c r="C31" s="100"/>
      <c r="D31" s="50"/>
      <c r="E31" s="50"/>
      <c r="F31" s="240"/>
      <c r="G31" s="590"/>
      <c r="H31" s="363" t="str">
        <f t="shared" si="0"/>
        <v/>
      </c>
      <c r="I31" s="331"/>
      <c r="K31" s="3">
        <f t="shared" si="1"/>
        <v>0</v>
      </c>
    </row>
    <row r="32" spans="2:16">
      <c r="B32" s="13" t="s">
        <v>716</v>
      </c>
      <c r="C32" s="100" t="s">
        <v>718</v>
      </c>
      <c r="D32" s="50" t="s">
        <v>347</v>
      </c>
      <c r="E32" s="50"/>
      <c r="F32" s="240">
        <v>168</v>
      </c>
      <c r="G32" s="590"/>
      <c r="H32" s="363">
        <f t="shared" si="0"/>
        <v>0</v>
      </c>
      <c r="I32" s="331"/>
      <c r="K32" s="3">
        <f t="shared" si="1"/>
        <v>58.8</v>
      </c>
    </row>
    <row r="33" spans="2:17">
      <c r="B33" s="13"/>
      <c r="C33" s="100"/>
      <c r="D33" s="50"/>
      <c r="E33" s="50"/>
      <c r="F33" s="240"/>
      <c r="G33" s="590"/>
      <c r="H33" s="363" t="str">
        <f t="shared" si="0"/>
        <v/>
      </c>
      <c r="K33" s="3">
        <f t="shared" si="1"/>
        <v>0</v>
      </c>
      <c r="Q33" s="3">
        <f>2.44*30</f>
        <v>73.2</v>
      </c>
    </row>
    <row r="34" spans="2:17">
      <c r="B34" s="13" t="s">
        <v>716</v>
      </c>
      <c r="C34" s="100" t="s">
        <v>719</v>
      </c>
      <c r="D34" s="50" t="s">
        <v>347</v>
      </c>
      <c r="E34" s="50"/>
      <c r="F34" s="240">
        <v>322</v>
      </c>
      <c r="G34" s="590"/>
      <c r="H34" s="363">
        <f t="shared" ref="H34" si="2">IF(D34="","",F34*G34)</f>
        <v>0</v>
      </c>
      <c r="K34" s="3">
        <f t="shared" si="1"/>
        <v>112.7</v>
      </c>
    </row>
    <row r="35" spans="2:17">
      <c r="B35" s="13"/>
      <c r="C35" s="14"/>
      <c r="D35" s="50"/>
      <c r="E35" s="14"/>
      <c r="F35" s="22"/>
      <c r="G35" s="587"/>
      <c r="H35" s="363" t="str">
        <f t="shared" ref="H35:H36" si="3">IF(D35="","",F35*G35)</f>
        <v/>
      </c>
    </row>
    <row r="36" spans="2:17">
      <c r="B36" s="13" t="s">
        <v>720</v>
      </c>
      <c r="C36" s="516" t="s">
        <v>721</v>
      </c>
      <c r="D36" s="15"/>
      <c r="E36" s="15"/>
      <c r="F36" s="249"/>
      <c r="G36" s="593"/>
      <c r="H36" s="363" t="str">
        <f t="shared" si="3"/>
        <v/>
      </c>
    </row>
    <row r="37" spans="2:17">
      <c r="B37" s="13"/>
      <c r="C37" s="14"/>
      <c r="D37" s="50"/>
      <c r="E37" s="14"/>
      <c r="F37" s="22"/>
      <c r="G37" s="587"/>
      <c r="H37" s="363"/>
    </row>
    <row r="38" spans="2:17" ht="25.5">
      <c r="B38" s="13" t="s">
        <v>722</v>
      </c>
      <c r="C38" s="14" t="s">
        <v>723</v>
      </c>
      <c r="D38" s="50" t="s">
        <v>724</v>
      </c>
      <c r="E38" s="14"/>
      <c r="F38" s="22">
        <v>30</v>
      </c>
      <c r="G38" s="587"/>
      <c r="H38" s="363">
        <f>G38*F38</f>
        <v>0</v>
      </c>
      <c r="I38" s="4" t="s">
        <v>725</v>
      </c>
    </row>
    <row r="39" spans="2:17">
      <c r="B39" s="13"/>
      <c r="C39" s="14"/>
      <c r="D39" s="50"/>
      <c r="E39" s="14"/>
      <c r="F39" s="22"/>
      <c r="G39" s="587"/>
      <c r="H39" s="363"/>
    </row>
    <row r="40" spans="2:17" ht="25.5">
      <c r="B40" s="13" t="s">
        <v>726</v>
      </c>
      <c r="C40" s="14" t="s">
        <v>727</v>
      </c>
      <c r="D40" s="50" t="s">
        <v>85</v>
      </c>
      <c r="E40" s="14"/>
      <c r="F40" s="22">
        <v>10</v>
      </c>
      <c r="G40" s="587"/>
      <c r="H40" s="363">
        <f t="shared" ref="H40" si="4">IF(D40="","",F40*G40)</f>
        <v>0</v>
      </c>
      <c r="I40" s="4" t="s">
        <v>725</v>
      </c>
    </row>
    <row r="41" spans="2:17">
      <c r="B41" s="13"/>
      <c r="C41" s="14"/>
      <c r="D41" s="50"/>
      <c r="E41" s="14"/>
      <c r="F41" s="22"/>
      <c r="G41" s="587"/>
      <c r="H41" s="363"/>
    </row>
    <row r="42" spans="2:17" ht="38.25">
      <c r="B42" s="13" t="s">
        <v>728</v>
      </c>
      <c r="C42" s="14" t="s">
        <v>729</v>
      </c>
      <c r="D42" s="50" t="s">
        <v>85</v>
      </c>
      <c r="E42" s="14" t="s">
        <v>14</v>
      </c>
      <c r="F42" s="22">
        <v>40</v>
      </c>
      <c r="G42" s="587"/>
      <c r="H42" s="363">
        <f t="shared" ref="H42" si="5">IF(D42="","",F42*G42)</f>
        <v>0</v>
      </c>
      <c r="I42" s="4" t="s">
        <v>725</v>
      </c>
    </row>
    <row r="43" spans="2:17">
      <c r="B43" s="13"/>
      <c r="C43" s="14"/>
      <c r="D43" s="50"/>
      <c r="E43" s="14"/>
      <c r="F43" s="22"/>
      <c r="G43" s="351"/>
      <c r="H43" s="363"/>
    </row>
    <row r="44" spans="2:17" hidden="1">
      <c r="B44" s="13"/>
      <c r="C44" s="14"/>
      <c r="D44" s="14"/>
      <c r="E44" s="14"/>
      <c r="F44" s="240"/>
      <c r="G44" s="410"/>
      <c r="H44" s="363"/>
    </row>
    <row r="45" spans="2:17" s="2" customFormat="1" ht="19.5" hidden="1" customHeight="1">
      <c r="B45" s="411" t="str">
        <f>$B$10</f>
        <v>C3.2</v>
      </c>
      <c r="C45" s="276" t="s">
        <v>99</v>
      </c>
      <c r="D45" s="287"/>
      <c r="E45" s="287"/>
      <c r="F45" s="31"/>
      <c r="G45" s="412"/>
      <c r="H45" s="364">
        <f>SUM(H12:H44)</f>
        <v>0</v>
      </c>
      <c r="I45" s="333"/>
    </row>
    <row r="46" spans="2:17" hidden="1">
      <c r="B46" s="697" t="str">
        <f>Client1</f>
        <v>AIRPORTS COMPANY - SOUTH AFRICA</v>
      </c>
      <c r="C46" s="697"/>
      <c r="D46" s="697"/>
      <c r="E46" s="697"/>
      <c r="F46" s="676" t="str">
        <f>"Contract No. "&amp;ContractNo</f>
        <v>Contract No. KSIA7806/2025/RFP</v>
      </c>
      <c r="G46" s="698"/>
      <c r="H46" s="676"/>
    </row>
    <row r="47" spans="2:17" hidden="1">
      <c r="B47" s="2" t="str">
        <f>Client2</f>
        <v>ACSA</v>
      </c>
      <c r="C47" s="2"/>
      <c r="D47" s="2"/>
      <c r="E47" s="2"/>
      <c r="F47" s="676"/>
      <c r="G47" s="698"/>
      <c r="H47" s="676"/>
    </row>
    <row r="48" spans="2:17" hidden="1">
      <c r="B48" s="700"/>
      <c r="C48" s="700"/>
      <c r="D48" s="700"/>
      <c r="E48" s="700"/>
      <c r="F48" s="677"/>
      <c r="G48" s="699"/>
      <c r="H48" s="677"/>
    </row>
    <row r="49" spans="2:11" hidden="1">
      <c r="B49" s="695" t="s">
        <v>366</v>
      </c>
      <c r="C49" s="696"/>
      <c r="D49" s="696"/>
      <c r="E49" s="696"/>
      <c r="F49" s="696"/>
      <c r="G49" s="696"/>
      <c r="H49" s="684" t="str">
        <f>$H$4</f>
        <v>CHAPTER C3.2</v>
      </c>
      <c r="I49" s="9"/>
    </row>
    <row r="50" spans="2:11" hidden="1">
      <c r="B50" s="690" t="str">
        <f>ContractDescription</f>
        <v>PROCUREMENT OF A CIDB GRADE 9 CE CONTRACTOR THE COMPLETION OF BRAVO TAXIWAY EXTENSION AT KING SHAKA INTERNATIONAL AIRPORT FOR A PERIOD OF 12 MONTHS AT KING SHAKA INTERNATIONAL AIRPORT</v>
      </c>
      <c r="C50" s="691"/>
      <c r="D50" s="691"/>
      <c r="E50" s="691"/>
      <c r="F50" s="691"/>
      <c r="G50" s="704"/>
      <c r="H50" s="694"/>
      <c r="I50" s="452"/>
    </row>
    <row r="51" spans="2:11" ht="22.5" hidden="1" customHeight="1">
      <c r="B51" s="690"/>
      <c r="C51" s="691"/>
      <c r="D51" s="691"/>
      <c r="E51" s="691"/>
      <c r="F51" s="691"/>
      <c r="G51" s="704"/>
      <c r="H51" s="694"/>
      <c r="I51" s="452"/>
    </row>
    <row r="52" spans="2:11" hidden="1">
      <c r="B52" s="692"/>
      <c r="C52" s="693"/>
      <c r="D52" s="693"/>
      <c r="E52" s="693"/>
      <c r="F52" s="693"/>
      <c r="G52" s="705"/>
      <c r="H52" s="686"/>
      <c r="I52" s="452"/>
    </row>
    <row r="53" spans="2:11" s="2" customFormat="1" ht="24.95" hidden="1" customHeight="1">
      <c r="B53" s="282" t="s">
        <v>11</v>
      </c>
      <c r="C53" s="280" t="s">
        <v>12</v>
      </c>
      <c r="D53" s="280" t="s">
        <v>13</v>
      </c>
      <c r="E53" s="280" t="s">
        <v>14</v>
      </c>
      <c r="F53" s="11" t="s">
        <v>15</v>
      </c>
      <c r="G53" s="409" t="s">
        <v>16</v>
      </c>
      <c r="H53" s="364" t="s">
        <v>17</v>
      </c>
      <c r="I53" s="12"/>
    </row>
    <row r="54" spans="2:11" s="2" customFormat="1" ht="20.100000000000001" hidden="1" customHeight="1">
      <c r="B54" s="411"/>
      <c r="C54" s="276" t="s">
        <v>140</v>
      </c>
      <c r="D54" s="287"/>
      <c r="E54" s="287"/>
      <c r="F54" s="31"/>
      <c r="G54" s="412"/>
      <c r="H54" s="364">
        <f>H45</f>
        <v>0</v>
      </c>
      <c r="I54" s="333"/>
    </row>
    <row r="55" spans="2:11" ht="8.25" customHeight="1">
      <c r="B55" s="13"/>
      <c r="C55" s="14"/>
      <c r="D55" s="14"/>
      <c r="E55" s="14"/>
      <c r="F55" s="240"/>
      <c r="G55" s="410"/>
      <c r="H55" s="363"/>
    </row>
    <row r="56" spans="2:11" ht="25.5">
      <c r="B56" s="13" t="s">
        <v>730</v>
      </c>
      <c r="C56" s="14" t="s">
        <v>731</v>
      </c>
      <c r="D56" s="14"/>
      <c r="E56" s="14"/>
      <c r="F56" s="240"/>
      <c r="G56" s="586"/>
      <c r="H56" s="363" t="str">
        <f t="shared" ref="H56:H58" si="6">IF(D56="","",F56*G56)</f>
        <v/>
      </c>
    </row>
    <row r="57" spans="2:11">
      <c r="B57" s="13"/>
      <c r="C57" s="14"/>
      <c r="D57" s="14"/>
      <c r="E57" s="14"/>
      <c r="F57" s="240"/>
      <c r="G57" s="586"/>
      <c r="H57" s="363" t="str">
        <f t="shared" si="6"/>
        <v/>
      </c>
    </row>
    <row r="58" spans="2:11">
      <c r="B58" s="13"/>
      <c r="C58" s="14" t="s">
        <v>732</v>
      </c>
      <c r="D58" s="14" t="s">
        <v>733</v>
      </c>
      <c r="E58" s="14" t="s">
        <v>734</v>
      </c>
      <c r="F58" s="240">
        <v>7</v>
      </c>
      <c r="G58" s="586"/>
      <c r="H58" s="363">
        <f t="shared" si="6"/>
        <v>0</v>
      </c>
      <c r="K58" s="3">
        <f>F58/100*35</f>
        <v>2.4500000000000002</v>
      </c>
    </row>
    <row r="59" spans="2:11">
      <c r="B59" s="13"/>
      <c r="C59" s="14"/>
      <c r="D59" s="14"/>
      <c r="E59" s="14"/>
      <c r="F59" s="240"/>
      <c r="G59" s="586"/>
      <c r="H59" s="363"/>
      <c r="K59" s="3">
        <f t="shared" ref="K59:K64" si="7">F59/100*35</f>
        <v>0</v>
      </c>
    </row>
    <row r="60" spans="2:11" ht="25.5">
      <c r="B60" s="13"/>
      <c r="C60" s="491" t="s">
        <v>735</v>
      </c>
      <c r="D60" s="491" t="s">
        <v>85</v>
      </c>
      <c r="E60" s="517" t="s">
        <v>14</v>
      </c>
      <c r="F60" s="494">
        <v>6</v>
      </c>
      <c r="G60" s="592"/>
      <c r="H60" s="363">
        <f t="shared" ref="H60:H65" si="8">IF(D60="","",F60*G60)</f>
        <v>0</v>
      </c>
      <c r="K60" s="3">
        <f t="shared" si="7"/>
        <v>2.1</v>
      </c>
    </row>
    <row r="61" spans="2:11">
      <c r="B61" s="13"/>
      <c r="C61" s="491"/>
      <c r="D61" s="491"/>
      <c r="E61" s="517"/>
      <c r="F61" s="494"/>
      <c r="G61" s="592"/>
      <c r="H61" s="363"/>
      <c r="K61" s="3">
        <f t="shared" si="7"/>
        <v>0</v>
      </c>
    </row>
    <row r="62" spans="2:11" ht="25.5">
      <c r="B62" s="13"/>
      <c r="C62" s="491" t="s">
        <v>736</v>
      </c>
      <c r="D62" s="491" t="s">
        <v>85</v>
      </c>
      <c r="E62" s="517" t="s">
        <v>14</v>
      </c>
      <c r="F62" s="494">
        <v>4</v>
      </c>
      <c r="G62" s="592"/>
      <c r="H62" s="363">
        <f t="shared" ref="H62" si="9">IF(D62="","",F62*G62)</f>
        <v>0</v>
      </c>
      <c r="K62" s="3">
        <f t="shared" si="7"/>
        <v>1.4000000000000001</v>
      </c>
    </row>
    <row r="63" spans="2:11">
      <c r="B63" s="13"/>
      <c r="C63" s="491"/>
      <c r="D63" s="491"/>
      <c r="E63" s="517"/>
      <c r="F63" s="494"/>
      <c r="G63" s="592"/>
      <c r="H63" s="363"/>
      <c r="K63" s="3">
        <f t="shared" si="7"/>
        <v>0</v>
      </c>
    </row>
    <row r="64" spans="2:11" ht="25.5">
      <c r="B64" s="13"/>
      <c r="C64" s="491" t="s">
        <v>737</v>
      </c>
      <c r="D64" s="491" t="s">
        <v>85</v>
      </c>
      <c r="E64" s="517" t="s">
        <v>14</v>
      </c>
      <c r="F64" s="494">
        <v>4</v>
      </c>
      <c r="G64" s="592"/>
      <c r="H64" s="363">
        <f t="shared" ref="H64" si="10">IF(D64="","",F64*G64)</f>
        <v>0</v>
      </c>
      <c r="K64" s="3">
        <f t="shared" si="7"/>
        <v>1.4000000000000001</v>
      </c>
    </row>
    <row r="65" spans="2:9">
      <c r="B65" s="13"/>
      <c r="C65" s="491"/>
      <c r="D65" s="491"/>
      <c r="E65" s="517"/>
      <c r="F65" s="494"/>
      <c r="G65" s="592"/>
      <c r="H65" s="363" t="str">
        <f t="shared" si="8"/>
        <v/>
      </c>
    </row>
    <row r="66" spans="2:9" ht="8.25" customHeight="1">
      <c r="B66" s="13"/>
      <c r="C66" s="14"/>
      <c r="D66" s="14"/>
      <c r="E66" s="14"/>
      <c r="F66" s="22"/>
      <c r="G66" s="586"/>
      <c r="H66" s="363"/>
    </row>
    <row r="67" spans="2:9" s="2" customFormat="1" ht="24.95" customHeight="1">
      <c r="B67" s="290" t="str">
        <f>$B$10</f>
        <v>C3.2</v>
      </c>
      <c r="C67" s="276" t="s">
        <v>125</v>
      </c>
      <c r="D67" s="287"/>
      <c r="E67" s="287"/>
      <c r="F67" s="31"/>
      <c r="G67" s="412"/>
      <c r="H67" s="364">
        <f>SUM(H54:H66)</f>
        <v>0</v>
      </c>
      <c r="I67" s="333"/>
    </row>
    <row r="82" spans="6:6">
      <c r="F82" s="352"/>
    </row>
    <row r="83" spans="6:6">
      <c r="F83" s="352"/>
    </row>
    <row r="84" spans="6:6">
      <c r="F84" s="352"/>
    </row>
    <row r="85" spans="6:6">
      <c r="F85" s="352"/>
    </row>
    <row r="86" spans="6:6">
      <c r="F86" s="352"/>
    </row>
    <row r="87" spans="6:6">
      <c r="F87" s="352"/>
    </row>
    <row r="88" spans="6:6">
      <c r="F88" s="352"/>
    </row>
    <row r="89" spans="6:6">
      <c r="F89" s="352"/>
    </row>
    <row r="90" spans="6:6">
      <c r="F90" s="352"/>
    </row>
    <row r="91" spans="6:6">
      <c r="F91" s="352"/>
    </row>
  </sheetData>
  <sheetProtection algorithmName="SHA-512" hashValue="uF1t3a5MQcRKmt09+cNjaKPRFHuUE5qMQ7QnSmgbhxFusnoLiD1JemLmrJnaecYRwXkMRWZVkHZr/eEbRwAYug==" saltValue="jcD1/PKJnt2Wjrq2Q+2Qlw==" spinCount="100000" sheet="1" objects="1" scenarios="1"/>
  <mergeCells count="11">
    <mergeCell ref="I4:I8"/>
    <mergeCell ref="F1:H1"/>
    <mergeCell ref="B5:G7"/>
    <mergeCell ref="H4:H7"/>
    <mergeCell ref="B4:G4"/>
    <mergeCell ref="B49:G49"/>
    <mergeCell ref="H49:H52"/>
    <mergeCell ref="B50:G52"/>
    <mergeCell ref="B46:E46"/>
    <mergeCell ref="F46:H48"/>
    <mergeCell ref="B48:E48"/>
  </mergeCells>
  <pageMargins left="0.43307086614173229" right="0.31496062992125984" top="0.43307086614173229" bottom="0.62992125984251968" header="0.35433070866141736" footer="0.31496062992125984"/>
  <pageSetup paperSize="9" scale="56"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92D050"/>
  </sheetPr>
  <dimension ref="A1:P56"/>
  <sheetViews>
    <sheetView workbookViewId="0"/>
  </sheetViews>
  <sheetFormatPr defaultColWidth="6.85546875" defaultRowHeight="12.75"/>
  <cols>
    <col min="1" max="1" width="0.85546875" style="3" customWidth="1"/>
    <col min="2" max="2" width="11.7109375" style="3" customWidth="1"/>
    <col min="3" max="3" width="45.7109375" style="3" customWidth="1"/>
    <col min="4" max="4" width="13.7109375" style="3" customWidth="1"/>
    <col min="5" max="5" width="5.7109375" style="3" customWidth="1"/>
    <col min="6" max="7" width="15.7109375" style="3" customWidth="1"/>
    <col min="8" max="8" width="16.85546875" style="3" customWidth="1"/>
    <col min="9" max="9" width="0.85546875" style="3" customWidth="1"/>
    <col min="10" max="10" width="4.28515625" style="3" customWidth="1"/>
    <col min="11" max="11" width="8.85546875" style="3" bestFit="1" customWidth="1"/>
    <col min="12" max="12" width="6.85546875" style="3"/>
    <col min="13" max="13" width="9.140625" style="3" bestFit="1" customWidth="1"/>
    <col min="14" max="16384" width="6.85546875" style="3"/>
  </cols>
  <sheetData>
    <row r="1" spans="1:10" ht="22.5" customHeight="1">
      <c r="B1" s="2" t="str">
        <f>Client1</f>
        <v>AIRPORTS COMPANY - SOUTH AFRICA</v>
      </c>
      <c r="F1" s="697" t="str">
        <f>"Contract No. "&amp;ContractNo</f>
        <v>Contract No. KSIA7806/2025/RFP</v>
      </c>
      <c r="G1" s="697"/>
      <c r="H1" s="697"/>
    </row>
    <row r="2" spans="1:10">
      <c r="B2" s="2" t="str">
        <f>Client2</f>
        <v>ACSA</v>
      </c>
    </row>
    <row r="3" spans="1:10">
      <c r="B3" s="71"/>
      <c r="C3" s="71"/>
      <c r="D3" s="71"/>
      <c r="E3" s="71"/>
      <c r="F3" s="71"/>
      <c r="G3" s="71"/>
      <c r="H3" s="71"/>
    </row>
    <row r="4" spans="1:10">
      <c r="B4" s="695" t="s">
        <v>738</v>
      </c>
      <c r="C4" s="696"/>
      <c r="D4" s="696"/>
      <c r="E4" s="696"/>
      <c r="F4" s="696"/>
      <c r="G4" s="696"/>
      <c r="H4" s="696" t="str">
        <f>"CHAPTER "&amp;B10</f>
        <v>CHAPTER C3.3</v>
      </c>
      <c r="I4" s="2"/>
    </row>
    <row r="5" spans="1:10"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7"/>
      <c r="I5" s="8"/>
    </row>
    <row r="6" spans="1:10" ht="12.75" customHeight="1">
      <c r="B6" s="690"/>
      <c r="C6" s="691"/>
      <c r="D6" s="691"/>
      <c r="E6" s="691"/>
      <c r="F6" s="691"/>
      <c r="G6" s="691"/>
      <c r="H6" s="697"/>
      <c r="I6" s="8"/>
    </row>
    <row r="7" spans="1:10" ht="7.5" customHeight="1">
      <c r="B7" s="692"/>
      <c r="C7" s="693"/>
      <c r="D7" s="693"/>
      <c r="E7" s="693"/>
      <c r="F7" s="693"/>
      <c r="G7" s="693"/>
      <c r="H7" s="741"/>
      <c r="I7" s="8"/>
    </row>
    <row r="8" spans="1:10" ht="24.95" customHeight="1">
      <c r="A8" s="2"/>
      <c r="B8" s="282" t="s">
        <v>11</v>
      </c>
      <c r="C8" s="280" t="s">
        <v>12</v>
      </c>
      <c r="D8" s="280" t="s">
        <v>13</v>
      </c>
      <c r="E8" s="280" t="s">
        <v>14</v>
      </c>
      <c r="F8" s="280" t="s">
        <v>15</v>
      </c>
      <c r="G8" s="280" t="s">
        <v>16</v>
      </c>
      <c r="H8" s="280" t="s">
        <v>17</v>
      </c>
      <c r="I8" s="7"/>
      <c r="J8" s="2"/>
    </row>
    <row r="9" spans="1:10">
      <c r="B9" s="13"/>
      <c r="C9" s="14"/>
      <c r="D9" s="14"/>
      <c r="E9" s="14"/>
      <c r="F9" s="14"/>
      <c r="G9" s="14"/>
      <c r="H9" s="283" t="str">
        <f t="shared" ref="H9:H33" si="0">IF(D9="","",F9*G9)</f>
        <v/>
      </c>
      <c r="I9" s="284"/>
    </row>
    <row r="10" spans="1:10" ht="64.5" customHeight="1">
      <c r="B10" s="19" t="s">
        <v>739</v>
      </c>
      <c r="C10" s="20" t="s">
        <v>740</v>
      </c>
      <c r="D10" s="14"/>
      <c r="E10" s="14"/>
      <c r="F10" s="14"/>
      <c r="G10" s="14"/>
      <c r="H10" s="283" t="str">
        <f t="shared" si="0"/>
        <v/>
      </c>
      <c r="I10" s="284"/>
    </row>
    <row r="11" spans="1:10">
      <c r="B11" s="13"/>
      <c r="C11" s="14"/>
      <c r="D11" s="14"/>
      <c r="E11" s="14"/>
      <c r="F11" s="14"/>
      <c r="G11" s="14"/>
      <c r="H11" s="283" t="str">
        <f t="shared" si="0"/>
        <v/>
      </c>
      <c r="I11" s="284"/>
    </row>
    <row r="12" spans="1:10">
      <c r="B12" s="310" t="s">
        <v>741</v>
      </c>
      <c r="C12" s="311" t="s">
        <v>742</v>
      </c>
      <c r="D12" s="311"/>
      <c r="E12" s="311"/>
      <c r="F12" s="311"/>
      <c r="G12" s="313"/>
      <c r="H12" s="312" t="str">
        <f t="shared" si="0"/>
        <v/>
      </c>
      <c r="I12" s="284"/>
    </row>
    <row r="13" spans="1:10">
      <c r="B13" s="310"/>
      <c r="C13" s="311"/>
      <c r="D13" s="311"/>
      <c r="E13" s="311"/>
      <c r="F13" s="311"/>
      <c r="G13" s="313"/>
      <c r="H13" s="312" t="str">
        <f t="shared" si="0"/>
        <v/>
      </c>
      <c r="I13" s="284"/>
    </row>
    <row r="14" spans="1:10">
      <c r="B14" s="310" t="s">
        <v>743</v>
      </c>
      <c r="C14" s="311" t="s">
        <v>744</v>
      </c>
      <c r="D14" s="311"/>
      <c r="E14" s="311"/>
      <c r="F14" s="311"/>
      <c r="G14" s="313"/>
      <c r="H14" s="312" t="str">
        <f t="shared" si="0"/>
        <v/>
      </c>
    </row>
    <row r="15" spans="1:10">
      <c r="B15" s="310"/>
      <c r="C15" s="311"/>
      <c r="D15" s="311"/>
      <c r="E15" s="311"/>
      <c r="F15" s="311"/>
      <c r="G15" s="313"/>
      <c r="H15" s="312" t="str">
        <f t="shared" si="0"/>
        <v/>
      </c>
    </row>
    <row r="16" spans="1:10">
      <c r="B16" s="310" t="s">
        <v>745</v>
      </c>
      <c r="C16" s="311" t="s">
        <v>746</v>
      </c>
      <c r="D16" s="311" t="s">
        <v>337</v>
      </c>
      <c r="E16" s="311" t="s">
        <v>14</v>
      </c>
      <c r="F16" s="311">
        <v>50</v>
      </c>
      <c r="G16" s="313">
        <v>2400</v>
      </c>
      <c r="H16" s="312"/>
    </row>
    <row r="17" spans="2:13">
      <c r="B17" s="310"/>
      <c r="C17" s="311"/>
      <c r="D17" s="311"/>
      <c r="E17" s="311"/>
      <c r="F17" s="311"/>
      <c r="G17" s="313"/>
      <c r="H17" s="312"/>
      <c r="K17" s="3" t="s">
        <v>747</v>
      </c>
    </row>
    <row r="18" spans="2:13">
      <c r="B18" s="310" t="s">
        <v>748</v>
      </c>
      <c r="C18" s="311" t="s">
        <v>749</v>
      </c>
      <c r="D18" s="311" t="s">
        <v>145</v>
      </c>
      <c r="E18" s="311" t="s">
        <v>14</v>
      </c>
      <c r="F18" s="311">
        <v>2000</v>
      </c>
      <c r="G18" s="313">
        <v>12</v>
      </c>
      <c r="H18" s="312"/>
    </row>
    <row r="19" spans="2:13">
      <c r="B19" s="310"/>
      <c r="C19" s="311"/>
      <c r="D19" s="311"/>
      <c r="E19" s="311"/>
      <c r="F19" s="311"/>
      <c r="G19" s="313"/>
      <c r="H19" s="312"/>
    </row>
    <row r="20" spans="2:13" ht="25.5">
      <c r="B20" s="310" t="s">
        <v>750</v>
      </c>
      <c r="C20" s="311" t="s">
        <v>751</v>
      </c>
      <c r="D20" s="311"/>
      <c r="E20" s="311"/>
      <c r="F20" s="311"/>
      <c r="G20" s="313"/>
      <c r="H20" s="312"/>
    </row>
    <row r="21" spans="2:13">
      <c r="B21" s="310"/>
      <c r="C21" s="311"/>
      <c r="D21" s="311"/>
      <c r="E21" s="311"/>
      <c r="F21" s="311"/>
      <c r="G21" s="313"/>
      <c r="H21" s="312"/>
    </row>
    <row r="22" spans="2:13">
      <c r="B22" s="310" t="s">
        <v>752</v>
      </c>
      <c r="C22" s="311" t="s">
        <v>753</v>
      </c>
      <c r="D22" s="311" t="s">
        <v>145</v>
      </c>
      <c r="E22" s="311" t="s">
        <v>14</v>
      </c>
      <c r="F22" s="311">
        <v>100</v>
      </c>
      <c r="G22" s="313">
        <v>250</v>
      </c>
      <c r="H22" s="312"/>
    </row>
    <row r="23" spans="2:13">
      <c r="B23" s="310"/>
      <c r="C23" s="311"/>
      <c r="D23" s="311"/>
      <c r="E23" s="311"/>
      <c r="F23" s="311"/>
      <c r="G23" s="313"/>
      <c r="H23" s="312"/>
    </row>
    <row r="24" spans="2:13" ht="25.5">
      <c r="B24" s="310" t="s">
        <v>754</v>
      </c>
      <c r="C24" s="311" t="s">
        <v>755</v>
      </c>
      <c r="D24" s="311" t="s">
        <v>145</v>
      </c>
      <c r="E24" s="311" t="s">
        <v>14</v>
      </c>
      <c r="F24" s="311">
        <v>450</v>
      </c>
      <c r="G24" s="313">
        <v>250</v>
      </c>
      <c r="H24" s="312"/>
    </row>
    <row r="25" spans="2:13">
      <c r="B25" s="310"/>
      <c r="C25" s="311"/>
      <c r="D25" s="311"/>
      <c r="E25" s="311"/>
      <c r="F25" s="311"/>
      <c r="G25" s="313"/>
      <c r="H25" s="312"/>
    </row>
    <row r="26" spans="2:13">
      <c r="B26" s="310" t="s">
        <v>756</v>
      </c>
      <c r="C26" s="311" t="s">
        <v>757</v>
      </c>
      <c r="D26" s="311" t="s">
        <v>145</v>
      </c>
      <c r="E26" s="311" t="s">
        <v>14</v>
      </c>
      <c r="F26" s="311">
        <v>10</v>
      </c>
      <c r="G26" s="313">
        <v>250</v>
      </c>
      <c r="H26" s="312"/>
    </row>
    <row r="27" spans="2:13">
      <c r="B27" s="310"/>
      <c r="C27" s="311"/>
      <c r="D27" s="311"/>
      <c r="E27" s="311"/>
      <c r="F27" s="311"/>
      <c r="G27" s="313"/>
      <c r="H27" s="312"/>
    </row>
    <row r="28" spans="2:13" ht="12.75" customHeight="1">
      <c r="B28" s="310" t="s">
        <v>758</v>
      </c>
      <c r="C28" s="311" t="s">
        <v>759</v>
      </c>
      <c r="D28" s="311" t="s">
        <v>347</v>
      </c>
      <c r="E28" s="311" t="s">
        <v>14</v>
      </c>
      <c r="F28" s="311">
        <v>100</v>
      </c>
      <c r="G28" s="313">
        <v>108</v>
      </c>
      <c r="H28" s="312"/>
    </row>
    <row r="29" spans="2:13">
      <c r="B29" s="310"/>
      <c r="C29" s="311"/>
      <c r="D29" s="311"/>
      <c r="E29" s="311"/>
      <c r="F29" s="311"/>
      <c r="G29" s="313"/>
      <c r="H29" s="312"/>
    </row>
    <row r="30" spans="2:13">
      <c r="B30" s="310" t="s">
        <v>760</v>
      </c>
      <c r="C30" s="311" t="s">
        <v>761</v>
      </c>
      <c r="D30" s="311"/>
      <c r="E30" s="311"/>
      <c r="F30" s="311"/>
      <c r="G30" s="313"/>
      <c r="H30" s="312"/>
    </row>
    <row r="31" spans="2:13">
      <c r="B31" s="310"/>
      <c r="C31" s="311"/>
      <c r="D31" s="311"/>
      <c r="E31" s="311"/>
      <c r="F31" s="311"/>
      <c r="G31" s="313"/>
      <c r="H31" s="312"/>
    </row>
    <row r="32" spans="2:13">
      <c r="B32" s="310" t="s">
        <v>762</v>
      </c>
      <c r="C32" s="311" t="s">
        <v>763</v>
      </c>
      <c r="D32" s="311" t="s">
        <v>764</v>
      </c>
      <c r="E32" s="311" t="s">
        <v>14</v>
      </c>
      <c r="F32" s="311">
        <v>3200</v>
      </c>
      <c r="G32" s="313">
        <v>45</v>
      </c>
      <c r="H32" s="312"/>
      <c r="M32" s="3">
        <f>0.85*2000*1.93</f>
        <v>3281</v>
      </c>
    </row>
    <row r="33" spans="2:16">
      <c r="B33" s="13"/>
      <c r="C33" s="14"/>
      <c r="D33" s="14"/>
      <c r="E33" s="14"/>
      <c r="F33" s="14"/>
      <c r="G33" s="292"/>
      <c r="H33" s="283" t="str">
        <f t="shared" si="0"/>
        <v/>
      </c>
    </row>
    <row r="34" spans="2:16">
      <c r="B34" s="13"/>
      <c r="C34" s="14"/>
      <c r="D34" s="14"/>
      <c r="E34" s="14"/>
      <c r="F34" s="14"/>
      <c r="G34" s="286"/>
      <c r="H34" s="283"/>
    </row>
    <row r="35" spans="2:16">
      <c r="B35" s="13"/>
      <c r="C35" s="14"/>
      <c r="D35" s="14"/>
      <c r="E35" s="14"/>
      <c r="F35" s="14"/>
      <c r="G35" s="286"/>
      <c r="H35" s="283"/>
    </row>
    <row r="36" spans="2:16" s="2" customFormat="1" ht="24.95" customHeight="1">
      <c r="B36" s="290" t="str">
        <f>$B$10</f>
        <v>C3.3</v>
      </c>
      <c r="C36" s="276" t="s">
        <v>125</v>
      </c>
      <c r="D36" s="287"/>
      <c r="E36" s="287"/>
      <c r="F36" s="287"/>
      <c r="G36" s="287"/>
      <c r="H36" s="288">
        <f>SUM(H13:I35)</f>
        <v>0</v>
      </c>
      <c r="I36" s="289"/>
    </row>
    <row r="38" spans="2:16">
      <c r="P38" s="3">
        <f>400*45*3</f>
        <v>54000</v>
      </c>
    </row>
    <row r="47" spans="2:16">
      <c r="F47" s="293"/>
    </row>
    <row r="48" spans="2:16">
      <c r="F48" s="293"/>
    </row>
    <row r="49" spans="6:6">
      <c r="F49" s="293"/>
    </row>
    <row r="50" spans="6:6">
      <c r="F50" s="293"/>
    </row>
    <row r="51" spans="6:6">
      <c r="F51" s="293"/>
    </row>
    <row r="52" spans="6:6">
      <c r="F52" s="293"/>
    </row>
    <row r="53" spans="6:6">
      <c r="F53" s="293"/>
    </row>
    <row r="54" spans="6:6">
      <c r="F54" s="293"/>
    </row>
    <row r="55" spans="6:6">
      <c r="F55" s="293"/>
    </row>
    <row r="56" spans="6:6">
      <c r="F56" s="29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4">
    <tabColor rgb="FF00B0F0"/>
  </sheetPr>
  <dimension ref="B1:K106"/>
  <sheetViews>
    <sheetView view="pageBreakPreview" zoomScaleNormal="100" zoomScaleSheetLayoutView="100" workbookViewId="0">
      <selection activeCell="G38" sqref="G38"/>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26.28515625" style="399" customWidth="1"/>
    <col min="9" max="9" width="46" style="3" hidden="1" customWidth="1"/>
    <col min="10" max="10" width="0" style="3" hidden="1" customWidth="1"/>
    <col min="11" max="11" width="14.140625" style="3" hidden="1" customWidth="1"/>
    <col min="12" max="36" width="0" style="3" hidden="1" customWidth="1"/>
    <col min="37" max="16384" width="6.85546875" style="3"/>
  </cols>
  <sheetData>
    <row r="1" spans="2:9" ht="24" customHeight="1">
      <c r="B1" s="2" t="str">
        <f>Client1</f>
        <v>AIRPORTS COMPANY - SOUTH AFRICA</v>
      </c>
      <c r="F1" s="676" t="str">
        <f>"Contract No. "&amp;ContractNo</f>
        <v>Contract No. KSIA7806/2025/RFP</v>
      </c>
      <c r="G1" s="676"/>
      <c r="H1" s="676"/>
    </row>
    <row r="2" spans="2:9">
      <c r="B2" s="2" t="str">
        <f>Client2</f>
        <v>ACSA</v>
      </c>
    </row>
    <row r="3" spans="2:9">
      <c r="B3" s="71"/>
      <c r="C3" s="71"/>
      <c r="D3" s="71"/>
      <c r="E3" s="71"/>
      <c r="F3" s="72"/>
      <c r="G3" s="400"/>
      <c r="H3" s="401"/>
    </row>
    <row r="4" spans="2:9">
      <c r="B4" s="695" t="s">
        <v>366</v>
      </c>
      <c r="C4" s="696"/>
      <c r="D4" s="696"/>
      <c r="E4" s="696"/>
      <c r="F4" s="696"/>
      <c r="G4" s="696"/>
      <c r="H4" s="684" t="str">
        <f>"CHAPTER "&amp;B10</f>
        <v>CHAPTER C4.2</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c r="I5" s="676"/>
    </row>
    <row r="6" spans="2:9" ht="22.5" customHeight="1">
      <c r="B6" s="690"/>
      <c r="C6" s="691"/>
      <c r="D6" s="691"/>
      <c r="E6" s="691"/>
      <c r="F6" s="691"/>
      <c r="G6" s="691"/>
      <c r="H6" s="694"/>
      <c r="I6" s="676"/>
    </row>
    <row r="7" spans="2:9" ht="7.5" customHeight="1">
      <c r="B7" s="692"/>
      <c r="C7" s="693"/>
      <c r="D7" s="693"/>
      <c r="E7" s="693"/>
      <c r="F7" s="693"/>
      <c r="G7" s="693"/>
      <c r="H7" s="686"/>
      <c r="I7" s="676"/>
    </row>
    <row r="8" spans="2:9" s="2" customFormat="1" ht="24.95" customHeight="1">
      <c r="B8" s="282" t="s">
        <v>11</v>
      </c>
      <c r="C8" s="280" t="s">
        <v>12</v>
      </c>
      <c r="D8" s="280" t="s">
        <v>13</v>
      </c>
      <c r="E8" s="280" t="s">
        <v>14</v>
      </c>
      <c r="F8" s="11" t="s">
        <v>15</v>
      </c>
      <c r="G8" s="409" t="s">
        <v>16</v>
      </c>
      <c r="H8" s="364" t="s">
        <v>17</v>
      </c>
      <c r="I8" s="676"/>
    </row>
    <row r="9" spans="2:9">
      <c r="B9" s="79"/>
      <c r="C9" s="52"/>
      <c r="D9" s="515"/>
      <c r="E9" s="14"/>
      <c r="F9" s="22"/>
      <c r="G9" s="410"/>
      <c r="H9" s="363" t="str">
        <f>IF(D9="","",F9*G9)</f>
        <v/>
      </c>
      <c r="I9" s="284"/>
    </row>
    <row r="10" spans="2:9">
      <c r="B10" s="19" t="s">
        <v>765</v>
      </c>
      <c r="C10" s="7" t="s">
        <v>766</v>
      </c>
      <c r="D10" s="14"/>
      <c r="E10" s="14"/>
      <c r="F10" s="22"/>
      <c r="G10" s="410"/>
      <c r="H10" s="363" t="str">
        <f t="shared" ref="H10:H22" si="0">IF(D10="","",F10*G10)</f>
        <v/>
      </c>
      <c r="I10" s="284"/>
    </row>
    <row r="11" spans="2:9">
      <c r="B11" s="13"/>
      <c r="C11" s="52"/>
      <c r="D11" s="14"/>
      <c r="E11" s="14"/>
      <c r="F11" s="22"/>
      <c r="G11" s="410"/>
      <c r="H11" s="363" t="str">
        <f t="shared" si="0"/>
        <v/>
      </c>
      <c r="I11" s="284"/>
    </row>
    <row r="12" spans="2:9" ht="25.5">
      <c r="B12" s="50" t="s">
        <v>767</v>
      </c>
      <c r="C12" s="52" t="s">
        <v>768</v>
      </c>
      <c r="D12" s="14"/>
      <c r="E12" s="14"/>
      <c r="F12" s="240"/>
      <c r="G12" s="351"/>
      <c r="H12" s="363" t="str">
        <f t="shared" si="0"/>
        <v/>
      </c>
      <c r="I12" s="285"/>
    </row>
    <row r="13" spans="2:9">
      <c r="B13" s="421"/>
      <c r="D13" s="14"/>
      <c r="E13" s="14"/>
      <c r="F13" s="240"/>
      <c r="G13" s="410"/>
      <c r="H13" s="363" t="str">
        <f t="shared" si="0"/>
        <v/>
      </c>
      <c r="I13" s="284"/>
    </row>
    <row r="14" spans="2:9">
      <c r="B14" s="50" t="s">
        <v>769</v>
      </c>
      <c r="C14" s="3" t="s">
        <v>770</v>
      </c>
      <c r="D14" s="14" t="s">
        <v>724</v>
      </c>
      <c r="E14" s="14"/>
      <c r="F14" s="240">
        <v>2000</v>
      </c>
      <c r="G14" s="586"/>
      <c r="H14" s="363">
        <f t="shared" si="0"/>
        <v>0</v>
      </c>
      <c r="I14" s="284"/>
    </row>
    <row r="15" spans="2:9">
      <c r="B15" s="421"/>
      <c r="D15" s="50"/>
      <c r="E15" s="14"/>
      <c r="F15" s="240"/>
      <c r="G15" s="586"/>
      <c r="H15" s="363" t="str">
        <f t="shared" si="0"/>
        <v/>
      </c>
      <c r="I15" s="284"/>
    </row>
    <row r="16" spans="2:9" hidden="1">
      <c r="B16" s="50" t="s">
        <v>771</v>
      </c>
      <c r="C16" s="3" t="s">
        <v>772</v>
      </c>
      <c r="D16" s="14" t="s">
        <v>724</v>
      </c>
      <c r="E16" s="14"/>
      <c r="F16" s="240">
        <v>0</v>
      </c>
      <c r="G16" s="586"/>
      <c r="H16" s="363">
        <f t="shared" si="0"/>
        <v>0</v>
      </c>
      <c r="I16" s="284"/>
    </row>
    <row r="17" spans="2:9" hidden="1">
      <c r="B17" s="50"/>
      <c r="D17" s="14"/>
      <c r="E17" s="14"/>
      <c r="F17" s="240"/>
      <c r="G17" s="586"/>
      <c r="H17" s="363" t="str">
        <f t="shared" si="0"/>
        <v/>
      </c>
      <c r="I17" s="284"/>
    </row>
    <row r="18" spans="2:9" hidden="1">
      <c r="B18" s="50" t="s">
        <v>773</v>
      </c>
      <c r="C18" s="3" t="s">
        <v>774</v>
      </c>
      <c r="D18" s="14" t="s">
        <v>724</v>
      </c>
      <c r="E18" s="14"/>
      <c r="F18" s="240">
        <v>0</v>
      </c>
      <c r="G18" s="586"/>
      <c r="H18" s="363">
        <f t="shared" si="0"/>
        <v>0</v>
      </c>
      <c r="I18" s="285"/>
    </row>
    <row r="19" spans="2:9" hidden="1">
      <c r="B19" s="421"/>
      <c r="D19" s="50"/>
      <c r="E19" s="14"/>
      <c r="F19" s="240"/>
      <c r="G19" s="586"/>
      <c r="H19" s="363" t="str">
        <f t="shared" si="0"/>
        <v/>
      </c>
      <c r="I19" s="285"/>
    </row>
    <row r="20" spans="2:9">
      <c r="B20" s="50" t="s">
        <v>775</v>
      </c>
      <c r="C20" s="3" t="s">
        <v>776</v>
      </c>
      <c r="D20" s="14" t="s">
        <v>724</v>
      </c>
      <c r="E20" s="14"/>
      <c r="F20" s="240">
        <v>100</v>
      </c>
      <c r="G20" s="586"/>
      <c r="H20" s="363">
        <f t="shared" si="0"/>
        <v>0</v>
      </c>
      <c r="I20" s="284"/>
    </row>
    <row r="21" spans="2:9">
      <c r="B21" s="50"/>
      <c r="D21" s="14"/>
      <c r="E21" s="14"/>
      <c r="F21" s="240"/>
      <c r="G21" s="586"/>
      <c r="H21" s="363"/>
      <c r="I21" s="284"/>
    </row>
    <row r="22" spans="2:9" hidden="1">
      <c r="B22" s="421"/>
      <c r="D22" s="14"/>
      <c r="E22" s="14"/>
      <c r="F22" s="240"/>
      <c r="G22" s="410"/>
      <c r="H22" s="363" t="str">
        <f t="shared" si="0"/>
        <v/>
      </c>
      <c r="I22" s="284"/>
    </row>
    <row r="23" spans="2:9" s="2" customFormat="1" ht="19.5" hidden="1" customHeight="1">
      <c r="B23" s="411" t="str">
        <f>$B$10</f>
        <v>C4.2</v>
      </c>
      <c r="C23" s="276" t="s">
        <v>99</v>
      </c>
      <c r="D23" s="287"/>
      <c r="E23" s="287"/>
      <c r="F23" s="31"/>
      <c r="G23" s="412"/>
      <c r="H23" s="364">
        <f>SUM(H9:H22)</f>
        <v>0</v>
      </c>
      <c r="I23" s="289"/>
    </row>
    <row r="24" spans="2:9" hidden="1">
      <c r="B24" s="697" t="str">
        <f>Client1</f>
        <v>AIRPORTS COMPANY - SOUTH AFRICA</v>
      </c>
      <c r="C24" s="697"/>
      <c r="D24" s="697"/>
      <c r="E24" s="697"/>
      <c r="F24" s="676" t="str">
        <f>"Contract No. "&amp;ContractNo</f>
        <v>Contract No. KSIA7806/2025/RFP</v>
      </c>
      <c r="G24" s="676"/>
      <c r="H24" s="676"/>
    </row>
    <row r="25" spans="2:9" hidden="1">
      <c r="B25" s="697" t="str">
        <f>Client2</f>
        <v>ACSA</v>
      </c>
      <c r="C25" s="697"/>
      <c r="D25" s="697"/>
      <c r="E25" s="697"/>
      <c r="F25" s="676"/>
      <c r="G25" s="676"/>
      <c r="H25" s="676"/>
    </row>
    <row r="26" spans="2:9" hidden="1">
      <c r="B26" s="700"/>
      <c r="C26" s="700"/>
      <c r="D26" s="700"/>
      <c r="E26" s="700"/>
      <c r="F26" s="677"/>
      <c r="G26" s="677"/>
      <c r="H26" s="677"/>
    </row>
    <row r="27" spans="2:9" hidden="1">
      <c r="B27" s="695" t="s">
        <v>366</v>
      </c>
      <c r="C27" s="696"/>
      <c r="D27" s="696"/>
      <c r="E27" s="696"/>
      <c r="F27" s="696"/>
      <c r="G27" s="696"/>
      <c r="H27" s="684" t="str">
        <f>$H$4</f>
        <v>CHAPTER C4.2</v>
      </c>
      <c r="I27" s="2"/>
    </row>
    <row r="28" spans="2:9" hidden="1">
      <c r="B28" s="690" t="str">
        <f>ContractDescription</f>
        <v>PROCUREMENT OF A CIDB GRADE 9 CE CONTRACTOR THE COMPLETION OF BRAVO TAXIWAY EXTENSION AT KING SHAKA INTERNATIONAL AIRPORT FOR A PERIOD OF 12 MONTHS AT KING SHAKA INTERNATIONAL AIRPORT</v>
      </c>
      <c r="C28" s="691"/>
      <c r="D28" s="691"/>
      <c r="E28" s="691"/>
      <c r="F28" s="691"/>
      <c r="G28" s="691"/>
      <c r="H28" s="694"/>
      <c r="I28" s="8"/>
    </row>
    <row r="29" spans="2:9" hidden="1">
      <c r="B29" s="690"/>
      <c r="C29" s="691"/>
      <c r="D29" s="691"/>
      <c r="E29" s="691"/>
      <c r="F29" s="691"/>
      <c r="G29" s="691"/>
      <c r="H29" s="694"/>
      <c r="I29" s="8"/>
    </row>
    <row r="30" spans="2:9" hidden="1">
      <c r="B30" s="692"/>
      <c r="C30" s="693"/>
      <c r="D30" s="693"/>
      <c r="E30" s="693"/>
      <c r="F30" s="693"/>
      <c r="G30" s="693"/>
      <c r="H30" s="686"/>
      <c r="I30" s="8"/>
    </row>
    <row r="31" spans="2:9" s="2" customFormat="1" ht="24.95" hidden="1" customHeight="1">
      <c r="B31" s="282" t="s">
        <v>11</v>
      </c>
      <c r="C31" s="280" t="s">
        <v>12</v>
      </c>
      <c r="D31" s="280" t="s">
        <v>13</v>
      </c>
      <c r="E31" s="280" t="s">
        <v>14</v>
      </c>
      <c r="F31" s="11" t="s">
        <v>15</v>
      </c>
      <c r="G31" s="409" t="s">
        <v>16</v>
      </c>
      <c r="H31" s="364" t="s">
        <v>17</v>
      </c>
      <c r="I31" s="7"/>
    </row>
    <row r="32" spans="2:9" s="2" customFormat="1" ht="19.5" hidden="1" customHeight="1">
      <c r="B32" s="411"/>
      <c r="C32" s="276" t="s">
        <v>140</v>
      </c>
      <c r="D32" s="287"/>
      <c r="E32" s="287"/>
      <c r="F32" s="31"/>
      <c r="G32" s="412"/>
      <c r="H32" s="364">
        <f>H23</f>
        <v>0</v>
      </c>
      <c r="I32" s="289"/>
    </row>
    <row r="33" spans="2:9" hidden="1">
      <c r="B33" s="421"/>
      <c r="D33" s="14"/>
      <c r="E33" s="14"/>
      <c r="F33" s="22"/>
      <c r="G33" s="351"/>
      <c r="H33" s="363" t="str">
        <f t="shared" ref="H33" si="1">IF(D33="","",F33*G33)</f>
        <v/>
      </c>
      <c r="I33" s="284"/>
    </row>
    <row r="34" spans="2:9">
      <c r="B34" s="50" t="s">
        <v>777</v>
      </c>
      <c r="C34" s="3" t="s">
        <v>778</v>
      </c>
      <c r="D34" s="14"/>
      <c r="E34" s="14"/>
      <c r="F34" s="22"/>
      <c r="G34" s="351"/>
      <c r="H34" s="363"/>
      <c r="I34" s="284"/>
    </row>
    <row r="35" spans="2:9">
      <c r="B35" s="421"/>
      <c r="C35" s="52"/>
      <c r="D35" s="14"/>
      <c r="E35" s="14"/>
      <c r="F35" s="22"/>
      <c r="G35" s="351"/>
      <c r="H35" s="363"/>
      <c r="I35" s="284"/>
    </row>
    <row r="36" spans="2:9">
      <c r="B36" s="50" t="s">
        <v>779</v>
      </c>
      <c r="C36" s="3" t="s">
        <v>780</v>
      </c>
      <c r="D36" s="14"/>
      <c r="E36" s="14"/>
      <c r="F36" s="22"/>
      <c r="G36" s="351"/>
      <c r="H36" s="363"/>
      <c r="I36" s="284"/>
    </row>
    <row r="37" spans="2:9">
      <c r="B37" s="13"/>
      <c r="C37" s="52"/>
      <c r="D37" s="14"/>
      <c r="E37" s="14"/>
      <c r="F37" s="22"/>
      <c r="G37" s="351"/>
      <c r="H37" s="363"/>
      <c r="I37" s="284"/>
    </row>
    <row r="38" spans="2:9">
      <c r="B38" s="13" t="s">
        <v>83</v>
      </c>
      <c r="C38" s="3" t="s">
        <v>781</v>
      </c>
      <c r="D38" s="14" t="s">
        <v>782</v>
      </c>
      <c r="E38" s="14"/>
      <c r="F38" s="240">
        <v>500</v>
      </c>
      <c r="G38" s="587"/>
      <c r="H38" s="363">
        <f t="shared" ref="H38" si="2">IF(D38="","",F38*G38)</f>
        <v>0</v>
      </c>
      <c r="I38" s="284"/>
    </row>
    <row r="39" spans="2:9">
      <c r="B39" s="13"/>
      <c r="D39" s="14"/>
      <c r="E39" s="14"/>
      <c r="F39" s="240"/>
      <c r="G39" s="351"/>
      <c r="H39" s="363"/>
      <c r="I39" s="284"/>
    </row>
    <row r="40" spans="2:9">
      <c r="B40" s="13"/>
      <c r="C40" s="52"/>
      <c r="D40" s="14"/>
      <c r="E40" s="14"/>
      <c r="F40" s="240"/>
      <c r="G40" s="351"/>
      <c r="H40" s="363"/>
      <c r="I40" s="284"/>
    </row>
    <row r="41" spans="2:9">
      <c r="B41" s="13"/>
      <c r="C41" s="52"/>
      <c r="D41" s="14"/>
      <c r="E41" s="14"/>
      <c r="F41" s="240"/>
      <c r="G41" s="351"/>
      <c r="H41" s="363"/>
      <c r="I41" s="284"/>
    </row>
    <row r="42" spans="2:9" s="2" customFormat="1" ht="24.95" customHeight="1">
      <c r="B42" s="290" t="str">
        <f>$B$10</f>
        <v>C4.2</v>
      </c>
      <c r="C42" s="276" t="s">
        <v>125</v>
      </c>
      <c r="D42" s="287"/>
      <c r="E42" s="287"/>
      <c r="F42" s="31"/>
      <c r="G42" s="412"/>
      <c r="H42" s="364">
        <f>H32+H38</f>
        <v>0</v>
      </c>
      <c r="I42" s="289"/>
    </row>
    <row r="97" spans="6:6">
      <c r="F97" s="352"/>
    </row>
    <row r="98" spans="6:6">
      <c r="F98" s="352"/>
    </row>
    <row r="99" spans="6:6">
      <c r="F99" s="352"/>
    </row>
    <row r="100" spans="6:6">
      <c r="F100" s="352"/>
    </row>
    <row r="101" spans="6:6">
      <c r="F101" s="352"/>
    </row>
    <row r="102" spans="6:6">
      <c r="F102" s="352"/>
    </row>
    <row r="103" spans="6:6">
      <c r="F103" s="352"/>
    </row>
    <row r="104" spans="6:6">
      <c r="F104" s="352"/>
    </row>
    <row r="105" spans="6:6">
      <c r="F105" s="352"/>
    </row>
    <row r="106" spans="6:6">
      <c r="F106" s="352"/>
    </row>
  </sheetData>
  <sheetProtection algorithmName="SHA-512" hashValue="R5uukFHSHYvzlPvI+ZPFM/6vWPDM8AHXpT9vZYQNAr+ZkeV9vQ4S3ZdCalPLIMgfBbqcT+BGMhsXviHuyXT3OA==" saltValue="D5ixTc0PjFEuZT3LLaxFjg==" spinCount="100000" sheet="1" objects="1" scenarios="1"/>
  <mergeCells count="12">
    <mergeCell ref="I4:I8"/>
    <mergeCell ref="B27:G27"/>
    <mergeCell ref="H27:H30"/>
    <mergeCell ref="B28:G30"/>
    <mergeCell ref="F1:H1"/>
    <mergeCell ref="B5:G7"/>
    <mergeCell ref="H4:H7"/>
    <mergeCell ref="B4:G4"/>
    <mergeCell ref="B24:E24"/>
    <mergeCell ref="F24:H26"/>
    <mergeCell ref="B25:E25"/>
    <mergeCell ref="B26:E26"/>
  </mergeCells>
  <pageMargins left="0.43307086614173229" right="0.31496062992125984" top="0.43307086614173229" bottom="0.62992125984251968" header="0.35433070866141736" footer="0.31496062992125984"/>
  <pageSetup paperSize="9" scale="55"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5">
    <tabColor rgb="FF00B0F0"/>
  </sheetPr>
  <dimension ref="B1:I65"/>
  <sheetViews>
    <sheetView view="pageBreakPreview" topLeftCell="A30" zoomScaleNormal="100" zoomScaleSheetLayoutView="100" workbookViewId="0">
      <selection activeCell="G41" sqref="G41"/>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17.5703125" style="399" customWidth="1"/>
    <col min="9" max="9" width="42.42578125" style="4" hidden="1" customWidth="1"/>
    <col min="10" max="36" width="0" style="1" hidden="1" customWidth="1"/>
    <col min="37" max="16384" width="6.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71"/>
      <c r="C3" s="71"/>
      <c r="D3" s="72"/>
      <c r="E3" s="72"/>
      <c r="F3" s="72"/>
      <c r="G3" s="400"/>
      <c r="H3" s="401"/>
    </row>
    <row r="4" spans="2:9">
      <c r="B4" s="695" t="s">
        <v>366</v>
      </c>
      <c r="C4" s="696"/>
      <c r="D4" s="696"/>
      <c r="E4" s="696"/>
      <c r="F4" s="696"/>
      <c r="G4" s="696"/>
      <c r="H4" s="742" t="str">
        <f>"CHAPTER "&amp;B10</f>
        <v>CHAPTER C4.3</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7.5" customHeight="1">
      <c r="B7" s="692"/>
      <c r="C7" s="693"/>
      <c r="D7" s="693"/>
      <c r="E7" s="693"/>
      <c r="F7" s="693"/>
      <c r="G7" s="693"/>
      <c r="H7" s="744"/>
      <c r="I7" s="676"/>
    </row>
    <row r="8" spans="2:9" s="9" customFormat="1" ht="24.95" customHeight="1">
      <c r="B8" s="10" t="s">
        <v>11</v>
      </c>
      <c r="C8" s="11" t="s">
        <v>12</v>
      </c>
      <c r="D8" s="11" t="s">
        <v>13</v>
      </c>
      <c r="E8" s="11" t="s">
        <v>14</v>
      </c>
      <c r="F8" s="11" t="s">
        <v>15</v>
      </c>
      <c r="G8" s="409" t="s">
        <v>16</v>
      </c>
      <c r="H8" s="364" t="s">
        <v>17</v>
      </c>
      <c r="I8" s="676"/>
    </row>
    <row r="9" spans="2:9" s="9" customFormat="1">
      <c r="B9" s="86"/>
      <c r="C9" s="85"/>
      <c r="D9" s="85"/>
      <c r="E9" s="85"/>
      <c r="F9" s="85"/>
      <c r="G9" s="486"/>
      <c r="H9" s="487"/>
      <c r="I9" s="12"/>
    </row>
    <row r="10" spans="2:9" s="9" customFormat="1">
      <c r="B10" s="69" t="s">
        <v>783</v>
      </c>
      <c r="C10" s="20" t="s">
        <v>784</v>
      </c>
      <c r="D10" s="49"/>
      <c r="E10" s="49"/>
      <c r="F10" s="49"/>
      <c r="G10" s="488"/>
      <c r="H10" s="368"/>
      <c r="I10" s="12"/>
    </row>
    <row r="11" spans="2:9" s="9" customFormat="1">
      <c r="B11" s="21"/>
      <c r="C11" s="22"/>
      <c r="D11" s="22"/>
      <c r="E11" s="22"/>
      <c r="F11" s="22"/>
      <c r="G11" s="410"/>
      <c r="H11" s="489"/>
      <c r="I11" s="12"/>
    </row>
    <row r="12" spans="2:9">
      <c r="B12" s="103" t="s">
        <v>785</v>
      </c>
      <c r="C12" s="63" t="s">
        <v>786</v>
      </c>
      <c r="D12" s="36"/>
      <c r="E12" s="22"/>
      <c r="F12" s="240"/>
      <c r="G12" s="351"/>
      <c r="H12" s="367" t="str">
        <f t="shared" ref="H12:H16" si="0">IF(D12="","",F12*G12)</f>
        <v/>
      </c>
      <c r="I12" s="331"/>
    </row>
    <row r="13" spans="2:9">
      <c r="B13" s="102"/>
      <c r="C13" s="50"/>
      <c r="D13" s="36"/>
      <c r="E13" s="22"/>
      <c r="F13" s="240"/>
      <c r="G13" s="351"/>
      <c r="H13" s="367" t="str">
        <f t="shared" si="0"/>
        <v/>
      </c>
      <c r="I13" s="331"/>
    </row>
    <row r="14" spans="2:9">
      <c r="B14" s="103" t="s">
        <v>787</v>
      </c>
      <c r="C14" s="63" t="s">
        <v>788</v>
      </c>
      <c r="D14" s="36" t="s">
        <v>52</v>
      </c>
      <c r="E14" s="22"/>
      <c r="F14" s="240">
        <v>100000</v>
      </c>
      <c r="G14" s="410">
        <v>1</v>
      </c>
      <c r="H14" s="367">
        <f t="shared" si="0"/>
        <v>100000</v>
      </c>
      <c r="I14" s="331" t="s">
        <v>725</v>
      </c>
    </row>
    <row r="15" spans="2:9">
      <c r="B15" s="102"/>
      <c r="C15" s="50"/>
      <c r="D15" s="36"/>
      <c r="E15" s="22"/>
      <c r="F15" s="240"/>
      <c r="G15" s="379"/>
      <c r="H15" s="367" t="str">
        <f t="shared" si="0"/>
        <v/>
      </c>
      <c r="I15" s="332"/>
    </row>
    <row r="16" spans="2:9" ht="25.5">
      <c r="B16" s="103" t="s">
        <v>789</v>
      </c>
      <c r="C16" s="16" t="s">
        <v>790</v>
      </c>
      <c r="D16" s="36" t="s">
        <v>55</v>
      </c>
      <c r="E16" s="22"/>
      <c r="F16" s="240">
        <f>H14</f>
        <v>100000</v>
      </c>
      <c r="G16" s="586"/>
      <c r="H16" s="367">
        <f t="shared" si="0"/>
        <v>0</v>
      </c>
      <c r="I16" s="331" t="s">
        <v>725</v>
      </c>
    </row>
    <row r="17" spans="2:9">
      <c r="B17" s="103"/>
      <c r="C17" s="63"/>
      <c r="D17" s="22"/>
      <c r="E17" s="22"/>
      <c r="F17" s="22"/>
      <c r="G17" s="587"/>
      <c r="H17" s="367"/>
      <c r="I17" s="332"/>
    </row>
    <row r="18" spans="2:9" ht="25.5">
      <c r="B18" s="103" t="s">
        <v>791</v>
      </c>
      <c r="C18" s="16" t="s">
        <v>792</v>
      </c>
      <c r="D18" s="22"/>
      <c r="E18" s="22"/>
      <c r="F18" s="22"/>
      <c r="G18" s="587"/>
      <c r="H18" s="367" t="str">
        <f t="shared" ref="H18:H24" si="1">IF(D18="","",F18*G18)</f>
        <v/>
      </c>
      <c r="I18" s="331"/>
    </row>
    <row r="19" spans="2:9">
      <c r="B19" s="102"/>
      <c r="C19" s="14"/>
      <c r="D19" s="22"/>
      <c r="E19" s="22"/>
      <c r="F19" s="22"/>
      <c r="G19" s="587"/>
      <c r="H19" s="367" t="str">
        <f t="shared" si="1"/>
        <v/>
      </c>
      <c r="I19" s="331"/>
    </row>
    <row r="20" spans="2:9">
      <c r="B20" s="103" t="s">
        <v>793</v>
      </c>
      <c r="C20" s="63" t="s">
        <v>794</v>
      </c>
      <c r="D20" s="22"/>
      <c r="E20" s="22"/>
      <c r="F20" s="22"/>
      <c r="G20" s="587"/>
      <c r="H20" s="367" t="str">
        <f t="shared" si="1"/>
        <v/>
      </c>
      <c r="I20" s="331"/>
    </row>
    <row r="21" spans="2:9">
      <c r="B21" s="48"/>
      <c r="C21" s="14"/>
      <c r="D21" s="22"/>
      <c r="E21" s="22"/>
      <c r="F21" s="22"/>
      <c r="G21" s="587"/>
      <c r="H21" s="367" t="str">
        <f t="shared" si="1"/>
        <v/>
      </c>
      <c r="I21" s="331"/>
    </row>
    <row r="22" spans="2:9">
      <c r="B22" s="48" t="s">
        <v>795</v>
      </c>
      <c r="C22" s="63" t="s">
        <v>796</v>
      </c>
      <c r="D22" s="22" t="s">
        <v>347</v>
      </c>
      <c r="E22" s="22"/>
      <c r="F22" s="22">
        <v>1000</v>
      </c>
      <c r="G22" s="587"/>
      <c r="H22" s="367">
        <f t="shared" si="1"/>
        <v>0</v>
      </c>
      <c r="I22" s="331" t="s">
        <v>725</v>
      </c>
    </row>
    <row r="23" spans="2:9">
      <c r="B23" s="48"/>
      <c r="C23" s="50"/>
      <c r="D23" s="22"/>
      <c r="E23" s="22"/>
      <c r="F23" s="22"/>
      <c r="G23" s="587"/>
      <c r="H23" s="367" t="str">
        <f t="shared" si="1"/>
        <v/>
      </c>
      <c r="I23" s="331"/>
    </row>
    <row r="24" spans="2:9">
      <c r="B24" s="48" t="s">
        <v>86</v>
      </c>
      <c r="C24" s="63" t="s">
        <v>797</v>
      </c>
      <c r="D24" s="22" t="s">
        <v>347</v>
      </c>
      <c r="E24" s="22"/>
      <c r="F24" s="22">
        <v>500</v>
      </c>
      <c r="G24" s="587"/>
      <c r="H24" s="367">
        <f t="shared" si="1"/>
        <v>0</v>
      </c>
      <c r="I24" s="331" t="s">
        <v>725</v>
      </c>
    </row>
    <row r="25" spans="2:9">
      <c r="B25" s="48"/>
      <c r="C25" s="63"/>
      <c r="D25" s="22"/>
      <c r="E25" s="22"/>
      <c r="F25" s="22"/>
      <c r="G25" s="587"/>
      <c r="H25" s="367"/>
      <c r="I25" s="331"/>
    </row>
    <row r="26" spans="2:9">
      <c r="B26" s="103" t="s">
        <v>798</v>
      </c>
      <c r="C26" s="63" t="s">
        <v>799</v>
      </c>
      <c r="D26" s="22"/>
      <c r="E26" s="22"/>
      <c r="F26" s="22"/>
      <c r="G26" s="587"/>
      <c r="H26" s="367" t="str">
        <f t="shared" ref="H26:H35" si="2">IF(D26="","",F26*G26)</f>
        <v/>
      </c>
      <c r="I26" s="331"/>
    </row>
    <row r="27" spans="2:9">
      <c r="B27" s="102"/>
      <c r="C27" s="50"/>
      <c r="D27" s="22"/>
      <c r="E27" s="22"/>
      <c r="F27" s="22"/>
      <c r="G27" s="587"/>
      <c r="H27" s="367" t="str">
        <f t="shared" si="2"/>
        <v/>
      </c>
      <c r="I27" s="331"/>
    </row>
    <row r="28" spans="2:9">
      <c r="B28" s="102"/>
      <c r="C28" s="50"/>
      <c r="D28" s="22"/>
      <c r="E28" s="22"/>
      <c r="F28" s="22"/>
      <c r="G28" s="587"/>
      <c r="H28" s="367"/>
      <c r="I28" s="331"/>
    </row>
    <row r="29" spans="2:9" ht="25.5">
      <c r="B29" s="103" t="s">
        <v>800</v>
      </c>
      <c r="C29" s="16" t="s">
        <v>801</v>
      </c>
      <c r="D29" s="36" t="s">
        <v>85</v>
      </c>
      <c r="E29" s="22"/>
      <c r="F29" s="22">
        <v>1</v>
      </c>
      <c r="G29" s="587"/>
      <c r="H29" s="367">
        <f t="shared" si="2"/>
        <v>0</v>
      </c>
      <c r="I29" s="331" t="s">
        <v>725</v>
      </c>
    </row>
    <row r="30" spans="2:9">
      <c r="B30" s="48"/>
      <c r="C30" s="14"/>
      <c r="D30" s="22"/>
      <c r="E30" s="22"/>
      <c r="F30" s="22"/>
      <c r="G30" s="587"/>
      <c r="H30" s="367" t="str">
        <f t="shared" si="2"/>
        <v/>
      </c>
      <c r="I30" s="331"/>
    </row>
    <row r="31" spans="2:9" ht="25.5">
      <c r="B31" s="103" t="s">
        <v>802</v>
      </c>
      <c r="C31" s="16" t="s">
        <v>803</v>
      </c>
      <c r="D31" s="22"/>
      <c r="E31" s="22"/>
      <c r="F31" s="22"/>
      <c r="G31" s="587"/>
      <c r="H31" s="367" t="str">
        <f t="shared" si="2"/>
        <v/>
      </c>
      <c r="I31" s="331"/>
    </row>
    <row r="32" spans="2:9">
      <c r="B32" s="102"/>
      <c r="C32" s="14"/>
      <c r="D32" s="22"/>
      <c r="E32" s="22"/>
      <c r="F32" s="22"/>
      <c r="G32" s="587"/>
      <c r="H32" s="367" t="str">
        <f t="shared" si="2"/>
        <v/>
      </c>
      <c r="I32" s="331"/>
    </row>
    <row r="33" spans="2:9" ht="14.25">
      <c r="B33" s="103" t="s">
        <v>804</v>
      </c>
      <c r="C33" s="63" t="s">
        <v>805</v>
      </c>
      <c r="D33" s="22" t="s">
        <v>386</v>
      </c>
      <c r="E33" s="22"/>
      <c r="F33" s="22">
        <v>1400</v>
      </c>
      <c r="G33" s="587"/>
      <c r="H33" s="367">
        <f t="shared" si="2"/>
        <v>0</v>
      </c>
      <c r="I33" s="331" t="s">
        <v>725</v>
      </c>
    </row>
    <row r="34" spans="2:9">
      <c r="B34" s="102"/>
      <c r="C34" s="50"/>
      <c r="D34" s="22"/>
      <c r="E34" s="22"/>
      <c r="F34" s="22"/>
      <c r="G34" s="587"/>
      <c r="H34" s="367" t="str">
        <f t="shared" si="2"/>
        <v/>
      </c>
      <c r="I34" s="331"/>
    </row>
    <row r="35" spans="2:9" ht="14.25">
      <c r="B35" s="103" t="s">
        <v>806</v>
      </c>
      <c r="C35" s="63" t="s">
        <v>807</v>
      </c>
      <c r="D35" s="22" t="s">
        <v>386</v>
      </c>
      <c r="E35" s="22"/>
      <c r="F35" s="22">
        <v>450</v>
      </c>
      <c r="G35" s="587"/>
      <c r="H35" s="367">
        <f t="shared" si="2"/>
        <v>0</v>
      </c>
      <c r="I35" s="331" t="s">
        <v>725</v>
      </c>
    </row>
    <row r="36" spans="2:9">
      <c r="B36" s="103"/>
      <c r="C36" s="63"/>
      <c r="D36" s="22"/>
      <c r="E36" s="22"/>
      <c r="F36" s="22"/>
      <c r="G36" s="587"/>
      <c r="H36" s="367"/>
      <c r="I36" s="331"/>
    </row>
    <row r="37" spans="2:9" ht="25.5">
      <c r="B37" s="102" t="s">
        <v>808</v>
      </c>
      <c r="C37" s="14" t="s">
        <v>809</v>
      </c>
      <c r="D37" s="22"/>
      <c r="E37" s="22"/>
      <c r="F37" s="22"/>
      <c r="G37" s="587"/>
      <c r="H37" s="367"/>
      <c r="I37" s="331"/>
    </row>
    <row r="38" spans="2:9">
      <c r="B38" s="48"/>
      <c r="C38" s="63"/>
      <c r="D38" s="22"/>
      <c r="E38" s="22"/>
      <c r="F38" s="22"/>
      <c r="G38" s="587"/>
      <c r="H38" s="367"/>
      <c r="I38" s="331"/>
    </row>
    <row r="39" spans="2:9">
      <c r="B39" s="48" t="s">
        <v>83</v>
      </c>
      <c r="C39" s="50" t="s">
        <v>810</v>
      </c>
      <c r="D39" s="22"/>
      <c r="E39" s="22"/>
      <c r="F39" s="22"/>
      <c r="G39" s="587"/>
      <c r="H39" s="367"/>
      <c r="I39" s="331"/>
    </row>
    <row r="40" spans="2:9">
      <c r="B40" s="48"/>
      <c r="C40" s="63"/>
      <c r="D40" s="22"/>
      <c r="E40" s="22"/>
      <c r="F40" s="22"/>
      <c r="G40" s="587"/>
      <c r="H40" s="367"/>
      <c r="I40" s="331"/>
    </row>
    <row r="41" spans="2:9">
      <c r="B41" s="48" t="s">
        <v>273</v>
      </c>
      <c r="C41" s="50" t="s">
        <v>811</v>
      </c>
      <c r="D41" s="22" t="s">
        <v>347</v>
      </c>
      <c r="E41" s="22"/>
      <c r="F41" s="22">
        <v>500</v>
      </c>
      <c r="G41" s="587"/>
      <c r="H41" s="367">
        <f>G41*F41</f>
        <v>0</v>
      </c>
      <c r="I41" s="331" t="s">
        <v>725</v>
      </c>
    </row>
    <row r="42" spans="2:9">
      <c r="B42" s="48"/>
      <c r="C42" s="63"/>
      <c r="D42" s="22"/>
      <c r="E42" s="22"/>
      <c r="F42" s="22"/>
      <c r="G42" s="351"/>
      <c r="H42" s="367"/>
      <c r="I42" s="331"/>
    </row>
    <row r="43" spans="2:9">
      <c r="B43" s="48"/>
      <c r="C43" s="14"/>
      <c r="D43" s="22"/>
      <c r="E43" s="22"/>
      <c r="F43" s="22"/>
      <c r="G43" s="351"/>
      <c r="H43" s="367"/>
      <c r="I43" s="331"/>
    </row>
    <row r="44" spans="2:9">
      <c r="B44" s="103"/>
      <c r="C44" s="63"/>
      <c r="D44" s="22"/>
      <c r="E44" s="22"/>
      <c r="F44" s="22"/>
      <c r="G44" s="351"/>
      <c r="H44" s="367"/>
      <c r="I44" s="331"/>
    </row>
    <row r="45" spans="2:9">
      <c r="B45" s="102"/>
      <c r="C45" s="50"/>
      <c r="D45" s="22"/>
      <c r="E45" s="22"/>
      <c r="F45" s="22"/>
      <c r="G45" s="351"/>
      <c r="H45" s="367"/>
      <c r="I45" s="331"/>
    </row>
    <row r="46" spans="2:9">
      <c r="B46" s="103"/>
      <c r="C46" s="16"/>
      <c r="D46" s="36"/>
      <c r="E46" s="22"/>
      <c r="F46" s="22"/>
      <c r="G46" s="351"/>
      <c r="H46" s="367"/>
      <c r="I46" s="331"/>
    </row>
    <row r="47" spans="2:9">
      <c r="B47" s="102"/>
      <c r="C47" s="50"/>
      <c r="D47" s="22"/>
      <c r="E47" s="22"/>
      <c r="F47" s="22"/>
      <c r="G47" s="351"/>
      <c r="H47" s="367"/>
      <c r="I47" s="331"/>
    </row>
    <row r="48" spans="2:9">
      <c r="B48" s="103"/>
      <c r="C48" s="16"/>
      <c r="D48" s="36"/>
      <c r="E48" s="22"/>
      <c r="F48" s="22"/>
      <c r="G48" s="351"/>
      <c r="H48" s="367"/>
      <c r="I48" s="331"/>
    </row>
    <row r="49" spans="2:9">
      <c r="B49" s="48"/>
      <c r="C49" s="14"/>
      <c r="D49" s="22"/>
      <c r="E49" s="22"/>
      <c r="F49" s="22"/>
      <c r="G49" s="351"/>
      <c r="H49" s="367"/>
      <c r="I49" s="331"/>
    </row>
    <row r="50" spans="2:9">
      <c r="B50" s="103"/>
      <c r="C50" s="16"/>
      <c r="D50" s="22"/>
      <c r="E50" s="22"/>
      <c r="F50" s="22"/>
      <c r="G50" s="351"/>
      <c r="H50" s="367"/>
      <c r="I50" s="331"/>
    </row>
    <row r="51" spans="2:9">
      <c r="B51" s="102"/>
      <c r="C51" s="14"/>
      <c r="D51" s="22"/>
      <c r="E51" s="22"/>
      <c r="F51" s="22"/>
      <c r="G51" s="351"/>
      <c r="H51" s="367"/>
      <c r="I51" s="331"/>
    </row>
    <row r="52" spans="2:9">
      <c r="B52" s="103"/>
      <c r="C52" s="63"/>
      <c r="D52" s="22"/>
      <c r="E52" s="22"/>
      <c r="F52" s="22"/>
      <c r="G52" s="351"/>
      <c r="H52" s="367"/>
      <c r="I52" s="331"/>
    </row>
    <row r="53" spans="2:9">
      <c r="B53" s="102"/>
      <c r="C53" s="50"/>
      <c r="D53" s="22"/>
      <c r="E53" s="22"/>
      <c r="F53" s="22"/>
      <c r="G53" s="351"/>
      <c r="H53" s="367"/>
      <c r="I53" s="331"/>
    </row>
    <row r="54" spans="2:9">
      <c r="B54" s="103"/>
      <c r="C54" s="63"/>
      <c r="D54" s="22"/>
      <c r="E54" s="22"/>
      <c r="F54" s="22"/>
      <c r="G54" s="351"/>
      <c r="H54" s="367"/>
      <c r="I54" s="331"/>
    </row>
    <row r="55" spans="2:9">
      <c r="B55" s="102"/>
      <c r="C55" s="50"/>
      <c r="D55" s="22"/>
      <c r="E55" s="22"/>
      <c r="F55" s="22"/>
      <c r="G55" s="351"/>
      <c r="H55" s="367"/>
      <c r="I55" s="331"/>
    </row>
    <row r="56" spans="2:9">
      <c r="B56" s="103"/>
      <c r="C56" s="63"/>
      <c r="D56" s="22"/>
      <c r="E56" s="22"/>
      <c r="F56" s="22"/>
      <c r="G56" s="351"/>
      <c r="H56" s="367"/>
      <c r="I56" s="331"/>
    </row>
    <row r="57" spans="2:9">
      <c r="B57" s="103"/>
      <c r="C57" s="63"/>
      <c r="D57" s="22"/>
      <c r="E57" s="22"/>
      <c r="F57" s="22"/>
      <c r="G57" s="351"/>
      <c r="H57" s="367"/>
      <c r="I57" s="331"/>
    </row>
    <row r="58" spans="2:9">
      <c r="B58" s="103"/>
      <c r="C58" s="63"/>
      <c r="D58" s="22"/>
      <c r="E58" s="22"/>
      <c r="F58" s="22"/>
      <c r="G58" s="351"/>
      <c r="H58" s="367"/>
      <c r="I58" s="331"/>
    </row>
    <row r="59" spans="2:9">
      <c r="B59" s="103"/>
      <c r="C59" s="63"/>
      <c r="D59" s="22"/>
      <c r="E59" s="22"/>
      <c r="F59" s="22"/>
      <c r="G59" s="351"/>
      <c r="H59" s="367"/>
      <c r="I59" s="331"/>
    </row>
    <row r="60" spans="2:9">
      <c r="B60" s="103"/>
      <c r="C60" s="63"/>
      <c r="D60" s="22"/>
      <c r="E60" s="22"/>
      <c r="F60" s="22"/>
      <c r="G60" s="351"/>
      <c r="H60" s="367"/>
      <c r="I60" s="331"/>
    </row>
    <row r="61" spans="2:9">
      <c r="B61" s="103"/>
      <c r="C61" s="63"/>
      <c r="D61" s="22"/>
      <c r="E61" s="22"/>
      <c r="F61" s="22"/>
      <c r="G61" s="351"/>
      <c r="H61" s="367"/>
      <c r="I61" s="331"/>
    </row>
    <row r="62" spans="2:9">
      <c r="B62" s="103"/>
      <c r="C62" s="63"/>
      <c r="D62" s="22"/>
      <c r="E62" s="22"/>
      <c r="F62" s="22"/>
      <c r="G62" s="351"/>
      <c r="H62" s="367"/>
      <c r="I62" s="331"/>
    </row>
    <row r="63" spans="2:9">
      <c r="B63" s="103"/>
      <c r="C63" s="63"/>
      <c r="D63" s="22"/>
      <c r="E63" s="22"/>
      <c r="F63" s="22"/>
      <c r="G63" s="351"/>
      <c r="H63" s="367"/>
      <c r="I63" s="331"/>
    </row>
    <row r="64" spans="2:9">
      <c r="B64" s="103"/>
      <c r="C64" s="63"/>
      <c r="D64" s="22"/>
      <c r="E64" s="22"/>
      <c r="F64" s="22"/>
      <c r="G64" s="351"/>
      <c r="H64" s="367" t="str">
        <f t="shared" ref="H64" si="3">IF(D64="","",F64*G64)</f>
        <v/>
      </c>
      <c r="I64" s="331"/>
    </row>
    <row r="65" spans="2:9" s="28" customFormat="1" ht="19.5" customHeight="1">
      <c r="B65" s="82" t="str">
        <f>$B$10</f>
        <v>C4.3</v>
      </c>
      <c r="C65" s="29" t="s">
        <v>125</v>
      </c>
      <c r="D65" s="30"/>
      <c r="E65" s="30"/>
      <c r="F65" s="31"/>
      <c r="G65" s="412"/>
      <c r="H65" s="364">
        <f>SUM(H13:H64)</f>
        <v>100000</v>
      </c>
      <c r="I65" s="333"/>
    </row>
  </sheetData>
  <sheetProtection algorithmName="SHA-512" hashValue="WLvA7uxvwycZulFcy4ViSbCI9i+d/MdPBDrT2fxSwoB9fWlk3I6NM6C7zNtRUiwECbtnlkuIAYi7yV29QBBYfA==" saltValue="PAhTkAgqsNNZreuNZfOMsA==" spinCount="100000" sheet="1" objects="1" scenarios="1"/>
  <mergeCells count="5">
    <mergeCell ref="F1:H1"/>
    <mergeCell ref="B5:G7"/>
    <mergeCell ref="H4:H7"/>
    <mergeCell ref="B4:G4"/>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3">
    <tabColor rgb="FF92D050"/>
  </sheetPr>
  <dimension ref="B1:I77"/>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c r="B4" s="695" t="s">
        <v>456</v>
      </c>
      <c r="C4" s="696"/>
      <c r="D4" s="696"/>
      <c r="E4" s="696"/>
      <c r="F4" s="696"/>
      <c r="G4" s="696"/>
      <c r="H4" s="733" t="str">
        <f>"CHAPTER "&amp;B10</f>
        <v>CHAPTER C4.5</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34"/>
      <c r="I5" s="8"/>
    </row>
    <row r="6" spans="2:9" ht="12.75" customHeight="1">
      <c r="B6" s="690"/>
      <c r="C6" s="691"/>
      <c r="D6" s="691"/>
      <c r="E6" s="691"/>
      <c r="F6" s="691"/>
      <c r="G6" s="691"/>
      <c r="H6" s="734"/>
      <c r="I6" s="8"/>
    </row>
    <row r="7" spans="2:9" s="9" customFormat="1" ht="7.5" customHeight="1">
      <c r="B7" s="692"/>
      <c r="C7" s="693"/>
      <c r="D7" s="693"/>
      <c r="E7" s="693"/>
      <c r="F7" s="693"/>
      <c r="G7" s="693"/>
      <c r="H7" s="735"/>
      <c r="I7" s="12"/>
    </row>
    <row r="8" spans="2:9" s="9" customFormat="1" ht="24.95" customHeight="1">
      <c r="B8" s="10" t="s">
        <v>11</v>
      </c>
      <c r="C8" s="11" t="s">
        <v>12</v>
      </c>
      <c r="D8" s="11" t="s">
        <v>13</v>
      </c>
      <c r="E8" s="11" t="s">
        <v>14</v>
      </c>
      <c r="F8" s="11" t="s">
        <v>15</v>
      </c>
      <c r="G8" s="11" t="s">
        <v>16</v>
      </c>
      <c r="H8" s="11" t="s">
        <v>17</v>
      </c>
      <c r="I8" s="12"/>
    </row>
    <row r="9" spans="2:9" s="9" customFormat="1">
      <c r="B9" s="108"/>
      <c r="C9" s="85"/>
      <c r="D9" s="85"/>
      <c r="E9" s="85"/>
      <c r="F9" s="85"/>
      <c r="G9" s="85"/>
      <c r="H9" s="25" t="str">
        <f t="shared" ref="H9:H72" si="0">IF(D9="","",F9*G9)</f>
        <v/>
      </c>
      <c r="I9" s="12"/>
    </row>
    <row r="10" spans="2:9">
      <c r="B10" s="69" t="s">
        <v>812</v>
      </c>
      <c r="C10" s="7" t="s">
        <v>813</v>
      </c>
      <c r="D10" s="15"/>
      <c r="E10" s="15"/>
      <c r="F10" s="15"/>
      <c r="G10" s="16"/>
      <c r="H10" s="25" t="str">
        <f t="shared" si="0"/>
        <v/>
      </c>
      <c r="I10" s="18"/>
    </row>
    <row r="11" spans="2:9">
      <c r="B11" s="107"/>
      <c r="C11" s="76"/>
      <c r="D11" s="22"/>
      <c r="E11" s="22"/>
      <c r="F11" s="22"/>
      <c r="G11" s="39"/>
      <c r="H11" s="25" t="str">
        <f t="shared" si="0"/>
        <v/>
      </c>
      <c r="I11" s="40"/>
    </row>
    <row r="12" spans="2:9">
      <c r="B12" s="103" t="s">
        <v>814</v>
      </c>
      <c r="C12" s="35" t="s">
        <v>815</v>
      </c>
      <c r="D12" s="22"/>
      <c r="E12" s="22"/>
      <c r="F12" s="22"/>
      <c r="G12" s="39"/>
      <c r="H12" s="25" t="str">
        <f t="shared" si="0"/>
        <v/>
      </c>
      <c r="I12" s="40"/>
    </row>
    <row r="13" spans="2:9">
      <c r="B13" s="102"/>
      <c r="D13" s="22"/>
      <c r="E13" s="22"/>
      <c r="F13" s="22"/>
      <c r="G13" s="39"/>
      <c r="H13" s="25" t="str">
        <f t="shared" si="0"/>
        <v/>
      </c>
      <c r="I13" s="40"/>
    </row>
    <row r="14" spans="2:9">
      <c r="B14" s="103" t="s">
        <v>816</v>
      </c>
      <c r="C14" s="35" t="s">
        <v>817</v>
      </c>
      <c r="D14" s="62" t="s">
        <v>52</v>
      </c>
      <c r="E14" s="22"/>
      <c r="F14" s="22"/>
      <c r="G14" s="39"/>
      <c r="H14" s="25">
        <f t="shared" si="0"/>
        <v>0</v>
      </c>
      <c r="I14" s="40"/>
    </row>
    <row r="15" spans="2:9">
      <c r="B15" s="102"/>
      <c r="D15" s="36"/>
      <c r="E15" s="22"/>
      <c r="F15" s="23"/>
      <c r="G15" s="24"/>
      <c r="H15" s="25" t="str">
        <f t="shared" si="0"/>
        <v/>
      </c>
      <c r="I15" s="41"/>
    </row>
    <row r="16" spans="2:9">
      <c r="B16" s="103" t="s">
        <v>818</v>
      </c>
      <c r="C16" s="35" t="s">
        <v>819</v>
      </c>
      <c r="D16" s="62" t="s">
        <v>55</v>
      </c>
      <c r="E16" s="22"/>
      <c r="F16" s="23"/>
      <c r="G16" s="24"/>
      <c r="H16" s="25">
        <f t="shared" si="0"/>
        <v>0</v>
      </c>
      <c r="I16" s="41"/>
    </row>
    <row r="17" spans="2:9">
      <c r="B17" s="103"/>
      <c r="C17" s="35"/>
      <c r="D17" s="22"/>
      <c r="E17" s="22"/>
      <c r="F17" s="23"/>
      <c r="G17" s="24"/>
      <c r="H17" s="25" t="str">
        <f t="shared" si="0"/>
        <v/>
      </c>
      <c r="I17" s="41"/>
    </row>
    <row r="18" spans="2:9" ht="24.6" customHeight="1">
      <c r="B18" s="103" t="s">
        <v>820</v>
      </c>
      <c r="C18" s="55" t="s">
        <v>821</v>
      </c>
      <c r="D18" s="22"/>
      <c r="E18" s="22"/>
      <c r="F18" s="23"/>
      <c r="G18" s="39"/>
      <c r="H18" s="25" t="str">
        <f t="shared" si="0"/>
        <v/>
      </c>
      <c r="I18" s="40"/>
    </row>
    <row r="19" spans="2:9">
      <c r="B19" s="102"/>
      <c r="D19" s="22"/>
      <c r="E19" s="22"/>
      <c r="F19" s="23"/>
      <c r="G19" s="42"/>
      <c r="H19" s="25" t="str">
        <f t="shared" si="0"/>
        <v/>
      </c>
      <c r="I19" s="40"/>
    </row>
    <row r="20" spans="2:9">
      <c r="B20" s="103" t="s">
        <v>822</v>
      </c>
      <c r="C20" s="35" t="s">
        <v>823</v>
      </c>
      <c r="D20" s="62" t="s">
        <v>52</v>
      </c>
      <c r="E20" s="22"/>
      <c r="F20" s="23"/>
      <c r="G20" s="39"/>
      <c r="H20" s="25">
        <f t="shared" si="0"/>
        <v>0</v>
      </c>
      <c r="I20" s="43"/>
    </row>
    <row r="21" spans="2:9">
      <c r="B21" s="102"/>
      <c r="D21" s="36"/>
      <c r="E21" s="36"/>
      <c r="F21" s="23"/>
      <c r="G21" s="44"/>
      <c r="H21" s="25" t="str">
        <f t="shared" si="0"/>
        <v/>
      </c>
    </row>
    <row r="22" spans="2:9">
      <c r="B22" s="103" t="s">
        <v>824</v>
      </c>
      <c r="C22" s="35" t="s">
        <v>825</v>
      </c>
      <c r="D22" s="62" t="s">
        <v>55</v>
      </c>
      <c r="E22" s="36"/>
      <c r="F22" s="23"/>
      <c r="G22" s="44"/>
      <c r="H22" s="25">
        <f t="shared" si="0"/>
        <v>0</v>
      </c>
    </row>
    <row r="23" spans="2:9">
      <c r="B23" s="102"/>
      <c r="D23" s="22"/>
      <c r="E23" s="36"/>
      <c r="F23" s="23"/>
      <c r="G23" s="37"/>
      <c r="H23" s="25" t="str">
        <f t="shared" si="0"/>
        <v/>
      </c>
    </row>
    <row r="24" spans="2:9">
      <c r="B24" s="103" t="s">
        <v>826</v>
      </c>
      <c r="C24" s="35" t="s">
        <v>827</v>
      </c>
      <c r="D24" s="62" t="s">
        <v>52</v>
      </c>
      <c r="E24" s="36"/>
      <c r="F24" s="23"/>
      <c r="G24" s="44"/>
      <c r="H24" s="25">
        <f t="shared" si="0"/>
        <v>0</v>
      </c>
    </row>
    <row r="25" spans="2:9">
      <c r="B25" s="102"/>
      <c r="D25" s="22"/>
      <c r="E25" s="36"/>
      <c r="F25" s="23"/>
      <c r="G25" s="42"/>
      <c r="H25" s="25" t="str">
        <f t="shared" si="0"/>
        <v/>
      </c>
    </row>
    <row r="26" spans="2:9">
      <c r="B26" s="103" t="s">
        <v>828</v>
      </c>
      <c r="C26" s="35" t="s">
        <v>829</v>
      </c>
      <c r="D26" s="62" t="s">
        <v>55</v>
      </c>
      <c r="E26" s="36"/>
      <c r="F26" s="23"/>
      <c r="G26" s="44"/>
      <c r="H26" s="25">
        <f t="shared" si="0"/>
        <v>0</v>
      </c>
    </row>
    <row r="27" spans="2:9">
      <c r="B27" s="102"/>
      <c r="D27" s="22"/>
      <c r="E27" s="22"/>
      <c r="F27" s="23"/>
      <c r="G27" s="39"/>
      <c r="H27" s="25" t="str">
        <f t="shared" si="0"/>
        <v/>
      </c>
      <c r="I27" s="40"/>
    </row>
    <row r="28" spans="2:9" ht="24.6" customHeight="1">
      <c r="B28" s="103" t="s">
        <v>830</v>
      </c>
      <c r="C28" s="55" t="s">
        <v>831</v>
      </c>
      <c r="D28" s="22"/>
      <c r="E28" s="22"/>
      <c r="F28" s="23"/>
      <c r="G28" s="39"/>
      <c r="H28" s="25" t="str">
        <f t="shared" si="0"/>
        <v/>
      </c>
      <c r="I28" s="40"/>
    </row>
    <row r="29" spans="2:9">
      <c r="B29" s="102"/>
      <c r="D29" s="22"/>
      <c r="E29" s="22"/>
      <c r="F29" s="23"/>
      <c r="G29" s="37"/>
      <c r="H29" s="25" t="str">
        <f t="shared" si="0"/>
        <v/>
      </c>
      <c r="I29" s="41"/>
    </row>
    <row r="30" spans="2:9">
      <c r="B30" s="103" t="s">
        <v>832</v>
      </c>
      <c r="C30" s="35" t="s">
        <v>833</v>
      </c>
      <c r="D30" s="62" t="s">
        <v>52</v>
      </c>
      <c r="E30" s="15"/>
      <c r="F30" s="26"/>
      <c r="G30" s="27"/>
      <c r="H30" s="25">
        <f t="shared" si="0"/>
        <v>0</v>
      </c>
      <c r="I30" s="18"/>
    </row>
    <row r="31" spans="2:9" s="35" customFormat="1">
      <c r="B31" s="103"/>
      <c r="D31" s="62"/>
      <c r="E31" s="15"/>
      <c r="F31" s="26"/>
      <c r="G31" s="27"/>
      <c r="H31" s="25" t="str">
        <f t="shared" si="0"/>
        <v/>
      </c>
      <c r="I31" s="18"/>
    </row>
    <row r="32" spans="2:9">
      <c r="B32" s="103" t="s">
        <v>834</v>
      </c>
      <c r="C32" s="35" t="s">
        <v>835</v>
      </c>
      <c r="D32" s="62" t="s">
        <v>55</v>
      </c>
      <c r="E32" s="22"/>
      <c r="F32" s="23"/>
      <c r="G32" s="37"/>
      <c r="H32" s="25">
        <f t="shared" si="0"/>
        <v>0</v>
      </c>
      <c r="I32" s="41"/>
    </row>
    <row r="33" spans="2:9">
      <c r="B33" s="103"/>
      <c r="C33" s="35"/>
      <c r="D33" s="62"/>
      <c r="E33" s="22"/>
      <c r="F33" s="23"/>
      <c r="G33" s="37"/>
      <c r="H33" s="25" t="str">
        <f t="shared" si="0"/>
        <v/>
      </c>
      <c r="I33" s="41"/>
    </row>
    <row r="34" spans="2:9">
      <c r="B34" s="103"/>
      <c r="C34" s="35"/>
      <c r="D34" s="62"/>
      <c r="E34" s="22"/>
      <c r="F34" s="23"/>
      <c r="G34" s="37"/>
      <c r="H34" s="25" t="str">
        <f t="shared" si="0"/>
        <v/>
      </c>
      <c r="I34" s="41"/>
    </row>
    <row r="35" spans="2:9">
      <c r="B35" s="103"/>
      <c r="C35" s="35"/>
      <c r="D35" s="62"/>
      <c r="E35" s="22"/>
      <c r="F35" s="23"/>
      <c r="G35" s="37"/>
      <c r="H35" s="25" t="str">
        <f t="shared" si="0"/>
        <v/>
      </c>
      <c r="I35" s="41"/>
    </row>
    <row r="36" spans="2:9">
      <c r="B36" s="103"/>
      <c r="C36" s="35"/>
      <c r="D36" s="62"/>
      <c r="E36" s="22"/>
      <c r="F36" s="23"/>
      <c r="G36" s="37"/>
      <c r="H36" s="25" t="str">
        <f t="shared" si="0"/>
        <v/>
      </c>
      <c r="I36" s="41"/>
    </row>
    <row r="37" spans="2:9">
      <c r="B37" s="103"/>
      <c r="C37" s="35"/>
      <c r="D37" s="62"/>
      <c r="E37" s="22"/>
      <c r="F37" s="23"/>
      <c r="G37" s="37"/>
      <c r="H37" s="25" t="str">
        <f t="shared" si="0"/>
        <v/>
      </c>
      <c r="I37" s="41"/>
    </row>
    <row r="38" spans="2:9">
      <c r="B38" s="103"/>
      <c r="C38" s="35"/>
      <c r="D38" s="62"/>
      <c r="E38" s="22"/>
      <c r="F38" s="23"/>
      <c r="G38" s="37"/>
      <c r="H38" s="25" t="str">
        <f t="shared" si="0"/>
        <v/>
      </c>
      <c r="I38" s="41"/>
    </row>
    <row r="39" spans="2:9">
      <c r="B39" s="103"/>
      <c r="C39" s="35"/>
      <c r="D39" s="62"/>
      <c r="E39" s="22"/>
      <c r="F39" s="23"/>
      <c r="G39" s="37"/>
      <c r="H39" s="25" t="str">
        <f t="shared" si="0"/>
        <v/>
      </c>
      <c r="I39" s="41"/>
    </row>
    <row r="40" spans="2:9">
      <c r="B40" s="103"/>
      <c r="C40" s="35"/>
      <c r="D40" s="62"/>
      <c r="E40" s="22"/>
      <c r="F40" s="23"/>
      <c r="G40" s="37"/>
      <c r="H40" s="25" t="str">
        <f t="shared" si="0"/>
        <v/>
      </c>
      <c r="I40" s="41"/>
    </row>
    <row r="41" spans="2:9">
      <c r="B41" s="103"/>
      <c r="C41" s="35"/>
      <c r="D41" s="62"/>
      <c r="E41" s="22"/>
      <c r="F41" s="23"/>
      <c r="G41" s="37"/>
      <c r="H41" s="25" t="str">
        <f t="shared" si="0"/>
        <v/>
      </c>
      <c r="I41" s="41"/>
    </row>
    <row r="42" spans="2:9">
      <c r="B42" s="103"/>
      <c r="C42" s="35"/>
      <c r="D42" s="62"/>
      <c r="E42" s="22"/>
      <c r="F42" s="23"/>
      <c r="G42" s="37"/>
      <c r="H42" s="25" t="str">
        <f t="shared" si="0"/>
        <v/>
      </c>
      <c r="I42" s="41"/>
    </row>
    <row r="43" spans="2:9">
      <c r="B43" s="103"/>
      <c r="C43" s="35"/>
      <c r="D43" s="62"/>
      <c r="E43" s="22"/>
      <c r="F43" s="23"/>
      <c r="G43" s="37"/>
      <c r="H43" s="25" t="str">
        <f t="shared" si="0"/>
        <v/>
      </c>
      <c r="I43" s="41"/>
    </row>
    <row r="44" spans="2:9">
      <c r="B44" s="103"/>
      <c r="C44" s="35"/>
      <c r="D44" s="62"/>
      <c r="E44" s="22"/>
      <c r="F44" s="23"/>
      <c r="G44" s="37"/>
      <c r="H44" s="25" t="str">
        <f t="shared" si="0"/>
        <v/>
      </c>
      <c r="I44" s="41"/>
    </row>
    <row r="45" spans="2:9">
      <c r="B45" s="103"/>
      <c r="C45" s="35"/>
      <c r="D45" s="62"/>
      <c r="E45" s="22"/>
      <c r="F45" s="23"/>
      <c r="G45" s="37"/>
      <c r="H45" s="25" t="str">
        <f t="shared" si="0"/>
        <v/>
      </c>
      <c r="I45" s="41"/>
    </row>
    <row r="46" spans="2:9">
      <c r="B46" s="103"/>
      <c r="C46" s="35"/>
      <c r="D46" s="62"/>
      <c r="E46" s="22"/>
      <c r="F46" s="23"/>
      <c r="G46" s="37"/>
      <c r="H46" s="25" t="str">
        <f t="shared" si="0"/>
        <v/>
      </c>
      <c r="I46" s="41"/>
    </row>
    <row r="47" spans="2:9">
      <c r="B47" s="103"/>
      <c r="C47" s="35"/>
      <c r="D47" s="62"/>
      <c r="E47" s="22"/>
      <c r="F47" s="23"/>
      <c r="G47" s="37"/>
      <c r="H47" s="25" t="str">
        <f t="shared" si="0"/>
        <v/>
      </c>
      <c r="I47" s="41"/>
    </row>
    <row r="48" spans="2:9">
      <c r="B48" s="103"/>
      <c r="C48" s="35"/>
      <c r="D48" s="62"/>
      <c r="E48" s="22"/>
      <c r="F48" s="23"/>
      <c r="G48" s="37"/>
      <c r="H48" s="25" t="str">
        <f t="shared" si="0"/>
        <v/>
      </c>
      <c r="I48" s="41"/>
    </row>
    <row r="49" spans="2:9">
      <c r="B49" s="103"/>
      <c r="C49" s="35"/>
      <c r="D49" s="62"/>
      <c r="E49" s="22"/>
      <c r="F49" s="23"/>
      <c r="G49" s="37"/>
      <c r="H49" s="25" t="str">
        <f t="shared" si="0"/>
        <v/>
      </c>
      <c r="I49" s="41"/>
    </row>
    <row r="50" spans="2:9">
      <c r="B50" s="103"/>
      <c r="C50" s="35"/>
      <c r="D50" s="62"/>
      <c r="E50" s="22"/>
      <c r="F50" s="23"/>
      <c r="G50" s="37"/>
      <c r="H50" s="25" t="str">
        <f t="shared" si="0"/>
        <v/>
      </c>
      <c r="I50" s="41"/>
    </row>
    <row r="51" spans="2:9">
      <c r="B51" s="103"/>
      <c r="C51" s="35"/>
      <c r="D51" s="62"/>
      <c r="E51" s="22"/>
      <c r="F51" s="23"/>
      <c r="G51" s="37"/>
      <c r="H51" s="25" t="str">
        <f t="shared" si="0"/>
        <v/>
      </c>
      <c r="I51" s="41"/>
    </row>
    <row r="52" spans="2:9">
      <c r="B52" s="103"/>
      <c r="C52" s="35"/>
      <c r="D52" s="62"/>
      <c r="E52" s="22"/>
      <c r="F52" s="23"/>
      <c r="G52" s="37"/>
      <c r="H52" s="25" t="str">
        <f t="shared" si="0"/>
        <v/>
      </c>
      <c r="I52" s="41"/>
    </row>
    <row r="53" spans="2:9">
      <c r="B53" s="103"/>
      <c r="C53" s="35"/>
      <c r="D53" s="62"/>
      <c r="E53" s="22"/>
      <c r="F53" s="23"/>
      <c r="G53" s="37"/>
      <c r="H53" s="25" t="str">
        <f t="shared" si="0"/>
        <v/>
      </c>
      <c r="I53" s="41"/>
    </row>
    <row r="54" spans="2:9">
      <c r="B54" s="103"/>
      <c r="C54" s="35"/>
      <c r="D54" s="62"/>
      <c r="E54" s="22"/>
      <c r="F54" s="23"/>
      <c r="G54" s="37"/>
      <c r="H54" s="25" t="str">
        <f t="shared" si="0"/>
        <v/>
      </c>
      <c r="I54" s="41"/>
    </row>
    <row r="55" spans="2:9">
      <c r="B55" s="103"/>
      <c r="C55" s="35"/>
      <c r="D55" s="62"/>
      <c r="E55" s="22"/>
      <c r="F55" s="23"/>
      <c r="G55" s="37"/>
      <c r="H55" s="25" t="str">
        <f t="shared" si="0"/>
        <v/>
      </c>
      <c r="I55" s="41"/>
    </row>
    <row r="56" spans="2:9">
      <c r="B56" s="103"/>
      <c r="C56" s="35"/>
      <c r="D56" s="62"/>
      <c r="E56" s="22"/>
      <c r="F56" s="23"/>
      <c r="G56" s="37"/>
      <c r="H56" s="25" t="str">
        <f t="shared" si="0"/>
        <v/>
      </c>
      <c r="I56" s="41"/>
    </row>
    <row r="57" spans="2:9">
      <c r="B57" s="103"/>
      <c r="C57" s="35"/>
      <c r="D57" s="62"/>
      <c r="E57" s="22"/>
      <c r="F57" s="23"/>
      <c r="G57" s="37"/>
      <c r="H57" s="25" t="str">
        <f t="shared" si="0"/>
        <v/>
      </c>
      <c r="I57" s="41"/>
    </row>
    <row r="58" spans="2:9">
      <c r="B58" s="103"/>
      <c r="C58" s="35"/>
      <c r="D58" s="62"/>
      <c r="E58" s="22"/>
      <c r="F58" s="23"/>
      <c r="G58" s="37"/>
      <c r="H58" s="25" t="str">
        <f t="shared" si="0"/>
        <v/>
      </c>
      <c r="I58" s="41"/>
    </row>
    <row r="59" spans="2:9">
      <c r="B59" s="103"/>
      <c r="C59" s="35"/>
      <c r="D59" s="62"/>
      <c r="E59" s="22"/>
      <c r="F59" s="23"/>
      <c r="G59" s="37"/>
      <c r="H59" s="25" t="str">
        <f t="shared" si="0"/>
        <v/>
      </c>
      <c r="I59" s="41"/>
    </row>
    <row r="60" spans="2:9">
      <c r="B60" s="103"/>
      <c r="C60" s="35"/>
      <c r="D60" s="62"/>
      <c r="E60" s="22"/>
      <c r="F60" s="23"/>
      <c r="G60" s="37"/>
      <c r="H60" s="25" t="str">
        <f t="shared" si="0"/>
        <v/>
      </c>
      <c r="I60" s="41"/>
    </row>
    <row r="61" spans="2:9">
      <c r="B61" s="103"/>
      <c r="C61" s="35"/>
      <c r="D61" s="62"/>
      <c r="E61" s="22"/>
      <c r="F61" s="23"/>
      <c r="G61" s="37"/>
      <c r="H61" s="25" t="str">
        <f t="shared" si="0"/>
        <v/>
      </c>
      <c r="I61" s="41"/>
    </row>
    <row r="62" spans="2:9">
      <c r="B62" s="103"/>
      <c r="C62" s="35"/>
      <c r="D62" s="62"/>
      <c r="E62" s="22"/>
      <c r="F62" s="23"/>
      <c r="G62" s="37"/>
      <c r="H62" s="25" t="str">
        <f t="shared" si="0"/>
        <v/>
      </c>
      <c r="I62" s="41"/>
    </row>
    <row r="63" spans="2:9">
      <c r="B63" s="103"/>
      <c r="C63" s="35"/>
      <c r="D63" s="62"/>
      <c r="E63" s="22"/>
      <c r="F63" s="23"/>
      <c r="G63" s="37"/>
      <c r="H63" s="25" t="str">
        <f t="shared" si="0"/>
        <v/>
      </c>
      <c r="I63" s="41"/>
    </row>
    <row r="64" spans="2:9">
      <c r="B64" s="103"/>
      <c r="C64" s="35"/>
      <c r="D64" s="62"/>
      <c r="E64" s="22"/>
      <c r="F64" s="23"/>
      <c r="G64" s="37"/>
      <c r="H64" s="25" t="str">
        <f t="shared" si="0"/>
        <v/>
      </c>
      <c r="I64" s="41"/>
    </row>
    <row r="65" spans="2:9">
      <c r="B65" s="103"/>
      <c r="C65" s="35"/>
      <c r="D65" s="62"/>
      <c r="E65" s="22"/>
      <c r="F65" s="23"/>
      <c r="G65" s="37"/>
      <c r="H65" s="25" t="str">
        <f t="shared" si="0"/>
        <v/>
      </c>
      <c r="I65" s="41"/>
    </row>
    <row r="66" spans="2:9">
      <c r="B66" s="103"/>
      <c r="C66" s="35"/>
      <c r="D66" s="62"/>
      <c r="E66" s="22"/>
      <c r="F66" s="23"/>
      <c r="G66" s="37"/>
      <c r="H66" s="25" t="str">
        <f t="shared" si="0"/>
        <v/>
      </c>
      <c r="I66" s="41"/>
    </row>
    <row r="67" spans="2:9">
      <c r="B67" s="103"/>
      <c r="C67" s="35"/>
      <c r="D67" s="62"/>
      <c r="E67" s="22"/>
      <c r="F67" s="23"/>
      <c r="G67" s="37"/>
      <c r="H67" s="25" t="str">
        <f t="shared" si="0"/>
        <v/>
      </c>
      <c r="I67" s="41"/>
    </row>
    <row r="68" spans="2:9">
      <c r="B68" s="103"/>
      <c r="C68" s="35"/>
      <c r="D68" s="62"/>
      <c r="E68" s="22"/>
      <c r="F68" s="23"/>
      <c r="G68" s="37"/>
      <c r="H68" s="25" t="str">
        <f t="shared" si="0"/>
        <v/>
      </c>
      <c r="I68" s="41"/>
    </row>
    <row r="69" spans="2:9">
      <c r="B69" s="103"/>
      <c r="C69" s="35"/>
      <c r="D69" s="62"/>
      <c r="E69" s="22"/>
      <c r="F69" s="23"/>
      <c r="G69" s="37"/>
      <c r="H69" s="25" t="str">
        <f t="shared" si="0"/>
        <v/>
      </c>
      <c r="I69" s="41"/>
    </row>
    <row r="70" spans="2:9">
      <c r="B70" s="103"/>
      <c r="C70" s="35"/>
      <c r="D70" s="62"/>
      <c r="E70" s="22"/>
      <c r="F70" s="23"/>
      <c r="G70" s="37"/>
      <c r="H70" s="25" t="str">
        <f t="shared" si="0"/>
        <v/>
      </c>
      <c r="I70" s="41"/>
    </row>
    <row r="71" spans="2:9">
      <c r="B71" s="103"/>
      <c r="C71" s="35"/>
      <c r="D71" s="62"/>
      <c r="E71" s="22"/>
      <c r="F71" s="23"/>
      <c r="G71" s="37"/>
      <c r="H71" s="25" t="str">
        <f t="shared" si="0"/>
        <v/>
      </c>
      <c r="I71" s="41"/>
    </row>
    <row r="72" spans="2:9">
      <c r="B72" s="103"/>
      <c r="C72" s="35"/>
      <c r="D72" s="62"/>
      <c r="E72" s="22"/>
      <c r="F72" s="23"/>
      <c r="G72" s="37"/>
      <c r="H72" s="25" t="str">
        <f t="shared" si="0"/>
        <v/>
      </c>
      <c r="I72" s="41"/>
    </row>
    <row r="73" spans="2:9">
      <c r="B73" s="103"/>
      <c r="C73" s="35"/>
      <c r="D73" s="62"/>
      <c r="E73" s="22"/>
      <c r="F73" s="23"/>
      <c r="G73" s="37"/>
      <c r="H73" s="25" t="str">
        <f t="shared" ref="H73:H76" si="1">IF(D73="","",F73*G73)</f>
        <v/>
      </c>
      <c r="I73" s="41"/>
    </row>
    <row r="74" spans="2:9">
      <c r="B74" s="103"/>
      <c r="C74" s="35"/>
      <c r="D74" s="62"/>
      <c r="E74" s="22"/>
      <c r="F74" s="23"/>
      <c r="G74" s="37"/>
      <c r="H74" s="25" t="str">
        <f t="shared" si="1"/>
        <v/>
      </c>
      <c r="I74" s="41"/>
    </row>
    <row r="75" spans="2:9">
      <c r="B75" s="103"/>
      <c r="C75" s="35"/>
      <c r="D75" s="62"/>
      <c r="E75" s="22"/>
      <c r="F75" s="23"/>
      <c r="G75" s="37"/>
      <c r="H75" s="25" t="str">
        <f t="shared" si="1"/>
        <v/>
      </c>
      <c r="I75" s="41"/>
    </row>
    <row r="76" spans="2:9">
      <c r="B76" s="103"/>
      <c r="C76" s="35"/>
      <c r="D76" s="62"/>
      <c r="E76" s="22"/>
      <c r="F76" s="23"/>
      <c r="G76" s="37"/>
      <c r="H76" s="25" t="str">
        <f t="shared" si="1"/>
        <v/>
      </c>
      <c r="I76" s="41"/>
    </row>
    <row r="77" spans="2:9" s="28" customFormat="1" ht="24.95" customHeight="1">
      <c r="B77" s="82" t="str">
        <f>$B$10</f>
        <v>C4.5</v>
      </c>
      <c r="C77" s="29" t="s">
        <v>125</v>
      </c>
      <c r="D77" s="30"/>
      <c r="E77" s="30"/>
      <c r="F77" s="31"/>
      <c r="G77" s="30"/>
      <c r="H77" s="32">
        <f>SUM(H9:H76)</f>
        <v>0</v>
      </c>
      <c r="I77" s="33"/>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1D95-44F4-403A-86E4-3C3F442EEDA3}">
  <sheetPr>
    <tabColor rgb="FF00B0F0"/>
  </sheetPr>
  <dimension ref="A24:I24"/>
  <sheetViews>
    <sheetView view="pageBreakPreview" zoomScaleNormal="100" zoomScaleSheetLayoutView="100" workbookViewId="0">
      <selection activeCell="C27" sqref="C27"/>
    </sheetView>
  </sheetViews>
  <sheetFormatPr defaultRowHeight="12.75"/>
  <sheetData>
    <row r="24" spans="1:9" ht="82.5" customHeight="1">
      <c r="A24" s="674" t="s">
        <v>9</v>
      </c>
      <c r="B24" s="674"/>
      <c r="C24" s="674"/>
      <c r="D24" s="674"/>
      <c r="E24" s="674"/>
      <c r="F24" s="674"/>
      <c r="G24" s="674"/>
      <c r="H24" s="674"/>
      <c r="I24" s="674"/>
    </row>
  </sheetData>
  <sheetProtection algorithmName="SHA-512" hashValue="Jm18b9UPmWIboNCayOGCCJSpnJRv2HcjScWJPHmdh/J/Ix2ie7BuzOWZrUZBCRBc2ZianC+wO3Xdajw5TeFZdQ==" saltValue="kmff67wRu3r9pGGE36AzWQ==" spinCount="100000" sheet="1" objects="1" scenarios="1"/>
  <mergeCells count="1">
    <mergeCell ref="A24:I2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2">
    <tabColor rgb="FF00B0F0"/>
  </sheetPr>
  <dimension ref="B1:O100"/>
  <sheetViews>
    <sheetView view="pageBreakPreview" topLeftCell="A5" zoomScaleNormal="100" zoomScaleSheetLayoutView="100" workbookViewId="0">
      <selection activeCell="AL36" sqref="AL36"/>
    </sheetView>
  </sheetViews>
  <sheetFormatPr defaultColWidth="8.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18.28515625" style="399" bestFit="1" customWidth="1"/>
    <col min="9" max="9" width="41.28515625" style="3" hidden="1" customWidth="1"/>
    <col min="10" max="10" width="0" style="3" hidden="1" customWidth="1"/>
    <col min="11" max="11" width="16.7109375" style="297" hidden="1" customWidth="1"/>
    <col min="12" max="12" width="0" style="3" hidden="1" customWidth="1"/>
    <col min="13" max="13" width="17.85546875" style="414" hidden="1" customWidth="1"/>
    <col min="14" max="14" width="0" style="3" hidden="1" customWidth="1"/>
    <col min="15" max="15" width="26" style="3" hidden="1" customWidth="1"/>
    <col min="16" max="36" width="0" style="3" hidden="1" customWidth="1"/>
    <col min="37" max="16384" width="8.85546875" style="3"/>
  </cols>
  <sheetData>
    <row r="1" spans="2:15" ht="25.5" customHeight="1">
      <c r="B1" s="2" t="str">
        <f>Client1</f>
        <v>AIRPORTS COMPANY - SOUTH AFRICA</v>
      </c>
      <c r="F1" s="9" t="str">
        <f>"Contract No. "&amp;ContractNo</f>
        <v>Contract No. KSIA7806/2025/RFP</v>
      </c>
      <c r="G1" s="413"/>
      <c r="H1" s="408"/>
    </row>
    <row r="2" spans="2:15">
      <c r="B2" s="2" t="str">
        <f>Client2</f>
        <v>ACSA</v>
      </c>
    </row>
    <row r="3" spans="2:15">
      <c r="B3" s="3"/>
    </row>
    <row r="4" spans="2:15">
      <c r="B4" s="695" t="s">
        <v>366</v>
      </c>
      <c r="C4" s="696"/>
      <c r="D4" s="696"/>
      <c r="E4" s="696"/>
      <c r="F4" s="696"/>
      <c r="G4" s="696"/>
      <c r="H4" s="415" t="str">
        <f>"CHAPTER "&amp;B10</f>
        <v>CHAPTER C4.4</v>
      </c>
      <c r="I4" s="676" t="s">
        <v>100</v>
      </c>
    </row>
    <row r="5" spans="2:15"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416"/>
      <c r="I5" s="676"/>
    </row>
    <row r="6" spans="2:15" ht="24" customHeight="1">
      <c r="B6" s="690"/>
      <c r="C6" s="691"/>
      <c r="D6" s="691"/>
      <c r="E6" s="691"/>
      <c r="F6" s="691"/>
      <c r="G6" s="691"/>
      <c r="H6" s="416"/>
      <c r="I6" s="676"/>
    </row>
    <row r="7" spans="2:15" s="2" customFormat="1" ht="7.5" customHeight="1">
      <c r="B7" s="692"/>
      <c r="C7" s="693"/>
      <c r="D7" s="693"/>
      <c r="E7" s="693"/>
      <c r="F7" s="693"/>
      <c r="G7" s="693"/>
      <c r="H7" s="417"/>
      <c r="I7" s="676"/>
      <c r="K7" s="298"/>
      <c r="M7" s="418"/>
    </row>
    <row r="8" spans="2:15" s="2" customFormat="1" ht="24.95" customHeight="1">
      <c r="B8" s="282" t="s">
        <v>11</v>
      </c>
      <c r="C8" s="280" t="s">
        <v>12</v>
      </c>
      <c r="D8" s="280" t="s">
        <v>13</v>
      </c>
      <c r="E8" s="280" t="s">
        <v>14</v>
      </c>
      <c r="F8" s="11" t="s">
        <v>15</v>
      </c>
      <c r="G8" s="409" t="s">
        <v>16</v>
      </c>
      <c r="H8" s="364" t="s">
        <v>17</v>
      </c>
      <c r="I8" s="676"/>
      <c r="K8" s="298"/>
      <c r="M8" s="418"/>
    </row>
    <row r="9" spans="2:15">
      <c r="B9" s="50"/>
      <c r="D9" s="14"/>
      <c r="E9" s="14"/>
      <c r="F9" s="22"/>
      <c r="G9" s="351"/>
      <c r="H9" s="363" t="str">
        <f t="shared" ref="H9:H17" si="0">IF(D9="","",F9*G9)</f>
        <v/>
      </c>
      <c r="I9" s="284"/>
    </row>
    <row r="10" spans="2:15">
      <c r="B10" s="50" t="s">
        <v>836</v>
      </c>
      <c r="C10" s="3" t="s">
        <v>837</v>
      </c>
      <c r="D10" s="14"/>
      <c r="E10" s="14"/>
      <c r="F10" s="22"/>
      <c r="G10" s="351"/>
      <c r="H10" s="363"/>
      <c r="I10" s="284"/>
    </row>
    <row r="11" spans="2:15">
      <c r="B11" s="50"/>
      <c r="D11" s="14"/>
      <c r="E11" s="14"/>
      <c r="F11" s="22"/>
      <c r="G11" s="351"/>
      <c r="H11" s="363"/>
      <c r="I11" s="284"/>
    </row>
    <row r="12" spans="2:15" ht="38.25">
      <c r="B12" s="50" t="s">
        <v>838</v>
      </c>
      <c r="C12" s="52" t="s">
        <v>839</v>
      </c>
      <c r="D12" s="14"/>
      <c r="E12" s="14"/>
      <c r="F12" s="22"/>
      <c r="G12" s="351"/>
      <c r="H12" s="363" t="str">
        <f t="shared" si="0"/>
        <v/>
      </c>
      <c r="I12" s="284"/>
    </row>
    <row r="13" spans="2:15">
      <c r="B13" s="50"/>
      <c r="D13" s="14"/>
      <c r="E13" s="14"/>
      <c r="F13" s="22"/>
      <c r="G13" s="351"/>
      <c r="H13" s="363" t="str">
        <f t="shared" si="0"/>
        <v/>
      </c>
      <c r="I13" s="284"/>
      <c r="O13" s="3">
        <f>1500*2*0.2</f>
        <v>600</v>
      </c>
    </row>
    <row r="14" spans="2:15">
      <c r="B14" s="50" t="s">
        <v>840</v>
      </c>
      <c r="C14" s="3" t="s">
        <v>841</v>
      </c>
      <c r="D14" s="14"/>
      <c r="E14" s="14"/>
      <c r="F14" s="22"/>
      <c r="G14" s="351"/>
      <c r="H14" s="363" t="str">
        <f t="shared" si="0"/>
        <v/>
      </c>
      <c r="I14" s="284"/>
    </row>
    <row r="15" spans="2:15">
      <c r="B15" s="50"/>
      <c r="D15" s="14"/>
      <c r="E15" s="14"/>
      <c r="F15" s="22"/>
      <c r="G15" s="351"/>
      <c r="H15" s="363" t="str">
        <f t="shared" si="0"/>
        <v/>
      </c>
      <c r="I15" s="284"/>
    </row>
    <row r="16" spans="2:15" ht="14.25">
      <c r="B16" s="50" t="s">
        <v>842</v>
      </c>
      <c r="C16" s="3" t="s">
        <v>843</v>
      </c>
      <c r="D16" s="14" t="s">
        <v>386</v>
      </c>
      <c r="E16" s="50"/>
      <c r="F16" s="323">
        <v>1000</v>
      </c>
      <c r="G16" s="587"/>
      <c r="H16" s="363">
        <f t="shared" si="0"/>
        <v>0</v>
      </c>
      <c r="I16" s="420"/>
      <c r="K16" s="297">
        <f>23000*2*0.15</f>
        <v>6900</v>
      </c>
      <c r="O16" s="414"/>
    </row>
    <row r="17" spans="2:15">
      <c r="B17" s="50"/>
      <c r="D17" s="14"/>
      <c r="E17" s="50"/>
      <c r="F17" s="354"/>
      <c r="G17" s="587"/>
      <c r="H17" s="363" t="str">
        <f t="shared" si="0"/>
        <v/>
      </c>
      <c r="I17" s="420"/>
      <c r="O17" s="414"/>
    </row>
    <row r="18" spans="2:15" ht="12.95" hidden="1" customHeight="1">
      <c r="B18" s="421"/>
      <c r="D18" s="14"/>
      <c r="E18" s="14"/>
      <c r="F18" s="31"/>
      <c r="G18" s="587"/>
      <c r="H18" s="363" t="str">
        <f>IF(D18="","",#REF!*G18)</f>
        <v/>
      </c>
      <c r="I18" s="284"/>
      <c r="O18" s="414"/>
    </row>
    <row r="19" spans="2:15" s="2" customFormat="1" ht="19.5" hidden="1" customHeight="1">
      <c r="B19" s="411" t="str">
        <f>$B$10</f>
        <v>C4.4</v>
      </c>
      <c r="C19" s="276" t="s">
        <v>99</v>
      </c>
      <c r="D19" s="287"/>
      <c r="E19" s="287"/>
      <c r="F19" s="9" t="str">
        <f>"Contract No. "&amp;ContractNo</f>
        <v>Contract No. KSIA7806/2025/RFP</v>
      </c>
      <c r="G19" s="594"/>
      <c r="H19" s="363" t="str">
        <f t="shared" ref="H19:H31" si="1">IF(D19="","",F18*G19)</f>
        <v/>
      </c>
      <c r="I19" s="289"/>
      <c r="K19" s="298"/>
      <c r="L19" s="3"/>
      <c r="M19" s="418"/>
      <c r="O19" s="414"/>
    </row>
    <row r="20" spans="2:15" ht="12.95" hidden="1" customHeight="1">
      <c r="B20" s="2" t="str">
        <f>Client1</f>
        <v>AIRPORTS COMPANY - SOUTH AFRICA</v>
      </c>
      <c r="C20" s="2"/>
      <c r="D20" s="2"/>
      <c r="E20" s="2"/>
      <c r="F20" s="9"/>
      <c r="G20" s="595"/>
      <c r="H20" s="363" t="str">
        <f t="shared" si="1"/>
        <v/>
      </c>
      <c r="O20" s="414"/>
    </row>
    <row r="21" spans="2:15" ht="12.95" hidden="1" customHeight="1">
      <c r="B21" s="2" t="str">
        <f>Client2</f>
        <v>ACSA</v>
      </c>
      <c r="C21" s="2"/>
      <c r="D21" s="2"/>
      <c r="E21" s="2"/>
      <c r="F21" s="386"/>
      <c r="G21" s="595"/>
      <c r="H21" s="363" t="str">
        <f t="shared" si="1"/>
        <v/>
      </c>
      <c r="O21" s="414"/>
    </row>
    <row r="22" spans="2:15" ht="12.95" hidden="1" customHeight="1">
      <c r="B22" s="71"/>
      <c r="C22" s="71"/>
      <c r="D22" s="71"/>
      <c r="E22" s="71"/>
      <c r="F22" s="422"/>
      <c r="G22" s="596"/>
      <c r="H22" s="363" t="str">
        <f t="shared" si="1"/>
        <v/>
      </c>
      <c r="O22" s="414"/>
    </row>
    <row r="23" spans="2:15" ht="12.95" hidden="1" customHeight="1">
      <c r="B23" s="390" t="s">
        <v>456</v>
      </c>
      <c r="C23" s="391"/>
      <c r="D23" s="391"/>
      <c r="E23" s="391"/>
      <c r="F23" s="12"/>
      <c r="G23" s="597"/>
      <c r="H23" s="363" t="str">
        <f t="shared" si="1"/>
        <v/>
      </c>
      <c r="I23" s="2"/>
      <c r="O23" s="414"/>
    </row>
    <row r="24" spans="2:15" ht="12.95" hidden="1" customHeight="1">
      <c r="B24" s="387" t="str">
        <f>ContractDescription</f>
        <v>PROCUREMENT OF A CIDB GRADE 9 CE CONTRACTOR THE COMPLETION OF BRAVO TAXIWAY EXTENSION AT KING SHAKA INTERNATIONAL AIRPORT FOR A PERIOD OF 12 MONTHS AT KING SHAKA INTERNATIONAL AIRPORT</v>
      </c>
      <c r="C24" s="7"/>
      <c r="D24" s="7"/>
      <c r="E24" s="7"/>
      <c r="F24" s="12"/>
      <c r="G24" s="598"/>
      <c r="H24" s="363" t="str">
        <f t="shared" si="1"/>
        <v/>
      </c>
      <c r="I24" s="8"/>
      <c r="O24" s="414"/>
    </row>
    <row r="25" spans="2:15" ht="12.95" hidden="1" customHeight="1">
      <c r="B25" s="387"/>
      <c r="C25" s="7"/>
      <c r="D25" s="7"/>
      <c r="E25" s="7"/>
      <c r="F25" s="407"/>
      <c r="G25" s="598"/>
      <c r="H25" s="363" t="str">
        <f t="shared" si="1"/>
        <v/>
      </c>
      <c r="I25" s="8"/>
      <c r="O25" s="414"/>
    </row>
    <row r="26" spans="2:15" ht="12.95" hidden="1" customHeight="1">
      <c r="B26" s="388"/>
      <c r="C26" s="389"/>
      <c r="D26" s="389"/>
      <c r="E26" s="389"/>
      <c r="F26" s="11" t="s">
        <v>15</v>
      </c>
      <c r="G26" s="599"/>
      <c r="H26" s="363" t="str">
        <f t="shared" si="1"/>
        <v/>
      </c>
      <c r="I26" s="8"/>
      <c r="O26" s="414"/>
    </row>
    <row r="27" spans="2:15" s="2" customFormat="1" ht="24.95" hidden="1" customHeight="1">
      <c r="B27" s="282" t="s">
        <v>11</v>
      </c>
      <c r="C27" s="280" t="s">
        <v>12</v>
      </c>
      <c r="D27" s="280" t="s">
        <v>13</v>
      </c>
      <c r="E27" s="280" t="s">
        <v>14</v>
      </c>
      <c r="F27" s="31"/>
      <c r="G27" s="600"/>
      <c r="H27" s="363" t="e">
        <f t="shared" si="1"/>
        <v>#VALUE!</v>
      </c>
      <c r="I27" s="7"/>
      <c r="K27" s="298"/>
      <c r="L27" s="3"/>
      <c r="M27" s="418"/>
      <c r="O27" s="414"/>
    </row>
    <row r="28" spans="2:15" s="2" customFormat="1" ht="19.5" hidden="1" customHeight="1">
      <c r="B28" s="411"/>
      <c r="C28" s="276" t="s">
        <v>140</v>
      </c>
      <c r="D28" s="287"/>
      <c r="E28" s="287"/>
      <c r="F28" s="22"/>
      <c r="G28" s="594"/>
      <c r="H28" s="363" t="str">
        <f t="shared" si="1"/>
        <v/>
      </c>
      <c r="I28" s="289"/>
      <c r="K28" s="298"/>
      <c r="L28" s="3"/>
      <c r="M28" s="418"/>
      <c r="O28" s="414"/>
    </row>
    <row r="29" spans="2:15" ht="12.95" hidden="1" customHeight="1">
      <c r="B29" s="421"/>
      <c r="D29" s="14"/>
      <c r="E29" s="14"/>
      <c r="F29" s="22"/>
      <c r="G29" s="587"/>
      <c r="H29" s="363" t="str">
        <f t="shared" si="1"/>
        <v/>
      </c>
      <c r="I29" s="284"/>
      <c r="O29" s="414"/>
    </row>
    <row r="30" spans="2:15">
      <c r="B30" s="50" t="s">
        <v>844</v>
      </c>
      <c r="C30" s="3" t="s">
        <v>845</v>
      </c>
      <c r="D30" s="14"/>
      <c r="E30" s="14"/>
      <c r="F30" s="22"/>
      <c r="G30" s="587"/>
      <c r="H30" s="363" t="str">
        <f t="shared" si="1"/>
        <v/>
      </c>
      <c r="I30" s="284"/>
      <c r="O30" s="414"/>
    </row>
    <row r="31" spans="2:15">
      <c r="B31" s="50"/>
      <c r="D31" s="14"/>
      <c r="E31" s="14"/>
      <c r="F31" s="240"/>
      <c r="G31" s="587"/>
      <c r="H31" s="363" t="str">
        <f t="shared" si="1"/>
        <v/>
      </c>
      <c r="I31" s="284"/>
      <c r="O31" s="414"/>
    </row>
    <row r="32" spans="2:15" ht="14.25">
      <c r="B32" s="13" t="s">
        <v>83</v>
      </c>
      <c r="C32" s="3" t="s">
        <v>846</v>
      </c>
      <c r="D32" s="14" t="s">
        <v>386</v>
      </c>
      <c r="E32" s="14"/>
      <c r="F32" s="240">
        <v>4000</v>
      </c>
      <c r="G32" s="587"/>
      <c r="H32" s="363">
        <f>G32*F32</f>
        <v>0</v>
      </c>
      <c r="I32" s="284"/>
      <c r="K32" s="297" t="s">
        <v>847</v>
      </c>
      <c r="L32" s="3">
        <f>440*15*3</f>
        <v>19800</v>
      </c>
      <c r="O32" s="414"/>
    </row>
    <row r="33" spans="2:15">
      <c r="B33" s="13"/>
      <c r="D33" s="14"/>
      <c r="E33" s="14"/>
      <c r="F33" s="240"/>
      <c r="G33" s="587"/>
      <c r="H33" s="363"/>
      <c r="I33" s="284"/>
      <c r="O33" s="414"/>
    </row>
    <row r="34" spans="2:15" ht="27.6" customHeight="1">
      <c r="B34" s="50" t="s">
        <v>848</v>
      </c>
      <c r="C34" s="53" t="s">
        <v>849</v>
      </c>
      <c r="D34" s="50"/>
      <c r="E34" s="14"/>
      <c r="F34" s="240"/>
      <c r="G34" s="587"/>
      <c r="H34" s="363" t="str">
        <f>IF(D34="","",#REF!*G34)</f>
        <v/>
      </c>
      <c r="I34" s="284"/>
      <c r="O34" s="414"/>
    </row>
    <row r="35" spans="2:15">
      <c r="B35" s="421"/>
      <c r="D35" s="14"/>
      <c r="E35" s="14"/>
      <c r="F35" s="240"/>
      <c r="G35" s="351"/>
      <c r="H35" s="363" t="str">
        <f t="shared" ref="H35:H37" si="2">IF(D35="","",F34*G35)</f>
        <v/>
      </c>
      <c r="I35" s="284"/>
      <c r="O35" s="414"/>
    </row>
    <row r="36" spans="2:15">
      <c r="B36" s="50" t="s">
        <v>850</v>
      </c>
      <c r="C36" s="34" t="s">
        <v>851</v>
      </c>
      <c r="D36" s="50" t="s">
        <v>52</v>
      </c>
      <c r="E36" s="14"/>
      <c r="F36" s="240">
        <v>1</v>
      </c>
      <c r="G36" s="351">
        <v>75000</v>
      </c>
      <c r="H36" s="363">
        <f>IF(D36="","",F36*G36)</f>
        <v>75000</v>
      </c>
      <c r="I36" s="284"/>
      <c r="O36" s="414"/>
    </row>
    <row r="37" spans="2:15">
      <c r="B37" s="421"/>
      <c r="D37" s="14"/>
      <c r="E37" s="14"/>
      <c r="F37" s="240"/>
      <c r="G37" s="351"/>
      <c r="H37" s="363" t="str">
        <f t="shared" si="2"/>
        <v/>
      </c>
      <c r="I37" s="284"/>
      <c r="O37" s="414"/>
    </row>
    <row r="38" spans="2:15">
      <c r="B38" s="421" t="s">
        <v>852</v>
      </c>
      <c r="C38" s="3" t="s">
        <v>853</v>
      </c>
      <c r="D38" s="421" t="s">
        <v>55</v>
      </c>
      <c r="E38" s="14"/>
      <c r="F38" s="240">
        <f>H36</f>
        <v>75000</v>
      </c>
      <c r="G38" s="587"/>
      <c r="H38" s="363">
        <f>G38*F38</f>
        <v>0</v>
      </c>
      <c r="I38" s="284"/>
      <c r="O38" s="414"/>
    </row>
    <row r="39" spans="2:15">
      <c r="B39" s="424"/>
      <c r="C39" s="71"/>
      <c r="D39" s="424"/>
      <c r="E39" s="425"/>
      <c r="F39" s="355"/>
      <c r="G39" s="376"/>
      <c r="H39" s="365"/>
      <c r="I39" s="284"/>
      <c r="O39" s="414"/>
    </row>
    <row r="40" spans="2:15" s="2" customFormat="1" ht="24.95" customHeight="1">
      <c r="B40" s="426" t="str">
        <f>$B$10</f>
        <v>C4.4</v>
      </c>
      <c r="C40" s="392" t="s">
        <v>125</v>
      </c>
      <c r="D40" s="392"/>
      <c r="E40" s="392"/>
      <c r="F40" s="386"/>
      <c r="G40" s="423"/>
      <c r="H40" s="366">
        <f>H16+H32+H36+H38</f>
        <v>75000</v>
      </c>
      <c r="I40" s="289"/>
      <c r="K40" s="298"/>
      <c r="M40" s="418"/>
      <c r="O40" s="414"/>
    </row>
    <row r="41" spans="2:15">
      <c r="O41" s="414"/>
    </row>
    <row r="42" spans="2:15">
      <c r="O42" s="414"/>
    </row>
    <row r="43" spans="2:15">
      <c r="O43" s="414"/>
    </row>
    <row r="44" spans="2:15">
      <c r="O44" s="414"/>
    </row>
    <row r="45" spans="2:15">
      <c r="O45" s="414"/>
    </row>
    <row r="91" spans="6:6">
      <c r="F91" s="352"/>
    </row>
    <row r="92" spans="6:6">
      <c r="F92" s="352"/>
    </row>
    <row r="93" spans="6:6">
      <c r="F93" s="352"/>
    </row>
    <row r="94" spans="6:6">
      <c r="F94" s="352"/>
    </row>
    <row r="95" spans="6:6">
      <c r="F95" s="352"/>
    </row>
    <row r="96" spans="6:6">
      <c r="F96" s="352"/>
    </row>
    <row r="97" spans="6:6">
      <c r="F97" s="352"/>
    </row>
    <row r="98" spans="6:6">
      <c r="F98" s="352"/>
    </row>
    <row r="99" spans="6:6">
      <c r="F99" s="352"/>
    </row>
    <row r="100" spans="6:6">
      <c r="F100" s="352"/>
    </row>
  </sheetData>
  <sheetProtection algorithmName="SHA-512" hashValue="e7c/YrKxc58P6xJpJDuOi2Z8k+Uv2vZDWlTcf+mHeL0sN7XUeT05107Blp0zQBm3VVBGzVwLs9xtjm8TxX47CA==" saltValue="XHfNf/l41fY9mU+s+keQSQ==" spinCount="100000" sheet="1" objects="1" scenarios="1"/>
  <mergeCells count="3">
    <mergeCell ref="B4:G4"/>
    <mergeCell ref="B5:G7"/>
    <mergeCell ref="I4:I8"/>
  </mergeCells>
  <pageMargins left="0.43307086614173229" right="0.31496062992125984" top="0.43307086614173229" bottom="0.62992125984251968" header="0.35433070866141736" footer="0.31496062992125984"/>
  <pageSetup paperSize="9" scale="58"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B1:O112"/>
  <sheetViews>
    <sheetView workbookViewId="0"/>
  </sheetViews>
  <sheetFormatPr defaultColWidth="6.85546875" defaultRowHeight="12.75"/>
  <cols>
    <col min="1" max="1" width="0.85546875" style="214" customWidth="1"/>
    <col min="2" max="2" width="11.7109375" style="229" customWidth="1"/>
    <col min="3" max="3" width="45.7109375" style="177" customWidth="1"/>
    <col min="4" max="4" width="13.7109375" style="212" customWidth="1"/>
    <col min="5" max="5" width="5.7109375" style="212" customWidth="1"/>
    <col min="6" max="7" width="15.7109375" style="212" customWidth="1"/>
    <col min="8" max="8" width="17.85546875" style="213" bestFit="1" customWidth="1"/>
    <col min="9" max="9" width="0.85546875" style="213" customWidth="1"/>
    <col min="10" max="10" width="6.85546875" style="214"/>
    <col min="11" max="11" width="45.5703125" style="214" customWidth="1"/>
    <col min="12" max="12" width="11.85546875" style="214" bestFit="1" customWidth="1"/>
    <col min="13" max="14" width="6.85546875" style="214"/>
    <col min="15" max="15" width="23" style="214" customWidth="1"/>
    <col min="16" max="16384" width="6.85546875" style="214"/>
  </cols>
  <sheetData>
    <row r="1" spans="2:15">
      <c r="B1" s="753" t="str">
        <f>Client1</f>
        <v>AIRPORTS COMPANY - SOUTH AFRICA</v>
      </c>
      <c r="C1" s="757"/>
      <c r="F1" s="761" t="str">
        <f>"Contract No. "&amp;ContractNo</f>
        <v>Contract No. KSIA7806/2025/RFP</v>
      </c>
      <c r="G1" s="761"/>
      <c r="H1" s="761"/>
    </row>
    <row r="2" spans="2:15">
      <c r="B2" s="753" t="str">
        <f>Client2</f>
        <v>ACSA</v>
      </c>
      <c r="C2" s="757"/>
    </row>
    <row r="3" spans="2:15">
      <c r="B3" s="215"/>
      <c r="C3" s="211"/>
      <c r="D3" s="215"/>
      <c r="E3" s="215"/>
      <c r="F3" s="215"/>
      <c r="G3" s="215"/>
      <c r="H3" s="216"/>
    </row>
    <row r="4" spans="2:15" ht="12.75" customHeight="1">
      <c r="B4" s="759" t="s">
        <v>456</v>
      </c>
      <c r="C4" s="760"/>
      <c r="D4" s="760"/>
      <c r="E4" s="760"/>
      <c r="F4" s="760"/>
      <c r="G4" s="760"/>
      <c r="H4" s="756" t="str">
        <f>"CHAPTER "&amp;B10</f>
        <v>CHAPTER C5.1</v>
      </c>
      <c r="I4" s="217"/>
    </row>
    <row r="5" spans="2:15"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57"/>
      <c r="I5" s="180"/>
    </row>
    <row r="6" spans="2:15" ht="12.75" customHeight="1">
      <c r="B6" s="752"/>
      <c r="C6" s="753"/>
      <c r="D6" s="753"/>
      <c r="E6" s="753"/>
      <c r="F6" s="753"/>
      <c r="G6" s="753"/>
      <c r="H6" s="757"/>
      <c r="I6" s="180"/>
    </row>
    <row r="7" spans="2:15" ht="7.5" customHeight="1">
      <c r="B7" s="754"/>
      <c r="C7" s="755"/>
      <c r="D7" s="755"/>
      <c r="E7" s="755"/>
      <c r="F7" s="755"/>
      <c r="G7" s="755"/>
      <c r="H7" s="758"/>
      <c r="I7" s="180"/>
    </row>
    <row r="8" spans="2:15" s="182" customFormat="1" ht="24.95" customHeight="1">
      <c r="B8" s="203" t="s">
        <v>11</v>
      </c>
      <c r="C8" s="181" t="s">
        <v>12</v>
      </c>
      <c r="D8" s="181" t="s">
        <v>13</v>
      </c>
      <c r="E8" s="181" t="s">
        <v>14</v>
      </c>
      <c r="F8" s="181" t="s">
        <v>15</v>
      </c>
      <c r="G8" s="181" t="s">
        <v>16</v>
      </c>
      <c r="H8" s="181" t="s">
        <v>17</v>
      </c>
    </row>
    <row r="9" spans="2:15">
      <c r="B9" s="207"/>
      <c r="C9" s="175"/>
      <c r="D9" s="186"/>
      <c r="E9" s="186"/>
      <c r="F9" s="186"/>
      <c r="G9" s="186"/>
      <c r="H9" s="184" t="str">
        <f t="shared" ref="H9:H34" si="0">IF(D9="","",F9*G9)</f>
        <v/>
      </c>
      <c r="I9" s="187"/>
    </row>
    <row r="10" spans="2:15">
      <c r="B10" s="218" t="s">
        <v>854</v>
      </c>
      <c r="C10" s="185" t="s">
        <v>855</v>
      </c>
      <c r="D10" s="186"/>
      <c r="E10" s="186"/>
      <c r="F10" s="186"/>
      <c r="G10" s="186"/>
      <c r="H10" s="184" t="str">
        <f t="shared" si="0"/>
        <v/>
      </c>
      <c r="I10" s="187"/>
    </row>
    <row r="11" spans="2:15">
      <c r="B11" s="207"/>
      <c r="C11" s="175"/>
      <c r="D11" s="186"/>
      <c r="E11" s="186"/>
      <c r="F11" s="186"/>
      <c r="G11" s="186"/>
      <c r="H11" s="184" t="str">
        <f t="shared" si="0"/>
        <v/>
      </c>
      <c r="I11" s="187"/>
    </row>
    <row r="12" spans="2:15">
      <c r="B12" s="218" t="s">
        <v>856</v>
      </c>
      <c r="C12" s="185" t="s">
        <v>857</v>
      </c>
      <c r="D12" s="186"/>
      <c r="E12" s="186"/>
      <c r="F12" s="186"/>
      <c r="G12" s="186"/>
      <c r="H12" s="184" t="str">
        <f t="shared" si="0"/>
        <v/>
      </c>
      <c r="I12" s="187"/>
    </row>
    <row r="13" spans="2:15">
      <c r="B13" s="207"/>
      <c r="C13" s="175"/>
      <c r="D13" s="186"/>
      <c r="E13" s="186"/>
      <c r="F13" s="186"/>
      <c r="G13" s="186"/>
      <c r="H13" s="184" t="str">
        <f t="shared" si="0"/>
        <v/>
      </c>
      <c r="I13" s="187"/>
    </row>
    <row r="14" spans="2:15" ht="15">
      <c r="B14" s="207" t="s">
        <v>858</v>
      </c>
      <c r="C14" s="175" t="s">
        <v>859</v>
      </c>
      <c r="D14" s="186" t="s">
        <v>434</v>
      </c>
      <c r="E14" s="186"/>
      <c r="F14" s="188">
        <v>0</v>
      </c>
      <c r="G14" s="220">
        <v>55</v>
      </c>
      <c r="H14" s="184">
        <f t="shared" si="0"/>
        <v>0</v>
      </c>
      <c r="I14" s="190"/>
      <c r="K14" s="214">
        <f>L14/G14</f>
        <v>33176.727272727272</v>
      </c>
      <c r="L14" s="263">
        <v>1824720</v>
      </c>
      <c r="O14" s="264">
        <f>L14-H14</f>
        <v>1824720</v>
      </c>
    </row>
    <row r="15" spans="2:15">
      <c r="B15" s="207"/>
      <c r="C15" s="175"/>
      <c r="D15" s="186"/>
      <c r="E15" s="186"/>
      <c r="F15" s="188"/>
      <c r="G15" s="220"/>
      <c r="H15" s="184" t="str">
        <f t="shared" si="0"/>
        <v/>
      </c>
      <c r="I15" s="190"/>
      <c r="L15" s="263" t="s">
        <v>128</v>
      </c>
      <c r="O15" s="264"/>
    </row>
    <row r="16" spans="2:15" hidden="1">
      <c r="B16" s="207"/>
      <c r="C16" s="175"/>
      <c r="D16" s="186"/>
      <c r="E16" s="186"/>
      <c r="F16" s="188"/>
      <c r="G16" s="189"/>
      <c r="H16" s="184" t="str">
        <f t="shared" si="0"/>
        <v/>
      </c>
      <c r="I16" s="187"/>
      <c r="L16" s="263" t="s">
        <v>128</v>
      </c>
      <c r="O16" s="264"/>
    </row>
    <row r="17" spans="2:15" hidden="1">
      <c r="B17" s="207"/>
      <c r="C17" s="175"/>
      <c r="D17" s="186"/>
      <c r="E17" s="186"/>
      <c r="F17" s="186"/>
      <c r="G17" s="189"/>
      <c r="H17" s="184"/>
      <c r="I17" s="187"/>
      <c r="L17" s="263">
        <v>0</v>
      </c>
      <c r="O17" s="264"/>
    </row>
    <row r="18" spans="2:15" s="199" customFormat="1" ht="19.5" hidden="1" customHeight="1">
      <c r="B18" s="227" t="str">
        <f>$B$10</f>
        <v>C5.1</v>
      </c>
      <c r="C18" s="194" t="s">
        <v>99</v>
      </c>
      <c r="D18" s="195"/>
      <c r="E18" s="195"/>
      <c r="F18" s="196"/>
      <c r="G18" s="196"/>
      <c r="H18" s="197">
        <f>SUM(H9:H17)</f>
        <v>0</v>
      </c>
      <c r="I18" s="198"/>
      <c r="K18" s="214"/>
      <c r="L18" s="263">
        <v>2044720</v>
      </c>
      <c r="O18" s="264"/>
    </row>
    <row r="19" spans="2:15" s="179" customFormat="1" hidden="1">
      <c r="B19" s="745" t="str">
        <f>Client1</f>
        <v>AIRPORTS COMPANY - SOUTH AFRICA</v>
      </c>
      <c r="C19" s="745"/>
      <c r="D19" s="745"/>
      <c r="E19" s="745"/>
      <c r="F19" s="746" t="str">
        <f>"Contract No. "&amp;ContractNo</f>
        <v>Contract No. KSIA7806/2025/RFP</v>
      </c>
      <c r="G19" s="746"/>
      <c r="H19" s="746"/>
      <c r="I19" s="178"/>
      <c r="K19" s="214"/>
      <c r="L19" s="263">
        <v>0</v>
      </c>
      <c r="O19" s="264"/>
    </row>
    <row r="20" spans="2:15" s="179" customFormat="1" hidden="1">
      <c r="B20" s="745" t="str">
        <f>Client2</f>
        <v>ACSA</v>
      </c>
      <c r="C20" s="745"/>
      <c r="D20" s="745"/>
      <c r="E20" s="745"/>
      <c r="F20" s="746"/>
      <c r="G20" s="746"/>
      <c r="H20" s="746"/>
      <c r="I20" s="178"/>
      <c r="K20" s="214"/>
      <c r="L20" s="263">
        <v>0</v>
      </c>
      <c r="O20" s="264"/>
    </row>
    <row r="21" spans="2:15" s="179" customFormat="1" hidden="1">
      <c r="B21" s="748"/>
      <c r="C21" s="748"/>
      <c r="D21" s="748"/>
      <c r="E21" s="748"/>
      <c r="F21" s="747"/>
      <c r="G21" s="747"/>
      <c r="H21" s="747"/>
      <c r="I21" s="178"/>
      <c r="K21" s="214"/>
      <c r="L21" s="263">
        <v>0</v>
      </c>
      <c r="O21" s="264"/>
    </row>
    <row r="22" spans="2:15" s="179" customFormat="1" ht="25.5" hidden="1">
      <c r="B22" s="749" t="s">
        <v>456</v>
      </c>
      <c r="C22" s="750"/>
      <c r="D22" s="750"/>
      <c r="E22" s="750"/>
      <c r="F22" s="750"/>
      <c r="G22" s="750"/>
      <c r="H22" s="751" t="str">
        <f>$H$4</f>
        <v>CHAPTER C5.1</v>
      </c>
      <c r="I22" s="234"/>
      <c r="K22" s="214"/>
      <c r="L22" s="263" t="s">
        <v>860</v>
      </c>
      <c r="O22" s="264"/>
    </row>
    <row r="23" spans="2:15" s="179" customFormat="1" hidden="1">
      <c r="B23" s="752" t="str">
        <f>ContractDescription</f>
        <v>PROCUREMENT OF A CIDB GRADE 9 CE CONTRACTOR THE COMPLETION OF BRAVO TAXIWAY EXTENSION AT KING SHAKA INTERNATIONAL AIRPORT FOR A PERIOD OF 12 MONTHS AT KING SHAKA INTERNATIONAL AIRPORT</v>
      </c>
      <c r="C23" s="753"/>
      <c r="D23" s="753"/>
      <c r="E23" s="753"/>
      <c r="F23" s="753"/>
      <c r="G23" s="753"/>
      <c r="H23" s="746"/>
      <c r="I23" s="180"/>
      <c r="K23" s="214"/>
      <c r="L23" s="263">
        <v>0</v>
      </c>
      <c r="O23" s="264"/>
    </row>
    <row r="24" spans="2:15" s="179" customFormat="1" hidden="1">
      <c r="B24" s="752"/>
      <c r="C24" s="753"/>
      <c r="D24" s="753"/>
      <c r="E24" s="753"/>
      <c r="F24" s="753"/>
      <c r="G24" s="753"/>
      <c r="H24" s="746"/>
      <c r="I24" s="180"/>
      <c r="K24" s="214"/>
      <c r="L24" s="263">
        <v>0</v>
      </c>
      <c r="O24" s="264"/>
    </row>
    <row r="25" spans="2:15" s="179" customFormat="1" hidden="1">
      <c r="B25" s="754"/>
      <c r="C25" s="755"/>
      <c r="D25" s="755"/>
      <c r="E25" s="755"/>
      <c r="F25" s="755"/>
      <c r="G25" s="755"/>
      <c r="H25" s="747"/>
      <c r="I25" s="180"/>
      <c r="K25" s="214"/>
      <c r="L25" s="263">
        <v>0</v>
      </c>
      <c r="O25" s="264"/>
    </row>
    <row r="26" spans="2:15" s="183" customFormat="1" ht="24.95" hidden="1" customHeight="1">
      <c r="B26" s="203" t="s">
        <v>11</v>
      </c>
      <c r="C26" s="181" t="s">
        <v>12</v>
      </c>
      <c r="D26" s="181" t="s">
        <v>13</v>
      </c>
      <c r="E26" s="181" t="s">
        <v>14</v>
      </c>
      <c r="F26" s="181" t="s">
        <v>15</v>
      </c>
      <c r="G26" s="181" t="s">
        <v>16</v>
      </c>
      <c r="H26" s="181" t="s">
        <v>17</v>
      </c>
      <c r="I26" s="182"/>
      <c r="K26" s="214"/>
      <c r="L26" s="263" t="s">
        <v>17</v>
      </c>
      <c r="O26" s="264"/>
    </row>
    <row r="27" spans="2:15" s="199" customFormat="1" ht="19.5" hidden="1" customHeight="1">
      <c r="B27" s="227"/>
      <c r="C27" s="194" t="s">
        <v>140</v>
      </c>
      <c r="D27" s="195"/>
      <c r="E27" s="195"/>
      <c r="F27" s="196"/>
      <c r="G27" s="196"/>
      <c r="H27" s="197">
        <f>H18</f>
        <v>0</v>
      </c>
      <c r="I27" s="198"/>
      <c r="K27" s="214"/>
      <c r="L27" s="263">
        <v>2044720</v>
      </c>
      <c r="O27" s="264"/>
    </row>
    <row r="28" spans="2:15" hidden="1">
      <c r="B28" s="207"/>
      <c r="C28" s="175"/>
      <c r="D28" s="186"/>
      <c r="E28" s="186"/>
      <c r="F28" s="186"/>
      <c r="G28" s="189"/>
      <c r="H28" s="184"/>
      <c r="I28" s="187"/>
      <c r="L28" s="263">
        <v>0</v>
      </c>
      <c r="O28" s="264"/>
    </row>
    <row r="29" spans="2:15">
      <c r="B29" s="207" t="s">
        <v>861</v>
      </c>
      <c r="C29" s="175" t="s">
        <v>862</v>
      </c>
      <c r="D29" s="186"/>
      <c r="E29" s="186"/>
      <c r="F29" s="186"/>
      <c r="G29" s="189"/>
      <c r="H29" s="184" t="str">
        <f t="shared" si="0"/>
        <v/>
      </c>
      <c r="I29" s="187"/>
      <c r="L29" s="263" t="s">
        <v>128</v>
      </c>
      <c r="O29" s="264"/>
    </row>
    <row r="30" spans="2:15">
      <c r="B30" s="207"/>
      <c r="C30" s="175"/>
      <c r="D30" s="186"/>
      <c r="E30" s="186"/>
      <c r="F30" s="186"/>
      <c r="G30" s="189"/>
      <c r="H30" s="184" t="str">
        <f t="shared" si="0"/>
        <v/>
      </c>
      <c r="I30" s="187"/>
      <c r="L30" s="263" t="s">
        <v>128</v>
      </c>
      <c r="O30" s="264"/>
    </row>
    <row r="31" spans="2:15">
      <c r="B31" s="207" t="s">
        <v>863</v>
      </c>
      <c r="C31" s="175" t="s">
        <v>864</v>
      </c>
      <c r="D31" s="186"/>
      <c r="E31" s="186"/>
      <c r="F31" s="186"/>
      <c r="G31" s="189"/>
      <c r="H31" s="184" t="str">
        <f t="shared" si="0"/>
        <v/>
      </c>
      <c r="I31" s="187"/>
      <c r="L31" s="263" t="s">
        <v>128</v>
      </c>
      <c r="O31" s="264"/>
    </row>
    <row r="32" spans="2:15">
      <c r="B32" s="207"/>
      <c r="C32" s="175"/>
      <c r="D32" s="186"/>
      <c r="E32" s="186"/>
      <c r="F32" s="186"/>
      <c r="G32" s="189"/>
      <c r="H32" s="184" t="str">
        <f t="shared" si="0"/>
        <v/>
      </c>
      <c r="I32" s="187"/>
      <c r="L32" s="263" t="s">
        <v>128</v>
      </c>
      <c r="O32" s="264"/>
    </row>
    <row r="33" spans="2:15" ht="15">
      <c r="B33" s="207" t="s">
        <v>83</v>
      </c>
      <c r="C33" s="175" t="s">
        <v>865</v>
      </c>
      <c r="D33" s="186" t="s">
        <v>434</v>
      </c>
      <c r="E33" s="186"/>
      <c r="F33" s="188">
        <v>0</v>
      </c>
      <c r="G33" s="206">
        <v>55</v>
      </c>
      <c r="H33" s="184">
        <f t="shared" si="0"/>
        <v>0</v>
      </c>
      <c r="I33" s="187"/>
      <c r="K33" s="214">
        <f t="shared" ref="K33:K37" si="1">L33/G33</f>
        <v>5672.727272727273</v>
      </c>
      <c r="L33" s="263">
        <v>312000</v>
      </c>
      <c r="O33" s="264">
        <f t="shared" ref="O33:O40" si="2">L33-H33</f>
        <v>312000</v>
      </c>
    </row>
    <row r="34" spans="2:15">
      <c r="B34" s="207"/>
      <c r="C34" s="175"/>
      <c r="D34" s="186"/>
      <c r="E34" s="186"/>
      <c r="F34" s="188"/>
      <c r="G34" s="206"/>
      <c r="H34" s="184" t="str">
        <f t="shared" si="0"/>
        <v/>
      </c>
      <c r="I34" s="187"/>
      <c r="L34" s="263" t="s">
        <v>128</v>
      </c>
      <c r="O34" s="264"/>
    </row>
    <row r="35" spans="2:15">
      <c r="B35" s="207" t="s">
        <v>863</v>
      </c>
      <c r="C35" s="175" t="s">
        <v>866</v>
      </c>
      <c r="D35" s="186"/>
      <c r="E35" s="186"/>
      <c r="F35" s="188"/>
      <c r="G35" s="206"/>
      <c r="H35" s="184" t="str">
        <f t="shared" ref="H35:H38" si="3">IF(D35="","",F35*G35)</f>
        <v/>
      </c>
      <c r="I35" s="187"/>
      <c r="L35" s="263" t="s">
        <v>128</v>
      </c>
      <c r="O35" s="264"/>
    </row>
    <row r="36" spans="2:15">
      <c r="B36" s="207"/>
      <c r="C36" s="175"/>
      <c r="D36" s="186"/>
      <c r="E36" s="186"/>
      <c r="F36" s="188"/>
      <c r="G36" s="206"/>
      <c r="H36" s="184" t="str">
        <f t="shared" si="3"/>
        <v/>
      </c>
      <c r="I36" s="187"/>
      <c r="L36" s="263" t="s">
        <v>128</v>
      </c>
      <c r="O36" s="264"/>
    </row>
    <row r="37" spans="2:15" ht="15">
      <c r="B37" s="207" t="s">
        <v>83</v>
      </c>
      <c r="C37" s="175" t="s">
        <v>865</v>
      </c>
      <c r="D37" s="186" t="s">
        <v>434</v>
      </c>
      <c r="E37" s="186"/>
      <c r="F37" s="188">
        <v>0</v>
      </c>
      <c r="G37" s="206">
        <v>45</v>
      </c>
      <c r="H37" s="184">
        <f t="shared" si="3"/>
        <v>0</v>
      </c>
      <c r="I37" s="187"/>
      <c r="K37" s="214">
        <f t="shared" si="1"/>
        <v>4622.2222222222226</v>
      </c>
      <c r="L37" s="263">
        <v>208000</v>
      </c>
      <c r="O37" s="264">
        <f t="shared" si="2"/>
        <v>208000</v>
      </c>
    </row>
    <row r="38" spans="2:15">
      <c r="B38" s="207"/>
      <c r="C38" s="175"/>
      <c r="D38" s="186"/>
      <c r="E38" s="186"/>
      <c r="F38" s="188"/>
      <c r="G38" s="206"/>
      <c r="H38" s="184" t="str">
        <f t="shared" si="3"/>
        <v/>
      </c>
      <c r="I38" s="187"/>
      <c r="O38" s="264"/>
    </row>
    <row r="39" spans="2:15">
      <c r="B39" s="207"/>
      <c r="C39" s="175"/>
      <c r="D39" s="186"/>
      <c r="E39" s="186"/>
      <c r="F39" s="186"/>
      <c r="G39" s="206"/>
      <c r="H39" s="184"/>
      <c r="I39" s="187"/>
      <c r="O39" s="264">
        <f t="shared" si="2"/>
        <v>0</v>
      </c>
    </row>
    <row r="40" spans="2:15" s="199" customFormat="1" ht="24.95" customHeight="1">
      <c r="B40" s="228" t="str">
        <f>$B$10</f>
        <v>C5.1</v>
      </c>
      <c r="C40" s="194" t="s">
        <v>125</v>
      </c>
      <c r="D40" s="195"/>
      <c r="E40" s="195"/>
      <c r="F40" s="196"/>
      <c r="G40" s="208"/>
      <c r="H40" s="197">
        <f>H14+H33+H37</f>
        <v>0</v>
      </c>
      <c r="I40" s="198"/>
      <c r="K40" s="214"/>
      <c r="L40" s="265" t="e">
        <f>L14+#REF!+#REF!+#REF!+L33+L37</f>
        <v>#REF!</v>
      </c>
      <c r="O40" s="264" t="e">
        <f t="shared" si="2"/>
        <v>#REF!</v>
      </c>
    </row>
    <row r="41" spans="2:15">
      <c r="G41" s="226"/>
    </row>
    <row r="42" spans="2:15">
      <c r="G42" s="226"/>
    </row>
    <row r="43" spans="2:15">
      <c r="G43" s="226"/>
    </row>
    <row r="44" spans="2:15">
      <c r="G44" s="226"/>
    </row>
    <row r="45" spans="2:15">
      <c r="G45" s="226"/>
    </row>
    <row r="46" spans="2:15">
      <c r="G46" s="226"/>
    </row>
    <row r="47" spans="2:15">
      <c r="G47" s="226"/>
    </row>
    <row r="48" spans="2:15">
      <c r="G48" s="226"/>
    </row>
    <row r="49" spans="7:7">
      <c r="G49" s="226"/>
    </row>
    <row r="50" spans="7:7">
      <c r="G50" s="226"/>
    </row>
    <row r="51" spans="7:7">
      <c r="G51" s="226"/>
    </row>
    <row r="52" spans="7:7">
      <c r="G52" s="226"/>
    </row>
    <row r="53" spans="7:7">
      <c r="G53" s="226"/>
    </row>
    <row r="54" spans="7:7">
      <c r="G54" s="226"/>
    </row>
    <row r="55" spans="7:7">
      <c r="G55" s="226"/>
    </row>
    <row r="56" spans="7:7">
      <c r="G56" s="226"/>
    </row>
    <row r="57" spans="7:7">
      <c r="G57" s="226"/>
    </row>
    <row r="103" spans="6:6">
      <c r="F103" s="231"/>
    </row>
    <row r="104" spans="6:6">
      <c r="F104" s="231"/>
    </row>
    <row r="105" spans="6:6">
      <c r="F105" s="231"/>
    </row>
    <row r="106" spans="6:6">
      <c r="F106" s="231"/>
    </row>
    <row r="107" spans="6:6">
      <c r="F107" s="231"/>
    </row>
    <row r="108" spans="6:6">
      <c r="F108" s="231"/>
    </row>
    <row r="109" spans="6:6">
      <c r="F109" s="231"/>
    </row>
    <row r="110" spans="6:6">
      <c r="F110" s="231"/>
    </row>
    <row r="111" spans="6:6">
      <c r="F111" s="231"/>
    </row>
    <row r="112" spans="6:6">
      <c r="F112" s="231"/>
    </row>
  </sheetData>
  <mergeCells count="13">
    <mergeCell ref="B5:G7"/>
    <mergeCell ref="H4:H7"/>
    <mergeCell ref="B4:G4"/>
    <mergeCell ref="F1:H1"/>
    <mergeCell ref="B1:C1"/>
    <mergeCell ref="B2:C2"/>
    <mergeCell ref="B19:E19"/>
    <mergeCell ref="F19:H21"/>
    <mergeCell ref="B20:E20"/>
    <mergeCell ref="B21:E21"/>
    <mergeCell ref="B22:G22"/>
    <mergeCell ref="H22:H25"/>
    <mergeCell ref="B23:G25"/>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00B0F0"/>
  </sheetPr>
  <dimension ref="B1:I98"/>
  <sheetViews>
    <sheetView view="pageBreakPreview" topLeftCell="A3" zoomScaleNormal="100" zoomScaleSheetLayoutView="100" workbookViewId="0">
      <selection activeCell="AL38" sqref="AL38"/>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18.5703125" style="399" bestFit="1" customWidth="1"/>
    <col min="9" max="9" width="39.85546875" style="3" hidden="1" customWidth="1"/>
    <col min="10" max="36" width="0" style="3" hidden="1" customWidth="1"/>
    <col min="37" max="16384" width="6.85546875" style="3"/>
  </cols>
  <sheetData>
    <row r="1" spans="2:9" ht="25.5" customHeight="1">
      <c r="B1" s="2" t="str">
        <f>Client1</f>
        <v>AIRPORTS COMPANY - SOUTH AFRICA</v>
      </c>
      <c r="F1" s="676" t="str">
        <f>"Contract No. "&amp;ContractNo</f>
        <v>Contract No. KSIA7806/2025/RFP</v>
      </c>
      <c r="G1" s="676"/>
      <c r="H1" s="676"/>
    </row>
    <row r="2" spans="2:9">
      <c r="B2" s="2" t="str">
        <f>Client2</f>
        <v>ACSA</v>
      </c>
    </row>
    <row r="3" spans="2:9">
      <c r="B3" s="71"/>
      <c r="C3" s="71"/>
      <c r="D3" s="71"/>
      <c r="E3" s="71"/>
      <c r="F3" s="72"/>
      <c r="G3" s="400"/>
      <c r="H3" s="401"/>
    </row>
    <row r="4" spans="2:9">
      <c r="B4" s="695" t="s">
        <v>366</v>
      </c>
      <c r="C4" s="696"/>
      <c r="D4" s="696"/>
      <c r="E4" s="696"/>
      <c r="F4" s="696"/>
      <c r="G4" s="696"/>
      <c r="H4" s="684" t="str">
        <f>"CHAPTER "&amp;B10</f>
        <v>CHAPTER C5.2</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c r="I5" s="676"/>
    </row>
    <row r="6" spans="2:9" ht="12.75" customHeight="1">
      <c r="B6" s="690"/>
      <c r="C6" s="691"/>
      <c r="D6" s="691"/>
      <c r="E6" s="691"/>
      <c r="F6" s="691"/>
      <c r="G6" s="691"/>
      <c r="H6" s="694"/>
      <c r="I6" s="676"/>
    </row>
    <row r="7" spans="2:9" ht="7.5" customHeight="1">
      <c r="B7" s="692"/>
      <c r="C7" s="693"/>
      <c r="D7" s="693"/>
      <c r="E7" s="693"/>
      <c r="F7" s="693"/>
      <c r="G7" s="693"/>
      <c r="H7" s="686"/>
      <c r="I7" s="676"/>
    </row>
    <row r="8" spans="2:9" s="2" customFormat="1" ht="24.95" customHeight="1">
      <c r="B8" s="282" t="s">
        <v>11</v>
      </c>
      <c r="C8" s="280" t="s">
        <v>12</v>
      </c>
      <c r="D8" s="280" t="s">
        <v>13</v>
      </c>
      <c r="E8" s="280" t="s">
        <v>14</v>
      </c>
      <c r="F8" s="11" t="s">
        <v>15</v>
      </c>
      <c r="G8" s="409" t="s">
        <v>16</v>
      </c>
      <c r="H8" s="364" t="s">
        <v>17</v>
      </c>
      <c r="I8" s="676"/>
    </row>
    <row r="9" spans="2:9">
      <c r="B9" s="13"/>
      <c r="C9" s="14"/>
      <c r="D9" s="14"/>
      <c r="E9" s="14"/>
      <c r="F9" s="22"/>
      <c r="G9" s="410"/>
      <c r="H9" s="363" t="str">
        <f t="shared" ref="H9:H20" si="0">IF(D9="","",F9*G9)</f>
        <v/>
      </c>
      <c r="I9" s="284"/>
    </row>
    <row r="10" spans="2:9">
      <c r="B10" s="19" t="s">
        <v>867</v>
      </c>
      <c r="C10" s="20" t="s">
        <v>868</v>
      </c>
      <c r="D10" s="14"/>
      <c r="E10" s="14"/>
      <c r="F10" s="22"/>
      <c r="G10" s="410"/>
      <c r="H10" s="363" t="str">
        <f t="shared" si="0"/>
        <v/>
      </c>
      <c r="I10" s="284"/>
    </row>
    <row r="11" spans="2:9">
      <c r="B11" s="13"/>
      <c r="C11" s="14"/>
      <c r="D11" s="14"/>
      <c r="E11" s="14"/>
      <c r="F11" s="22"/>
      <c r="G11" s="410"/>
      <c r="H11" s="363" t="str">
        <f t="shared" si="0"/>
        <v/>
      </c>
      <c r="I11" s="284"/>
    </row>
    <row r="12" spans="2:9">
      <c r="B12" s="13" t="s">
        <v>869</v>
      </c>
      <c r="C12" s="14" t="s">
        <v>870</v>
      </c>
      <c r="D12" s="14"/>
      <c r="E12" s="14"/>
      <c r="F12" s="240"/>
      <c r="G12" s="410"/>
      <c r="H12" s="363" t="str">
        <f t="shared" si="0"/>
        <v/>
      </c>
      <c r="I12" s="284"/>
    </row>
    <row r="13" spans="2:9">
      <c r="B13" s="13"/>
      <c r="C13" s="14"/>
      <c r="D13" s="14"/>
      <c r="E13" s="14"/>
      <c r="F13" s="240"/>
      <c r="G13" s="410"/>
      <c r="H13" s="363" t="str">
        <f t="shared" si="0"/>
        <v/>
      </c>
      <c r="I13" s="284"/>
    </row>
    <row r="14" spans="2:9" ht="25.5">
      <c r="B14" s="13" t="s">
        <v>871</v>
      </c>
      <c r="C14" s="14" t="s">
        <v>872</v>
      </c>
      <c r="D14" s="14"/>
      <c r="E14" s="14"/>
      <c r="F14" s="240"/>
      <c r="G14" s="410"/>
      <c r="H14" s="363" t="str">
        <f t="shared" si="0"/>
        <v/>
      </c>
      <c r="I14" s="284"/>
    </row>
    <row r="15" spans="2:9">
      <c r="B15" s="13"/>
      <c r="C15" s="14"/>
      <c r="D15" s="14"/>
      <c r="E15" s="14"/>
      <c r="F15" s="240"/>
      <c r="G15" s="586"/>
      <c r="H15" s="363" t="str">
        <f t="shared" si="0"/>
        <v/>
      </c>
      <c r="I15" s="284"/>
    </row>
    <row r="16" spans="2:9" ht="14.25">
      <c r="B16" s="13" t="s">
        <v>83</v>
      </c>
      <c r="C16" s="14" t="s">
        <v>873</v>
      </c>
      <c r="D16" s="14" t="s">
        <v>386</v>
      </c>
      <c r="E16" s="14"/>
      <c r="F16" s="240">
        <v>4000</v>
      </c>
      <c r="G16" s="586"/>
      <c r="H16" s="363">
        <f t="shared" si="0"/>
        <v>0</v>
      </c>
      <c r="I16" s="284"/>
    </row>
    <row r="17" spans="2:9">
      <c r="B17" s="13"/>
      <c r="C17" s="100"/>
      <c r="D17" s="14"/>
      <c r="E17" s="14"/>
      <c r="F17" s="240"/>
      <c r="G17" s="586"/>
      <c r="H17" s="363"/>
      <c r="I17" s="284"/>
    </row>
    <row r="18" spans="2:9" ht="38.25">
      <c r="B18" s="13" t="s">
        <v>874</v>
      </c>
      <c r="C18" s="14" t="s">
        <v>875</v>
      </c>
      <c r="D18" s="14" t="s">
        <v>386</v>
      </c>
      <c r="E18" s="14"/>
      <c r="F18" s="22">
        <v>1000</v>
      </c>
      <c r="G18" s="586"/>
      <c r="H18" s="363">
        <f t="shared" ref="H18" si="1">IF(D18="","",F18*G18)</f>
        <v>0</v>
      </c>
      <c r="I18" s="284"/>
    </row>
    <row r="19" spans="2:9">
      <c r="B19" s="13"/>
      <c r="C19" s="100"/>
      <c r="D19" s="14"/>
      <c r="E19" s="14"/>
      <c r="F19" s="240"/>
      <c r="G19" s="410"/>
      <c r="H19" s="363" t="str">
        <f t="shared" si="0"/>
        <v/>
      </c>
      <c r="I19" s="284"/>
    </row>
    <row r="20" spans="2:9" hidden="1">
      <c r="B20" s="13"/>
      <c r="C20" s="14"/>
      <c r="D20" s="14"/>
      <c r="E20" s="14"/>
      <c r="F20" s="22"/>
      <c r="G20" s="351"/>
      <c r="H20" s="363" t="str">
        <f t="shared" si="0"/>
        <v/>
      </c>
      <c r="I20" s="284"/>
    </row>
    <row r="21" spans="2:9" hidden="1">
      <c r="B21" s="13"/>
      <c r="C21" s="14"/>
      <c r="D21" s="14"/>
      <c r="E21" s="14"/>
      <c r="F21" s="22"/>
      <c r="G21" s="351"/>
      <c r="H21" s="363"/>
      <c r="I21" s="284"/>
    </row>
    <row r="22" spans="2:9" hidden="1">
      <c r="B22" s="13"/>
      <c r="C22" s="14"/>
      <c r="D22" s="14"/>
      <c r="E22" s="14"/>
      <c r="F22" s="22"/>
      <c r="G22" s="351"/>
      <c r="H22" s="363"/>
      <c r="I22" s="284"/>
    </row>
    <row r="23" spans="2:9" hidden="1">
      <c r="B23" s="13"/>
      <c r="C23" s="14"/>
      <c r="D23" s="14"/>
      <c r="E23" s="14"/>
      <c r="F23" s="22"/>
      <c r="G23" s="351"/>
      <c r="H23" s="363"/>
      <c r="I23" s="284"/>
    </row>
    <row r="24" spans="2:9" hidden="1">
      <c r="B24" s="13"/>
      <c r="C24" s="14"/>
      <c r="D24" s="14"/>
      <c r="E24" s="14"/>
      <c r="F24" s="22"/>
      <c r="G24" s="351"/>
      <c r="H24" s="363"/>
      <c r="I24" s="284"/>
    </row>
    <row r="25" spans="2:9" hidden="1">
      <c r="B25" s="13"/>
      <c r="C25" s="14"/>
      <c r="D25" s="14"/>
      <c r="E25" s="14"/>
      <c r="F25" s="22"/>
      <c r="G25" s="351"/>
      <c r="H25" s="363"/>
      <c r="I25" s="284"/>
    </row>
    <row r="26" spans="2:9" hidden="1">
      <c r="B26" s="13"/>
      <c r="C26" s="14"/>
      <c r="D26" s="14"/>
      <c r="E26" s="14"/>
      <c r="F26" s="22"/>
      <c r="G26" s="351"/>
      <c r="H26" s="363"/>
      <c r="I26" s="284"/>
    </row>
    <row r="27" spans="2:9" s="2" customFormat="1" ht="19.5" hidden="1" customHeight="1">
      <c r="B27" s="411" t="str">
        <f>$B$10</f>
        <v>C5.2</v>
      </c>
      <c r="C27" s="276" t="s">
        <v>99</v>
      </c>
      <c r="D27" s="287"/>
      <c r="E27" s="287"/>
      <c r="F27" s="31"/>
      <c r="G27" s="412"/>
      <c r="H27" s="364">
        <f>SUM(H9:H26)</f>
        <v>0</v>
      </c>
      <c r="I27" s="289"/>
    </row>
    <row r="28" spans="2:9" hidden="1">
      <c r="B28" s="697" t="str">
        <f>Client1</f>
        <v>AIRPORTS COMPANY - SOUTH AFRICA</v>
      </c>
      <c r="C28" s="697"/>
      <c r="D28" s="697"/>
      <c r="E28" s="697"/>
      <c r="F28" s="676" t="str">
        <f>"Contract No. "&amp;ContractNo</f>
        <v>Contract No. KSIA7806/2025/RFP</v>
      </c>
      <c r="G28" s="676"/>
      <c r="H28" s="676"/>
    </row>
    <row r="29" spans="2:9" hidden="1">
      <c r="B29" s="697" t="str">
        <f>Client2</f>
        <v>ACSA</v>
      </c>
      <c r="C29" s="697"/>
      <c r="D29" s="697"/>
      <c r="E29" s="697"/>
      <c r="F29" s="676"/>
      <c r="G29" s="676"/>
      <c r="H29" s="676"/>
    </row>
    <row r="30" spans="2:9" hidden="1">
      <c r="B30" s="700"/>
      <c r="C30" s="700"/>
      <c r="D30" s="700"/>
      <c r="E30" s="700"/>
      <c r="F30" s="677"/>
      <c r="G30" s="677"/>
      <c r="H30" s="677"/>
    </row>
    <row r="31" spans="2:9" hidden="1">
      <c r="B31" s="695" t="s">
        <v>456</v>
      </c>
      <c r="C31" s="696"/>
      <c r="D31" s="696"/>
      <c r="E31" s="696"/>
      <c r="F31" s="696"/>
      <c r="G31" s="696"/>
      <c r="H31" s="684" t="str">
        <f>$H$4</f>
        <v>CHAPTER C5.2</v>
      </c>
      <c r="I31" s="2"/>
    </row>
    <row r="32" spans="2:9" hidden="1">
      <c r="B32" s="690" t="str">
        <f>ContractDescription</f>
        <v>PROCUREMENT OF A CIDB GRADE 9 CE CONTRACTOR THE COMPLETION OF BRAVO TAXIWAY EXTENSION AT KING SHAKA INTERNATIONAL AIRPORT FOR A PERIOD OF 12 MONTHS AT KING SHAKA INTERNATIONAL AIRPORT</v>
      </c>
      <c r="C32" s="691"/>
      <c r="D32" s="691"/>
      <c r="E32" s="691"/>
      <c r="F32" s="691"/>
      <c r="G32" s="691"/>
      <c r="H32" s="694"/>
      <c r="I32" s="8"/>
    </row>
    <row r="33" spans="2:9" hidden="1">
      <c r="B33" s="690"/>
      <c r="C33" s="691"/>
      <c r="D33" s="691"/>
      <c r="E33" s="691"/>
      <c r="F33" s="691"/>
      <c r="G33" s="691"/>
      <c r="H33" s="694"/>
      <c r="I33" s="8"/>
    </row>
    <row r="34" spans="2:9" hidden="1">
      <c r="B34" s="692"/>
      <c r="C34" s="693"/>
      <c r="D34" s="693"/>
      <c r="E34" s="693"/>
      <c r="F34" s="693"/>
      <c r="G34" s="693"/>
      <c r="H34" s="686"/>
      <c r="I34" s="8"/>
    </row>
    <row r="35" spans="2:9" s="2" customFormat="1" ht="24.95" hidden="1" customHeight="1">
      <c r="B35" s="282" t="s">
        <v>11</v>
      </c>
      <c r="C35" s="280" t="s">
        <v>12</v>
      </c>
      <c r="D35" s="280" t="s">
        <v>13</v>
      </c>
      <c r="E35" s="280" t="s">
        <v>14</v>
      </c>
      <c r="F35" s="11" t="s">
        <v>15</v>
      </c>
      <c r="G35" s="409" t="s">
        <v>16</v>
      </c>
      <c r="H35" s="364" t="s">
        <v>17</v>
      </c>
      <c r="I35" s="7"/>
    </row>
    <row r="36" spans="2:9" s="2" customFormat="1" ht="19.5" hidden="1" customHeight="1">
      <c r="B36" s="411"/>
      <c r="C36" s="276" t="s">
        <v>140</v>
      </c>
      <c r="D36" s="287"/>
      <c r="E36" s="287"/>
      <c r="F36" s="31"/>
      <c r="G36" s="412"/>
      <c r="H36" s="364">
        <f>H27</f>
        <v>0</v>
      </c>
      <c r="I36" s="289"/>
    </row>
    <row r="37" spans="2:9" hidden="1">
      <c r="B37" s="13"/>
      <c r="C37" s="14"/>
      <c r="D37" s="14"/>
      <c r="E37" s="14"/>
      <c r="F37" s="22"/>
      <c r="G37" s="351"/>
      <c r="H37" s="363"/>
      <c r="I37" s="284"/>
    </row>
    <row r="38" spans="2:9" ht="25.5">
      <c r="B38" s="13" t="s">
        <v>876</v>
      </c>
      <c r="C38" s="14" t="s">
        <v>877</v>
      </c>
      <c r="D38" s="14"/>
      <c r="E38" s="14"/>
      <c r="F38" s="22"/>
      <c r="G38" s="351"/>
      <c r="H38" s="363" t="str">
        <f t="shared" ref="H38:H42" si="2">IF(D38="","",F38*G38)</f>
        <v/>
      </c>
      <c r="I38" s="284"/>
    </row>
    <row r="39" spans="2:9">
      <c r="B39" s="13"/>
      <c r="C39" s="50"/>
      <c r="D39" s="14"/>
      <c r="E39" s="14"/>
      <c r="F39" s="22"/>
      <c r="G39" s="351"/>
      <c r="H39" s="363" t="str">
        <f t="shared" si="2"/>
        <v/>
      </c>
      <c r="I39" s="284"/>
    </row>
    <row r="40" spans="2:9" ht="14.25">
      <c r="B40" s="13" t="s">
        <v>878</v>
      </c>
      <c r="C40" s="14" t="s">
        <v>879</v>
      </c>
      <c r="D40" s="14" t="s">
        <v>124</v>
      </c>
      <c r="E40" s="14"/>
      <c r="F40" s="240">
        <v>1000</v>
      </c>
      <c r="G40" s="587"/>
      <c r="H40" s="363">
        <f t="shared" si="2"/>
        <v>0</v>
      </c>
      <c r="I40" s="284"/>
    </row>
    <row r="41" spans="2:9">
      <c r="B41" s="13"/>
      <c r="C41" s="14"/>
      <c r="D41" s="14"/>
      <c r="E41" s="14"/>
      <c r="F41" s="22"/>
      <c r="G41" s="351"/>
      <c r="H41" s="363" t="str">
        <f t="shared" si="2"/>
        <v/>
      </c>
      <c r="I41" s="284"/>
    </row>
    <row r="42" spans="2:9">
      <c r="B42" s="13"/>
      <c r="C42" s="14"/>
      <c r="D42" s="14"/>
      <c r="E42" s="14"/>
      <c r="F42" s="22"/>
      <c r="G42" s="351"/>
      <c r="H42" s="363" t="str">
        <f t="shared" si="2"/>
        <v/>
      </c>
      <c r="I42" s="284"/>
    </row>
    <row r="43" spans="2:9" s="2" customFormat="1" ht="24.95" customHeight="1">
      <c r="B43" s="290" t="str">
        <f>$B$10</f>
        <v>C5.2</v>
      </c>
      <c r="C43" s="276" t="s">
        <v>125</v>
      </c>
      <c r="D43" s="287"/>
      <c r="E43" s="287"/>
      <c r="F43" s="31"/>
      <c r="G43" s="412"/>
      <c r="H43" s="364">
        <f>H16+H18+H40</f>
        <v>0</v>
      </c>
      <c r="I43" s="289"/>
    </row>
    <row r="89" spans="6:6">
      <c r="F89" s="352"/>
    </row>
    <row r="90" spans="6:6">
      <c r="F90" s="352"/>
    </row>
    <row r="91" spans="6:6">
      <c r="F91" s="352"/>
    </row>
    <row r="92" spans="6:6">
      <c r="F92" s="352"/>
    </row>
    <row r="93" spans="6:6">
      <c r="F93" s="352"/>
    </row>
    <row r="94" spans="6:6">
      <c r="F94" s="352"/>
    </row>
    <row r="95" spans="6:6">
      <c r="F95" s="352"/>
    </row>
    <row r="96" spans="6:6">
      <c r="F96" s="352"/>
    </row>
    <row r="97" spans="6:6">
      <c r="F97" s="352"/>
    </row>
    <row r="98" spans="6:6">
      <c r="F98" s="352"/>
    </row>
  </sheetData>
  <sheetProtection algorithmName="SHA-512" hashValue="8Bf5br3v+cKmRH2Of6Jf8DOHjsb4DcKPKuGU2alJpJyQbuB/6VgmXS7V+ubEWJlkPlf+6h5L+xOEE0b4qdf6Tw==" saltValue="cUuqaGiBp1Sqp/nZ1DOfiA==" spinCount="100000" sheet="1" objects="1" scenarios="1"/>
  <mergeCells count="12">
    <mergeCell ref="I4:I8"/>
    <mergeCell ref="B31:G31"/>
    <mergeCell ref="H31:H34"/>
    <mergeCell ref="B32:G34"/>
    <mergeCell ref="F1:H1"/>
    <mergeCell ref="B5:G7"/>
    <mergeCell ref="H4:H7"/>
    <mergeCell ref="B4:G4"/>
    <mergeCell ref="B28:E28"/>
    <mergeCell ref="F28:H30"/>
    <mergeCell ref="B29:E29"/>
    <mergeCell ref="B30:E30"/>
  </mergeCells>
  <phoneticPr fontId="17" type="noConversion"/>
  <pageMargins left="0.43307086614173229" right="0.31496062992125984" top="0.43307086614173229" bottom="0.62992125984251968" header="0.35433070866141736" footer="0.31496062992125984"/>
  <pageSetup paperSize="9" scale="53"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B1:Y102"/>
  <sheetViews>
    <sheetView workbookViewId="0"/>
  </sheetViews>
  <sheetFormatPr defaultColWidth="6.85546875" defaultRowHeight="12.75"/>
  <cols>
    <col min="1" max="1" width="0.85546875" style="179" customWidth="1"/>
    <col min="2" max="2" width="11.7109375" style="209" customWidth="1"/>
    <col min="3" max="3" width="43.7109375" style="177" customWidth="1"/>
    <col min="4" max="4" width="13.7109375" style="200" customWidth="1"/>
    <col min="5" max="5" width="5.7109375" style="200" customWidth="1"/>
    <col min="6" max="7" width="15.7109375" style="200" customWidth="1"/>
    <col min="8" max="8" width="15.7109375" style="178" customWidth="1"/>
    <col min="9" max="9" width="0.85546875" style="178" customWidth="1"/>
    <col min="10" max="21" width="6.85546875" style="179"/>
    <col min="22" max="22" width="18" style="179" customWidth="1"/>
    <col min="23" max="24" width="6.85546875" style="179"/>
    <col min="25" max="25" width="22.140625" style="179" customWidth="1"/>
    <col min="26" max="16384" width="6.85546875" style="179"/>
  </cols>
  <sheetData>
    <row r="1" spans="2:25">
      <c r="B1" s="232" t="str">
        <f>Client1</f>
        <v>AIRPORTS COMPANY - SOUTH AFRICA</v>
      </c>
      <c r="F1" s="746" t="str">
        <f>"Contract No. "&amp;ContractNo</f>
        <v>Contract No. KSIA7806/2025/RFP</v>
      </c>
      <c r="G1" s="746"/>
      <c r="H1" s="746"/>
    </row>
    <row r="2" spans="2:25">
      <c r="B2" s="232" t="str">
        <f>Client2</f>
        <v>ACSA</v>
      </c>
    </row>
    <row r="3" spans="2:25">
      <c r="B3" s="233"/>
      <c r="C3" s="211"/>
      <c r="D3" s="233"/>
      <c r="E3" s="233"/>
      <c r="F3" s="233"/>
      <c r="G3" s="233"/>
      <c r="H3" s="202"/>
    </row>
    <row r="4" spans="2:25">
      <c r="B4" s="749" t="s">
        <v>456</v>
      </c>
      <c r="C4" s="750"/>
      <c r="D4" s="750"/>
      <c r="E4" s="750"/>
      <c r="F4" s="750"/>
      <c r="G4" s="750"/>
      <c r="H4" s="767" t="str">
        <f>"CHAPTER "&amp;B10</f>
        <v>CHAPTER C5.3</v>
      </c>
      <c r="I4" s="234"/>
    </row>
    <row r="5" spans="2:25"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68"/>
      <c r="I5" s="180"/>
    </row>
    <row r="6" spans="2:25" ht="12.75" customHeight="1">
      <c r="B6" s="752"/>
      <c r="C6" s="753"/>
      <c r="D6" s="753"/>
      <c r="E6" s="753"/>
      <c r="F6" s="753"/>
      <c r="G6" s="753"/>
      <c r="H6" s="768"/>
      <c r="I6" s="180"/>
    </row>
    <row r="7" spans="2:25" ht="7.5" customHeight="1">
      <c r="B7" s="754"/>
      <c r="C7" s="755"/>
      <c r="D7" s="755"/>
      <c r="E7" s="755"/>
      <c r="F7" s="755"/>
      <c r="G7" s="755"/>
      <c r="H7" s="769"/>
      <c r="I7" s="180"/>
    </row>
    <row r="8" spans="2:25" s="183" customFormat="1" ht="24.95" customHeight="1">
      <c r="B8" s="203" t="s">
        <v>11</v>
      </c>
      <c r="C8" s="181" t="s">
        <v>12</v>
      </c>
      <c r="D8" s="181" t="s">
        <v>13</v>
      </c>
      <c r="E8" s="181" t="s">
        <v>14</v>
      </c>
      <c r="F8" s="181" t="s">
        <v>15</v>
      </c>
      <c r="G8" s="181" t="s">
        <v>16</v>
      </c>
      <c r="H8" s="181" t="s">
        <v>17</v>
      </c>
      <c r="I8" s="182"/>
    </row>
    <row r="9" spans="2:25">
      <c r="B9" s="207"/>
      <c r="C9" s="175"/>
      <c r="D9" s="186"/>
      <c r="E9" s="186"/>
      <c r="F9" s="186"/>
      <c r="G9" s="186"/>
      <c r="H9" s="184" t="str">
        <f>IF(D9="","",F9*G9)</f>
        <v/>
      </c>
      <c r="I9" s="187"/>
    </row>
    <row r="10" spans="2:25">
      <c r="B10" s="218" t="s">
        <v>880</v>
      </c>
      <c r="C10" s="185" t="s">
        <v>881</v>
      </c>
      <c r="D10" s="186"/>
      <c r="E10" s="186"/>
      <c r="F10" s="186"/>
      <c r="G10" s="186"/>
      <c r="H10" s="184" t="str">
        <f t="shared" ref="H10:H17" si="0">IF(D10="","",F10*G10)</f>
        <v/>
      </c>
      <c r="I10" s="187"/>
    </row>
    <row r="11" spans="2:25">
      <c r="B11" s="207"/>
      <c r="C11" s="175"/>
      <c r="D11" s="186"/>
      <c r="E11" s="186"/>
      <c r="F11" s="186"/>
      <c r="G11" s="186"/>
      <c r="H11" s="184" t="str">
        <f t="shared" si="0"/>
        <v/>
      </c>
      <c r="I11" s="187"/>
      <c r="V11" s="266"/>
    </row>
    <row r="12" spans="2:25">
      <c r="B12" s="207" t="s">
        <v>882</v>
      </c>
      <c r="C12" s="175" t="s">
        <v>883</v>
      </c>
      <c r="D12" s="186"/>
      <c r="E12" s="186"/>
      <c r="F12" s="188"/>
      <c r="G12" s="189"/>
      <c r="H12" s="184" t="str">
        <f t="shared" si="0"/>
        <v/>
      </c>
      <c r="I12" s="190"/>
      <c r="V12" s="258"/>
      <c r="Y12" s="260"/>
    </row>
    <row r="13" spans="2:25">
      <c r="B13" s="207"/>
      <c r="C13" s="175"/>
      <c r="D13" s="186"/>
      <c r="E13" s="186"/>
      <c r="F13" s="188"/>
      <c r="G13" s="189"/>
      <c r="H13" s="184" t="str">
        <f t="shared" si="0"/>
        <v/>
      </c>
      <c r="I13" s="190"/>
      <c r="V13" s="258"/>
      <c r="Y13" s="260"/>
    </row>
    <row r="14" spans="2:25" ht="25.5">
      <c r="B14" s="207" t="s">
        <v>884</v>
      </c>
      <c r="C14" s="175" t="s">
        <v>235</v>
      </c>
      <c r="D14" s="186"/>
      <c r="E14" s="186"/>
      <c r="F14" s="188"/>
      <c r="G14" s="189"/>
      <c r="H14" s="184" t="str">
        <f t="shared" si="0"/>
        <v/>
      </c>
      <c r="I14" s="190"/>
      <c r="V14" s="258"/>
      <c r="Y14" s="260"/>
    </row>
    <row r="15" spans="2:25">
      <c r="B15" s="207"/>
      <c r="C15" s="175"/>
      <c r="D15" s="186"/>
      <c r="E15" s="186"/>
      <c r="F15" s="188"/>
      <c r="G15" s="189"/>
      <c r="H15" s="184" t="str">
        <f t="shared" si="0"/>
        <v/>
      </c>
      <c r="I15" s="190"/>
      <c r="V15" s="258"/>
      <c r="Y15" s="260"/>
    </row>
    <row r="16" spans="2:25" ht="25.5">
      <c r="B16" s="207" t="s">
        <v>117</v>
      </c>
      <c r="C16" s="175" t="s">
        <v>885</v>
      </c>
      <c r="D16" s="186" t="s">
        <v>886</v>
      </c>
      <c r="E16" s="186"/>
      <c r="F16" s="188">
        <v>0</v>
      </c>
      <c r="G16" s="186">
        <v>100</v>
      </c>
      <c r="H16" s="184">
        <f t="shared" si="0"/>
        <v>0</v>
      </c>
      <c r="J16" s="187"/>
      <c r="K16" s="179" t="s">
        <v>887</v>
      </c>
      <c r="V16" s="258"/>
      <c r="Y16" s="260"/>
    </row>
    <row r="17" spans="2:25">
      <c r="B17" s="207"/>
      <c r="C17" s="175"/>
      <c r="D17" s="186"/>
      <c r="E17" s="186"/>
      <c r="F17" s="186"/>
      <c r="G17" s="186"/>
      <c r="H17" s="184" t="str">
        <f t="shared" si="0"/>
        <v/>
      </c>
      <c r="I17" s="187"/>
      <c r="V17" s="258"/>
      <c r="Y17" s="260"/>
    </row>
    <row r="18" spans="2:25" hidden="1">
      <c r="B18" s="207"/>
      <c r="C18" s="175"/>
      <c r="D18" s="186"/>
      <c r="E18" s="186"/>
      <c r="F18" s="186"/>
      <c r="G18" s="189"/>
      <c r="H18" s="184" t="str">
        <f t="shared" ref="H18:H34" si="1">IF(D18="","",F18*G18)</f>
        <v/>
      </c>
      <c r="I18" s="187"/>
      <c r="V18" s="258"/>
      <c r="Y18" s="260"/>
    </row>
    <row r="19" spans="2:25" s="199" customFormat="1" ht="19.5" hidden="1" customHeight="1">
      <c r="B19" s="227" t="str">
        <f>$B$10</f>
        <v>C5.3</v>
      </c>
      <c r="C19" s="194" t="s">
        <v>99</v>
      </c>
      <c r="D19" s="195"/>
      <c r="E19" s="195"/>
      <c r="F19" s="196"/>
      <c r="G19" s="196"/>
      <c r="H19" s="197">
        <f>SUM(H17:H18)</f>
        <v>0</v>
      </c>
      <c r="I19" s="198"/>
      <c r="V19" s="258"/>
      <c r="Y19" s="260"/>
    </row>
    <row r="20" spans="2:25" hidden="1">
      <c r="B20" s="745" t="str">
        <f>Client1</f>
        <v>AIRPORTS COMPANY - SOUTH AFRICA</v>
      </c>
      <c r="C20" s="745"/>
      <c r="D20" s="745"/>
      <c r="E20" s="745"/>
      <c r="F20" s="746" t="str">
        <f>"Contract No. "&amp;ContractNo</f>
        <v>Contract No. KSIA7806/2025/RFP</v>
      </c>
      <c r="G20" s="746"/>
      <c r="H20" s="746"/>
      <c r="V20" s="258"/>
      <c r="Y20" s="260"/>
    </row>
    <row r="21" spans="2:25" hidden="1">
      <c r="B21" s="745" t="str">
        <f>Client2</f>
        <v>ACSA</v>
      </c>
      <c r="C21" s="745"/>
      <c r="D21" s="745"/>
      <c r="E21" s="745"/>
      <c r="F21" s="746"/>
      <c r="G21" s="746"/>
      <c r="H21" s="746"/>
      <c r="V21" s="258"/>
      <c r="Y21" s="260"/>
    </row>
    <row r="22" spans="2:25" hidden="1">
      <c r="B22" s="748"/>
      <c r="C22" s="748"/>
      <c r="D22" s="748"/>
      <c r="E22" s="748"/>
      <c r="F22" s="747"/>
      <c r="G22" s="747"/>
      <c r="H22" s="747"/>
      <c r="V22" s="258"/>
      <c r="Y22" s="260"/>
    </row>
    <row r="23" spans="2:25" hidden="1">
      <c r="B23" s="749" t="s">
        <v>456</v>
      </c>
      <c r="C23" s="750"/>
      <c r="D23" s="750"/>
      <c r="E23" s="750"/>
      <c r="F23" s="750"/>
      <c r="G23" s="762"/>
      <c r="H23" s="751" t="str">
        <f>$H$4</f>
        <v>CHAPTER C5.3</v>
      </c>
      <c r="I23" s="234"/>
      <c r="V23" s="258"/>
      <c r="Y23" s="260"/>
    </row>
    <row r="24" spans="2:25" hidden="1">
      <c r="B24" s="752" t="str">
        <f>ContractDescription</f>
        <v>PROCUREMENT OF A CIDB GRADE 9 CE CONTRACTOR THE COMPLETION OF BRAVO TAXIWAY EXTENSION AT KING SHAKA INTERNATIONAL AIRPORT FOR A PERIOD OF 12 MONTHS AT KING SHAKA INTERNATIONAL AIRPORT</v>
      </c>
      <c r="C24" s="753"/>
      <c r="D24" s="753"/>
      <c r="E24" s="753"/>
      <c r="F24" s="753"/>
      <c r="G24" s="763"/>
      <c r="H24" s="746"/>
      <c r="I24" s="180"/>
      <c r="V24" s="258"/>
      <c r="Y24" s="260"/>
    </row>
    <row r="25" spans="2:25" hidden="1">
      <c r="B25" s="752"/>
      <c r="C25" s="753"/>
      <c r="D25" s="753"/>
      <c r="E25" s="753"/>
      <c r="F25" s="753"/>
      <c r="G25" s="763"/>
      <c r="H25" s="746"/>
      <c r="I25" s="180"/>
      <c r="V25" s="258"/>
      <c r="Y25" s="260"/>
    </row>
    <row r="26" spans="2:25" hidden="1">
      <c r="B26" s="754"/>
      <c r="C26" s="755"/>
      <c r="D26" s="755"/>
      <c r="E26" s="755"/>
      <c r="F26" s="755"/>
      <c r="G26" s="764"/>
      <c r="H26" s="747"/>
      <c r="I26" s="180"/>
      <c r="V26" s="258"/>
      <c r="Y26" s="260"/>
    </row>
    <row r="27" spans="2:25" s="183" customFormat="1" ht="24.95" hidden="1" customHeight="1">
      <c r="B27" s="203" t="s">
        <v>11</v>
      </c>
      <c r="C27" s="181" t="s">
        <v>12</v>
      </c>
      <c r="D27" s="181" t="s">
        <v>13</v>
      </c>
      <c r="E27" s="181" t="s">
        <v>14</v>
      </c>
      <c r="F27" s="181" t="s">
        <v>15</v>
      </c>
      <c r="G27" s="205" t="s">
        <v>16</v>
      </c>
      <c r="H27" s="181" t="s">
        <v>17</v>
      </c>
      <c r="I27" s="182"/>
      <c r="V27" s="258"/>
      <c r="Y27" s="260"/>
    </row>
    <row r="28" spans="2:25" s="199" customFormat="1" ht="19.5" hidden="1" customHeight="1">
      <c r="B28" s="227"/>
      <c r="C28" s="194" t="s">
        <v>140</v>
      </c>
      <c r="D28" s="195"/>
      <c r="E28" s="195"/>
      <c r="F28" s="196"/>
      <c r="G28" s="208"/>
      <c r="H28" s="197">
        <f>H19</f>
        <v>0</v>
      </c>
      <c r="I28" s="198"/>
      <c r="V28" s="258"/>
      <c r="Y28" s="260"/>
    </row>
    <row r="29" spans="2:25" hidden="1">
      <c r="B29" s="207"/>
      <c r="C29" s="175"/>
      <c r="D29" s="186"/>
      <c r="E29" s="186"/>
      <c r="F29" s="186"/>
      <c r="G29" s="206"/>
      <c r="H29" s="184"/>
      <c r="I29" s="187"/>
      <c r="V29" s="258"/>
      <c r="Y29" s="260"/>
    </row>
    <row r="30" spans="2:25" hidden="1">
      <c r="B30" s="207"/>
      <c r="C30" s="175"/>
      <c r="D30" s="186"/>
      <c r="E30" s="186"/>
      <c r="F30" s="186"/>
      <c r="G30" s="206"/>
      <c r="H30" s="184" t="str">
        <f t="shared" si="1"/>
        <v/>
      </c>
      <c r="I30" s="187"/>
      <c r="V30" s="258"/>
      <c r="Y30" s="260"/>
    </row>
    <row r="31" spans="2:25">
      <c r="B31" s="207"/>
      <c r="C31" s="175"/>
      <c r="D31" s="186"/>
      <c r="E31" s="186"/>
      <c r="F31" s="186"/>
      <c r="G31" s="206"/>
      <c r="H31" s="184"/>
      <c r="I31" s="187"/>
      <c r="V31" s="258"/>
      <c r="Y31" s="260"/>
    </row>
    <row r="32" spans="2:25">
      <c r="B32" s="207"/>
      <c r="C32" s="175"/>
      <c r="D32" s="186"/>
      <c r="E32" s="186"/>
      <c r="F32" s="186"/>
      <c r="G32" s="206"/>
      <c r="H32" s="184"/>
      <c r="I32" s="187"/>
      <c r="V32" s="258"/>
      <c r="Y32" s="260"/>
    </row>
    <row r="33" spans="2:25">
      <c r="B33" s="207"/>
      <c r="C33" s="175"/>
      <c r="D33" s="186"/>
      <c r="E33" s="186"/>
      <c r="F33" s="186"/>
      <c r="G33" s="206"/>
      <c r="H33" s="184"/>
      <c r="I33" s="187"/>
      <c r="V33" s="258"/>
      <c r="Y33" s="260"/>
    </row>
    <row r="34" spans="2:25" hidden="1">
      <c r="B34" s="207"/>
      <c r="C34" s="175"/>
      <c r="D34" s="186"/>
      <c r="E34" s="186"/>
      <c r="F34" s="186"/>
      <c r="G34" s="206"/>
      <c r="H34" s="184" t="str">
        <f t="shared" si="1"/>
        <v/>
      </c>
      <c r="I34" s="187"/>
      <c r="V34" s="258"/>
      <c r="Y34" s="260"/>
    </row>
    <row r="35" spans="2:25" hidden="1">
      <c r="B35" s="207"/>
      <c r="C35" s="175"/>
      <c r="D35" s="186"/>
      <c r="E35" s="186"/>
      <c r="F35" s="186"/>
      <c r="G35" s="206"/>
      <c r="H35" s="184"/>
      <c r="I35" s="187"/>
      <c r="V35" s="258"/>
      <c r="Y35" s="260"/>
    </row>
    <row r="36" spans="2:25" s="199" customFormat="1" ht="19.5" hidden="1" customHeight="1">
      <c r="B36" s="227" t="str">
        <f>$B$10</f>
        <v>C5.3</v>
      </c>
      <c r="C36" s="194" t="s">
        <v>99</v>
      </c>
      <c r="D36" s="195"/>
      <c r="E36" s="195"/>
      <c r="F36" s="196"/>
      <c r="G36" s="208"/>
      <c r="H36" s="197">
        <f>SUM(H28:H35)</f>
        <v>0</v>
      </c>
      <c r="I36" s="198"/>
      <c r="V36" s="258"/>
      <c r="Y36" s="260"/>
    </row>
    <row r="37" spans="2:25" hidden="1">
      <c r="B37" s="745" t="str">
        <f>Client1</f>
        <v>AIRPORTS COMPANY - SOUTH AFRICA</v>
      </c>
      <c r="C37" s="745"/>
      <c r="D37" s="745"/>
      <c r="E37" s="745"/>
      <c r="F37" s="746" t="str">
        <f>"Contract No. "&amp;ContractNo</f>
        <v>Contract No. KSIA7806/2025/RFP</v>
      </c>
      <c r="G37" s="765"/>
      <c r="H37" s="746"/>
      <c r="V37" s="258"/>
      <c r="Y37" s="260"/>
    </row>
    <row r="38" spans="2:25" hidden="1">
      <c r="B38" s="745" t="str">
        <f>Client2</f>
        <v>ACSA</v>
      </c>
      <c r="C38" s="745"/>
      <c r="D38" s="745"/>
      <c r="E38" s="745"/>
      <c r="F38" s="746"/>
      <c r="G38" s="765"/>
      <c r="H38" s="746"/>
      <c r="V38" s="258"/>
      <c r="Y38" s="260"/>
    </row>
    <row r="39" spans="2:25" hidden="1">
      <c r="B39" s="748"/>
      <c r="C39" s="748"/>
      <c r="D39" s="748"/>
      <c r="E39" s="748"/>
      <c r="F39" s="747"/>
      <c r="G39" s="766"/>
      <c r="H39" s="747"/>
      <c r="V39" s="258"/>
      <c r="Y39" s="260"/>
    </row>
    <row r="40" spans="2:25" hidden="1">
      <c r="B40" s="749" t="s">
        <v>456</v>
      </c>
      <c r="C40" s="750"/>
      <c r="D40" s="750"/>
      <c r="E40" s="750"/>
      <c r="F40" s="750"/>
      <c r="G40" s="762"/>
      <c r="H40" s="751" t="str">
        <f>$H$4</f>
        <v>CHAPTER C5.3</v>
      </c>
      <c r="I40" s="234"/>
      <c r="V40" s="258"/>
      <c r="Y40" s="260"/>
    </row>
    <row r="41" spans="2:25" hidden="1">
      <c r="B41" s="752" t="str">
        <f>ContractDescription</f>
        <v>PROCUREMENT OF A CIDB GRADE 9 CE CONTRACTOR THE COMPLETION OF BRAVO TAXIWAY EXTENSION AT KING SHAKA INTERNATIONAL AIRPORT FOR A PERIOD OF 12 MONTHS AT KING SHAKA INTERNATIONAL AIRPORT</v>
      </c>
      <c r="C41" s="753"/>
      <c r="D41" s="753"/>
      <c r="E41" s="753"/>
      <c r="F41" s="753"/>
      <c r="G41" s="763"/>
      <c r="H41" s="746"/>
      <c r="I41" s="180"/>
      <c r="V41" s="258"/>
      <c r="Y41" s="260"/>
    </row>
    <row r="42" spans="2:25" hidden="1">
      <c r="B42" s="752"/>
      <c r="C42" s="753"/>
      <c r="D42" s="753"/>
      <c r="E42" s="753"/>
      <c r="F42" s="753"/>
      <c r="G42" s="763"/>
      <c r="H42" s="746"/>
      <c r="I42" s="180"/>
      <c r="V42" s="258"/>
      <c r="Y42" s="260"/>
    </row>
    <row r="43" spans="2:25" hidden="1">
      <c r="B43" s="754"/>
      <c r="C43" s="755"/>
      <c r="D43" s="755"/>
      <c r="E43" s="755"/>
      <c r="F43" s="755"/>
      <c r="G43" s="764"/>
      <c r="H43" s="747"/>
      <c r="I43" s="180"/>
      <c r="V43" s="258"/>
      <c r="Y43" s="260"/>
    </row>
    <row r="44" spans="2:25" s="183" customFormat="1" ht="24.95" hidden="1" customHeight="1">
      <c r="B44" s="203" t="s">
        <v>11</v>
      </c>
      <c r="C44" s="181" t="s">
        <v>12</v>
      </c>
      <c r="D44" s="181" t="s">
        <v>13</v>
      </c>
      <c r="E44" s="181" t="s">
        <v>14</v>
      </c>
      <c r="F44" s="181" t="s">
        <v>15</v>
      </c>
      <c r="G44" s="205" t="s">
        <v>16</v>
      </c>
      <c r="H44" s="181" t="s">
        <v>17</v>
      </c>
      <c r="I44" s="182"/>
      <c r="V44" s="258"/>
      <c r="Y44" s="260"/>
    </row>
    <row r="45" spans="2:25" s="199" customFormat="1" ht="19.5" hidden="1" customHeight="1">
      <c r="B45" s="227"/>
      <c r="C45" s="194" t="s">
        <v>140</v>
      </c>
      <c r="D45" s="195"/>
      <c r="E45" s="195"/>
      <c r="F45" s="196"/>
      <c r="G45" s="208"/>
      <c r="H45" s="197">
        <f>H36</f>
        <v>0</v>
      </c>
      <c r="I45" s="198"/>
      <c r="V45" s="258"/>
      <c r="Y45" s="260"/>
    </row>
    <row r="46" spans="2:25">
      <c r="B46" s="207"/>
      <c r="C46" s="175"/>
      <c r="D46" s="186"/>
      <c r="E46" s="186"/>
      <c r="F46" s="186"/>
      <c r="G46" s="206"/>
      <c r="H46" s="184"/>
      <c r="I46" s="187"/>
      <c r="V46" s="258"/>
      <c r="Y46" s="260"/>
    </row>
    <row r="47" spans="2:25">
      <c r="B47" s="207"/>
      <c r="C47" s="175"/>
      <c r="D47" s="186"/>
      <c r="E47" s="186"/>
      <c r="F47" s="186"/>
      <c r="G47" s="206"/>
      <c r="H47" s="184" t="str">
        <f t="shared" ref="H47" si="2">IF(D47="","",F47*G47)</f>
        <v/>
      </c>
      <c r="I47" s="187"/>
      <c r="V47" s="258"/>
      <c r="Y47" s="260"/>
    </row>
    <row r="48" spans="2:25">
      <c r="B48" s="207"/>
      <c r="C48" s="175"/>
      <c r="D48" s="186"/>
      <c r="E48" s="186"/>
      <c r="F48" s="186"/>
      <c r="G48" s="189"/>
      <c r="H48" s="184"/>
      <c r="I48" s="187"/>
      <c r="V48" s="258"/>
      <c r="Y48" s="260"/>
    </row>
    <row r="49" spans="2:25" s="199" customFormat="1" ht="24.95" customHeight="1">
      <c r="B49" s="228" t="str">
        <f>$B$10</f>
        <v>C5.3</v>
      </c>
      <c r="C49" s="194" t="s">
        <v>125</v>
      </c>
      <c r="D49" s="195"/>
      <c r="E49" s="195"/>
      <c r="F49" s="196"/>
      <c r="G49" s="196"/>
      <c r="H49" s="197">
        <f>H16</f>
        <v>0</v>
      </c>
      <c r="I49" s="198"/>
      <c r="V49" s="258"/>
      <c r="Y49" s="260"/>
    </row>
    <row r="93" spans="6:6">
      <c r="F93" s="230"/>
    </row>
    <row r="94" spans="6:6">
      <c r="F94" s="230"/>
    </row>
    <row r="95" spans="6:6">
      <c r="F95" s="230"/>
    </row>
    <row r="96" spans="6:6">
      <c r="F96" s="230"/>
    </row>
    <row r="97" spans="6:6">
      <c r="F97" s="230"/>
    </row>
    <row r="98" spans="6:6">
      <c r="F98" s="230"/>
    </row>
    <row r="99" spans="6:6">
      <c r="F99" s="230"/>
    </row>
    <row r="100" spans="6:6">
      <c r="F100" s="230"/>
    </row>
    <row r="101" spans="6:6">
      <c r="F101" s="230"/>
    </row>
    <row r="102" spans="6:6">
      <c r="F102" s="230"/>
    </row>
  </sheetData>
  <mergeCells count="18">
    <mergeCell ref="B20:E20"/>
    <mergeCell ref="F20:H22"/>
    <mergeCell ref="B21:E21"/>
    <mergeCell ref="B22:E22"/>
    <mergeCell ref="F1:H1"/>
    <mergeCell ref="B5:G7"/>
    <mergeCell ref="H4:H7"/>
    <mergeCell ref="B4:G4"/>
    <mergeCell ref="B40:G40"/>
    <mergeCell ref="H40:H43"/>
    <mergeCell ref="B41:G43"/>
    <mergeCell ref="B23:G23"/>
    <mergeCell ref="H23:H26"/>
    <mergeCell ref="B24:G26"/>
    <mergeCell ref="B37:E37"/>
    <mergeCell ref="F37:H39"/>
    <mergeCell ref="B38:E38"/>
    <mergeCell ref="B39:E39"/>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dimension ref="B1:Z124"/>
  <sheetViews>
    <sheetView workbookViewId="0"/>
  </sheetViews>
  <sheetFormatPr defaultColWidth="6.85546875" defaultRowHeight="12.75"/>
  <cols>
    <col min="1" max="1" width="0.85546875" style="179" customWidth="1"/>
    <col min="2" max="2" width="11.7109375" style="209" customWidth="1"/>
    <col min="3" max="3" width="45.7109375" style="177" customWidth="1"/>
    <col min="4" max="4" width="13.7109375" style="200" customWidth="1"/>
    <col min="5" max="5" width="5.7109375" style="200" customWidth="1"/>
    <col min="6" max="7" width="15.7109375" style="200" customWidth="1"/>
    <col min="8" max="8" width="15.7109375" style="178" customWidth="1"/>
    <col min="9" max="9" width="0.85546875" style="178" customWidth="1"/>
    <col min="10" max="19" width="6.85546875" style="179"/>
    <col min="20" max="20" width="12" style="179" bestFit="1" customWidth="1"/>
    <col min="21" max="21" width="6.85546875" style="179"/>
    <col min="22" max="22" width="14.140625" style="179" customWidth="1"/>
    <col min="23" max="23" width="11.5703125" style="179" bestFit="1" customWidth="1"/>
    <col min="24" max="25" width="6.85546875" style="179"/>
    <col min="26" max="26" width="14.42578125" style="179" customWidth="1"/>
    <col min="27" max="16384" width="6.85546875" style="179"/>
  </cols>
  <sheetData>
    <row r="1" spans="2:26">
      <c r="B1" s="232" t="str">
        <f>Client1</f>
        <v>AIRPORTS COMPANY - SOUTH AFRICA</v>
      </c>
      <c r="F1" s="746" t="str">
        <f>"Contract No. "&amp;ContractNo</f>
        <v>Contract No. KSIA7806/2025/RFP</v>
      </c>
      <c r="G1" s="746"/>
      <c r="H1" s="746"/>
    </row>
    <row r="2" spans="2:26">
      <c r="B2" s="232" t="str">
        <f>Client2</f>
        <v>ACSA</v>
      </c>
    </row>
    <row r="3" spans="2:26">
      <c r="B3" s="233"/>
      <c r="C3" s="211"/>
      <c r="D3" s="233"/>
      <c r="E3" s="233"/>
      <c r="F3" s="233"/>
      <c r="G3" s="233"/>
      <c r="H3" s="202"/>
    </row>
    <row r="4" spans="2:26">
      <c r="B4" s="749" t="s">
        <v>456</v>
      </c>
      <c r="C4" s="750"/>
      <c r="D4" s="750"/>
      <c r="E4" s="750"/>
      <c r="F4" s="750"/>
      <c r="G4" s="750"/>
      <c r="H4" s="767" t="str">
        <f>"CHAPTER "&amp;B10</f>
        <v>CHAPTER C5.4</v>
      </c>
      <c r="I4" s="234"/>
    </row>
    <row r="5" spans="2:26"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68"/>
      <c r="I5" s="180"/>
    </row>
    <row r="6" spans="2:26" ht="12.75" customHeight="1">
      <c r="B6" s="752"/>
      <c r="C6" s="753"/>
      <c r="D6" s="753"/>
      <c r="E6" s="753"/>
      <c r="F6" s="753"/>
      <c r="G6" s="753"/>
      <c r="H6" s="768"/>
      <c r="I6" s="180"/>
    </row>
    <row r="7" spans="2:26" ht="7.5" customHeight="1">
      <c r="B7" s="754"/>
      <c r="C7" s="755"/>
      <c r="D7" s="755"/>
      <c r="E7" s="755"/>
      <c r="F7" s="755"/>
      <c r="G7" s="755"/>
      <c r="H7" s="769"/>
      <c r="I7" s="180"/>
    </row>
    <row r="8" spans="2:26" s="183" customFormat="1" ht="24.95" customHeight="1">
      <c r="B8" s="203" t="s">
        <v>11</v>
      </c>
      <c r="C8" s="181" t="s">
        <v>12</v>
      </c>
      <c r="D8" s="181" t="s">
        <v>13</v>
      </c>
      <c r="E8" s="181" t="s">
        <v>14</v>
      </c>
      <c r="F8" s="181" t="s">
        <v>15</v>
      </c>
      <c r="G8" s="181" t="s">
        <v>16</v>
      </c>
      <c r="H8" s="181" t="s">
        <v>17</v>
      </c>
      <c r="I8" s="182"/>
    </row>
    <row r="9" spans="2:26">
      <c r="B9" s="207"/>
      <c r="C9" s="175"/>
      <c r="D9" s="186"/>
      <c r="E9" s="186"/>
      <c r="F9" s="186"/>
      <c r="G9" s="186"/>
      <c r="H9" s="184" t="str">
        <f>IF(D9="","",F9*G9)</f>
        <v/>
      </c>
      <c r="I9" s="187"/>
    </row>
    <row r="10" spans="2:26">
      <c r="B10" s="218" t="s">
        <v>888</v>
      </c>
      <c r="C10" s="185" t="s">
        <v>889</v>
      </c>
      <c r="D10" s="186"/>
      <c r="E10" s="186"/>
      <c r="F10" s="186"/>
      <c r="G10" s="186"/>
      <c r="H10" s="184" t="str">
        <f t="shared" ref="H10:H37" si="0">IF(D10="","",F10*G10)</f>
        <v/>
      </c>
      <c r="I10" s="187"/>
    </row>
    <row r="11" spans="2:26">
      <c r="B11" s="207"/>
      <c r="C11" s="175"/>
      <c r="D11" s="186"/>
      <c r="E11" s="186"/>
      <c r="F11" s="186"/>
      <c r="G11" s="186"/>
      <c r="H11" s="184" t="str">
        <f t="shared" si="0"/>
        <v/>
      </c>
      <c r="I11" s="187"/>
    </row>
    <row r="12" spans="2:26">
      <c r="B12" s="207" t="s">
        <v>890</v>
      </c>
      <c r="C12" s="175" t="s">
        <v>891</v>
      </c>
      <c r="D12" s="186"/>
      <c r="E12" s="186"/>
      <c r="F12" s="188"/>
      <c r="G12" s="189"/>
      <c r="H12" s="184" t="str">
        <f t="shared" si="0"/>
        <v/>
      </c>
      <c r="I12" s="190"/>
    </row>
    <row r="13" spans="2:26">
      <c r="B13" s="207"/>
      <c r="C13" s="175"/>
      <c r="D13" s="186"/>
      <c r="E13" s="186"/>
      <c r="F13" s="188"/>
      <c r="G13" s="186"/>
      <c r="H13" s="184" t="str">
        <f t="shared" si="0"/>
        <v/>
      </c>
      <c r="I13" s="187"/>
    </row>
    <row r="14" spans="2:26" ht="25.5">
      <c r="B14" s="207" t="s">
        <v>892</v>
      </c>
      <c r="C14" s="175" t="s">
        <v>893</v>
      </c>
      <c r="D14" s="186" t="s">
        <v>434</v>
      </c>
      <c r="E14" s="186"/>
      <c r="F14" s="188">
        <v>0</v>
      </c>
      <c r="G14" s="221">
        <v>55</v>
      </c>
      <c r="H14" s="184">
        <f t="shared" si="0"/>
        <v>0</v>
      </c>
      <c r="I14" s="187"/>
      <c r="T14" s="260">
        <v>1803200</v>
      </c>
      <c r="V14" s="260">
        <f>T14-H14</f>
        <v>1803200</v>
      </c>
      <c r="W14" s="266"/>
      <c r="Z14" s="260"/>
    </row>
    <row r="15" spans="2:26">
      <c r="B15" s="207"/>
      <c r="C15" s="175"/>
      <c r="D15" s="186"/>
      <c r="E15" s="186"/>
      <c r="F15" s="188"/>
      <c r="G15" s="221"/>
      <c r="H15" s="184"/>
      <c r="I15" s="187"/>
      <c r="T15" s="260"/>
      <c r="V15" s="260"/>
      <c r="W15" s="266"/>
      <c r="Z15" s="260"/>
    </row>
    <row r="16" spans="2:26">
      <c r="B16" s="207" t="s">
        <v>894</v>
      </c>
      <c r="C16" s="175" t="s">
        <v>895</v>
      </c>
      <c r="D16" s="186"/>
      <c r="E16" s="186"/>
      <c r="F16" s="188"/>
      <c r="G16" s="221"/>
      <c r="H16" s="184" t="str">
        <f t="shared" ref="H16:H18" si="1">IF(D16="","",F16*G16)</f>
        <v/>
      </c>
      <c r="T16" s="260"/>
      <c r="V16" s="260"/>
      <c r="W16" s="266"/>
      <c r="Z16" s="260"/>
    </row>
    <row r="17" spans="2:26">
      <c r="B17" s="207"/>
      <c r="C17" s="175"/>
      <c r="D17" s="186"/>
      <c r="E17" s="186"/>
      <c r="F17" s="188"/>
      <c r="G17" s="221"/>
      <c r="H17" s="184" t="str">
        <f t="shared" si="1"/>
        <v/>
      </c>
      <c r="I17" s="187"/>
      <c r="T17" s="260"/>
      <c r="V17" s="260"/>
      <c r="W17" s="266"/>
      <c r="Z17" s="260"/>
    </row>
    <row r="18" spans="2:26">
      <c r="B18" s="207" t="s">
        <v>896</v>
      </c>
      <c r="C18" s="175" t="s">
        <v>897</v>
      </c>
      <c r="D18" s="186" t="s">
        <v>898</v>
      </c>
      <c r="E18" s="186"/>
      <c r="F18" s="188">
        <v>0</v>
      </c>
      <c r="G18" s="221">
        <v>10</v>
      </c>
      <c r="H18" s="184">
        <f t="shared" si="1"/>
        <v>0</v>
      </c>
      <c r="I18" s="187"/>
      <c r="T18" s="260"/>
      <c r="V18" s="260"/>
      <c r="W18" s="266"/>
      <c r="Z18" s="260"/>
    </row>
    <row r="19" spans="2:26">
      <c r="B19" s="207"/>
      <c r="C19" s="175"/>
      <c r="D19" s="186"/>
      <c r="E19" s="186"/>
      <c r="F19" s="188"/>
      <c r="G19" s="221"/>
      <c r="H19" s="184"/>
      <c r="I19" s="187"/>
      <c r="T19" s="260"/>
      <c r="V19" s="260"/>
      <c r="W19" s="266"/>
      <c r="Z19" s="260"/>
    </row>
    <row r="20" spans="2:26">
      <c r="B20" s="207" t="s">
        <v>899</v>
      </c>
      <c r="C20" s="175" t="s">
        <v>900</v>
      </c>
      <c r="D20" s="186"/>
      <c r="E20" s="186"/>
      <c r="F20" s="188"/>
      <c r="G20" s="221"/>
      <c r="H20" s="184"/>
      <c r="I20" s="187"/>
      <c r="T20" s="260"/>
      <c r="V20" s="260">
        <f t="shared" ref="V20:V39" si="2">T20-H20</f>
        <v>0</v>
      </c>
      <c r="W20" s="266"/>
      <c r="Z20" s="260"/>
    </row>
    <row r="21" spans="2:26">
      <c r="B21" s="207"/>
      <c r="C21" s="175"/>
      <c r="D21" s="186"/>
      <c r="E21" s="186"/>
      <c r="F21" s="188"/>
      <c r="G21" s="221"/>
      <c r="H21" s="184"/>
      <c r="I21" s="187"/>
      <c r="T21" s="260"/>
      <c r="V21" s="260"/>
      <c r="W21" s="266"/>
      <c r="Z21" s="260"/>
    </row>
    <row r="22" spans="2:26">
      <c r="B22" s="207" t="s">
        <v>901</v>
      </c>
      <c r="C22" s="175" t="s">
        <v>902</v>
      </c>
      <c r="D22" s="186" t="s">
        <v>903</v>
      </c>
      <c r="E22" s="186"/>
      <c r="F22" s="188" t="e">
        <f>'C4.4B'!#REF!</f>
        <v>#REF!</v>
      </c>
      <c r="G22" s="221">
        <v>100</v>
      </c>
      <c r="H22" s="184" t="e">
        <f t="shared" ref="H22" si="3">IF(D22="","",F22*G22)</f>
        <v>#REF!</v>
      </c>
      <c r="I22" s="187"/>
      <c r="T22" s="260"/>
      <c r="V22" s="260"/>
      <c r="W22" s="266"/>
      <c r="Z22" s="260"/>
    </row>
    <row r="23" spans="2:26">
      <c r="B23" s="207"/>
      <c r="C23" s="175"/>
      <c r="D23" s="186"/>
      <c r="E23" s="186"/>
      <c r="F23" s="188"/>
      <c r="G23" s="221"/>
      <c r="H23" s="184"/>
      <c r="I23" s="187"/>
      <c r="T23" s="260"/>
      <c r="V23" s="260">
        <f t="shared" si="2"/>
        <v>0</v>
      </c>
      <c r="W23" s="266"/>
      <c r="Z23" s="260"/>
    </row>
    <row r="24" spans="2:26" hidden="1">
      <c r="B24" s="207"/>
      <c r="C24" s="191"/>
      <c r="D24" s="192"/>
      <c r="E24" s="192"/>
      <c r="F24" s="192"/>
      <c r="G24" s="189"/>
      <c r="H24" s="184" t="str">
        <f t="shared" si="0"/>
        <v/>
      </c>
      <c r="I24" s="210"/>
      <c r="T24" s="260"/>
      <c r="V24" s="260" t="e">
        <f t="shared" si="2"/>
        <v>#VALUE!</v>
      </c>
      <c r="W24" s="266"/>
      <c r="Z24" s="260"/>
    </row>
    <row r="25" spans="2:26" s="199" customFormat="1" ht="19.5" hidden="1" customHeight="1">
      <c r="B25" s="227" t="str">
        <f>$B$10</f>
        <v>C5.4</v>
      </c>
      <c r="C25" s="194" t="s">
        <v>99</v>
      </c>
      <c r="D25" s="195"/>
      <c r="E25" s="195"/>
      <c r="F25" s="196"/>
      <c r="G25" s="196"/>
      <c r="H25" s="197" t="e">
        <f>SUM(H9:H24)</f>
        <v>#REF!</v>
      </c>
      <c r="I25" s="198"/>
      <c r="T25" s="262"/>
      <c r="V25" s="260" t="e">
        <f t="shared" si="2"/>
        <v>#REF!</v>
      </c>
      <c r="W25" s="266"/>
      <c r="Z25" s="260"/>
    </row>
    <row r="26" spans="2:26" hidden="1">
      <c r="B26" s="745" t="str">
        <f>Client1</f>
        <v>AIRPORTS COMPANY - SOUTH AFRICA</v>
      </c>
      <c r="C26" s="745"/>
      <c r="D26" s="745"/>
      <c r="E26" s="745"/>
      <c r="F26" s="746" t="str">
        <f>"Contract No. "&amp;ContractNo</f>
        <v>Contract No. KSIA7806/2025/RFP</v>
      </c>
      <c r="G26" s="746"/>
      <c r="H26" s="746"/>
      <c r="T26" s="260"/>
      <c r="V26" s="260">
        <f t="shared" si="2"/>
        <v>0</v>
      </c>
      <c r="W26" s="266"/>
      <c r="Z26" s="260"/>
    </row>
    <row r="27" spans="2:26" hidden="1">
      <c r="B27" s="745" t="str">
        <f>Client2</f>
        <v>ACSA</v>
      </c>
      <c r="C27" s="745"/>
      <c r="D27" s="745"/>
      <c r="E27" s="745"/>
      <c r="F27" s="746"/>
      <c r="G27" s="746"/>
      <c r="H27" s="746"/>
      <c r="T27" s="260"/>
      <c r="V27" s="260">
        <f t="shared" si="2"/>
        <v>0</v>
      </c>
      <c r="W27" s="266"/>
      <c r="Z27" s="260"/>
    </row>
    <row r="28" spans="2:26" hidden="1">
      <c r="B28" s="748"/>
      <c r="C28" s="748"/>
      <c r="D28" s="748"/>
      <c r="E28" s="748"/>
      <c r="F28" s="747"/>
      <c r="G28" s="747"/>
      <c r="H28" s="747"/>
      <c r="T28" s="260"/>
      <c r="V28" s="260">
        <f t="shared" si="2"/>
        <v>0</v>
      </c>
      <c r="W28" s="266"/>
      <c r="Z28" s="260"/>
    </row>
    <row r="29" spans="2:26" hidden="1">
      <c r="B29" s="749" t="s">
        <v>456</v>
      </c>
      <c r="C29" s="750"/>
      <c r="D29" s="750"/>
      <c r="E29" s="750"/>
      <c r="F29" s="750"/>
      <c r="G29" s="750"/>
      <c r="H29" s="751" t="str">
        <f>$H$4</f>
        <v>CHAPTER C5.4</v>
      </c>
      <c r="I29" s="234"/>
      <c r="T29" s="260"/>
      <c r="V29" s="260" t="e">
        <f t="shared" si="2"/>
        <v>#VALUE!</v>
      </c>
      <c r="W29" s="266"/>
      <c r="Z29" s="260"/>
    </row>
    <row r="30" spans="2:26" hidden="1">
      <c r="B30" s="752" t="str">
        <f>ContractDescription</f>
        <v>PROCUREMENT OF A CIDB GRADE 9 CE CONTRACTOR THE COMPLETION OF BRAVO TAXIWAY EXTENSION AT KING SHAKA INTERNATIONAL AIRPORT FOR A PERIOD OF 12 MONTHS AT KING SHAKA INTERNATIONAL AIRPORT</v>
      </c>
      <c r="C30" s="753"/>
      <c r="D30" s="753"/>
      <c r="E30" s="753"/>
      <c r="F30" s="753"/>
      <c r="G30" s="753"/>
      <c r="H30" s="746"/>
      <c r="I30" s="180"/>
      <c r="T30" s="260"/>
      <c r="V30" s="260">
        <f t="shared" si="2"/>
        <v>0</v>
      </c>
      <c r="W30" s="266"/>
      <c r="Z30" s="260"/>
    </row>
    <row r="31" spans="2:26" hidden="1">
      <c r="B31" s="752"/>
      <c r="C31" s="753"/>
      <c r="D31" s="753"/>
      <c r="E31" s="753"/>
      <c r="F31" s="753"/>
      <c r="G31" s="753"/>
      <c r="H31" s="746"/>
      <c r="I31" s="180"/>
      <c r="T31" s="260"/>
      <c r="V31" s="260">
        <f t="shared" si="2"/>
        <v>0</v>
      </c>
      <c r="W31" s="266"/>
      <c r="Z31" s="260"/>
    </row>
    <row r="32" spans="2:26" hidden="1">
      <c r="B32" s="754"/>
      <c r="C32" s="755"/>
      <c r="D32" s="755"/>
      <c r="E32" s="755"/>
      <c r="F32" s="755"/>
      <c r="G32" s="755"/>
      <c r="H32" s="747"/>
      <c r="I32" s="180"/>
      <c r="T32" s="260"/>
      <c r="V32" s="260">
        <f t="shared" si="2"/>
        <v>0</v>
      </c>
      <c r="W32" s="266"/>
      <c r="Z32" s="260"/>
    </row>
    <row r="33" spans="2:26" s="183" customFormat="1" ht="24.95" hidden="1" customHeight="1">
      <c r="B33" s="203" t="s">
        <v>11</v>
      </c>
      <c r="C33" s="181" t="s">
        <v>12</v>
      </c>
      <c r="D33" s="181" t="s">
        <v>13</v>
      </c>
      <c r="E33" s="181" t="s">
        <v>14</v>
      </c>
      <c r="F33" s="181" t="s">
        <v>15</v>
      </c>
      <c r="G33" s="181" t="s">
        <v>16</v>
      </c>
      <c r="H33" s="181" t="s">
        <v>17</v>
      </c>
      <c r="I33" s="182"/>
      <c r="T33" s="261"/>
      <c r="V33" s="260" t="e">
        <f t="shared" si="2"/>
        <v>#VALUE!</v>
      </c>
      <c r="W33" s="266"/>
      <c r="Z33" s="260"/>
    </row>
    <row r="34" spans="2:26" s="199" customFormat="1" ht="19.5" hidden="1" customHeight="1">
      <c r="B34" s="227"/>
      <c r="C34" s="194" t="s">
        <v>140</v>
      </c>
      <c r="D34" s="195"/>
      <c r="E34" s="195"/>
      <c r="F34" s="196"/>
      <c r="G34" s="196"/>
      <c r="H34" s="197" t="e">
        <f>H25</f>
        <v>#REF!</v>
      </c>
      <c r="I34" s="198"/>
      <c r="T34" s="262"/>
      <c r="V34" s="260" t="e">
        <f t="shared" si="2"/>
        <v>#REF!</v>
      </c>
      <c r="W34" s="266"/>
      <c r="Z34" s="260"/>
    </row>
    <row r="35" spans="2:26" hidden="1">
      <c r="B35" s="207"/>
      <c r="C35" s="191"/>
      <c r="D35" s="192"/>
      <c r="E35" s="192"/>
      <c r="F35" s="192"/>
      <c r="G35" s="189"/>
      <c r="H35" s="184"/>
      <c r="I35" s="210"/>
      <c r="T35" s="260"/>
      <c r="V35" s="260">
        <f t="shared" si="2"/>
        <v>0</v>
      </c>
      <c r="W35" s="266"/>
      <c r="Z35" s="260"/>
    </row>
    <row r="36" spans="2:26">
      <c r="B36" s="207" t="s">
        <v>904</v>
      </c>
      <c r="C36" s="175" t="s">
        <v>905</v>
      </c>
      <c r="D36" s="186" t="s">
        <v>906</v>
      </c>
      <c r="E36" s="186"/>
      <c r="F36" s="188">
        <v>0</v>
      </c>
      <c r="G36" s="221">
        <v>40</v>
      </c>
      <c r="H36" s="184">
        <f t="shared" si="0"/>
        <v>0</v>
      </c>
      <c r="I36" s="187"/>
      <c r="T36" s="260">
        <v>405000</v>
      </c>
      <c r="V36" s="260">
        <f t="shared" si="2"/>
        <v>405000</v>
      </c>
      <c r="W36" s="266"/>
      <c r="Z36" s="260"/>
    </row>
    <row r="37" spans="2:26">
      <c r="B37" s="207"/>
      <c r="C37" s="191"/>
      <c r="D37" s="186"/>
      <c r="E37" s="186"/>
      <c r="F37" s="188"/>
      <c r="G37" s="221"/>
      <c r="H37" s="184" t="str">
        <f t="shared" si="0"/>
        <v/>
      </c>
      <c r="I37" s="187"/>
      <c r="T37" s="260" t="s">
        <v>128</v>
      </c>
      <c r="V37" s="260"/>
      <c r="W37" s="266"/>
      <c r="Z37" s="260"/>
    </row>
    <row r="38" spans="2:26">
      <c r="B38" s="207"/>
      <c r="C38" s="175"/>
      <c r="D38" s="186"/>
      <c r="E38" s="186"/>
      <c r="F38" s="186"/>
      <c r="G38" s="189"/>
      <c r="H38" s="184" t="str">
        <f t="shared" ref="H38" si="4">IF(D38="","",F38*G38)</f>
        <v/>
      </c>
      <c r="I38" s="187"/>
      <c r="T38" s="260" t="s">
        <v>128</v>
      </c>
      <c r="V38" s="260"/>
      <c r="W38" s="266"/>
      <c r="Z38" s="260"/>
    </row>
    <row r="39" spans="2:26" s="199" customFormat="1" ht="24.95" customHeight="1">
      <c r="B39" s="228" t="str">
        <f>$B$10</f>
        <v>C5.4</v>
      </c>
      <c r="C39" s="194" t="s">
        <v>125</v>
      </c>
      <c r="D39" s="195"/>
      <c r="E39" s="195"/>
      <c r="F39" s="196"/>
      <c r="G39" s="196"/>
      <c r="H39" s="197" t="e">
        <f>H14+H18+H22+H36</f>
        <v>#REF!</v>
      </c>
      <c r="I39" s="198"/>
      <c r="T39" s="262">
        <v>10444215</v>
      </c>
      <c r="V39" s="260" t="e">
        <f t="shared" si="2"/>
        <v>#REF!</v>
      </c>
      <c r="W39" s="266"/>
      <c r="Z39" s="260"/>
    </row>
    <row r="40" spans="2:26">
      <c r="G40" s="204"/>
      <c r="W40" s="266"/>
      <c r="Z40" s="260"/>
    </row>
    <row r="41" spans="2:26">
      <c r="G41" s="204"/>
      <c r="Z41" s="260"/>
    </row>
    <row r="42" spans="2:26">
      <c r="G42" s="204"/>
    </row>
    <row r="43" spans="2:26">
      <c r="F43" s="200">
        <f>250*8.5</f>
        <v>2125</v>
      </c>
      <c r="G43" s="204"/>
    </row>
    <row r="44" spans="2:26">
      <c r="G44" s="204"/>
    </row>
    <row r="45" spans="2:26">
      <c r="G45" s="204"/>
    </row>
    <row r="46" spans="2:26">
      <c r="G46" s="204"/>
    </row>
    <row r="47" spans="2:26">
      <c r="C47" s="177">
        <v>49610</v>
      </c>
      <c r="D47" s="273" t="e">
        <f>#REF!</f>
        <v>#REF!</v>
      </c>
      <c r="G47" s="204"/>
    </row>
    <row r="48" spans="2:26">
      <c r="C48" s="177">
        <v>1000</v>
      </c>
      <c r="G48" s="204"/>
    </row>
    <row r="49" spans="3:7">
      <c r="C49" s="177">
        <f>C47*C48</f>
        <v>49610000</v>
      </c>
      <c r="G49" s="204"/>
    </row>
    <row r="50" spans="3:7">
      <c r="D50" s="200" t="e">
        <f>D47/C49</f>
        <v>#REF!</v>
      </c>
      <c r="G50" s="204"/>
    </row>
    <row r="51" spans="3:7">
      <c r="D51" s="200" t="e">
        <f>D50*100</f>
        <v>#REF!</v>
      </c>
      <c r="G51" s="204"/>
    </row>
    <row r="52" spans="3:7">
      <c r="G52" s="204"/>
    </row>
    <row r="53" spans="3:7">
      <c r="G53" s="204"/>
    </row>
    <row r="54" spans="3:7">
      <c r="C54" s="177">
        <f>C47*C48*0.04</f>
        <v>1984400</v>
      </c>
      <c r="G54" s="204"/>
    </row>
    <row r="55" spans="3:7">
      <c r="G55" s="204"/>
    </row>
    <row r="56" spans="3:7">
      <c r="G56" s="204"/>
    </row>
    <row r="57" spans="3:7">
      <c r="G57" s="204"/>
    </row>
    <row r="58" spans="3:7">
      <c r="G58" s="204"/>
    </row>
    <row r="59" spans="3:7">
      <c r="G59" s="204"/>
    </row>
    <row r="60" spans="3:7">
      <c r="G60" s="204"/>
    </row>
    <row r="61" spans="3:7">
      <c r="G61" s="204"/>
    </row>
    <row r="62" spans="3:7">
      <c r="G62" s="204"/>
    </row>
    <row r="63" spans="3:7">
      <c r="G63" s="204"/>
    </row>
    <row r="64" spans="3:7">
      <c r="G64" s="204"/>
    </row>
    <row r="65" spans="7:7">
      <c r="G65" s="204"/>
    </row>
    <row r="66" spans="7:7">
      <c r="G66" s="204"/>
    </row>
    <row r="67" spans="7:7">
      <c r="G67" s="204"/>
    </row>
    <row r="68" spans="7:7">
      <c r="G68" s="204"/>
    </row>
    <row r="69" spans="7:7">
      <c r="G69" s="204"/>
    </row>
    <row r="115" spans="6:6">
      <c r="F115" s="230"/>
    </row>
    <row r="116" spans="6:6">
      <c r="F116" s="230"/>
    </row>
    <row r="117" spans="6:6">
      <c r="F117" s="230"/>
    </row>
    <row r="118" spans="6:6">
      <c r="F118" s="230"/>
    </row>
    <row r="119" spans="6:6">
      <c r="F119" s="230"/>
    </row>
    <row r="120" spans="6:6">
      <c r="F120" s="230"/>
    </row>
    <row r="121" spans="6:6">
      <c r="F121" s="230"/>
    </row>
    <row r="122" spans="6:6">
      <c r="F122" s="230"/>
    </row>
    <row r="123" spans="6:6">
      <c r="F123" s="230"/>
    </row>
    <row r="124" spans="6:6">
      <c r="F124" s="230"/>
    </row>
  </sheetData>
  <mergeCells count="11">
    <mergeCell ref="F1:H1"/>
    <mergeCell ref="B5:G7"/>
    <mergeCell ref="H4:H7"/>
    <mergeCell ref="B4:G4"/>
    <mergeCell ref="B29:G29"/>
    <mergeCell ref="H29:H32"/>
    <mergeCell ref="B30:G32"/>
    <mergeCell ref="B26:E26"/>
    <mergeCell ref="F26:H28"/>
    <mergeCell ref="B27:E27"/>
    <mergeCell ref="B28:E28"/>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pageSetUpPr fitToPage="1"/>
  </sheetPr>
  <dimension ref="B1:N96"/>
  <sheetViews>
    <sheetView workbookViewId="0"/>
  </sheetViews>
  <sheetFormatPr defaultColWidth="6.85546875" defaultRowHeight="12.75"/>
  <cols>
    <col min="1" max="1" width="0.85546875" style="1" customWidth="1"/>
    <col min="2" max="2" width="11.7109375" style="83" customWidth="1"/>
    <col min="3" max="3" width="45.7109375" style="52" customWidth="1"/>
    <col min="4" max="4" width="13.7109375" style="4" customWidth="1"/>
    <col min="5" max="5" width="5.7109375" style="4" customWidth="1"/>
    <col min="6" max="6" width="15.7109375" style="4" customWidth="1"/>
    <col min="7" max="7" width="15.7109375" style="1" customWidth="1"/>
    <col min="8" max="8" width="18.85546875" style="5" customWidth="1"/>
    <col min="9" max="9" width="0.85546875" style="5" customWidth="1"/>
    <col min="10" max="16384" width="6.85546875" style="1"/>
  </cols>
  <sheetData>
    <row r="1" spans="2:9">
      <c r="B1" s="6" t="str">
        <f>Client1</f>
        <v>AIRPORTS COMPANY - SOUTH AFRICA</v>
      </c>
      <c r="F1" s="732" t="str">
        <f>"Contract No. "&amp;ContractNo</f>
        <v>Contract No. KSIA7806/2025/RFP</v>
      </c>
      <c r="G1" s="732"/>
      <c r="H1" s="732"/>
    </row>
    <row r="2" spans="2:9">
      <c r="B2" s="93" t="str">
        <f>Client2</f>
        <v>ACSA</v>
      </c>
    </row>
    <row r="3" spans="2:9">
      <c r="B3" s="91"/>
      <c r="C3" s="92"/>
      <c r="D3" s="72"/>
      <c r="E3" s="72"/>
      <c r="F3" s="72"/>
      <c r="G3" s="73"/>
      <c r="H3" s="91"/>
    </row>
    <row r="4" spans="2:9">
      <c r="B4" s="695" t="s">
        <v>456</v>
      </c>
      <c r="C4" s="696"/>
      <c r="D4" s="696"/>
      <c r="E4" s="696"/>
      <c r="F4" s="696"/>
      <c r="G4" s="696"/>
      <c r="H4" s="770" t="str">
        <f>"CHAPTER "&amp;B10</f>
        <v>CHAPTER C5.5</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80" t="s">
        <v>11</v>
      </c>
      <c r="C8" s="11" t="s">
        <v>12</v>
      </c>
      <c r="D8" s="11" t="s">
        <v>13</v>
      </c>
      <c r="E8" s="11" t="s">
        <v>14</v>
      </c>
      <c r="F8" s="11" t="s">
        <v>15</v>
      </c>
      <c r="G8" s="11" t="s">
        <v>16</v>
      </c>
      <c r="H8" s="11" t="s">
        <v>17</v>
      </c>
      <c r="I8" s="12"/>
    </row>
    <row r="9" spans="2:9">
      <c r="B9" s="48"/>
      <c r="C9" s="14"/>
      <c r="D9" s="15"/>
      <c r="E9" s="15"/>
      <c r="F9" s="15"/>
      <c r="G9" s="16"/>
      <c r="H9" s="25" t="str">
        <f t="shared" ref="H9:H33" si="0">IF(D9="","",F9*G9)</f>
        <v/>
      </c>
      <c r="I9" s="18"/>
    </row>
    <row r="10" spans="2:9">
      <c r="B10" s="69" t="s">
        <v>907</v>
      </c>
      <c r="C10" s="20" t="s">
        <v>908</v>
      </c>
      <c r="D10" s="22"/>
      <c r="E10" s="22"/>
      <c r="F10" s="22"/>
      <c r="G10" s="39"/>
      <c r="H10" s="25" t="str">
        <f t="shared" si="0"/>
        <v/>
      </c>
      <c r="I10" s="40"/>
    </row>
    <row r="11" spans="2:9">
      <c r="B11" s="48"/>
      <c r="C11" s="14"/>
      <c r="D11" s="22"/>
      <c r="E11" s="22"/>
      <c r="F11" s="22"/>
      <c r="G11" s="39"/>
      <c r="H11" s="25" t="str">
        <f t="shared" si="0"/>
        <v/>
      </c>
      <c r="I11" s="40"/>
    </row>
    <row r="12" spans="2:9" ht="25.5">
      <c r="B12" s="48" t="s">
        <v>909</v>
      </c>
      <c r="C12" s="14" t="s">
        <v>910</v>
      </c>
      <c r="D12" s="22" t="s">
        <v>85</v>
      </c>
      <c r="E12" s="22"/>
      <c r="F12" s="22"/>
      <c r="G12" s="39">
        <v>5000</v>
      </c>
      <c r="H12" s="25">
        <f t="shared" si="0"/>
        <v>0</v>
      </c>
      <c r="I12" s="40"/>
    </row>
    <row r="13" spans="2:9">
      <c r="B13" s="48"/>
      <c r="C13" s="14"/>
      <c r="D13" s="22"/>
      <c r="E13" s="22"/>
      <c r="F13" s="22"/>
      <c r="G13" s="39"/>
      <c r="H13" s="25" t="str">
        <f t="shared" si="0"/>
        <v/>
      </c>
      <c r="I13" s="40"/>
    </row>
    <row r="14" spans="2:9">
      <c r="B14" s="48" t="s">
        <v>911</v>
      </c>
      <c r="C14" s="14" t="s">
        <v>912</v>
      </c>
      <c r="D14" s="22"/>
      <c r="E14" s="22"/>
      <c r="F14" s="23"/>
      <c r="G14" s="24"/>
      <c r="H14" s="25" t="str">
        <f t="shared" si="0"/>
        <v/>
      </c>
      <c r="I14" s="41"/>
    </row>
    <row r="15" spans="2:9">
      <c r="B15" s="48"/>
      <c r="C15" s="14"/>
      <c r="D15" s="22"/>
      <c r="E15" s="22"/>
      <c r="F15" s="23"/>
      <c r="G15" s="24"/>
      <c r="H15" s="25" t="str">
        <f t="shared" si="0"/>
        <v/>
      </c>
      <c r="I15" s="41"/>
    </row>
    <row r="16" spans="2:9">
      <c r="B16" s="48" t="s">
        <v>913</v>
      </c>
      <c r="C16" s="14" t="s">
        <v>914</v>
      </c>
      <c r="D16" s="22"/>
      <c r="E16" s="22"/>
      <c r="F16" s="23"/>
      <c r="G16" s="24"/>
      <c r="H16" s="25" t="str">
        <f t="shared" si="0"/>
        <v/>
      </c>
      <c r="I16" s="41"/>
    </row>
    <row r="17" spans="2:14">
      <c r="B17" s="48"/>
      <c r="C17" s="14"/>
      <c r="D17" s="22"/>
      <c r="E17" s="22"/>
      <c r="F17" s="23"/>
      <c r="G17" s="24"/>
      <c r="H17" s="25" t="str">
        <f t="shared" si="0"/>
        <v/>
      </c>
      <c r="I17" s="41"/>
    </row>
    <row r="18" spans="2:14">
      <c r="B18" s="48" t="s">
        <v>83</v>
      </c>
      <c r="C18" s="14" t="s">
        <v>915</v>
      </c>
      <c r="D18" s="22" t="s">
        <v>242</v>
      </c>
      <c r="E18" s="22"/>
      <c r="F18" s="23"/>
      <c r="G18" s="39">
        <v>1500</v>
      </c>
      <c r="H18" s="25">
        <f t="shared" si="0"/>
        <v>0</v>
      </c>
      <c r="I18" s="40"/>
    </row>
    <row r="19" spans="2:14">
      <c r="B19" s="48"/>
      <c r="C19" s="14"/>
      <c r="D19" s="22"/>
      <c r="E19" s="22"/>
      <c r="F19" s="23"/>
      <c r="G19" s="39"/>
      <c r="H19" s="25" t="str">
        <f t="shared" si="0"/>
        <v/>
      </c>
      <c r="I19" s="40"/>
    </row>
    <row r="20" spans="2:14" ht="14.25">
      <c r="B20" s="48" t="s">
        <v>916</v>
      </c>
      <c r="C20" s="14" t="s">
        <v>917</v>
      </c>
      <c r="D20" s="22" t="s">
        <v>386</v>
      </c>
      <c r="E20" s="22"/>
      <c r="F20" s="23"/>
      <c r="G20" s="37">
        <v>350</v>
      </c>
      <c r="H20" s="25">
        <f t="shared" si="0"/>
        <v>0</v>
      </c>
      <c r="I20" s="41"/>
    </row>
    <row r="21" spans="2:14">
      <c r="B21" s="48"/>
      <c r="C21" s="14"/>
      <c r="D21" s="22"/>
      <c r="E21" s="22"/>
      <c r="F21" s="23"/>
      <c r="G21" s="37"/>
      <c r="H21" s="25" t="str">
        <f t="shared" si="0"/>
        <v/>
      </c>
      <c r="I21" s="41"/>
    </row>
    <row r="22" spans="2:14">
      <c r="B22" s="48"/>
      <c r="C22" s="14"/>
      <c r="D22" s="22"/>
      <c r="E22" s="22"/>
      <c r="F22" s="23"/>
      <c r="G22" s="45"/>
      <c r="H22" s="25" t="str">
        <f t="shared" si="0"/>
        <v/>
      </c>
      <c r="I22" s="40"/>
    </row>
    <row r="23" spans="2:14">
      <c r="B23" s="48" t="s">
        <v>918</v>
      </c>
      <c r="C23" s="14" t="s">
        <v>919</v>
      </c>
      <c r="D23" s="22"/>
      <c r="E23" s="22"/>
      <c r="F23" s="23"/>
      <c r="G23" s="42"/>
      <c r="H23" s="25" t="str">
        <f t="shared" si="0"/>
        <v/>
      </c>
      <c r="I23" s="40"/>
    </row>
    <row r="24" spans="2:14">
      <c r="B24" s="48"/>
      <c r="C24" s="14"/>
      <c r="D24" s="22"/>
      <c r="E24" s="22"/>
      <c r="F24" s="23"/>
      <c r="G24" s="42"/>
      <c r="H24" s="25" t="str">
        <f t="shared" si="0"/>
        <v/>
      </c>
      <c r="I24" s="40"/>
    </row>
    <row r="25" spans="2:14" ht="38.25">
      <c r="B25" s="48" t="s">
        <v>920</v>
      </c>
      <c r="C25" s="14" t="s">
        <v>921</v>
      </c>
      <c r="D25" s="22" t="s">
        <v>124</v>
      </c>
      <c r="E25" s="22"/>
      <c r="F25" s="22"/>
      <c r="G25" s="39">
        <v>10</v>
      </c>
      <c r="H25" s="25">
        <f t="shared" si="0"/>
        <v>0</v>
      </c>
      <c r="I25" s="40"/>
    </row>
    <row r="26" spans="2:14">
      <c r="B26" s="48"/>
      <c r="C26" s="14"/>
      <c r="D26" s="22"/>
      <c r="E26" s="22"/>
      <c r="F26" s="22"/>
      <c r="G26" s="39"/>
      <c r="H26" s="25" t="str">
        <f t="shared" si="0"/>
        <v/>
      </c>
      <c r="I26" s="40"/>
    </row>
    <row r="27" spans="2:14" ht="25.5">
      <c r="B27" s="48" t="s">
        <v>922</v>
      </c>
      <c r="C27" s="14" t="s">
        <v>923</v>
      </c>
      <c r="D27" s="22"/>
      <c r="E27" s="22"/>
      <c r="F27" s="22"/>
      <c r="G27" s="37"/>
      <c r="H27" s="25" t="str">
        <f t="shared" si="0"/>
        <v/>
      </c>
      <c r="I27" s="40"/>
    </row>
    <row r="28" spans="2:14">
      <c r="B28" s="48"/>
      <c r="C28" s="14"/>
      <c r="D28" s="22"/>
      <c r="E28" s="22"/>
      <c r="F28" s="22"/>
      <c r="G28" s="37"/>
      <c r="H28" s="25" t="str">
        <f t="shared" si="0"/>
        <v/>
      </c>
      <c r="I28" s="40"/>
    </row>
    <row r="29" spans="2:14" ht="14.25">
      <c r="B29" s="48" t="s">
        <v>924</v>
      </c>
      <c r="C29" s="14" t="s">
        <v>925</v>
      </c>
      <c r="D29" s="22" t="s">
        <v>124</v>
      </c>
      <c r="E29" s="36"/>
      <c r="F29" s="36"/>
      <c r="G29" s="37">
        <v>8.5</v>
      </c>
      <c r="H29" s="25">
        <f t="shared" si="0"/>
        <v>0</v>
      </c>
      <c r="L29" s="1">
        <v>1</v>
      </c>
      <c r="M29" s="1">
        <f>L29/0.15</f>
        <v>6.666666666666667</v>
      </c>
      <c r="N29" s="1">
        <f>65/M29</f>
        <v>9.75</v>
      </c>
    </row>
    <row r="30" spans="2:14">
      <c r="B30" s="48"/>
      <c r="C30" s="14"/>
      <c r="D30" s="22"/>
      <c r="E30" s="36"/>
      <c r="F30" s="36"/>
      <c r="G30" s="37"/>
      <c r="H30" s="25"/>
    </row>
    <row r="31" spans="2:14">
      <c r="B31" s="48" t="s">
        <v>926</v>
      </c>
      <c r="C31" s="14" t="s">
        <v>927</v>
      </c>
      <c r="D31" s="22" t="s">
        <v>906</v>
      </c>
      <c r="E31" s="22"/>
      <c r="F31" s="22"/>
      <c r="G31" s="37">
        <v>40</v>
      </c>
      <c r="H31" s="25">
        <f t="shared" si="0"/>
        <v>0</v>
      </c>
      <c r="I31" s="40"/>
    </row>
    <row r="32" spans="2:14">
      <c r="B32" s="48"/>
      <c r="C32" s="14"/>
      <c r="D32" s="22"/>
      <c r="E32" s="22"/>
      <c r="F32" s="22"/>
      <c r="G32" s="37"/>
      <c r="H32" s="25"/>
      <c r="I32" s="40"/>
    </row>
    <row r="33" spans="2:9">
      <c r="B33" s="48"/>
      <c r="C33" s="14"/>
      <c r="D33" s="22"/>
      <c r="E33" s="22"/>
      <c r="F33" s="22"/>
      <c r="G33" s="37"/>
      <c r="H33" s="25" t="str">
        <f t="shared" si="0"/>
        <v/>
      </c>
      <c r="I33" s="40"/>
    </row>
    <row r="34" spans="2:9" s="28" customFormat="1" ht="19.5" customHeight="1">
      <c r="B34" s="101" t="str">
        <f>$B$10</f>
        <v>C5.5</v>
      </c>
      <c r="C34" s="29" t="s">
        <v>99</v>
      </c>
      <c r="D34" s="30"/>
      <c r="E34" s="30"/>
      <c r="F34" s="31"/>
      <c r="G34" s="30"/>
      <c r="H34" s="32">
        <f>SUM(H9:H33)</f>
        <v>0</v>
      </c>
      <c r="I34" s="33"/>
    </row>
    <row r="35" spans="2:9">
      <c r="B35" s="736" t="str">
        <f>Client1</f>
        <v>AIRPORTS COMPANY - SOUTH AFRICA</v>
      </c>
      <c r="C35" s="736"/>
      <c r="D35" s="736"/>
      <c r="E35" s="736"/>
      <c r="F35" s="737" t="str">
        <f>"Contract No. "&amp;ContractNo</f>
        <v>Contract No. KSIA7806/2025/RFP</v>
      </c>
      <c r="G35" s="737"/>
      <c r="H35" s="737"/>
    </row>
    <row r="36" spans="2:9">
      <c r="B36" s="736" t="str">
        <f>Client2</f>
        <v>ACSA</v>
      </c>
      <c r="C36" s="736"/>
      <c r="D36" s="736"/>
      <c r="E36" s="736"/>
      <c r="F36" s="737"/>
      <c r="G36" s="737"/>
      <c r="H36" s="737"/>
    </row>
    <row r="37" spans="2:9">
      <c r="B37" s="739"/>
      <c r="C37" s="739"/>
      <c r="D37" s="739"/>
      <c r="E37" s="739"/>
      <c r="F37" s="738"/>
      <c r="G37" s="738"/>
      <c r="H37" s="738"/>
    </row>
    <row r="38" spans="2:9">
      <c r="B38" s="695" t="s">
        <v>456</v>
      </c>
      <c r="C38" s="696"/>
      <c r="D38" s="696"/>
      <c r="E38" s="696"/>
      <c r="F38" s="696"/>
      <c r="G38" s="696"/>
      <c r="H38" s="740" t="str">
        <f>$H$4</f>
        <v>CHAPTER C5.5</v>
      </c>
      <c r="I38" s="6"/>
    </row>
    <row r="39" spans="2:9">
      <c r="B39" s="690" t="str">
        <f>ContractDescription</f>
        <v>PROCUREMENT OF A CIDB GRADE 9 CE CONTRACTOR THE COMPLETION OF BRAVO TAXIWAY EXTENSION AT KING SHAKA INTERNATIONAL AIRPORT FOR A PERIOD OF 12 MONTHS AT KING SHAKA INTERNATIONAL AIRPORT</v>
      </c>
      <c r="C39" s="691"/>
      <c r="D39" s="691"/>
      <c r="E39" s="691"/>
      <c r="F39" s="691"/>
      <c r="G39" s="691"/>
      <c r="H39" s="737"/>
      <c r="I39" s="8"/>
    </row>
    <row r="40" spans="2:9">
      <c r="B40" s="690"/>
      <c r="C40" s="691"/>
      <c r="D40" s="691"/>
      <c r="E40" s="691"/>
      <c r="F40" s="691"/>
      <c r="G40" s="691"/>
      <c r="H40" s="737"/>
      <c r="I40" s="8"/>
    </row>
    <row r="41" spans="2:9">
      <c r="B41" s="692"/>
      <c r="C41" s="693"/>
      <c r="D41" s="693"/>
      <c r="E41" s="693"/>
      <c r="F41" s="693"/>
      <c r="G41" s="693"/>
      <c r="H41" s="738"/>
      <c r="I41" s="8"/>
    </row>
    <row r="42" spans="2:9" s="9" customFormat="1" ht="24.95" customHeight="1">
      <c r="B42" s="70" t="s">
        <v>11</v>
      </c>
      <c r="C42" s="11" t="s">
        <v>12</v>
      </c>
      <c r="D42" s="11" t="s">
        <v>13</v>
      </c>
      <c r="E42" s="11" t="s">
        <v>14</v>
      </c>
      <c r="F42" s="11" t="s">
        <v>15</v>
      </c>
      <c r="G42" s="11" t="s">
        <v>16</v>
      </c>
      <c r="H42" s="11" t="s">
        <v>17</v>
      </c>
      <c r="I42" s="12"/>
    </row>
    <row r="43" spans="2:9" s="28" customFormat="1" ht="19.5" customHeight="1">
      <c r="B43" s="74"/>
      <c r="C43" s="29" t="s">
        <v>140</v>
      </c>
      <c r="D43" s="30"/>
      <c r="E43" s="30"/>
      <c r="F43" s="31"/>
      <c r="G43" s="30"/>
      <c r="H43" s="32">
        <f>H34</f>
        <v>0</v>
      </c>
      <c r="I43" s="33"/>
    </row>
    <row r="44" spans="2:9">
      <c r="B44" s="48"/>
      <c r="C44" s="14"/>
      <c r="D44" s="22"/>
      <c r="E44" s="22"/>
      <c r="F44" s="22"/>
      <c r="G44" s="37"/>
      <c r="H44" s="25"/>
      <c r="I44" s="40"/>
    </row>
    <row r="45" spans="2:9">
      <c r="B45" s="48"/>
      <c r="C45" s="14"/>
      <c r="D45" s="22"/>
      <c r="E45" s="22"/>
      <c r="F45" s="22"/>
      <c r="G45" s="37"/>
      <c r="H45" s="25"/>
      <c r="I45" s="40"/>
    </row>
    <row r="46" spans="2:9" ht="25.5">
      <c r="B46" s="48" t="s">
        <v>928</v>
      </c>
      <c r="C46" s="14" t="s">
        <v>929</v>
      </c>
      <c r="D46" s="22"/>
      <c r="E46" s="22"/>
      <c r="F46" s="22"/>
      <c r="G46" s="46"/>
      <c r="H46" s="247" t="str">
        <f t="shared" ref="H46:H50" si="1">IF(D46="","",F46*G46)</f>
        <v/>
      </c>
      <c r="I46" s="40"/>
    </row>
    <row r="47" spans="2:9">
      <c r="B47" s="48"/>
      <c r="C47" s="14"/>
      <c r="D47" s="22"/>
      <c r="E47" s="22"/>
      <c r="F47" s="22"/>
      <c r="G47" s="46"/>
      <c r="H47" s="247" t="str">
        <f t="shared" si="1"/>
        <v/>
      </c>
      <c r="I47" s="40"/>
    </row>
    <row r="48" spans="2:9" ht="25.5">
      <c r="B48" s="48" t="s">
        <v>930</v>
      </c>
      <c r="C48" s="14" t="s">
        <v>931</v>
      </c>
      <c r="D48" s="22"/>
      <c r="E48" s="22"/>
      <c r="F48" s="22"/>
      <c r="G48" s="46"/>
      <c r="H48" s="247" t="str">
        <f t="shared" si="1"/>
        <v/>
      </c>
      <c r="I48" s="40"/>
    </row>
    <row r="49" spans="2:9">
      <c r="B49" s="48"/>
      <c r="C49" s="14"/>
      <c r="D49" s="22"/>
      <c r="E49" s="22"/>
      <c r="F49" s="22"/>
      <c r="G49" s="37"/>
      <c r="H49" s="25" t="str">
        <f t="shared" si="1"/>
        <v/>
      </c>
      <c r="I49" s="40"/>
    </row>
    <row r="50" spans="2:9" ht="51">
      <c r="B50" s="48" t="s">
        <v>117</v>
      </c>
      <c r="C50" s="14" t="s">
        <v>932</v>
      </c>
      <c r="D50" s="22" t="s">
        <v>386</v>
      </c>
      <c r="E50" s="22"/>
      <c r="F50" s="22">
        <v>0</v>
      </c>
      <c r="G50" s="37">
        <v>375</v>
      </c>
      <c r="H50" s="25">
        <f t="shared" si="1"/>
        <v>0</v>
      </c>
      <c r="I50" s="40"/>
    </row>
    <row r="51" spans="2:9">
      <c r="B51" s="48"/>
      <c r="C51" s="14"/>
      <c r="D51" s="22"/>
      <c r="E51" s="22"/>
      <c r="F51" s="22"/>
      <c r="G51" s="37"/>
      <c r="H51" s="25"/>
      <c r="I51" s="40"/>
    </row>
    <row r="52" spans="2:9">
      <c r="B52" s="48"/>
      <c r="C52" s="14"/>
      <c r="D52" s="22"/>
      <c r="E52" s="22"/>
      <c r="F52" s="22"/>
      <c r="G52" s="37"/>
      <c r="H52" s="25"/>
      <c r="I52" s="40"/>
    </row>
    <row r="53" spans="2:9">
      <c r="B53" s="48"/>
      <c r="C53" s="14"/>
      <c r="D53" s="22"/>
      <c r="E53" s="22"/>
      <c r="F53" s="22"/>
      <c r="G53" s="37"/>
      <c r="H53" s="25"/>
      <c r="I53" s="40"/>
    </row>
    <row r="54" spans="2:9">
      <c r="B54" s="48"/>
      <c r="C54" s="14"/>
      <c r="D54" s="22"/>
      <c r="E54" s="22"/>
      <c r="F54" s="22"/>
      <c r="G54" s="37"/>
      <c r="H54" s="25"/>
      <c r="I54" s="40"/>
    </row>
    <row r="55" spans="2:9">
      <c r="B55" s="48"/>
      <c r="C55" s="14"/>
      <c r="D55" s="22"/>
      <c r="E55" s="22"/>
      <c r="F55" s="22"/>
      <c r="G55" s="37"/>
      <c r="H55" s="25"/>
      <c r="I55" s="40"/>
    </row>
    <row r="56" spans="2:9">
      <c r="B56" s="48"/>
      <c r="C56" s="14"/>
      <c r="D56" s="22"/>
      <c r="E56" s="22"/>
      <c r="F56" s="22"/>
      <c r="G56" s="37"/>
      <c r="H56" s="25"/>
      <c r="I56" s="40"/>
    </row>
    <row r="57" spans="2:9">
      <c r="B57" s="48"/>
      <c r="C57" s="14"/>
      <c r="D57" s="22"/>
      <c r="E57" s="22"/>
      <c r="F57" s="22"/>
      <c r="G57" s="37"/>
      <c r="H57" s="25"/>
      <c r="I57" s="40"/>
    </row>
    <row r="58" spans="2:9">
      <c r="B58" s="48"/>
      <c r="C58" s="14"/>
      <c r="D58" s="22"/>
      <c r="E58" s="22"/>
      <c r="F58" s="22"/>
      <c r="G58" s="37"/>
      <c r="H58" s="25"/>
      <c r="I58" s="40"/>
    </row>
    <row r="59" spans="2:9">
      <c r="B59" s="48"/>
      <c r="C59" s="14"/>
      <c r="D59" s="22"/>
      <c r="E59" s="22"/>
      <c r="F59" s="22"/>
      <c r="G59" s="37"/>
      <c r="H59" s="25"/>
      <c r="I59" s="40"/>
    </row>
    <row r="60" spans="2:9">
      <c r="B60" s="48"/>
      <c r="C60" s="14"/>
      <c r="D60" s="22"/>
      <c r="E60" s="22"/>
      <c r="F60" s="22"/>
      <c r="G60" s="37"/>
      <c r="H60" s="25"/>
      <c r="I60" s="40"/>
    </row>
    <row r="61" spans="2:9">
      <c r="B61" s="48"/>
      <c r="C61" s="14"/>
      <c r="D61" s="22"/>
      <c r="E61" s="22"/>
      <c r="F61" s="22"/>
      <c r="G61" s="37"/>
      <c r="H61" s="25"/>
      <c r="I61" s="40"/>
    </row>
    <row r="62" spans="2:9">
      <c r="B62" s="48"/>
      <c r="C62" s="100"/>
      <c r="D62" s="22"/>
      <c r="E62" s="22"/>
      <c r="F62" s="22"/>
      <c r="G62" s="37"/>
      <c r="H62" s="25"/>
      <c r="I62" s="40"/>
    </row>
    <row r="63" spans="2:9">
      <c r="B63" s="48"/>
      <c r="C63" s="14"/>
      <c r="D63" s="22"/>
      <c r="E63" s="22"/>
      <c r="F63" s="22"/>
      <c r="G63" s="37"/>
      <c r="H63" s="25"/>
      <c r="I63" s="40"/>
    </row>
    <row r="64" spans="2:9">
      <c r="B64" s="48"/>
      <c r="C64" s="14"/>
      <c r="D64" s="22"/>
      <c r="E64" s="22"/>
      <c r="F64" s="22"/>
      <c r="G64" s="37"/>
      <c r="H64" s="25"/>
      <c r="I64" s="40"/>
    </row>
    <row r="65" spans="2:9">
      <c r="B65" s="48"/>
      <c r="C65" s="14"/>
      <c r="D65" s="22"/>
      <c r="E65" s="22"/>
      <c r="F65" s="22"/>
      <c r="G65" s="37"/>
      <c r="H65" s="25"/>
      <c r="I65" s="40"/>
    </row>
    <row r="66" spans="2:9">
      <c r="B66" s="48"/>
      <c r="C66" s="14"/>
      <c r="D66" s="22"/>
      <c r="E66" s="22"/>
      <c r="F66" s="22"/>
      <c r="G66" s="37"/>
      <c r="H66" s="25"/>
      <c r="I66" s="40"/>
    </row>
    <row r="67" spans="2:9">
      <c r="B67" s="48"/>
      <c r="C67" s="14"/>
      <c r="D67" s="22"/>
      <c r="E67" s="22"/>
      <c r="F67" s="22"/>
      <c r="G67" s="37"/>
      <c r="H67" s="25"/>
      <c r="I67" s="40"/>
    </row>
    <row r="68" spans="2:9">
      <c r="B68" s="48"/>
      <c r="C68" s="14"/>
      <c r="D68" s="22"/>
      <c r="E68" s="22"/>
      <c r="F68" s="22"/>
      <c r="G68" s="37"/>
      <c r="H68" s="25"/>
      <c r="I68" s="40"/>
    </row>
    <row r="69" spans="2:9">
      <c r="B69" s="48"/>
      <c r="C69" s="14"/>
      <c r="D69" s="22"/>
      <c r="E69" s="22"/>
      <c r="F69" s="22"/>
      <c r="G69" s="37"/>
      <c r="H69" s="25"/>
      <c r="I69" s="40"/>
    </row>
    <row r="70" spans="2:9">
      <c r="B70" s="48"/>
      <c r="C70" s="14"/>
      <c r="D70" s="22"/>
      <c r="E70" s="22"/>
      <c r="F70" s="22"/>
      <c r="G70" s="37"/>
      <c r="H70" s="25"/>
      <c r="I70" s="40"/>
    </row>
    <row r="71" spans="2:9">
      <c r="B71" s="48"/>
      <c r="C71" s="14"/>
      <c r="D71" s="22"/>
      <c r="E71" s="22"/>
      <c r="F71" s="22"/>
      <c r="G71" s="37"/>
      <c r="H71" s="25"/>
      <c r="I71" s="40"/>
    </row>
    <row r="72" spans="2:9">
      <c r="B72" s="48"/>
      <c r="C72" s="14"/>
      <c r="D72" s="22"/>
      <c r="E72" s="22"/>
      <c r="F72" s="22"/>
      <c r="G72" s="37"/>
      <c r="H72" s="25"/>
      <c r="I72" s="40"/>
    </row>
    <row r="73" spans="2:9">
      <c r="B73" s="48"/>
      <c r="C73" s="14"/>
      <c r="D73" s="22"/>
      <c r="E73" s="22"/>
      <c r="F73" s="22"/>
      <c r="G73" s="37"/>
      <c r="H73" s="25"/>
      <c r="I73" s="40"/>
    </row>
    <row r="74" spans="2:9">
      <c r="B74" s="48"/>
      <c r="C74" s="14"/>
      <c r="D74" s="22"/>
      <c r="E74" s="22"/>
      <c r="F74" s="22"/>
      <c r="G74" s="37"/>
      <c r="H74" s="25"/>
      <c r="I74" s="40"/>
    </row>
    <row r="75" spans="2:9">
      <c r="B75" s="48"/>
      <c r="C75" s="14"/>
      <c r="D75" s="22"/>
      <c r="E75" s="22"/>
      <c r="F75" s="22"/>
      <c r="G75" s="37"/>
      <c r="H75" s="25"/>
      <c r="I75" s="40"/>
    </row>
    <row r="76" spans="2:9">
      <c r="B76" s="48"/>
      <c r="C76" s="14"/>
      <c r="D76" s="22"/>
      <c r="E76" s="22"/>
      <c r="F76" s="22"/>
      <c r="G76" s="37"/>
      <c r="H76" s="25"/>
      <c r="I76" s="40"/>
    </row>
    <row r="77" spans="2:9">
      <c r="B77" s="48"/>
      <c r="C77" s="14"/>
      <c r="D77" s="22"/>
      <c r="E77" s="22"/>
      <c r="F77" s="22"/>
      <c r="G77" s="37"/>
      <c r="H77" s="25"/>
      <c r="I77" s="40"/>
    </row>
    <row r="78" spans="2:9">
      <c r="B78" s="48"/>
      <c r="C78" s="14"/>
      <c r="D78" s="22"/>
      <c r="E78" s="22"/>
      <c r="F78" s="22"/>
      <c r="G78" s="37"/>
      <c r="H78" s="25"/>
      <c r="I78" s="40"/>
    </row>
    <row r="79" spans="2:9">
      <c r="B79" s="48"/>
      <c r="C79" s="14"/>
      <c r="D79" s="22"/>
      <c r="E79" s="22"/>
      <c r="F79" s="22"/>
      <c r="G79" s="37"/>
      <c r="H79" s="25"/>
      <c r="I79" s="40"/>
    </row>
    <row r="80" spans="2:9">
      <c r="B80" s="48"/>
      <c r="C80" s="14"/>
      <c r="D80" s="22"/>
      <c r="E80" s="22"/>
      <c r="F80" s="22"/>
      <c r="G80" s="37"/>
      <c r="H80" s="25"/>
      <c r="I80" s="40"/>
    </row>
    <row r="81" spans="2:9">
      <c r="B81" s="48"/>
      <c r="C81" s="14"/>
      <c r="D81" s="22"/>
      <c r="E81" s="22"/>
      <c r="F81" s="22"/>
      <c r="G81" s="37"/>
      <c r="H81" s="25"/>
      <c r="I81" s="40"/>
    </row>
    <row r="82" spans="2:9">
      <c r="B82" s="48"/>
      <c r="C82" s="14"/>
      <c r="D82" s="22"/>
      <c r="E82" s="22"/>
      <c r="F82" s="22"/>
      <c r="G82" s="37"/>
      <c r="H82" s="25"/>
      <c r="I82" s="40"/>
    </row>
    <row r="83" spans="2:9">
      <c r="B83" s="48"/>
      <c r="C83" s="14"/>
      <c r="D83" s="22"/>
      <c r="E83" s="22"/>
      <c r="F83" s="22"/>
      <c r="G83" s="37"/>
      <c r="H83" s="25"/>
      <c r="I83" s="40"/>
    </row>
    <row r="84" spans="2:9">
      <c r="B84" s="48"/>
      <c r="C84" s="14"/>
      <c r="D84" s="22"/>
      <c r="E84" s="22"/>
      <c r="F84" s="22"/>
      <c r="G84" s="37"/>
      <c r="H84" s="25"/>
      <c r="I84" s="40"/>
    </row>
    <row r="85" spans="2:9">
      <c r="B85" s="48"/>
      <c r="C85" s="14"/>
      <c r="D85" s="22"/>
      <c r="E85" s="22"/>
      <c r="F85" s="22"/>
      <c r="G85" s="37"/>
      <c r="H85" s="25"/>
      <c r="I85" s="40"/>
    </row>
    <row r="86" spans="2:9">
      <c r="B86" s="48"/>
      <c r="C86" s="14"/>
      <c r="D86" s="22"/>
      <c r="E86" s="22"/>
      <c r="F86" s="22"/>
      <c r="G86" s="37"/>
      <c r="H86" s="25"/>
      <c r="I86" s="40"/>
    </row>
    <row r="87" spans="2:9">
      <c r="B87" s="48"/>
      <c r="C87" s="14"/>
      <c r="D87" s="22"/>
      <c r="E87" s="22"/>
      <c r="F87" s="22"/>
      <c r="G87" s="37"/>
      <c r="H87" s="25"/>
      <c r="I87" s="40"/>
    </row>
    <row r="88" spans="2:9">
      <c r="B88" s="48"/>
      <c r="C88" s="14"/>
      <c r="D88" s="22"/>
      <c r="E88" s="22"/>
      <c r="F88" s="22"/>
      <c r="G88" s="37"/>
      <c r="H88" s="25"/>
      <c r="I88" s="40"/>
    </row>
    <row r="89" spans="2:9">
      <c r="B89" s="48"/>
      <c r="C89" s="14"/>
      <c r="D89" s="22"/>
      <c r="E89" s="22"/>
      <c r="F89" s="22"/>
      <c r="G89" s="37"/>
      <c r="H89" s="25"/>
      <c r="I89" s="40"/>
    </row>
    <row r="90" spans="2:9">
      <c r="B90" s="48"/>
      <c r="C90" s="14"/>
      <c r="D90" s="22"/>
      <c r="E90" s="22"/>
      <c r="F90" s="22"/>
      <c r="G90" s="37"/>
      <c r="H90" s="25"/>
      <c r="I90" s="40"/>
    </row>
    <row r="91" spans="2:9">
      <c r="B91" s="48"/>
      <c r="C91" s="14"/>
      <c r="D91" s="22"/>
      <c r="E91" s="22"/>
      <c r="F91" s="22"/>
      <c r="G91" s="37"/>
      <c r="H91" s="25"/>
      <c r="I91" s="40"/>
    </row>
    <row r="92" spans="2:9">
      <c r="B92" s="48"/>
      <c r="C92" s="14"/>
      <c r="D92" s="22"/>
      <c r="E92" s="22"/>
      <c r="F92" s="22"/>
      <c r="G92" s="37"/>
      <c r="H92" s="25"/>
      <c r="I92" s="40"/>
    </row>
    <row r="93" spans="2:9">
      <c r="B93" s="48"/>
      <c r="C93" s="14"/>
      <c r="D93" s="22"/>
      <c r="E93" s="22"/>
      <c r="F93" s="22"/>
      <c r="G93" s="37"/>
      <c r="H93" s="25"/>
      <c r="I93" s="40"/>
    </row>
    <row r="94" spans="2:9">
      <c r="B94" s="48"/>
      <c r="C94" s="14"/>
      <c r="D94" s="22"/>
      <c r="E94" s="22"/>
      <c r="F94" s="22"/>
      <c r="G94" s="37"/>
      <c r="H94" s="25"/>
      <c r="I94" s="40"/>
    </row>
    <row r="95" spans="2:9">
      <c r="B95" s="48"/>
      <c r="C95" s="14"/>
      <c r="D95" s="22"/>
      <c r="E95" s="22"/>
      <c r="F95" s="22"/>
      <c r="G95" s="37"/>
      <c r="H95" s="25" t="str">
        <f t="shared" ref="H95" si="2">IF(D95="","",F95*G95)</f>
        <v/>
      </c>
      <c r="I95" s="40"/>
    </row>
    <row r="96" spans="2:9" s="28" customFormat="1" ht="19.5" customHeight="1">
      <c r="B96" s="82" t="str">
        <f>$B$10</f>
        <v>C5.5</v>
      </c>
      <c r="C96" s="29" t="s">
        <v>125</v>
      </c>
      <c r="D96" s="30"/>
      <c r="E96" s="30"/>
      <c r="F96" s="31"/>
      <c r="G96" s="30"/>
      <c r="H96" s="32">
        <f>SUM(H43:H95)</f>
        <v>0</v>
      </c>
      <c r="I96" s="33"/>
    </row>
  </sheetData>
  <mergeCells count="11">
    <mergeCell ref="B38:G38"/>
    <mergeCell ref="H38:H41"/>
    <mergeCell ref="B39:G41"/>
    <mergeCell ref="F1:H1"/>
    <mergeCell ref="B5:G7"/>
    <mergeCell ref="H4:H7"/>
    <mergeCell ref="B4:G4"/>
    <mergeCell ref="B35:E35"/>
    <mergeCell ref="F35:H37"/>
    <mergeCell ref="B36:E36"/>
    <mergeCell ref="B37:E37"/>
  </mergeCells>
  <phoneticPr fontId="17" type="noConversion"/>
  <pageMargins left="0.43307086614173229" right="0.31496062992125984" top="0.43307086614173229" bottom="0.62992125984251968" header="0.35433070866141736" footer="0.31496062992125984"/>
  <pageSetup paperSize="9" scale="75" firstPageNumber="31" fitToHeight="0"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rowBreaks count="1" manualBreakCount="1">
    <brk id="34" max="8" man="1"/>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tabColor rgb="FF92D050"/>
  </sheetPr>
  <dimension ref="B1:Z36"/>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26">
      <c r="B1" s="2" t="str">
        <f>Client1</f>
        <v>AIRPORTS COMPANY - SOUTH AFRICA</v>
      </c>
      <c r="F1" s="732" t="str">
        <f>"Contract No. "&amp;ContractNo</f>
        <v>Contract No. KSIA7806/2025/RFP</v>
      </c>
      <c r="G1" s="732"/>
      <c r="H1" s="732"/>
    </row>
    <row r="2" spans="2:26">
      <c r="B2" s="90" t="str">
        <f>Client2</f>
        <v>ACSA</v>
      </c>
    </row>
    <row r="3" spans="2:26">
      <c r="B3" s="71"/>
      <c r="C3" s="71"/>
      <c r="D3" s="72"/>
      <c r="E3" s="72"/>
      <c r="F3" s="72"/>
      <c r="G3" s="73"/>
      <c r="H3" s="91"/>
    </row>
    <row r="4" spans="2:26">
      <c r="B4" s="695" t="s">
        <v>456</v>
      </c>
      <c r="C4" s="696"/>
      <c r="D4" s="696"/>
      <c r="E4" s="696"/>
      <c r="F4" s="696"/>
      <c r="G4" s="696"/>
      <c r="H4" s="770" t="str">
        <f>"CHAPTER "&amp;B10</f>
        <v>CHAPTER C6.1</v>
      </c>
      <c r="I4" s="6"/>
    </row>
    <row r="5" spans="2:26"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26" ht="12.75" customHeight="1">
      <c r="B6" s="690"/>
      <c r="C6" s="691"/>
      <c r="D6" s="691"/>
      <c r="E6" s="691"/>
      <c r="F6" s="691"/>
      <c r="G6" s="691"/>
      <c r="H6" s="771"/>
      <c r="I6" s="8"/>
    </row>
    <row r="7" spans="2:26" ht="7.5" customHeight="1">
      <c r="B7" s="692"/>
      <c r="C7" s="693"/>
      <c r="D7" s="693"/>
      <c r="E7" s="693"/>
      <c r="F7" s="693"/>
      <c r="G7" s="693"/>
      <c r="H7" s="772"/>
      <c r="I7" s="8"/>
    </row>
    <row r="8" spans="2:26" s="9" customFormat="1" ht="24.95" customHeight="1">
      <c r="B8" s="10" t="s">
        <v>11</v>
      </c>
      <c r="C8" s="11" t="s">
        <v>12</v>
      </c>
      <c r="D8" s="11" t="s">
        <v>13</v>
      </c>
      <c r="E8" s="11" t="s">
        <v>14</v>
      </c>
      <c r="F8" s="11" t="s">
        <v>15</v>
      </c>
      <c r="G8" s="11" t="s">
        <v>16</v>
      </c>
      <c r="H8" s="11" t="s">
        <v>17</v>
      </c>
      <c r="I8" s="12"/>
    </row>
    <row r="9" spans="2:26">
      <c r="B9" s="48"/>
      <c r="C9" s="14"/>
      <c r="D9" s="15"/>
      <c r="E9" s="15"/>
      <c r="F9" s="15"/>
      <c r="G9" s="16"/>
      <c r="H9" s="238" t="str">
        <f t="shared" ref="H9:H34" si="0">IF(D9="","",F9*G9)</f>
        <v/>
      </c>
      <c r="I9" s="239"/>
    </row>
    <row r="10" spans="2:26">
      <c r="B10" s="69" t="s">
        <v>933</v>
      </c>
      <c r="C10" s="20" t="s">
        <v>934</v>
      </c>
      <c r="D10" s="15"/>
      <c r="E10" s="15"/>
      <c r="F10" s="15"/>
      <c r="G10" s="16"/>
      <c r="H10" s="238" t="str">
        <f t="shared" si="0"/>
        <v/>
      </c>
      <c r="I10" s="239"/>
    </row>
    <row r="11" spans="2:26">
      <c r="B11" s="48"/>
      <c r="C11" s="14"/>
      <c r="D11" s="15"/>
      <c r="E11" s="15"/>
      <c r="F11" s="15"/>
      <c r="G11" s="16"/>
      <c r="H11" s="238" t="str">
        <f t="shared" si="0"/>
        <v/>
      </c>
      <c r="I11" s="239"/>
      <c r="V11" s="1">
        <f>6600/3</f>
        <v>2200</v>
      </c>
    </row>
    <row r="12" spans="2:26" ht="25.5">
      <c r="B12" s="59" t="s">
        <v>935</v>
      </c>
      <c r="C12" s="14" t="s">
        <v>936</v>
      </c>
      <c r="D12" s="15"/>
      <c r="E12" s="15"/>
      <c r="F12" s="15"/>
      <c r="G12" s="16" t="s">
        <v>128</v>
      </c>
      <c r="H12" s="238" t="str">
        <f t="shared" si="0"/>
        <v/>
      </c>
      <c r="I12" s="239"/>
      <c r="P12" s="1">
        <f>4400*1.5</f>
        <v>6600</v>
      </c>
      <c r="V12" s="1">
        <f>V11*1.5</f>
        <v>3300</v>
      </c>
    </row>
    <row r="13" spans="2:26" ht="27.75" customHeight="1">
      <c r="B13" s="59"/>
      <c r="C13" s="14"/>
      <c r="D13" s="15"/>
      <c r="E13" s="15"/>
      <c r="F13" s="15"/>
      <c r="G13" s="16" t="s">
        <v>128</v>
      </c>
      <c r="H13" s="238" t="str">
        <f t="shared" si="0"/>
        <v/>
      </c>
      <c r="I13" s="239"/>
    </row>
    <row r="14" spans="2:26">
      <c r="B14" s="48" t="s">
        <v>937</v>
      </c>
      <c r="C14" s="14" t="s">
        <v>938</v>
      </c>
      <c r="D14" s="22"/>
      <c r="E14" s="22"/>
      <c r="F14" s="240"/>
      <c r="G14" s="155" t="s">
        <v>128</v>
      </c>
      <c r="H14" s="238" t="str">
        <f t="shared" si="0"/>
        <v/>
      </c>
      <c r="I14" s="248"/>
    </row>
    <row r="15" spans="2:26">
      <c r="B15" s="59"/>
      <c r="C15" s="14"/>
      <c r="D15" s="15"/>
      <c r="E15" s="15"/>
      <c r="F15" s="249"/>
      <c r="G15" s="22"/>
      <c r="H15" s="238" t="str">
        <f t="shared" si="0"/>
        <v/>
      </c>
      <c r="I15" s="239"/>
    </row>
    <row r="16" spans="2:26" ht="25.5">
      <c r="B16" s="48" t="s">
        <v>86</v>
      </c>
      <c r="C16" s="14" t="s">
        <v>939</v>
      </c>
      <c r="D16" s="22" t="s">
        <v>782</v>
      </c>
      <c r="E16" s="15" t="s">
        <v>14</v>
      </c>
      <c r="F16" s="240"/>
      <c r="G16" s="250">
        <v>626.9</v>
      </c>
      <c r="H16" s="238">
        <f t="shared" si="0"/>
        <v>0</v>
      </c>
      <c r="I16" s="239"/>
      <c r="T16" s="1">
        <v>1500</v>
      </c>
      <c r="U16" s="1">
        <v>1.5</v>
      </c>
      <c r="W16" s="1">
        <f>U16*T16</f>
        <v>2250</v>
      </c>
      <c r="X16" s="1">
        <f>W16*1.05</f>
        <v>2362.5</v>
      </c>
      <c r="Z16" s="1">
        <f>X16*1.93</f>
        <v>4559.625</v>
      </c>
    </row>
    <row r="17" spans="2:25">
      <c r="B17" s="59"/>
      <c r="C17" s="14"/>
      <c r="D17" s="15"/>
      <c r="E17" s="15"/>
      <c r="F17" s="240"/>
      <c r="G17" s="22"/>
      <c r="H17" s="238" t="str">
        <f t="shared" si="0"/>
        <v/>
      </c>
      <c r="I17" s="251"/>
      <c r="N17" s="1">
        <v>4400</v>
      </c>
    </row>
    <row r="18" spans="2:25">
      <c r="B18" s="48" t="s">
        <v>940</v>
      </c>
      <c r="C18" s="100" t="s">
        <v>941</v>
      </c>
      <c r="D18" s="22"/>
      <c r="E18" s="62"/>
      <c r="F18" s="240"/>
      <c r="G18" s="36"/>
      <c r="H18" s="238" t="str">
        <f t="shared" si="0"/>
        <v/>
      </c>
      <c r="I18" s="64"/>
    </row>
    <row r="19" spans="2:25">
      <c r="B19" s="59"/>
      <c r="C19" s="252"/>
      <c r="D19" s="62"/>
      <c r="E19" s="62"/>
      <c r="F19" s="240"/>
      <c r="G19" s="36"/>
      <c r="H19" s="238" t="str">
        <f t="shared" si="0"/>
        <v/>
      </c>
      <c r="I19" s="64"/>
      <c r="N19" s="1">
        <f>4125/1.5</f>
        <v>2750</v>
      </c>
    </row>
    <row r="20" spans="2:25">
      <c r="B20" s="48" t="s">
        <v>942</v>
      </c>
      <c r="C20" s="14" t="s">
        <v>943</v>
      </c>
      <c r="D20" s="22" t="s">
        <v>782</v>
      </c>
      <c r="E20" s="62" t="s">
        <v>14</v>
      </c>
      <c r="F20" s="240"/>
      <c r="G20" s="253">
        <v>6.76</v>
      </c>
      <c r="H20" s="238">
        <f t="shared" si="0"/>
        <v>0</v>
      </c>
      <c r="I20" s="64"/>
      <c r="W20" s="1">
        <v>1500</v>
      </c>
      <c r="X20" s="1">
        <f>W20/3</f>
        <v>500</v>
      </c>
      <c r="Y20" s="1">
        <f>X20*1.5</f>
        <v>750</v>
      </c>
    </row>
    <row r="21" spans="2:25" ht="14.25" customHeight="1">
      <c r="B21" s="59"/>
      <c r="C21" s="252"/>
      <c r="D21" s="62"/>
      <c r="E21" s="62"/>
      <c r="F21" s="240"/>
      <c r="G21" s="36"/>
      <c r="H21" s="238" t="str">
        <f t="shared" si="0"/>
        <v/>
      </c>
      <c r="I21" s="64"/>
    </row>
    <row r="22" spans="2:25">
      <c r="B22" s="48" t="s">
        <v>944</v>
      </c>
      <c r="C22" s="14" t="s">
        <v>945</v>
      </c>
      <c r="D22" s="22"/>
      <c r="E22" s="62"/>
      <c r="F22" s="240"/>
      <c r="G22" s="250"/>
      <c r="H22" s="238" t="str">
        <f t="shared" si="0"/>
        <v/>
      </c>
      <c r="I22" s="64"/>
    </row>
    <row r="23" spans="2:25">
      <c r="B23" s="59"/>
      <c r="C23" s="14"/>
      <c r="D23" s="15"/>
      <c r="E23" s="62"/>
      <c r="F23" s="240"/>
      <c r="G23" s="36"/>
      <c r="H23" s="238" t="str">
        <f t="shared" si="0"/>
        <v/>
      </c>
      <c r="I23" s="64"/>
    </row>
    <row r="24" spans="2:25">
      <c r="B24" s="48" t="s">
        <v>86</v>
      </c>
      <c r="C24" s="100" t="s">
        <v>946</v>
      </c>
      <c r="D24" s="22" t="s">
        <v>782</v>
      </c>
      <c r="E24" s="15" t="s">
        <v>14</v>
      </c>
      <c r="F24" s="240"/>
      <c r="G24" s="22">
        <v>23.86</v>
      </c>
      <c r="H24" s="238">
        <f t="shared" si="0"/>
        <v>0</v>
      </c>
      <c r="I24" s="239"/>
    </row>
    <row r="25" spans="2:25">
      <c r="B25" s="59"/>
      <c r="C25" s="14"/>
      <c r="D25" s="15"/>
      <c r="E25" s="15"/>
      <c r="F25" s="240"/>
      <c r="G25" s="22"/>
      <c r="H25" s="238" t="str">
        <f t="shared" si="0"/>
        <v/>
      </c>
      <c r="I25" s="239"/>
    </row>
    <row r="26" spans="2:25">
      <c r="B26" s="48" t="s">
        <v>947</v>
      </c>
      <c r="C26" s="14" t="s">
        <v>948</v>
      </c>
      <c r="D26" s="22"/>
      <c r="E26" s="15"/>
      <c r="F26" s="240"/>
      <c r="G26" s="253"/>
      <c r="H26" s="238" t="str">
        <f t="shared" si="0"/>
        <v/>
      </c>
      <c r="I26" s="248"/>
    </row>
    <row r="27" spans="2:25">
      <c r="B27" s="59"/>
      <c r="C27" s="14"/>
      <c r="D27" s="15"/>
      <c r="E27" s="15"/>
      <c r="F27" s="240"/>
      <c r="G27" s="253"/>
      <c r="H27" s="238" t="str">
        <f t="shared" si="0"/>
        <v/>
      </c>
      <c r="I27" s="239"/>
      <c r="O27" s="1">
        <v>2250</v>
      </c>
      <c r="P27" s="1">
        <f>O27*1.5</f>
        <v>3375</v>
      </c>
      <c r="Q27" s="1" t="s">
        <v>949</v>
      </c>
    </row>
    <row r="28" spans="2:25">
      <c r="B28" s="48" t="s">
        <v>950</v>
      </c>
      <c r="C28" s="14" t="s">
        <v>951</v>
      </c>
      <c r="D28" s="22" t="s">
        <v>347</v>
      </c>
      <c r="E28" s="15" t="s">
        <v>14</v>
      </c>
      <c r="F28" s="240"/>
      <c r="G28" s="250">
        <v>149.88</v>
      </c>
      <c r="H28" s="238">
        <f t="shared" si="0"/>
        <v>0</v>
      </c>
      <c r="I28" s="239"/>
    </row>
    <row r="29" spans="2:25">
      <c r="B29" s="59"/>
      <c r="C29" s="14"/>
      <c r="D29" s="15"/>
      <c r="E29" s="15"/>
      <c r="F29" s="240"/>
      <c r="G29" s="22"/>
      <c r="H29" s="238" t="str">
        <f t="shared" si="0"/>
        <v/>
      </c>
      <c r="I29" s="239"/>
    </row>
    <row r="30" spans="2:25">
      <c r="B30" s="48" t="s">
        <v>952</v>
      </c>
      <c r="C30" s="100" t="s">
        <v>953</v>
      </c>
      <c r="D30" s="22"/>
      <c r="E30" s="15"/>
      <c r="F30" s="240"/>
      <c r="G30" s="253"/>
      <c r="H30" s="238" t="str">
        <f t="shared" si="0"/>
        <v/>
      </c>
      <c r="I30" s="239"/>
    </row>
    <row r="31" spans="2:25">
      <c r="B31" s="59"/>
      <c r="C31" s="14"/>
      <c r="D31" s="15"/>
      <c r="E31" s="15"/>
      <c r="F31" s="240"/>
      <c r="G31" s="22"/>
      <c r="H31" s="238" t="str">
        <f t="shared" si="0"/>
        <v/>
      </c>
      <c r="I31" s="239"/>
    </row>
    <row r="32" spans="2:25">
      <c r="B32" s="48" t="s">
        <v>954</v>
      </c>
      <c r="C32" s="14" t="s">
        <v>955</v>
      </c>
      <c r="D32" s="22" t="s">
        <v>764</v>
      </c>
      <c r="E32" s="15" t="s">
        <v>14</v>
      </c>
      <c r="F32" s="240"/>
      <c r="G32" s="250">
        <v>29.53</v>
      </c>
      <c r="H32" s="238">
        <f t="shared" si="0"/>
        <v>0</v>
      </c>
      <c r="I32" s="248"/>
    </row>
    <row r="33" spans="2:17">
      <c r="B33" s="59"/>
      <c r="C33" s="14"/>
      <c r="D33" s="15"/>
      <c r="E33" s="15"/>
      <c r="F33" s="240"/>
      <c r="G33" s="22" t="s">
        <v>128</v>
      </c>
      <c r="H33" s="238" t="str">
        <f t="shared" si="0"/>
        <v/>
      </c>
      <c r="I33" s="239"/>
      <c r="Q33" s="1">
        <f>6600*1.93</f>
        <v>12738</v>
      </c>
    </row>
    <row r="34" spans="2:17">
      <c r="B34" s="48" t="s">
        <v>730</v>
      </c>
      <c r="C34" s="14" t="s">
        <v>956</v>
      </c>
      <c r="D34" s="22" t="s">
        <v>85</v>
      </c>
      <c r="E34" s="15" t="s">
        <v>14</v>
      </c>
      <c r="F34" s="240"/>
      <c r="G34" s="267">
        <v>12009.45</v>
      </c>
      <c r="H34" s="238">
        <f t="shared" si="0"/>
        <v>0</v>
      </c>
      <c r="I34" s="239"/>
    </row>
    <row r="35" spans="2:17">
      <c r="B35" s="48"/>
      <c r="C35" s="14"/>
      <c r="D35" s="15"/>
      <c r="E35" s="15"/>
      <c r="F35" s="15"/>
      <c r="G35" s="16"/>
      <c r="H35" s="238"/>
    </row>
    <row r="36" spans="2:17" s="28" customFormat="1" ht="24.95" customHeight="1">
      <c r="B36" s="82" t="str">
        <f>$B$10</f>
        <v>C6.1</v>
      </c>
      <c r="C36" s="29" t="s">
        <v>125</v>
      </c>
      <c r="D36" s="30"/>
      <c r="E36" s="30"/>
      <c r="F36" s="31"/>
      <c r="G36" s="30"/>
      <c r="H36" s="254">
        <f>SUM(H11:H34)</f>
        <v>0</v>
      </c>
      <c r="I36" s="236"/>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7">
    <tabColor rgb="FF002060"/>
  </sheetPr>
  <dimension ref="B1:I77"/>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C6.2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 t="shared" ref="H9:H75" si="0">IF(D9="","",F9*G9)</f>
        <v/>
      </c>
      <c r="I9" s="18"/>
    </row>
    <row r="10" spans="2:9">
      <c r="B10" s="69" t="s">
        <v>957</v>
      </c>
      <c r="C10" s="20" t="s">
        <v>958</v>
      </c>
      <c r="D10" s="15"/>
      <c r="E10" s="15"/>
      <c r="F10" s="15"/>
      <c r="G10" s="16"/>
      <c r="H10" s="17" t="str">
        <f t="shared" si="0"/>
        <v/>
      </c>
      <c r="I10" s="18"/>
    </row>
    <row r="11" spans="2:9">
      <c r="B11" s="48"/>
      <c r="C11" s="14"/>
      <c r="D11" s="15"/>
      <c r="E11" s="15"/>
      <c r="F11" s="15"/>
      <c r="G11" s="16"/>
      <c r="H11" s="17" t="str">
        <f t="shared" si="0"/>
        <v/>
      </c>
      <c r="I11" s="18"/>
    </row>
    <row r="12" spans="2:9">
      <c r="B12" s="59" t="s">
        <v>959</v>
      </c>
      <c r="C12" s="14" t="s">
        <v>960</v>
      </c>
      <c r="D12" s="15"/>
      <c r="E12" s="15"/>
      <c r="F12" s="15"/>
      <c r="G12" s="16"/>
      <c r="H12" s="17" t="str">
        <f t="shared" si="0"/>
        <v/>
      </c>
      <c r="I12" s="18"/>
    </row>
    <row r="13" spans="2:9">
      <c r="B13" s="59"/>
      <c r="C13" s="14"/>
      <c r="D13" s="15"/>
      <c r="E13" s="15"/>
      <c r="F13" s="15"/>
      <c r="G13" s="16"/>
      <c r="H13" s="17" t="str">
        <f t="shared" si="0"/>
        <v/>
      </c>
      <c r="I13" s="18"/>
    </row>
    <row r="14" spans="2:9" ht="25.5">
      <c r="B14" s="48" t="s">
        <v>961</v>
      </c>
      <c r="C14" s="14" t="s">
        <v>962</v>
      </c>
      <c r="D14" s="22" t="s">
        <v>963</v>
      </c>
      <c r="E14" s="22"/>
      <c r="F14" s="23"/>
      <c r="G14" s="24"/>
      <c r="H14" s="25">
        <f t="shared" si="0"/>
        <v>0</v>
      </c>
      <c r="I14" s="58"/>
    </row>
    <row r="15" spans="2:9">
      <c r="B15" s="59"/>
      <c r="C15" s="14"/>
      <c r="D15" s="15"/>
      <c r="E15" s="15"/>
      <c r="F15" s="26"/>
      <c r="G15" s="16"/>
      <c r="H15" s="25" t="str">
        <f t="shared" si="0"/>
        <v/>
      </c>
      <c r="I15" s="18"/>
    </row>
    <row r="16" spans="2:9">
      <c r="B16" s="48" t="s">
        <v>964</v>
      </c>
      <c r="C16" s="14" t="s">
        <v>965</v>
      </c>
      <c r="D16" s="22"/>
      <c r="E16" s="15"/>
      <c r="F16" s="26"/>
      <c r="G16" s="60"/>
      <c r="H16" s="25" t="str">
        <f t="shared" si="0"/>
        <v/>
      </c>
      <c r="I16" s="18"/>
    </row>
    <row r="17" spans="2:9">
      <c r="B17" s="59"/>
      <c r="C17" s="14"/>
      <c r="D17" s="15"/>
      <c r="E17" s="15"/>
      <c r="F17" s="26"/>
      <c r="G17" s="16"/>
      <c r="H17" s="25" t="str">
        <f t="shared" si="0"/>
        <v/>
      </c>
      <c r="I17" s="61"/>
    </row>
    <row r="18" spans="2:9">
      <c r="B18" s="48" t="s">
        <v>966</v>
      </c>
      <c r="C18" s="100" t="s">
        <v>967</v>
      </c>
      <c r="D18" s="22" t="s">
        <v>968</v>
      </c>
      <c r="E18" s="62"/>
      <c r="F18" s="26"/>
      <c r="G18" s="63"/>
      <c r="H18" s="25">
        <f t="shared" si="0"/>
        <v>0</v>
      </c>
      <c r="I18" s="64"/>
    </row>
    <row r="19" spans="2:9">
      <c r="B19" s="59"/>
      <c r="C19" s="252"/>
      <c r="D19" s="62"/>
      <c r="E19" s="62"/>
      <c r="F19" s="26"/>
      <c r="G19" s="63"/>
      <c r="H19" s="25" t="str">
        <f t="shared" si="0"/>
        <v/>
      </c>
      <c r="I19" s="64"/>
    </row>
    <row r="20" spans="2:9" ht="25.5">
      <c r="B20" s="48" t="s">
        <v>969</v>
      </c>
      <c r="C20" s="14" t="s">
        <v>970</v>
      </c>
      <c r="D20" s="22" t="s">
        <v>55</v>
      </c>
      <c r="E20" s="62"/>
      <c r="F20" s="26"/>
      <c r="G20" s="65"/>
      <c r="H20" s="25">
        <f t="shared" si="0"/>
        <v>0</v>
      </c>
      <c r="I20" s="64"/>
    </row>
    <row r="21" spans="2:9">
      <c r="B21" s="59"/>
      <c r="C21" s="252"/>
      <c r="D21" s="62"/>
      <c r="E21" s="62"/>
      <c r="F21" s="26"/>
      <c r="G21" s="63"/>
      <c r="H21" s="25" t="str">
        <f t="shared" si="0"/>
        <v/>
      </c>
      <c r="I21" s="64"/>
    </row>
    <row r="22" spans="2:9">
      <c r="B22" s="59" t="s">
        <v>971</v>
      </c>
      <c r="C22" s="14" t="s">
        <v>972</v>
      </c>
      <c r="D22" s="62"/>
      <c r="E22" s="62"/>
      <c r="F22" s="26"/>
      <c r="G22" s="60"/>
      <c r="H22" s="25" t="str">
        <f t="shared" si="0"/>
        <v/>
      </c>
      <c r="I22" s="64"/>
    </row>
    <row r="23" spans="2:9">
      <c r="B23" s="59"/>
      <c r="C23" s="252"/>
      <c r="D23" s="62"/>
      <c r="E23" s="62"/>
      <c r="F23" s="26"/>
      <c r="G23" s="63"/>
      <c r="H23" s="25" t="str">
        <f t="shared" si="0"/>
        <v/>
      </c>
      <c r="I23" s="64"/>
    </row>
    <row r="24" spans="2:9" ht="25.5">
      <c r="B24" s="48" t="s">
        <v>973</v>
      </c>
      <c r="C24" s="14" t="s">
        <v>962</v>
      </c>
      <c r="D24" s="22" t="s">
        <v>963</v>
      </c>
      <c r="E24" s="15"/>
      <c r="F24" s="26"/>
      <c r="G24" s="16"/>
      <c r="H24" s="25">
        <f t="shared" si="0"/>
        <v>0</v>
      </c>
      <c r="I24" s="18"/>
    </row>
    <row r="25" spans="2:9">
      <c r="B25" s="59"/>
      <c r="C25" s="14"/>
      <c r="D25" s="15"/>
      <c r="E25" s="15"/>
      <c r="F25" s="26"/>
      <c r="G25" s="16"/>
      <c r="H25" s="25" t="str">
        <f t="shared" si="0"/>
        <v/>
      </c>
      <c r="I25" s="18"/>
    </row>
    <row r="26" spans="2:9">
      <c r="B26" s="48"/>
      <c r="C26" s="14"/>
      <c r="D26" s="22"/>
      <c r="E26" s="15"/>
      <c r="F26" s="26"/>
      <c r="G26" s="65"/>
      <c r="H26" s="25" t="str">
        <f t="shared" si="0"/>
        <v/>
      </c>
      <c r="I26" s="58"/>
    </row>
    <row r="27" spans="2:9">
      <c r="B27" s="59"/>
      <c r="C27" s="14"/>
      <c r="D27" s="15"/>
      <c r="E27" s="15"/>
      <c r="F27" s="26"/>
      <c r="G27" s="65"/>
      <c r="H27" s="25" t="str">
        <f t="shared" si="0"/>
        <v/>
      </c>
      <c r="I27" s="18"/>
    </row>
    <row r="28" spans="2:9">
      <c r="B28" s="21"/>
      <c r="C28" s="14"/>
      <c r="D28" s="22"/>
      <c r="E28" s="15"/>
      <c r="F28" s="26"/>
      <c r="G28" s="60"/>
      <c r="H28" s="25" t="str">
        <f t="shared" si="0"/>
        <v/>
      </c>
      <c r="I28" s="18"/>
    </row>
    <row r="29" spans="2:9">
      <c r="B29" s="21"/>
      <c r="C29" s="14"/>
      <c r="D29" s="22"/>
      <c r="E29" s="15"/>
      <c r="F29" s="26"/>
      <c r="G29" s="60"/>
      <c r="H29" s="25"/>
      <c r="I29" s="18"/>
    </row>
    <row r="30" spans="2:9">
      <c r="B30" s="21"/>
      <c r="C30" s="14"/>
      <c r="D30" s="22"/>
      <c r="E30" s="15"/>
      <c r="F30" s="26"/>
      <c r="G30" s="60"/>
      <c r="H30" s="25"/>
      <c r="I30" s="18"/>
    </row>
    <row r="31" spans="2:9">
      <c r="B31" s="21"/>
      <c r="C31" s="14"/>
      <c r="D31" s="22"/>
      <c r="E31" s="15"/>
      <c r="F31" s="26"/>
      <c r="G31" s="60"/>
      <c r="H31" s="25"/>
      <c r="I31" s="18"/>
    </row>
    <row r="32" spans="2:9">
      <c r="B32" s="21"/>
      <c r="C32" s="14"/>
      <c r="D32" s="22"/>
      <c r="E32" s="15"/>
      <c r="F32" s="26"/>
      <c r="G32" s="60"/>
      <c r="H32" s="25"/>
      <c r="I32" s="18"/>
    </row>
    <row r="33" spans="2:9">
      <c r="B33" s="21"/>
      <c r="C33" s="14"/>
      <c r="D33" s="22"/>
      <c r="E33" s="15"/>
      <c r="F33" s="26"/>
      <c r="G33" s="60"/>
      <c r="H33" s="25"/>
      <c r="I33" s="18"/>
    </row>
    <row r="34" spans="2:9">
      <c r="B34" s="21"/>
      <c r="C34" s="14"/>
      <c r="D34" s="22"/>
      <c r="E34" s="15"/>
      <c r="F34" s="26"/>
      <c r="G34" s="60"/>
      <c r="H34" s="25"/>
      <c r="I34" s="18"/>
    </row>
    <row r="35" spans="2:9">
      <c r="B35" s="21"/>
      <c r="C35" s="14"/>
      <c r="D35" s="22"/>
      <c r="E35" s="15"/>
      <c r="F35" s="26"/>
      <c r="G35" s="60"/>
      <c r="H35" s="25"/>
      <c r="I35" s="18"/>
    </row>
    <row r="36" spans="2:9">
      <c r="B36" s="21"/>
      <c r="C36" s="14"/>
      <c r="D36" s="22"/>
      <c r="E36" s="15"/>
      <c r="F36" s="26"/>
      <c r="G36" s="60"/>
      <c r="H36" s="25"/>
      <c r="I36" s="18"/>
    </row>
    <row r="37" spans="2:9">
      <c r="B37" s="21"/>
      <c r="C37" s="14"/>
      <c r="D37" s="22"/>
      <c r="E37" s="15"/>
      <c r="F37" s="26"/>
      <c r="G37" s="60"/>
      <c r="H37" s="25"/>
      <c r="I37" s="18"/>
    </row>
    <row r="38" spans="2:9">
      <c r="B38" s="21"/>
      <c r="C38" s="14"/>
      <c r="D38" s="22"/>
      <c r="E38" s="15"/>
      <c r="F38" s="26"/>
      <c r="G38" s="60"/>
      <c r="H38" s="25"/>
      <c r="I38" s="18"/>
    </row>
    <row r="39" spans="2:9">
      <c r="B39" s="21"/>
      <c r="C39" s="14"/>
      <c r="D39" s="22"/>
      <c r="E39" s="15"/>
      <c r="F39" s="26"/>
      <c r="G39" s="60"/>
      <c r="H39" s="25"/>
      <c r="I39" s="18"/>
    </row>
    <row r="40" spans="2:9">
      <c r="B40" s="21"/>
      <c r="C40" s="14"/>
      <c r="D40" s="22"/>
      <c r="E40" s="15"/>
      <c r="F40" s="26"/>
      <c r="G40" s="60"/>
      <c r="H40" s="25"/>
      <c r="I40" s="18"/>
    </row>
    <row r="41" spans="2:9">
      <c r="B41" s="21"/>
      <c r="C41" s="14"/>
      <c r="D41" s="22"/>
      <c r="E41" s="15"/>
      <c r="F41" s="26"/>
      <c r="G41" s="60"/>
      <c r="H41" s="25"/>
      <c r="I41" s="18"/>
    </row>
    <row r="42" spans="2:9">
      <c r="B42" s="21"/>
      <c r="C42" s="14"/>
      <c r="D42" s="22"/>
      <c r="E42" s="15"/>
      <c r="F42" s="26"/>
      <c r="G42" s="60"/>
      <c r="H42" s="25"/>
      <c r="I42" s="18"/>
    </row>
    <row r="43" spans="2:9">
      <c r="B43" s="21"/>
      <c r="C43" s="14"/>
      <c r="D43" s="22"/>
      <c r="E43" s="15"/>
      <c r="F43" s="26"/>
      <c r="G43" s="60"/>
      <c r="H43" s="25"/>
      <c r="I43" s="18"/>
    </row>
    <row r="44" spans="2:9">
      <c r="B44" s="21"/>
      <c r="C44" s="14"/>
      <c r="D44" s="22"/>
      <c r="E44" s="15"/>
      <c r="F44" s="26"/>
      <c r="G44" s="60"/>
      <c r="H44" s="25"/>
      <c r="I44" s="18"/>
    </row>
    <row r="45" spans="2:9">
      <c r="B45" s="21"/>
      <c r="C45" s="14"/>
      <c r="D45" s="22"/>
      <c r="E45" s="15"/>
      <c r="F45" s="26"/>
      <c r="G45" s="60"/>
      <c r="H45" s="25"/>
      <c r="I45" s="18"/>
    </row>
    <row r="46" spans="2:9">
      <c r="B46" s="21"/>
      <c r="C46" s="14"/>
      <c r="D46" s="22"/>
      <c r="E46" s="15"/>
      <c r="F46" s="26"/>
      <c r="G46" s="60"/>
      <c r="H46" s="25"/>
      <c r="I46" s="18"/>
    </row>
    <row r="47" spans="2:9">
      <c r="B47" s="21"/>
      <c r="C47" s="14"/>
      <c r="D47" s="22"/>
      <c r="E47" s="15"/>
      <c r="F47" s="26"/>
      <c r="G47" s="60"/>
      <c r="H47" s="25"/>
      <c r="I47" s="18"/>
    </row>
    <row r="48" spans="2:9">
      <c r="B48" s="21"/>
      <c r="C48" s="14"/>
      <c r="D48" s="22"/>
      <c r="E48" s="15"/>
      <c r="F48" s="26"/>
      <c r="G48" s="60"/>
      <c r="H48" s="25"/>
      <c r="I48" s="18"/>
    </row>
    <row r="49" spans="2:9">
      <c r="B49" s="21"/>
      <c r="C49" s="14"/>
      <c r="D49" s="22"/>
      <c r="E49" s="15"/>
      <c r="F49" s="26"/>
      <c r="G49" s="60"/>
      <c r="H49" s="25"/>
      <c r="I49" s="18"/>
    </row>
    <row r="50" spans="2:9">
      <c r="B50" s="21"/>
      <c r="C50" s="14"/>
      <c r="D50" s="22"/>
      <c r="E50" s="15"/>
      <c r="F50" s="26"/>
      <c r="G50" s="60"/>
      <c r="H50" s="25"/>
      <c r="I50" s="18"/>
    </row>
    <row r="51" spans="2:9">
      <c r="B51" s="21"/>
      <c r="C51" s="14"/>
      <c r="D51" s="22"/>
      <c r="E51" s="15"/>
      <c r="F51" s="26"/>
      <c r="G51" s="60"/>
      <c r="H51" s="25"/>
      <c r="I51" s="18"/>
    </row>
    <row r="52" spans="2:9">
      <c r="B52" s="21"/>
      <c r="C52" s="14"/>
      <c r="D52" s="22"/>
      <c r="E52" s="15"/>
      <c r="F52" s="26"/>
      <c r="G52" s="60"/>
      <c r="H52" s="25"/>
      <c r="I52" s="18"/>
    </row>
    <row r="53" spans="2:9">
      <c r="B53" s="21"/>
      <c r="C53" s="14"/>
      <c r="D53" s="22"/>
      <c r="E53" s="15"/>
      <c r="F53" s="26"/>
      <c r="G53" s="60"/>
      <c r="H53" s="25"/>
      <c r="I53" s="18"/>
    </row>
    <row r="54" spans="2:9">
      <c r="B54" s="21"/>
      <c r="C54" s="14"/>
      <c r="D54" s="22"/>
      <c r="E54" s="15"/>
      <c r="F54" s="26"/>
      <c r="G54" s="60"/>
      <c r="H54" s="25"/>
      <c r="I54" s="18"/>
    </row>
    <row r="55" spans="2:9">
      <c r="B55" s="21"/>
      <c r="C55" s="14"/>
      <c r="D55" s="22"/>
      <c r="E55" s="15"/>
      <c r="F55" s="26"/>
      <c r="G55" s="60"/>
      <c r="H55" s="25"/>
      <c r="I55" s="18"/>
    </row>
    <row r="56" spans="2:9">
      <c r="B56" s="21"/>
      <c r="C56" s="14"/>
      <c r="D56" s="22"/>
      <c r="E56" s="15"/>
      <c r="F56" s="26"/>
      <c r="G56" s="60"/>
      <c r="H56" s="25"/>
      <c r="I56" s="18"/>
    </row>
    <row r="57" spans="2:9">
      <c r="B57" s="21"/>
      <c r="C57" s="14"/>
      <c r="D57" s="22"/>
      <c r="E57" s="15"/>
      <c r="F57" s="26"/>
      <c r="G57" s="60"/>
      <c r="H57" s="25"/>
      <c r="I57" s="18"/>
    </row>
    <row r="58" spans="2:9">
      <c r="B58" s="21"/>
      <c r="C58" s="14"/>
      <c r="D58" s="22"/>
      <c r="E58" s="15"/>
      <c r="F58" s="26"/>
      <c r="G58" s="60"/>
      <c r="H58" s="25"/>
      <c r="I58" s="18"/>
    </row>
    <row r="59" spans="2:9">
      <c r="B59" s="21"/>
      <c r="C59" s="14"/>
      <c r="D59" s="22"/>
      <c r="E59" s="15"/>
      <c r="F59" s="26"/>
      <c r="G59" s="60"/>
      <c r="H59" s="25"/>
      <c r="I59" s="18"/>
    </row>
    <row r="60" spans="2:9">
      <c r="B60" s="21"/>
      <c r="C60" s="14"/>
      <c r="D60" s="22"/>
      <c r="E60" s="15"/>
      <c r="F60" s="26"/>
      <c r="G60" s="60"/>
      <c r="H60" s="25"/>
      <c r="I60" s="18"/>
    </row>
    <row r="61" spans="2:9">
      <c r="B61" s="21"/>
      <c r="C61" s="14"/>
      <c r="D61" s="22"/>
      <c r="E61" s="15"/>
      <c r="F61" s="26"/>
      <c r="G61" s="27"/>
      <c r="H61" s="25" t="str">
        <f t="shared" si="0"/>
        <v/>
      </c>
      <c r="I61" s="18"/>
    </row>
    <row r="62" spans="2:9">
      <c r="B62" s="57"/>
      <c r="C62" s="14"/>
      <c r="D62" s="15"/>
      <c r="E62" s="15"/>
      <c r="F62" s="26"/>
      <c r="G62" s="27"/>
      <c r="H62" s="25" t="str">
        <f t="shared" si="0"/>
        <v/>
      </c>
      <c r="I62" s="18"/>
    </row>
    <row r="63" spans="2:9">
      <c r="B63" s="21"/>
      <c r="C63" s="14"/>
      <c r="D63" s="22"/>
      <c r="E63" s="15"/>
      <c r="F63" s="26"/>
      <c r="G63" s="65"/>
      <c r="H63" s="25" t="str">
        <f t="shared" si="0"/>
        <v/>
      </c>
      <c r="I63" s="58"/>
    </row>
    <row r="64" spans="2:9">
      <c r="B64" s="57"/>
      <c r="C64" s="14"/>
      <c r="D64" s="15"/>
      <c r="E64" s="15"/>
      <c r="F64" s="26"/>
      <c r="G64" s="27"/>
      <c r="H64" s="25" t="str">
        <f t="shared" si="0"/>
        <v/>
      </c>
      <c r="I64" s="18"/>
    </row>
    <row r="65" spans="2:9">
      <c r="B65" s="19"/>
      <c r="C65" s="20"/>
      <c r="D65" s="49"/>
      <c r="E65" s="15"/>
      <c r="F65" s="26"/>
      <c r="G65" s="60"/>
      <c r="H65" s="25" t="str">
        <f t="shared" si="0"/>
        <v/>
      </c>
      <c r="I65" s="18"/>
    </row>
    <row r="66" spans="2:9">
      <c r="B66" s="57"/>
      <c r="C66" s="14"/>
      <c r="D66" s="15"/>
      <c r="E66" s="15"/>
      <c r="F66" s="15"/>
      <c r="G66" s="16"/>
      <c r="H66" s="25" t="str">
        <f t="shared" si="0"/>
        <v/>
      </c>
      <c r="I66" s="18"/>
    </row>
    <row r="67" spans="2:9">
      <c r="B67" s="19"/>
      <c r="C67" s="20"/>
      <c r="D67" s="15"/>
      <c r="E67" s="15"/>
      <c r="F67" s="15"/>
      <c r="G67" s="65"/>
      <c r="H67" s="25" t="str">
        <f t="shared" si="0"/>
        <v/>
      </c>
      <c r="I67" s="18"/>
    </row>
    <row r="68" spans="2:9">
      <c r="B68" s="57"/>
      <c r="C68" s="14"/>
      <c r="D68" s="15"/>
      <c r="E68" s="15"/>
      <c r="F68" s="15"/>
      <c r="G68" s="65"/>
      <c r="H68" s="25" t="str">
        <f t="shared" si="0"/>
        <v/>
      </c>
      <c r="I68" s="18"/>
    </row>
    <row r="69" spans="2:9">
      <c r="B69" s="13"/>
      <c r="C69" s="14"/>
      <c r="D69" s="22"/>
      <c r="E69" s="15"/>
      <c r="F69" s="15"/>
      <c r="G69" s="65"/>
      <c r="H69" s="25" t="str">
        <f t="shared" si="0"/>
        <v/>
      </c>
      <c r="I69" s="18"/>
    </row>
    <row r="70" spans="2:9">
      <c r="B70" s="57"/>
      <c r="C70" s="14"/>
      <c r="D70" s="15"/>
      <c r="E70" s="15"/>
      <c r="F70" s="15"/>
      <c r="G70" s="65"/>
      <c r="H70" s="25" t="str">
        <f t="shared" si="0"/>
        <v/>
      </c>
      <c r="I70" s="18"/>
    </row>
    <row r="71" spans="2:9">
      <c r="B71" s="13"/>
      <c r="C71" s="14"/>
      <c r="D71" s="22"/>
      <c r="E71" s="15"/>
      <c r="F71" s="15"/>
      <c r="G71" s="66"/>
      <c r="H71" s="25" t="str">
        <f t="shared" si="0"/>
        <v/>
      </c>
      <c r="I71" s="18"/>
    </row>
    <row r="72" spans="2:9">
      <c r="B72" s="57"/>
      <c r="C72" s="14"/>
      <c r="D72" s="15"/>
      <c r="E72" s="15"/>
      <c r="F72" s="15"/>
      <c r="G72" s="65"/>
      <c r="H72" s="25" t="str">
        <f t="shared" si="0"/>
        <v/>
      </c>
      <c r="I72" s="18"/>
    </row>
    <row r="73" spans="2:9">
      <c r="B73" s="19"/>
      <c r="C73" s="20"/>
      <c r="D73" s="49"/>
      <c r="E73" s="15"/>
      <c r="F73" s="15"/>
      <c r="G73" s="65"/>
      <c r="H73" s="25" t="str">
        <f t="shared" si="0"/>
        <v/>
      </c>
      <c r="I73" s="18"/>
    </row>
    <row r="74" spans="2:9">
      <c r="B74" s="57"/>
      <c r="C74" s="14"/>
      <c r="D74" s="15"/>
      <c r="E74" s="15"/>
      <c r="F74" s="15"/>
      <c r="G74" s="65"/>
      <c r="H74" s="25" t="str">
        <f t="shared" si="0"/>
        <v/>
      </c>
      <c r="I74" s="18"/>
    </row>
    <row r="75" spans="2:9">
      <c r="B75" s="19"/>
      <c r="C75" s="20"/>
      <c r="D75" s="62"/>
      <c r="E75" s="62"/>
      <c r="F75" s="62"/>
      <c r="G75" s="65"/>
      <c r="H75" s="25" t="str">
        <f t="shared" si="0"/>
        <v/>
      </c>
      <c r="I75" s="64"/>
    </row>
    <row r="76" spans="2:9" s="28" customFormat="1" ht="24.95" customHeight="1">
      <c r="B76" s="82" t="str">
        <f>$B$10</f>
        <v>C6.2</v>
      </c>
      <c r="C76" s="29" t="s">
        <v>125</v>
      </c>
      <c r="D76" s="30"/>
      <c r="E76" s="30"/>
      <c r="F76" s="31"/>
      <c r="G76" s="30"/>
      <c r="H76" s="32">
        <f>SUM(H9:H75)</f>
        <v>0</v>
      </c>
      <c r="I76" s="33"/>
    </row>
    <row r="77" spans="2:9" ht="5.25" customHeight="1"/>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4"/>
  <dimension ref="B1:I74"/>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c r="B4" s="695" t="s">
        <v>456</v>
      </c>
      <c r="C4" s="696"/>
      <c r="D4" s="696"/>
      <c r="E4" s="696"/>
      <c r="F4" s="696"/>
      <c r="G4" s="696"/>
      <c r="H4" s="773" t="str">
        <f>"CHAPTER "&amp;B10</f>
        <v>CHAPTER C7.1</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4"/>
      <c r="I5" s="8"/>
    </row>
    <row r="6" spans="2:9" ht="12.75" customHeight="1">
      <c r="B6" s="690"/>
      <c r="C6" s="691"/>
      <c r="D6" s="691"/>
      <c r="E6" s="691"/>
      <c r="F6" s="691"/>
      <c r="G6" s="691"/>
      <c r="H6" s="774"/>
      <c r="I6" s="8"/>
    </row>
    <row r="7" spans="2:9" s="9" customFormat="1" ht="7.5" customHeight="1">
      <c r="B7" s="692"/>
      <c r="C7" s="693"/>
      <c r="D7" s="693"/>
      <c r="E7" s="693"/>
      <c r="F7" s="693"/>
      <c r="G7" s="693"/>
      <c r="H7" s="775"/>
      <c r="I7" s="12"/>
    </row>
    <row r="8" spans="2:9" s="9" customFormat="1" ht="24.95" customHeight="1">
      <c r="B8" s="10" t="s">
        <v>11</v>
      </c>
      <c r="C8" s="11" t="s">
        <v>12</v>
      </c>
      <c r="D8" s="11" t="s">
        <v>13</v>
      </c>
      <c r="E8" s="11" t="s">
        <v>14</v>
      </c>
      <c r="F8" s="11" t="s">
        <v>15</v>
      </c>
      <c r="G8" s="11" t="s">
        <v>16</v>
      </c>
      <c r="H8" s="11" t="s">
        <v>17</v>
      </c>
      <c r="I8" s="12"/>
    </row>
    <row r="9" spans="2:9">
      <c r="B9" s="79"/>
      <c r="C9" s="52"/>
      <c r="D9" s="78"/>
      <c r="E9" s="15"/>
      <c r="F9" s="15"/>
      <c r="G9" s="16"/>
      <c r="H9" s="96" t="str">
        <f>IF(D9="","",F9*G9)</f>
        <v/>
      </c>
      <c r="I9" s="18"/>
    </row>
    <row r="10" spans="2:9">
      <c r="B10" s="69" t="s">
        <v>974</v>
      </c>
      <c r="C10" s="7" t="s">
        <v>975</v>
      </c>
      <c r="D10" s="15"/>
      <c r="E10" s="15"/>
      <c r="F10" s="15"/>
      <c r="G10" s="16"/>
      <c r="H10" s="96" t="str">
        <f t="shared" ref="H10:H73" si="0">IF(D10="","",F10*G10)</f>
        <v/>
      </c>
      <c r="I10" s="18"/>
    </row>
    <row r="11" spans="2:9">
      <c r="B11" s="48"/>
      <c r="C11" s="52"/>
      <c r="D11" s="15"/>
      <c r="E11" s="15"/>
      <c r="F11" s="15"/>
      <c r="G11" s="16"/>
      <c r="H11" s="96" t="str">
        <f t="shared" si="0"/>
        <v/>
      </c>
      <c r="I11" s="18"/>
    </row>
    <row r="12" spans="2:9" ht="26.45" customHeight="1">
      <c r="B12" s="103" t="s">
        <v>976</v>
      </c>
      <c r="C12" s="55" t="s">
        <v>977</v>
      </c>
      <c r="D12" s="62"/>
      <c r="E12" s="22"/>
      <c r="F12" s="22"/>
      <c r="G12" s="39"/>
      <c r="H12" s="96" t="str">
        <f t="shared" si="0"/>
        <v/>
      </c>
      <c r="I12" s="40"/>
    </row>
    <row r="13" spans="2:9">
      <c r="B13" s="102"/>
      <c r="D13" s="22"/>
      <c r="E13" s="22"/>
      <c r="F13" s="22"/>
      <c r="G13" s="39"/>
      <c r="H13" s="96" t="str">
        <f t="shared" si="0"/>
        <v/>
      </c>
      <c r="I13" s="40"/>
    </row>
    <row r="14" spans="2:9">
      <c r="B14" s="103" t="s">
        <v>978</v>
      </c>
      <c r="C14" s="35" t="s">
        <v>979</v>
      </c>
      <c r="D14" s="62" t="s">
        <v>347</v>
      </c>
      <c r="E14" s="22"/>
      <c r="F14" s="22"/>
      <c r="G14" s="39"/>
      <c r="H14" s="96">
        <f t="shared" si="0"/>
        <v>0</v>
      </c>
      <c r="I14" s="40"/>
    </row>
    <row r="15" spans="2:9">
      <c r="B15" s="102"/>
      <c r="D15" s="22"/>
      <c r="E15" s="22"/>
      <c r="F15" s="22"/>
      <c r="G15" s="39"/>
      <c r="H15" s="96" t="str">
        <f t="shared" si="0"/>
        <v/>
      </c>
      <c r="I15" s="40"/>
    </row>
    <row r="16" spans="2:9">
      <c r="B16" s="103" t="s">
        <v>980</v>
      </c>
      <c r="C16" s="35" t="s">
        <v>981</v>
      </c>
      <c r="D16" s="62" t="s">
        <v>347</v>
      </c>
      <c r="E16" s="22"/>
      <c r="F16" s="23"/>
      <c r="G16" s="39"/>
      <c r="H16" s="96">
        <f t="shared" si="0"/>
        <v>0</v>
      </c>
      <c r="I16" s="41"/>
    </row>
    <row r="17" spans="2:9">
      <c r="B17" s="102"/>
      <c r="D17" s="22"/>
      <c r="E17" s="22"/>
      <c r="F17" s="23"/>
      <c r="G17" s="39"/>
      <c r="H17" s="96" t="str">
        <f t="shared" si="0"/>
        <v/>
      </c>
      <c r="I17" s="41"/>
    </row>
    <row r="18" spans="2:9" ht="24.6" customHeight="1">
      <c r="B18" s="103" t="s">
        <v>982</v>
      </c>
      <c r="C18" s="55" t="s">
        <v>983</v>
      </c>
      <c r="D18" s="62" t="s">
        <v>347</v>
      </c>
      <c r="E18" s="22"/>
      <c r="F18" s="23"/>
      <c r="G18" s="39"/>
      <c r="H18" s="96">
        <f t="shared" si="0"/>
        <v>0</v>
      </c>
      <c r="I18" s="41"/>
    </row>
    <row r="19" spans="2:9">
      <c r="B19" s="102"/>
      <c r="D19" s="22"/>
      <c r="E19" s="22"/>
      <c r="F19" s="23"/>
      <c r="G19" s="39"/>
      <c r="H19" s="96" t="str">
        <f t="shared" si="0"/>
        <v/>
      </c>
      <c r="I19" s="40"/>
    </row>
    <row r="20" spans="2:9" ht="24" customHeight="1">
      <c r="B20" s="103" t="s">
        <v>984</v>
      </c>
      <c r="C20" s="55" t="s">
        <v>985</v>
      </c>
      <c r="D20" s="62" t="s">
        <v>347</v>
      </c>
      <c r="E20" s="22"/>
      <c r="F20" s="23"/>
      <c r="G20" s="39"/>
      <c r="H20" s="96">
        <f t="shared" si="0"/>
        <v>0</v>
      </c>
      <c r="I20" s="40"/>
    </row>
    <row r="21" spans="2:9">
      <c r="B21" s="102"/>
      <c r="D21" s="22"/>
      <c r="E21" s="22"/>
      <c r="F21" s="23"/>
      <c r="G21" s="39"/>
      <c r="H21" s="96" t="str">
        <f t="shared" si="0"/>
        <v/>
      </c>
      <c r="I21" s="43"/>
    </row>
    <row r="22" spans="2:9" ht="23.1" customHeight="1">
      <c r="B22" s="103" t="s">
        <v>986</v>
      </c>
      <c r="C22" s="55" t="s">
        <v>987</v>
      </c>
      <c r="D22" s="62" t="s">
        <v>347</v>
      </c>
      <c r="E22" s="36"/>
      <c r="F22" s="23"/>
      <c r="G22" s="39"/>
      <c r="H22" s="96">
        <f t="shared" si="0"/>
        <v>0</v>
      </c>
    </row>
    <row r="23" spans="2:9">
      <c r="B23" s="102"/>
      <c r="D23" s="36"/>
      <c r="E23" s="36"/>
      <c r="F23" s="23"/>
      <c r="G23" s="39"/>
      <c r="H23" s="96" t="str">
        <f t="shared" si="0"/>
        <v/>
      </c>
    </row>
    <row r="24" spans="2:9">
      <c r="B24" s="103" t="s">
        <v>988</v>
      </c>
      <c r="C24" s="35" t="s">
        <v>989</v>
      </c>
      <c r="D24" s="15" t="s">
        <v>898</v>
      </c>
      <c r="E24" s="36"/>
      <c r="F24" s="23"/>
      <c r="G24" s="39"/>
      <c r="H24" s="96">
        <f t="shared" si="0"/>
        <v>0</v>
      </c>
    </row>
    <row r="25" spans="2:9">
      <c r="B25" s="102"/>
      <c r="D25" s="36"/>
      <c r="E25" s="36"/>
      <c r="F25" s="23"/>
      <c r="G25" s="39"/>
      <c r="H25" s="96" t="str">
        <f t="shared" si="0"/>
        <v/>
      </c>
    </row>
    <row r="26" spans="2:9" ht="24.6" customHeight="1">
      <c r="B26" s="103" t="s">
        <v>990</v>
      </c>
      <c r="C26" s="55" t="s">
        <v>991</v>
      </c>
      <c r="D26" s="62" t="s">
        <v>992</v>
      </c>
      <c r="E26" s="36"/>
      <c r="F26" s="23"/>
      <c r="G26" s="39"/>
      <c r="H26" s="96">
        <f t="shared" si="0"/>
        <v>0</v>
      </c>
    </row>
    <row r="27" spans="2:9">
      <c r="B27" s="102"/>
      <c r="D27" s="36"/>
      <c r="E27" s="36"/>
      <c r="F27" s="23"/>
      <c r="G27" s="39" t="str">
        <f>IF(C27="","",E27*F27)</f>
        <v/>
      </c>
      <c r="H27" s="96" t="str">
        <f t="shared" si="0"/>
        <v/>
      </c>
    </row>
    <row r="28" spans="2:9">
      <c r="B28" s="102"/>
      <c r="D28" s="36"/>
      <c r="E28" s="36"/>
      <c r="F28" s="23"/>
      <c r="G28" s="39"/>
      <c r="H28" s="96" t="str">
        <f t="shared" si="0"/>
        <v/>
      </c>
    </row>
    <row r="29" spans="2:9">
      <c r="B29" s="102"/>
      <c r="D29" s="36"/>
      <c r="E29" s="36"/>
      <c r="F29" s="23"/>
      <c r="G29" s="39"/>
      <c r="H29" s="96" t="str">
        <f t="shared" si="0"/>
        <v/>
      </c>
    </row>
    <row r="30" spans="2:9">
      <c r="B30" s="102"/>
      <c r="D30" s="36"/>
      <c r="E30" s="36"/>
      <c r="F30" s="23"/>
      <c r="G30" s="39"/>
      <c r="H30" s="96" t="str">
        <f t="shared" si="0"/>
        <v/>
      </c>
    </row>
    <row r="31" spans="2:9">
      <c r="B31" s="102"/>
      <c r="D31" s="36"/>
      <c r="E31" s="36"/>
      <c r="F31" s="23"/>
      <c r="G31" s="39"/>
      <c r="H31" s="96" t="str">
        <f t="shared" si="0"/>
        <v/>
      </c>
    </row>
    <row r="32" spans="2:9">
      <c r="B32" s="102"/>
      <c r="D32" s="36"/>
      <c r="E32" s="36"/>
      <c r="F32" s="23"/>
      <c r="G32" s="39"/>
      <c r="H32" s="96" t="str">
        <f t="shared" si="0"/>
        <v/>
      </c>
    </row>
    <row r="33" spans="2:8">
      <c r="B33" s="102"/>
      <c r="D33" s="36"/>
      <c r="E33" s="36"/>
      <c r="F33" s="23"/>
      <c r="G33" s="39"/>
      <c r="H33" s="96" t="str">
        <f t="shared" si="0"/>
        <v/>
      </c>
    </row>
    <row r="34" spans="2:8">
      <c r="B34" s="102"/>
      <c r="D34" s="36"/>
      <c r="E34" s="36"/>
      <c r="F34" s="23"/>
      <c r="G34" s="39"/>
      <c r="H34" s="96" t="str">
        <f t="shared" si="0"/>
        <v/>
      </c>
    </row>
    <row r="35" spans="2:8">
      <c r="B35" s="102"/>
      <c r="D35" s="36"/>
      <c r="E35" s="36"/>
      <c r="F35" s="23"/>
      <c r="G35" s="39"/>
      <c r="H35" s="96" t="str">
        <f t="shared" si="0"/>
        <v/>
      </c>
    </row>
    <row r="36" spans="2:8">
      <c r="B36" s="102"/>
      <c r="D36" s="36"/>
      <c r="E36" s="36"/>
      <c r="F36" s="23"/>
      <c r="G36" s="39"/>
      <c r="H36" s="96" t="str">
        <f t="shared" si="0"/>
        <v/>
      </c>
    </row>
    <row r="37" spans="2:8">
      <c r="B37" s="102"/>
      <c r="D37" s="36"/>
      <c r="E37" s="36"/>
      <c r="F37" s="23"/>
      <c r="G37" s="39"/>
      <c r="H37" s="96" t="str">
        <f t="shared" si="0"/>
        <v/>
      </c>
    </row>
    <row r="38" spans="2:8">
      <c r="B38" s="102"/>
      <c r="D38" s="36"/>
      <c r="E38" s="36"/>
      <c r="F38" s="23"/>
      <c r="G38" s="39"/>
      <c r="H38" s="96" t="str">
        <f t="shared" si="0"/>
        <v/>
      </c>
    </row>
    <row r="39" spans="2:8">
      <c r="B39" s="102"/>
      <c r="D39" s="36"/>
      <c r="E39" s="36"/>
      <c r="F39" s="23"/>
      <c r="G39" s="39"/>
      <c r="H39" s="96" t="str">
        <f t="shared" si="0"/>
        <v/>
      </c>
    </row>
    <row r="40" spans="2:8">
      <c r="B40" s="102"/>
      <c r="D40" s="36"/>
      <c r="E40" s="36"/>
      <c r="F40" s="23"/>
      <c r="G40" s="39"/>
      <c r="H40" s="96" t="str">
        <f t="shared" si="0"/>
        <v/>
      </c>
    </row>
    <row r="41" spans="2:8">
      <c r="B41" s="102"/>
      <c r="D41" s="36"/>
      <c r="E41" s="36"/>
      <c r="F41" s="23"/>
      <c r="G41" s="39"/>
      <c r="H41" s="96" t="str">
        <f t="shared" si="0"/>
        <v/>
      </c>
    </row>
    <row r="42" spans="2:8">
      <c r="B42" s="102"/>
      <c r="D42" s="36"/>
      <c r="E42" s="36"/>
      <c r="F42" s="23"/>
      <c r="G42" s="39"/>
      <c r="H42" s="96" t="str">
        <f t="shared" si="0"/>
        <v/>
      </c>
    </row>
    <row r="43" spans="2:8">
      <c r="B43" s="102"/>
      <c r="D43" s="36"/>
      <c r="E43" s="36"/>
      <c r="F43" s="23"/>
      <c r="G43" s="39"/>
      <c r="H43" s="96" t="str">
        <f t="shared" si="0"/>
        <v/>
      </c>
    </row>
    <row r="44" spans="2:8">
      <c r="B44" s="102"/>
      <c r="D44" s="36"/>
      <c r="E44" s="36"/>
      <c r="F44" s="23"/>
      <c r="G44" s="39"/>
      <c r="H44" s="96" t="str">
        <f t="shared" si="0"/>
        <v/>
      </c>
    </row>
    <row r="45" spans="2:8">
      <c r="B45" s="102"/>
      <c r="D45" s="36"/>
      <c r="E45" s="36"/>
      <c r="F45" s="23"/>
      <c r="G45" s="39"/>
      <c r="H45" s="96" t="str">
        <f t="shared" si="0"/>
        <v/>
      </c>
    </row>
    <row r="46" spans="2:8">
      <c r="B46" s="102"/>
      <c r="D46" s="36"/>
      <c r="E46" s="36"/>
      <c r="F46" s="23"/>
      <c r="G46" s="39"/>
      <c r="H46" s="96" t="str">
        <f t="shared" si="0"/>
        <v/>
      </c>
    </row>
    <row r="47" spans="2:8">
      <c r="B47" s="102"/>
      <c r="D47" s="36"/>
      <c r="E47" s="36"/>
      <c r="F47" s="23"/>
      <c r="G47" s="39"/>
      <c r="H47" s="96" t="str">
        <f t="shared" si="0"/>
        <v/>
      </c>
    </row>
    <row r="48" spans="2:8">
      <c r="B48" s="102"/>
      <c r="D48" s="36"/>
      <c r="E48" s="36"/>
      <c r="F48" s="23"/>
      <c r="G48" s="39"/>
      <c r="H48" s="96" t="str">
        <f t="shared" si="0"/>
        <v/>
      </c>
    </row>
    <row r="49" spans="2:8">
      <c r="B49" s="102"/>
      <c r="D49" s="36"/>
      <c r="E49" s="36"/>
      <c r="F49" s="23"/>
      <c r="G49" s="39"/>
      <c r="H49" s="96" t="str">
        <f t="shared" si="0"/>
        <v/>
      </c>
    </row>
    <row r="50" spans="2:8">
      <c r="B50" s="102"/>
      <c r="D50" s="36"/>
      <c r="E50" s="36"/>
      <c r="F50" s="23"/>
      <c r="G50" s="39"/>
      <c r="H50" s="96" t="str">
        <f t="shared" si="0"/>
        <v/>
      </c>
    </row>
    <row r="51" spans="2:8">
      <c r="B51" s="102"/>
      <c r="D51" s="36"/>
      <c r="E51" s="36"/>
      <c r="F51" s="23"/>
      <c r="G51" s="39"/>
      <c r="H51" s="96" t="str">
        <f t="shared" si="0"/>
        <v/>
      </c>
    </row>
    <row r="52" spans="2:8">
      <c r="B52" s="102"/>
      <c r="D52" s="36"/>
      <c r="E52" s="36"/>
      <c r="F52" s="23"/>
      <c r="G52" s="39"/>
      <c r="H52" s="96" t="str">
        <f t="shared" si="0"/>
        <v/>
      </c>
    </row>
    <row r="53" spans="2:8">
      <c r="B53" s="102"/>
      <c r="D53" s="36"/>
      <c r="E53" s="36"/>
      <c r="F53" s="23"/>
      <c r="G53" s="39"/>
      <c r="H53" s="96" t="str">
        <f t="shared" si="0"/>
        <v/>
      </c>
    </row>
    <row r="54" spans="2:8">
      <c r="B54" s="102"/>
      <c r="D54" s="36"/>
      <c r="E54" s="36"/>
      <c r="F54" s="23"/>
      <c r="G54" s="39"/>
      <c r="H54" s="96" t="str">
        <f t="shared" si="0"/>
        <v/>
      </c>
    </row>
    <row r="55" spans="2:8">
      <c r="B55" s="102"/>
      <c r="D55" s="36"/>
      <c r="E55" s="36"/>
      <c r="F55" s="23"/>
      <c r="G55" s="39"/>
      <c r="H55" s="96" t="str">
        <f t="shared" si="0"/>
        <v/>
      </c>
    </row>
    <row r="56" spans="2:8">
      <c r="B56" s="102"/>
      <c r="D56" s="36"/>
      <c r="E56" s="36"/>
      <c r="F56" s="23"/>
      <c r="G56" s="39"/>
      <c r="H56" s="96" t="str">
        <f t="shared" si="0"/>
        <v/>
      </c>
    </row>
    <row r="57" spans="2:8">
      <c r="B57" s="102"/>
      <c r="D57" s="36"/>
      <c r="E57" s="36"/>
      <c r="F57" s="23"/>
      <c r="G57" s="39"/>
      <c r="H57" s="96" t="str">
        <f t="shared" si="0"/>
        <v/>
      </c>
    </row>
    <row r="58" spans="2:8">
      <c r="B58" s="102"/>
      <c r="D58" s="36"/>
      <c r="E58" s="36"/>
      <c r="F58" s="23"/>
      <c r="G58" s="39"/>
      <c r="H58" s="96" t="str">
        <f t="shared" si="0"/>
        <v/>
      </c>
    </row>
    <row r="59" spans="2:8">
      <c r="B59" s="102"/>
      <c r="D59" s="36"/>
      <c r="E59" s="36"/>
      <c r="F59" s="23"/>
      <c r="G59" s="39"/>
      <c r="H59" s="96" t="str">
        <f t="shared" si="0"/>
        <v/>
      </c>
    </row>
    <row r="60" spans="2:8">
      <c r="B60" s="102"/>
      <c r="D60" s="36"/>
      <c r="E60" s="36"/>
      <c r="F60" s="23"/>
      <c r="G60" s="39"/>
      <c r="H60" s="96" t="str">
        <f t="shared" si="0"/>
        <v/>
      </c>
    </row>
    <row r="61" spans="2:8">
      <c r="B61" s="102"/>
      <c r="D61" s="36"/>
      <c r="E61" s="36"/>
      <c r="F61" s="23"/>
      <c r="G61" s="39"/>
      <c r="H61" s="96" t="str">
        <f t="shared" si="0"/>
        <v/>
      </c>
    </row>
    <row r="62" spans="2:8">
      <c r="B62" s="102"/>
      <c r="D62" s="36"/>
      <c r="E62" s="36"/>
      <c r="F62" s="23"/>
      <c r="G62" s="39"/>
      <c r="H62" s="96" t="str">
        <f t="shared" si="0"/>
        <v/>
      </c>
    </row>
    <row r="63" spans="2:8">
      <c r="B63" s="102"/>
      <c r="D63" s="36"/>
      <c r="E63" s="36"/>
      <c r="F63" s="23"/>
      <c r="G63" s="39"/>
      <c r="H63" s="96" t="str">
        <f t="shared" si="0"/>
        <v/>
      </c>
    </row>
    <row r="64" spans="2:8">
      <c r="B64" s="102"/>
      <c r="D64" s="36"/>
      <c r="E64" s="36"/>
      <c r="F64" s="23"/>
      <c r="G64" s="39"/>
      <c r="H64" s="96" t="str">
        <f t="shared" si="0"/>
        <v/>
      </c>
    </row>
    <row r="65" spans="2:9">
      <c r="B65" s="102"/>
      <c r="D65" s="36"/>
      <c r="E65" s="36"/>
      <c r="F65" s="23"/>
      <c r="G65" s="39"/>
      <c r="H65" s="96" t="str">
        <f t="shared" si="0"/>
        <v/>
      </c>
    </row>
    <row r="66" spans="2:9">
      <c r="B66" s="102"/>
      <c r="D66" s="36"/>
      <c r="E66" s="36"/>
      <c r="F66" s="23"/>
      <c r="G66" s="39"/>
      <c r="H66" s="96" t="str">
        <f t="shared" si="0"/>
        <v/>
      </c>
    </row>
    <row r="67" spans="2:9">
      <c r="B67" s="102"/>
      <c r="D67" s="36"/>
      <c r="E67" s="36"/>
      <c r="F67" s="23"/>
      <c r="G67" s="39"/>
      <c r="H67" s="96" t="str">
        <f t="shared" si="0"/>
        <v/>
      </c>
    </row>
    <row r="68" spans="2:9">
      <c r="B68" s="102"/>
      <c r="D68" s="36"/>
      <c r="E68" s="36"/>
      <c r="F68" s="23"/>
      <c r="G68" s="39"/>
      <c r="H68" s="96" t="str">
        <f t="shared" si="0"/>
        <v/>
      </c>
    </row>
    <row r="69" spans="2:9">
      <c r="B69" s="102"/>
      <c r="D69" s="36"/>
      <c r="E69" s="36"/>
      <c r="F69" s="23"/>
      <c r="G69" s="39"/>
      <c r="H69" s="96" t="str">
        <f t="shared" si="0"/>
        <v/>
      </c>
    </row>
    <row r="70" spans="2:9">
      <c r="B70" s="102"/>
      <c r="D70" s="36"/>
      <c r="E70" s="36"/>
      <c r="F70" s="23"/>
      <c r="G70" s="39"/>
      <c r="H70" s="96" t="str">
        <f t="shared" si="0"/>
        <v/>
      </c>
    </row>
    <row r="71" spans="2:9">
      <c r="B71" s="102"/>
      <c r="D71" s="36"/>
      <c r="E71" s="36"/>
      <c r="F71" s="23"/>
      <c r="G71" s="39"/>
      <c r="H71" s="96" t="str">
        <f t="shared" si="0"/>
        <v/>
      </c>
    </row>
    <row r="72" spans="2:9">
      <c r="B72" s="102"/>
      <c r="D72" s="36"/>
      <c r="E72" s="36"/>
      <c r="F72" s="23"/>
      <c r="G72" s="39"/>
      <c r="H72" s="96" t="str">
        <f t="shared" si="0"/>
        <v/>
      </c>
    </row>
    <row r="73" spans="2:9">
      <c r="B73" s="102"/>
      <c r="D73" s="36"/>
      <c r="E73" s="36"/>
      <c r="F73" s="23"/>
      <c r="G73" s="39"/>
      <c r="H73" s="96" t="str">
        <f t="shared" si="0"/>
        <v/>
      </c>
    </row>
    <row r="74" spans="2:9" s="28" customFormat="1" ht="24.95" customHeight="1">
      <c r="B74" s="82" t="str">
        <f>$B$10</f>
        <v>C7.1</v>
      </c>
      <c r="C74" s="29" t="s">
        <v>125</v>
      </c>
      <c r="D74" s="30"/>
      <c r="E74" s="30"/>
      <c r="F74" s="31"/>
      <c r="G74" s="30"/>
      <c r="H74" s="32">
        <f>SUM(H9:H73)</f>
        <v>0</v>
      </c>
      <c r="I74" s="33"/>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5"/>
  <dimension ref="B1:I127"/>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c r="B4" s="695" t="s">
        <v>456</v>
      </c>
      <c r="C4" s="696"/>
      <c r="D4" s="696"/>
      <c r="E4" s="696"/>
      <c r="F4" s="696"/>
      <c r="G4" s="696"/>
      <c r="H4" s="773" t="str">
        <f>"CHAPTER "&amp;B10</f>
        <v>CHAPTER C7.2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4"/>
      <c r="I5" s="8"/>
    </row>
    <row r="6" spans="2:9" ht="12.75" customHeight="1">
      <c r="B6" s="690"/>
      <c r="C6" s="691"/>
      <c r="D6" s="691"/>
      <c r="E6" s="691"/>
      <c r="F6" s="691"/>
      <c r="G6" s="691"/>
      <c r="H6" s="774"/>
      <c r="I6" s="8"/>
    </row>
    <row r="7" spans="2:9" s="9" customFormat="1" ht="7.5" customHeight="1">
      <c r="B7" s="692"/>
      <c r="C7" s="693"/>
      <c r="D7" s="693"/>
      <c r="E7" s="693"/>
      <c r="F7" s="693"/>
      <c r="G7" s="693"/>
      <c r="H7" s="775"/>
      <c r="I7" s="12"/>
    </row>
    <row r="8" spans="2:9" s="9" customFormat="1" ht="24.95" customHeight="1">
      <c r="B8" s="10" t="s">
        <v>11</v>
      </c>
      <c r="C8" s="11" t="s">
        <v>12</v>
      </c>
      <c r="D8" s="11" t="s">
        <v>13</v>
      </c>
      <c r="E8" s="11" t="s">
        <v>14</v>
      </c>
      <c r="F8" s="11" t="s">
        <v>15</v>
      </c>
      <c r="G8" s="11" t="s">
        <v>16</v>
      </c>
      <c r="H8" s="11" t="s">
        <v>17</v>
      </c>
      <c r="I8" s="12"/>
    </row>
    <row r="9" spans="2:9" s="9" customFormat="1">
      <c r="B9" s="108"/>
      <c r="C9" s="12"/>
      <c r="D9" s="85"/>
      <c r="E9" s="49"/>
      <c r="F9" s="49"/>
      <c r="G9" s="49"/>
      <c r="H9" s="49"/>
      <c r="I9" s="12"/>
    </row>
    <row r="10" spans="2:9" s="9" customFormat="1" ht="38.25">
      <c r="B10" s="69" t="s">
        <v>993</v>
      </c>
      <c r="C10" s="7" t="s">
        <v>994</v>
      </c>
      <c r="D10" s="49"/>
      <c r="E10" s="49"/>
      <c r="F10" s="49"/>
      <c r="G10" s="49"/>
      <c r="H10" s="49"/>
      <c r="I10" s="12"/>
    </row>
    <row r="11" spans="2:9" s="9" customFormat="1">
      <c r="B11" s="69"/>
      <c r="C11" s="12"/>
      <c r="D11" s="49"/>
      <c r="E11" s="49"/>
      <c r="F11" s="49"/>
      <c r="G11" s="49"/>
      <c r="H11" s="49"/>
      <c r="I11" s="12"/>
    </row>
    <row r="12" spans="2:9" ht="25.5">
      <c r="B12" s="103" t="s">
        <v>995</v>
      </c>
      <c r="C12" s="55" t="s">
        <v>996</v>
      </c>
      <c r="D12" s="62"/>
      <c r="E12" s="15"/>
      <c r="F12" s="15"/>
      <c r="G12" s="16"/>
      <c r="H12" s="17"/>
      <c r="I12" s="18"/>
    </row>
    <row r="13" spans="2:9">
      <c r="B13" s="102"/>
      <c r="D13" s="22"/>
      <c r="E13" s="22"/>
      <c r="F13" s="22"/>
      <c r="G13" s="39"/>
      <c r="H13" s="25"/>
      <c r="I13" s="40"/>
    </row>
    <row r="14" spans="2:9">
      <c r="B14" s="103" t="s">
        <v>997</v>
      </c>
      <c r="C14" s="35" t="s">
        <v>998</v>
      </c>
      <c r="D14" s="62" t="s">
        <v>347</v>
      </c>
      <c r="E14" s="22"/>
      <c r="F14" s="22"/>
      <c r="G14" s="39"/>
      <c r="H14" s="25">
        <f t="shared" ref="H14:H45" si="0">IF(D14="","",F14*G14)</f>
        <v>0</v>
      </c>
      <c r="I14" s="40"/>
    </row>
    <row r="15" spans="2:9">
      <c r="B15" s="102"/>
      <c r="D15" s="22"/>
      <c r="E15" s="22"/>
      <c r="F15" s="22"/>
      <c r="G15" s="39"/>
      <c r="H15" s="25" t="str">
        <f t="shared" si="0"/>
        <v/>
      </c>
      <c r="I15" s="40"/>
    </row>
    <row r="16" spans="2:9">
      <c r="B16" s="103" t="s">
        <v>999</v>
      </c>
      <c r="C16" s="35" t="s">
        <v>1000</v>
      </c>
      <c r="D16" s="62" t="s">
        <v>347</v>
      </c>
      <c r="E16" s="22"/>
      <c r="F16" s="22"/>
      <c r="G16" s="39"/>
      <c r="H16" s="25">
        <f t="shared" si="0"/>
        <v>0</v>
      </c>
      <c r="I16" s="40"/>
    </row>
    <row r="17" spans="2:9">
      <c r="B17" s="102"/>
      <c r="D17" s="22"/>
      <c r="E17" s="22"/>
      <c r="F17" s="23"/>
      <c r="G17" s="24"/>
      <c r="H17" s="25" t="str">
        <f t="shared" si="0"/>
        <v/>
      </c>
      <c r="I17" s="41"/>
    </row>
    <row r="18" spans="2:9">
      <c r="B18" s="103" t="s">
        <v>1001</v>
      </c>
      <c r="C18" s="35" t="s">
        <v>1002</v>
      </c>
      <c r="D18" s="62" t="s">
        <v>347</v>
      </c>
      <c r="E18" s="22"/>
      <c r="F18" s="23"/>
      <c r="G18" s="24"/>
      <c r="H18" s="25">
        <f t="shared" si="0"/>
        <v>0</v>
      </c>
      <c r="I18" s="41"/>
    </row>
    <row r="19" spans="2:9">
      <c r="B19" s="102"/>
      <c r="D19" s="22"/>
      <c r="E19" s="22"/>
      <c r="F19" s="23"/>
      <c r="G19" s="24"/>
      <c r="H19" s="25" t="str">
        <f t="shared" si="0"/>
        <v/>
      </c>
      <c r="I19" s="41"/>
    </row>
    <row r="20" spans="2:9">
      <c r="B20" s="103" t="s">
        <v>1003</v>
      </c>
      <c r="C20" s="35" t="s">
        <v>1004</v>
      </c>
      <c r="D20" s="62" t="s">
        <v>347</v>
      </c>
      <c r="E20" s="22"/>
      <c r="F20" s="23"/>
      <c r="G20" s="39"/>
      <c r="H20" s="25">
        <f t="shared" si="0"/>
        <v>0</v>
      </c>
      <c r="I20" s="40"/>
    </row>
    <row r="21" spans="2:9">
      <c r="B21" s="102"/>
      <c r="D21" s="22"/>
      <c r="E21" s="22"/>
      <c r="F21" s="23"/>
      <c r="G21" s="42"/>
      <c r="H21" s="25" t="str">
        <f t="shared" si="0"/>
        <v/>
      </c>
      <c r="I21" s="40"/>
    </row>
    <row r="22" spans="2:9" ht="25.5">
      <c r="B22" s="103" t="s">
        <v>1005</v>
      </c>
      <c r="C22" s="55" t="s">
        <v>1006</v>
      </c>
      <c r="D22" s="62" t="s">
        <v>347</v>
      </c>
      <c r="E22" s="22"/>
      <c r="F22" s="23"/>
      <c r="G22" s="39"/>
      <c r="H22" s="25">
        <f t="shared" si="0"/>
        <v>0</v>
      </c>
      <c r="I22" s="43"/>
    </row>
    <row r="23" spans="2:9">
      <c r="B23" s="102"/>
      <c r="D23" s="36"/>
      <c r="E23" s="22"/>
      <c r="F23" s="22"/>
      <c r="G23" s="37"/>
      <c r="H23" s="25" t="str">
        <f t="shared" si="0"/>
        <v/>
      </c>
      <c r="I23" s="40"/>
    </row>
    <row r="24" spans="2:9">
      <c r="B24" s="103" t="s">
        <v>1007</v>
      </c>
      <c r="C24" s="35" t="s">
        <v>1008</v>
      </c>
      <c r="D24" s="36" t="s">
        <v>764</v>
      </c>
      <c r="E24" s="22"/>
      <c r="F24" s="22"/>
      <c r="G24" s="37"/>
      <c r="H24" s="25">
        <f t="shared" si="0"/>
        <v>0</v>
      </c>
      <c r="I24" s="40"/>
    </row>
    <row r="25" spans="2:9">
      <c r="B25" s="102"/>
      <c r="D25" s="22"/>
      <c r="E25" s="22"/>
      <c r="F25" s="22"/>
      <c r="G25" s="37"/>
      <c r="H25" s="25" t="str">
        <f t="shared" si="0"/>
        <v/>
      </c>
      <c r="I25" s="40"/>
    </row>
    <row r="26" spans="2:9" ht="25.5">
      <c r="B26" s="103" t="s">
        <v>1009</v>
      </c>
      <c r="C26" s="55" t="s">
        <v>987</v>
      </c>
      <c r="D26" s="62" t="s">
        <v>347</v>
      </c>
      <c r="E26" s="22"/>
      <c r="F26" s="22"/>
      <c r="G26" s="37"/>
      <c r="H26" s="25">
        <f t="shared" si="0"/>
        <v>0</v>
      </c>
      <c r="I26" s="40"/>
    </row>
    <row r="27" spans="2:9">
      <c r="B27" s="102"/>
      <c r="D27" s="22"/>
      <c r="E27" s="22"/>
      <c r="F27" s="22"/>
      <c r="G27" s="37"/>
      <c r="H27" s="25" t="str">
        <f t="shared" si="0"/>
        <v/>
      </c>
      <c r="I27" s="40"/>
    </row>
    <row r="28" spans="2:9">
      <c r="B28" s="103" t="s">
        <v>1010</v>
      </c>
      <c r="C28" s="35" t="s">
        <v>989</v>
      </c>
      <c r="D28" s="15" t="s">
        <v>898</v>
      </c>
      <c r="E28" s="22"/>
      <c r="F28" s="22"/>
      <c r="G28" s="37"/>
      <c r="H28" s="25">
        <f t="shared" si="0"/>
        <v>0</v>
      </c>
      <c r="I28" s="40"/>
    </row>
    <row r="29" spans="2:9">
      <c r="B29" s="106"/>
      <c r="C29" s="1"/>
      <c r="D29" s="22"/>
      <c r="E29" s="22"/>
      <c r="F29" s="22"/>
      <c r="G29" s="37"/>
      <c r="H29" s="25" t="str">
        <f t="shared" si="0"/>
        <v/>
      </c>
      <c r="I29" s="40"/>
    </row>
    <row r="30" spans="2:9">
      <c r="B30" s="103" t="s">
        <v>1011</v>
      </c>
      <c r="C30" s="341" t="s">
        <v>1012</v>
      </c>
      <c r="D30" s="15" t="s">
        <v>347</v>
      </c>
      <c r="E30" s="22"/>
      <c r="F30" s="22"/>
      <c r="G30" s="37"/>
      <c r="H30" s="25">
        <f t="shared" si="0"/>
        <v>0</v>
      </c>
      <c r="I30" s="40"/>
    </row>
    <row r="31" spans="2:9">
      <c r="B31" s="102"/>
      <c r="C31" s="1"/>
      <c r="D31" s="22"/>
      <c r="E31" s="22"/>
      <c r="F31" s="22"/>
      <c r="G31" s="37"/>
      <c r="H31" s="25" t="str">
        <f t="shared" si="0"/>
        <v/>
      </c>
      <c r="I31" s="40"/>
    </row>
    <row r="32" spans="2:9" ht="25.5">
      <c r="B32" s="103" t="s">
        <v>1013</v>
      </c>
      <c r="C32" s="55" t="s">
        <v>1014</v>
      </c>
      <c r="D32" s="15"/>
      <c r="E32" s="22"/>
      <c r="F32" s="22"/>
      <c r="G32" s="37"/>
      <c r="H32" s="25" t="str">
        <f t="shared" si="0"/>
        <v/>
      </c>
      <c r="I32" s="40"/>
    </row>
    <row r="33" spans="2:9">
      <c r="B33" s="102"/>
      <c r="D33" s="22"/>
      <c r="E33" s="22"/>
      <c r="F33" s="22"/>
      <c r="G33" s="37"/>
      <c r="H33" s="25" t="str">
        <f t="shared" si="0"/>
        <v/>
      </c>
      <c r="I33" s="40"/>
    </row>
    <row r="34" spans="2:9" ht="25.5">
      <c r="B34" s="103" t="s">
        <v>1015</v>
      </c>
      <c r="C34" s="55" t="s">
        <v>1016</v>
      </c>
      <c r="D34" s="22" t="s">
        <v>85</v>
      </c>
      <c r="E34" s="22"/>
      <c r="F34" s="22"/>
      <c r="G34" s="37"/>
      <c r="H34" s="25">
        <f t="shared" si="0"/>
        <v>0</v>
      </c>
      <c r="I34" s="40"/>
    </row>
    <row r="35" spans="2:9">
      <c r="B35" s="102"/>
      <c r="D35" s="22"/>
      <c r="E35" s="22"/>
      <c r="F35" s="22"/>
      <c r="G35" s="37"/>
      <c r="H35" s="25" t="str">
        <f t="shared" si="0"/>
        <v/>
      </c>
      <c r="I35" s="40"/>
    </row>
    <row r="36" spans="2:9" ht="25.5">
      <c r="B36" s="103" t="s">
        <v>1017</v>
      </c>
      <c r="C36" s="55" t="s">
        <v>1018</v>
      </c>
      <c r="D36" s="15" t="s">
        <v>898</v>
      </c>
      <c r="E36" s="22"/>
      <c r="F36" s="22"/>
      <c r="G36" s="37"/>
      <c r="H36" s="25">
        <f t="shared" si="0"/>
        <v>0</v>
      </c>
      <c r="I36" s="40"/>
    </row>
    <row r="37" spans="2:9">
      <c r="B37" s="102"/>
      <c r="D37" s="22"/>
      <c r="E37" s="22"/>
      <c r="F37" s="22"/>
      <c r="G37" s="37"/>
      <c r="H37" s="25" t="str">
        <f t="shared" si="0"/>
        <v/>
      </c>
      <c r="I37" s="40"/>
    </row>
    <row r="38" spans="2:9" ht="38.25">
      <c r="B38" s="103" t="s">
        <v>1019</v>
      </c>
      <c r="C38" s="55" t="s">
        <v>1020</v>
      </c>
      <c r="D38" s="89" t="s">
        <v>85</v>
      </c>
      <c r="E38" s="22"/>
      <c r="F38" s="22"/>
      <c r="G38" s="37"/>
      <c r="H38" s="25">
        <f t="shared" si="0"/>
        <v>0</v>
      </c>
      <c r="I38" s="40"/>
    </row>
    <row r="39" spans="2:9">
      <c r="B39" s="102"/>
      <c r="D39" s="36"/>
      <c r="E39" s="22"/>
      <c r="F39" s="22"/>
      <c r="G39" s="37"/>
      <c r="H39" s="25" t="str">
        <f t="shared" si="0"/>
        <v/>
      </c>
      <c r="I39" s="40"/>
    </row>
    <row r="40" spans="2:9" ht="25.5">
      <c r="B40" s="103" t="s">
        <v>1021</v>
      </c>
      <c r="C40" s="55" t="s">
        <v>1022</v>
      </c>
      <c r="D40" s="22" t="s">
        <v>386</v>
      </c>
      <c r="E40" s="22"/>
      <c r="F40" s="22"/>
      <c r="G40" s="37"/>
      <c r="H40" s="25">
        <f t="shared" si="0"/>
        <v>0</v>
      </c>
      <c r="I40" s="40"/>
    </row>
    <row r="41" spans="2:9">
      <c r="B41" s="106"/>
      <c r="D41" s="22"/>
      <c r="E41" s="22"/>
      <c r="F41" s="22"/>
      <c r="G41" s="37"/>
      <c r="H41" s="25" t="str">
        <f t="shared" si="0"/>
        <v/>
      </c>
      <c r="I41" s="40"/>
    </row>
    <row r="42" spans="2:9" ht="25.5">
      <c r="B42" s="128" t="s">
        <v>1023</v>
      </c>
      <c r="C42" s="55" t="s">
        <v>1024</v>
      </c>
      <c r="D42" s="22"/>
      <c r="E42" s="22"/>
      <c r="F42" s="22"/>
      <c r="G42" s="37"/>
      <c r="H42" s="25" t="str">
        <f t="shared" si="0"/>
        <v/>
      </c>
      <c r="I42" s="40"/>
    </row>
    <row r="43" spans="2:9">
      <c r="B43" s="102"/>
      <c r="D43" s="22"/>
      <c r="E43" s="22"/>
      <c r="F43" s="22"/>
      <c r="G43" s="37"/>
      <c r="H43" s="25" t="str">
        <f t="shared" si="0"/>
        <v/>
      </c>
      <c r="I43" s="40"/>
    </row>
    <row r="44" spans="2:9" ht="25.5">
      <c r="B44" s="103" t="s">
        <v>1025</v>
      </c>
      <c r="C44" s="55" t="s">
        <v>1026</v>
      </c>
      <c r="D44" s="89" t="s">
        <v>85</v>
      </c>
      <c r="E44" s="22"/>
      <c r="F44" s="22"/>
      <c r="G44" s="37"/>
      <c r="H44" s="25">
        <f t="shared" si="0"/>
        <v>0</v>
      </c>
      <c r="I44" s="40"/>
    </row>
    <row r="45" spans="2:9">
      <c r="B45" s="102"/>
      <c r="D45" s="22"/>
      <c r="E45" s="22"/>
      <c r="F45" s="22"/>
      <c r="G45" s="37"/>
      <c r="H45" s="25" t="str">
        <f t="shared" si="0"/>
        <v/>
      </c>
      <c r="I45" s="40"/>
    </row>
    <row r="46" spans="2:9" ht="38.25">
      <c r="B46" s="103" t="s">
        <v>1027</v>
      </c>
      <c r="C46" s="55" t="s">
        <v>1028</v>
      </c>
      <c r="D46" s="89" t="s">
        <v>85</v>
      </c>
      <c r="E46" s="22"/>
      <c r="F46" s="22"/>
      <c r="G46" s="37"/>
      <c r="H46" s="25">
        <f t="shared" ref="H46:H90" si="1">IF(D46="","",F46*G46)</f>
        <v>0</v>
      </c>
      <c r="I46" s="40"/>
    </row>
    <row r="47" spans="2:9">
      <c r="B47" s="106"/>
      <c r="C47" s="1"/>
      <c r="D47" s="21"/>
      <c r="E47" s="22"/>
      <c r="F47" s="22"/>
      <c r="G47" s="37"/>
      <c r="H47" s="25" t="str">
        <f t="shared" si="1"/>
        <v/>
      </c>
      <c r="I47" s="40"/>
    </row>
    <row r="48" spans="2:9" ht="25.5">
      <c r="B48" s="103" t="s">
        <v>1029</v>
      </c>
      <c r="C48" s="55" t="s">
        <v>1022</v>
      </c>
      <c r="D48" s="89" t="s">
        <v>85</v>
      </c>
      <c r="E48" s="22"/>
      <c r="F48" s="22"/>
      <c r="G48" s="37"/>
      <c r="H48" s="25">
        <f t="shared" si="1"/>
        <v>0</v>
      </c>
      <c r="I48" s="40"/>
    </row>
    <row r="49" spans="2:9">
      <c r="B49" s="106"/>
      <c r="C49" s="1"/>
      <c r="D49" s="62"/>
      <c r="E49" s="22"/>
      <c r="F49" s="22"/>
      <c r="G49" s="37"/>
      <c r="H49" s="25" t="str">
        <f t="shared" si="1"/>
        <v/>
      </c>
      <c r="I49" s="40"/>
    </row>
    <row r="50" spans="2:9">
      <c r="B50" s="103" t="s">
        <v>1030</v>
      </c>
      <c r="C50" s="35" t="s">
        <v>1031</v>
      </c>
      <c r="D50" s="22"/>
      <c r="E50" s="22"/>
      <c r="F50" s="22"/>
      <c r="G50" s="37"/>
      <c r="H50" s="25" t="str">
        <f t="shared" si="1"/>
        <v/>
      </c>
      <c r="I50" s="40"/>
    </row>
    <row r="51" spans="2:9">
      <c r="B51" s="106"/>
      <c r="C51" s="1"/>
      <c r="D51" s="62"/>
      <c r="E51" s="22"/>
      <c r="F51" s="22"/>
      <c r="G51" s="37"/>
      <c r="H51" s="25" t="str">
        <f t="shared" si="1"/>
        <v/>
      </c>
      <c r="I51" s="40"/>
    </row>
    <row r="52" spans="2:9">
      <c r="B52" s="129" t="s">
        <v>1032</v>
      </c>
      <c r="C52" s="35" t="s">
        <v>1033</v>
      </c>
      <c r="D52" s="89" t="s">
        <v>85</v>
      </c>
      <c r="E52" s="22"/>
      <c r="F52" s="22"/>
      <c r="G52" s="37"/>
      <c r="H52" s="25">
        <f t="shared" si="1"/>
        <v>0</v>
      </c>
      <c r="I52" s="40"/>
    </row>
    <row r="53" spans="2:9">
      <c r="B53" s="106"/>
      <c r="C53" s="1"/>
      <c r="D53" s="62"/>
      <c r="E53" s="22"/>
      <c r="F53" s="22"/>
      <c r="G53" s="37"/>
      <c r="H53" s="25" t="str">
        <f t="shared" si="1"/>
        <v/>
      </c>
      <c r="I53" s="40"/>
    </row>
    <row r="54" spans="2:9">
      <c r="B54" s="103" t="s">
        <v>1034</v>
      </c>
      <c r="C54" s="35" t="s">
        <v>1035</v>
      </c>
      <c r="D54" s="89" t="s">
        <v>85</v>
      </c>
      <c r="E54" s="22"/>
      <c r="F54" s="22"/>
      <c r="G54" s="37"/>
      <c r="H54" s="25">
        <f t="shared" si="1"/>
        <v>0</v>
      </c>
      <c r="I54" s="40"/>
    </row>
    <row r="55" spans="2:9">
      <c r="B55" s="103"/>
      <c r="C55" s="35"/>
      <c r="D55" s="89"/>
      <c r="E55" s="22"/>
      <c r="F55" s="22"/>
      <c r="G55" s="37"/>
      <c r="H55" s="25"/>
      <c r="I55" s="40"/>
    </row>
    <row r="56" spans="2:9">
      <c r="B56" s="103"/>
      <c r="C56" s="35"/>
      <c r="D56" s="89"/>
      <c r="E56" s="22"/>
      <c r="F56" s="22"/>
      <c r="G56" s="37"/>
      <c r="H56" s="25"/>
      <c r="I56" s="40"/>
    </row>
    <row r="57" spans="2:9">
      <c r="B57" s="103"/>
      <c r="C57" s="35"/>
      <c r="D57" s="89"/>
      <c r="E57" s="22"/>
      <c r="F57" s="22"/>
      <c r="G57" s="37"/>
      <c r="H57" s="25"/>
      <c r="I57" s="40"/>
    </row>
    <row r="58" spans="2:9">
      <c r="B58" s="103"/>
      <c r="C58" s="35"/>
      <c r="D58" s="89"/>
      <c r="E58" s="22"/>
      <c r="F58" s="22"/>
      <c r="G58" s="37"/>
      <c r="H58" s="25"/>
      <c r="I58" s="40"/>
    </row>
    <row r="59" spans="2:9">
      <c r="B59" s="103"/>
      <c r="C59" s="35"/>
      <c r="D59" s="89"/>
      <c r="E59" s="22"/>
      <c r="F59" s="22"/>
      <c r="G59" s="37"/>
      <c r="H59" s="25"/>
      <c r="I59" s="40"/>
    </row>
    <row r="60" spans="2:9">
      <c r="B60" s="103"/>
      <c r="C60" s="35"/>
      <c r="D60" s="89"/>
      <c r="E60" s="22"/>
      <c r="F60" s="22"/>
      <c r="G60" s="37"/>
      <c r="H60" s="25"/>
      <c r="I60" s="40"/>
    </row>
    <row r="61" spans="2:9">
      <c r="B61" s="103"/>
      <c r="C61" s="35"/>
      <c r="D61" s="89"/>
      <c r="E61" s="22"/>
      <c r="F61" s="22"/>
      <c r="G61" s="37"/>
      <c r="H61" s="25"/>
      <c r="I61" s="40"/>
    </row>
    <row r="62" spans="2:9">
      <c r="B62" s="106"/>
      <c r="C62" s="1"/>
      <c r="D62" s="62"/>
      <c r="E62" s="22"/>
      <c r="F62" s="22"/>
      <c r="G62" s="37"/>
      <c r="H62" s="25" t="str">
        <f t="shared" si="1"/>
        <v/>
      </c>
      <c r="I62" s="40"/>
    </row>
    <row r="63" spans="2:9" s="28" customFormat="1" ht="19.5" customHeight="1">
      <c r="B63" s="101" t="str">
        <f>$B$10</f>
        <v>C7.2</v>
      </c>
      <c r="C63" s="29" t="s">
        <v>99</v>
      </c>
      <c r="D63" s="30"/>
      <c r="E63" s="30"/>
      <c r="F63" s="31"/>
      <c r="G63" s="30"/>
      <c r="H63" s="32">
        <f>SUM(H9:H62)</f>
        <v>0</v>
      </c>
      <c r="I63" s="33"/>
    </row>
    <row r="64" spans="2:9">
      <c r="B64" s="736" t="str">
        <f>Client1</f>
        <v>AIRPORTS COMPANY - SOUTH AFRICA</v>
      </c>
      <c r="C64" s="736"/>
      <c r="D64" s="736"/>
      <c r="E64" s="736"/>
      <c r="F64" s="737" t="str">
        <f>"Contract No. "&amp;ContractNo</f>
        <v>Contract No. KSIA7806/2025/RFP</v>
      </c>
      <c r="G64" s="737"/>
      <c r="H64" s="737"/>
    </row>
    <row r="65" spans="2:9">
      <c r="B65" s="736" t="str">
        <f>Client2</f>
        <v>ACSA</v>
      </c>
      <c r="C65" s="736"/>
      <c r="D65" s="736"/>
      <c r="E65" s="736"/>
      <c r="F65" s="737"/>
      <c r="G65" s="737"/>
      <c r="H65" s="737"/>
    </row>
    <row r="66" spans="2:9">
      <c r="B66" s="739"/>
      <c r="C66" s="739"/>
      <c r="D66" s="739"/>
      <c r="E66" s="739"/>
      <c r="F66" s="738"/>
      <c r="G66" s="738"/>
      <c r="H66" s="738"/>
    </row>
    <row r="67" spans="2:9">
      <c r="B67" s="695" t="s">
        <v>456</v>
      </c>
      <c r="C67" s="696"/>
      <c r="D67" s="696"/>
      <c r="E67" s="696"/>
      <c r="F67" s="696"/>
      <c r="G67" s="696"/>
      <c r="H67" s="740" t="str">
        <f>$H$4</f>
        <v>CHAPTER C7.2</v>
      </c>
      <c r="I67" s="6"/>
    </row>
    <row r="68" spans="2:9">
      <c r="B68" s="690" t="str">
        <f>ContractDescription</f>
        <v>PROCUREMENT OF A CIDB GRADE 9 CE CONTRACTOR THE COMPLETION OF BRAVO TAXIWAY EXTENSION AT KING SHAKA INTERNATIONAL AIRPORT FOR A PERIOD OF 12 MONTHS AT KING SHAKA INTERNATIONAL AIRPORT</v>
      </c>
      <c r="C68" s="691"/>
      <c r="D68" s="691"/>
      <c r="E68" s="691"/>
      <c r="F68" s="691"/>
      <c r="G68" s="691"/>
      <c r="H68" s="737"/>
      <c r="I68" s="8"/>
    </row>
    <row r="69" spans="2:9">
      <c r="B69" s="690"/>
      <c r="C69" s="691"/>
      <c r="D69" s="691"/>
      <c r="E69" s="691"/>
      <c r="F69" s="691"/>
      <c r="G69" s="691"/>
      <c r="H69" s="737"/>
      <c r="I69" s="8"/>
    </row>
    <row r="70" spans="2:9">
      <c r="B70" s="692"/>
      <c r="C70" s="693"/>
      <c r="D70" s="693"/>
      <c r="E70" s="693"/>
      <c r="F70" s="693"/>
      <c r="G70" s="693"/>
      <c r="H70" s="738"/>
      <c r="I70" s="8"/>
    </row>
    <row r="71" spans="2:9" s="9" customFormat="1" ht="24.95" customHeight="1">
      <c r="B71" s="70" t="s">
        <v>11</v>
      </c>
      <c r="C71" s="11" t="s">
        <v>12</v>
      </c>
      <c r="D71" s="11" t="s">
        <v>13</v>
      </c>
      <c r="E71" s="11" t="s">
        <v>14</v>
      </c>
      <c r="F71" s="11" t="s">
        <v>15</v>
      </c>
      <c r="G71" s="11" t="s">
        <v>16</v>
      </c>
      <c r="H71" s="11" t="s">
        <v>17</v>
      </c>
      <c r="I71" s="12"/>
    </row>
    <row r="72" spans="2:9" s="28" customFormat="1" ht="19.5" customHeight="1">
      <c r="B72" s="74"/>
      <c r="C72" s="29" t="s">
        <v>140</v>
      </c>
      <c r="D72" s="30"/>
      <c r="E72" s="30"/>
      <c r="F72" s="31"/>
      <c r="G72" s="30"/>
      <c r="H72" s="32">
        <f>H63</f>
        <v>0</v>
      </c>
      <c r="I72" s="33"/>
    </row>
    <row r="73" spans="2:9">
      <c r="B73" s="106"/>
      <c r="C73" s="1"/>
      <c r="D73" s="62"/>
      <c r="E73" s="22"/>
      <c r="F73" s="22"/>
      <c r="G73" s="37"/>
      <c r="H73" s="25"/>
      <c r="I73" s="40"/>
    </row>
    <row r="74" spans="2:9">
      <c r="B74" s="103" t="s">
        <v>1036</v>
      </c>
      <c r="C74" s="35" t="s">
        <v>941</v>
      </c>
      <c r="D74" s="62"/>
      <c r="E74" s="22"/>
      <c r="F74" s="22"/>
      <c r="G74" s="37"/>
      <c r="H74" s="25" t="str">
        <f t="shared" si="1"/>
        <v/>
      </c>
      <c r="I74" s="40"/>
    </row>
    <row r="75" spans="2:9">
      <c r="B75" s="106"/>
      <c r="C75" s="1"/>
      <c r="D75" s="62"/>
      <c r="E75" s="22"/>
      <c r="F75" s="22"/>
      <c r="G75" s="37"/>
      <c r="H75" s="25" t="str">
        <f t="shared" si="1"/>
        <v/>
      </c>
      <c r="I75" s="40"/>
    </row>
    <row r="76" spans="2:9" ht="14.25">
      <c r="B76" s="103" t="s">
        <v>1037</v>
      </c>
      <c r="C76" s="35" t="s">
        <v>1038</v>
      </c>
      <c r="D76" s="36" t="s">
        <v>124</v>
      </c>
      <c r="E76" s="22"/>
      <c r="F76" s="22"/>
      <c r="G76" s="37"/>
      <c r="H76" s="25">
        <f t="shared" si="1"/>
        <v>0</v>
      </c>
      <c r="I76" s="40"/>
    </row>
    <row r="77" spans="2:9">
      <c r="B77" s="106"/>
      <c r="C77" s="1"/>
      <c r="D77" s="62"/>
      <c r="E77" s="22"/>
      <c r="F77" s="22"/>
      <c r="G77" s="37"/>
      <c r="H77" s="25" t="str">
        <f t="shared" si="1"/>
        <v/>
      </c>
      <c r="I77" s="40"/>
    </row>
    <row r="78" spans="2:9">
      <c r="B78" s="103" t="s">
        <v>1039</v>
      </c>
      <c r="C78" s="35" t="s">
        <v>1040</v>
      </c>
      <c r="D78" s="62"/>
      <c r="E78" s="22"/>
      <c r="F78" s="22"/>
      <c r="G78" s="37"/>
      <c r="H78" s="25" t="str">
        <f t="shared" si="1"/>
        <v/>
      </c>
      <c r="I78" s="40"/>
    </row>
    <row r="79" spans="2:9">
      <c r="B79" s="106"/>
      <c r="C79" s="1"/>
      <c r="D79" s="62"/>
      <c r="E79" s="22"/>
      <c r="F79" s="22"/>
      <c r="G79" s="37"/>
      <c r="H79" s="25" t="str">
        <f t="shared" si="1"/>
        <v/>
      </c>
      <c r="I79" s="40"/>
    </row>
    <row r="80" spans="2:9" ht="14.25">
      <c r="B80" s="106" t="s">
        <v>83</v>
      </c>
      <c r="C80" s="35" t="s">
        <v>1041</v>
      </c>
      <c r="D80" s="36" t="s">
        <v>124</v>
      </c>
      <c r="E80" s="22"/>
      <c r="F80" s="22"/>
      <c r="G80" s="37"/>
      <c r="H80" s="25">
        <f t="shared" si="1"/>
        <v>0</v>
      </c>
      <c r="I80" s="40"/>
    </row>
    <row r="81" spans="2:9">
      <c r="B81" s="106"/>
      <c r="D81" s="62"/>
      <c r="E81" s="22"/>
      <c r="F81" s="22"/>
      <c r="G81" s="37"/>
      <c r="H81" s="25" t="str">
        <f t="shared" si="1"/>
        <v/>
      </c>
      <c r="I81" s="40"/>
    </row>
    <row r="82" spans="2:9" ht="25.5">
      <c r="B82" s="106" t="s">
        <v>1042</v>
      </c>
      <c r="C82" s="304" t="s">
        <v>1043</v>
      </c>
      <c r="D82" s="15" t="s">
        <v>898</v>
      </c>
      <c r="E82" s="22"/>
      <c r="F82" s="22"/>
      <c r="G82" s="37"/>
      <c r="H82" s="25">
        <f t="shared" si="1"/>
        <v>0</v>
      </c>
      <c r="I82" s="40"/>
    </row>
    <row r="83" spans="2:9">
      <c r="B83" s="106"/>
      <c r="D83" s="22"/>
      <c r="E83" s="22"/>
      <c r="F83" s="22"/>
      <c r="G83" s="37"/>
      <c r="H83" s="25" t="str">
        <f t="shared" si="1"/>
        <v/>
      </c>
      <c r="I83" s="40"/>
    </row>
    <row r="84" spans="2:9">
      <c r="B84" s="106" t="s">
        <v>1044</v>
      </c>
      <c r="C84" s="1" t="s">
        <v>953</v>
      </c>
      <c r="D84" s="22"/>
      <c r="E84" s="22"/>
      <c r="F84" s="22"/>
      <c r="G84" s="37"/>
      <c r="H84" s="25" t="str">
        <f t="shared" si="1"/>
        <v/>
      </c>
      <c r="I84" s="40"/>
    </row>
    <row r="85" spans="2:9">
      <c r="B85" s="106"/>
      <c r="D85" s="22"/>
      <c r="E85" s="22"/>
      <c r="F85" s="22"/>
      <c r="G85" s="37"/>
      <c r="H85" s="25" t="str">
        <f t="shared" si="1"/>
        <v/>
      </c>
      <c r="I85" s="40"/>
    </row>
    <row r="86" spans="2:9">
      <c r="B86" s="106" t="s">
        <v>1045</v>
      </c>
      <c r="C86" s="1" t="s">
        <v>1046</v>
      </c>
      <c r="D86" s="22" t="s">
        <v>903</v>
      </c>
      <c r="E86" s="22"/>
      <c r="F86" s="22"/>
      <c r="G86" s="37"/>
      <c r="H86" s="25">
        <f t="shared" si="1"/>
        <v>0</v>
      </c>
      <c r="I86" s="40"/>
    </row>
    <row r="87" spans="2:9">
      <c r="B87" s="106"/>
      <c r="D87" s="22"/>
      <c r="E87" s="22"/>
      <c r="F87" s="22"/>
      <c r="G87" s="37"/>
      <c r="H87" s="25" t="str">
        <f t="shared" si="1"/>
        <v/>
      </c>
      <c r="I87" s="40"/>
    </row>
    <row r="88" spans="2:9">
      <c r="B88" s="106" t="s">
        <v>1047</v>
      </c>
      <c r="C88" s="341" t="s">
        <v>1048</v>
      </c>
      <c r="D88" s="62" t="s">
        <v>903</v>
      </c>
      <c r="E88" s="22"/>
      <c r="F88" s="22"/>
      <c r="G88" s="37"/>
      <c r="H88" s="25">
        <f t="shared" si="1"/>
        <v>0</v>
      </c>
      <c r="I88" s="40"/>
    </row>
    <row r="89" spans="2:9">
      <c r="B89" s="106"/>
      <c r="C89" s="52"/>
      <c r="D89" s="62"/>
      <c r="E89" s="22"/>
      <c r="F89" s="22"/>
      <c r="G89" s="37"/>
      <c r="H89" s="25" t="str">
        <f t="shared" si="1"/>
        <v/>
      </c>
      <c r="I89" s="40"/>
    </row>
    <row r="90" spans="2:9">
      <c r="B90" s="106" t="s">
        <v>1049</v>
      </c>
      <c r="C90" s="342" t="s">
        <v>1050</v>
      </c>
      <c r="D90" s="22" t="s">
        <v>764</v>
      </c>
      <c r="E90" s="22"/>
      <c r="F90" s="22"/>
      <c r="G90" s="37"/>
      <c r="H90" s="25">
        <f t="shared" si="1"/>
        <v>0</v>
      </c>
      <c r="I90" s="40"/>
    </row>
    <row r="91" spans="2:9">
      <c r="B91" s="106"/>
      <c r="C91" s="35"/>
      <c r="D91" s="22"/>
      <c r="E91" s="22"/>
      <c r="F91" s="22"/>
      <c r="G91" s="37"/>
      <c r="H91" s="25"/>
      <c r="I91" s="40"/>
    </row>
    <row r="92" spans="2:9">
      <c r="B92" s="106"/>
      <c r="C92" s="35"/>
      <c r="D92" s="22"/>
      <c r="E92" s="22"/>
      <c r="F92" s="22"/>
      <c r="G92" s="37"/>
      <c r="H92" s="25"/>
      <c r="I92" s="40"/>
    </row>
    <row r="93" spans="2:9">
      <c r="B93" s="106"/>
      <c r="C93" s="35"/>
      <c r="D93" s="22"/>
      <c r="E93" s="22"/>
      <c r="F93" s="22"/>
      <c r="G93" s="37"/>
      <c r="H93" s="25"/>
      <c r="I93" s="40"/>
    </row>
    <row r="94" spans="2:9">
      <c r="B94" s="106"/>
      <c r="C94" s="35"/>
      <c r="D94" s="22"/>
      <c r="E94" s="22"/>
      <c r="F94" s="22"/>
      <c r="G94" s="37"/>
      <c r="H94" s="25"/>
      <c r="I94" s="40"/>
    </row>
    <row r="95" spans="2:9">
      <c r="B95" s="106"/>
      <c r="C95" s="35"/>
      <c r="D95" s="22"/>
      <c r="E95" s="22"/>
      <c r="F95" s="22"/>
      <c r="G95" s="37"/>
      <c r="H95" s="25"/>
      <c r="I95" s="40"/>
    </row>
    <row r="96" spans="2:9">
      <c r="B96" s="106"/>
      <c r="C96" s="35"/>
      <c r="D96" s="22"/>
      <c r="E96" s="22"/>
      <c r="F96" s="22"/>
      <c r="G96" s="37"/>
      <c r="H96" s="25"/>
      <c r="I96" s="40"/>
    </row>
    <row r="97" spans="2:9">
      <c r="B97" s="106"/>
      <c r="C97" s="35"/>
      <c r="D97" s="22"/>
      <c r="E97" s="22"/>
      <c r="F97" s="22"/>
      <c r="G97" s="37"/>
      <c r="H97" s="25"/>
      <c r="I97" s="40"/>
    </row>
    <row r="98" spans="2:9">
      <c r="B98" s="106"/>
      <c r="C98" s="35"/>
      <c r="D98" s="22"/>
      <c r="E98" s="22"/>
      <c r="F98" s="22"/>
      <c r="G98" s="37"/>
      <c r="H98" s="25"/>
      <c r="I98" s="40"/>
    </row>
    <row r="99" spans="2:9">
      <c r="B99" s="106"/>
      <c r="C99" s="35"/>
      <c r="D99" s="22"/>
      <c r="E99" s="22"/>
      <c r="F99" s="22"/>
      <c r="G99" s="37"/>
      <c r="H99" s="25"/>
      <c r="I99" s="40"/>
    </row>
    <row r="100" spans="2:9">
      <c r="B100" s="106"/>
      <c r="C100" s="35"/>
      <c r="D100" s="22"/>
      <c r="E100" s="22"/>
      <c r="F100" s="22"/>
      <c r="G100" s="37"/>
      <c r="H100" s="25"/>
      <c r="I100" s="40"/>
    </row>
    <row r="101" spans="2:9">
      <c r="B101" s="106"/>
      <c r="C101" s="35"/>
      <c r="D101" s="22"/>
      <c r="E101" s="22"/>
      <c r="F101" s="22"/>
      <c r="G101" s="37"/>
      <c r="H101" s="25"/>
      <c r="I101" s="40"/>
    </row>
    <row r="102" spans="2:9">
      <c r="B102" s="106"/>
      <c r="C102" s="35"/>
      <c r="D102" s="22"/>
      <c r="E102" s="22"/>
      <c r="F102" s="22"/>
      <c r="G102" s="37"/>
      <c r="H102" s="25"/>
      <c r="I102" s="40"/>
    </row>
    <row r="103" spans="2:9">
      <c r="B103" s="106"/>
      <c r="C103" s="35"/>
      <c r="D103" s="22"/>
      <c r="E103" s="22"/>
      <c r="F103" s="22"/>
      <c r="G103" s="37"/>
      <c r="H103" s="25"/>
      <c r="I103" s="40"/>
    </row>
    <row r="104" spans="2:9">
      <c r="B104" s="106"/>
      <c r="C104" s="35"/>
      <c r="D104" s="22"/>
      <c r="E104" s="22"/>
      <c r="F104" s="22"/>
      <c r="G104" s="37"/>
      <c r="H104" s="25"/>
      <c r="I104" s="40"/>
    </row>
    <row r="105" spans="2:9">
      <c r="B105" s="106"/>
      <c r="C105" s="35"/>
      <c r="D105" s="22"/>
      <c r="E105" s="22"/>
      <c r="F105" s="22"/>
      <c r="G105" s="37"/>
      <c r="H105" s="25"/>
      <c r="I105" s="40"/>
    </row>
    <row r="106" spans="2:9">
      <c r="B106" s="106"/>
      <c r="C106" s="35"/>
      <c r="D106" s="22"/>
      <c r="E106" s="22"/>
      <c r="F106" s="22"/>
      <c r="G106" s="37"/>
      <c r="H106" s="25"/>
      <c r="I106" s="40"/>
    </row>
    <row r="107" spans="2:9">
      <c r="B107" s="106"/>
      <c r="C107" s="35"/>
      <c r="D107" s="22"/>
      <c r="E107" s="22"/>
      <c r="F107" s="22"/>
      <c r="G107" s="37"/>
      <c r="H107" s="25"/>
      <c r="I107" s="40"/>
    </row>
    <row r="108" spans="2:9">
      <c r="B108" s="106"/>
      <c r="C108" s="35"/>
      <c r="D108" s="22"/>
      <c r="E108" s="22"/>
      <c r="F108" s="22"/>
      <c r="G108" s="37"/>
      <c r="H108" s="25"/>
      <c r="I108" s="40"/>
    </row>
    <row r="109" spans="2:9">
      <c r="B109" s="106"/>
      <c r="C109" s="35"/>
      <c r="D109" s="22"/>
      <c r="E109" s="22"/>
      <c r="F109" s="22"/>
      <c r="G109" s="37"/>
      <c r="H109" s="25"/>
      <c r="I109" s="40"/>
    </row>
    <row r="110" spans="2:9">
      <c r="B110" s="106"/>
      <c r="C110" s="35"/>
      <c r="D110" s="22"/>
      <c r="E110" s="22"/>
      <c r="F110" s="22"/>
      <c r="G110" s="37"/>
      <c r="H110" s="25"/>
      <c r="I110" s="40"/>
    </row>
    <row r="111" spans="2:9">
      <c r="B111" s="106"/>
      <c r="C111" s="35"/>
      <c r="D111" s="22"/>
      <c r="E111" s="22"/>
      <c r="F111" s="22"/>
      <c r="G111" s="37"/>
      <c r="H111" s="25"/>
      <c r="I111" s="40"/>
    </row>
    <row r="112" spans="2:9">
      <c r="B112" s="106"/>
      <c r="C112" s="35"/>
      <c r="D112" s="22"/>
      <c r="E112" s="22"/>
      <c r="F112" s="22"/>
      <c r="G112" s="37"/>
      <c r="H112" s="25"/>
      <c r="I112" s="40"/>
    </row>
    <row r="113" spans="2:9">
      <c r="B113" s="106"/>
      <c r="C113" s="35"/>
      <c r="D113" s="22"/>
      <c r="E113" s="22"/>
      <c r="F113" s="22"/>
      <c r="G113" s="37"/>
      <c r="H113" s="25"/>
      <c r="I113" s="40"/>
    </row>
    <row r="114" spans="2:9">
      <c r="B114" s="106"/>
      <c r="C114" s="35"/>
      <c r="D114" s="22"/>
      <c r="E114" s="22"/>
      <c r="F114" s="22"/>
      <c r="G114" s="37"/>
      <c r="H114" s="25"/>
      <c r="I114" s="40"/>
    </row>
    <row r="115" spans="2:9">
      <c r="B115" s="106"/>
      <c r="C115" s="35"/>
      <c r="D115" s="22"/>
      <c r="E115" s="22"/>
      <c r="F115" s="22"/>
      <c r="G115" s="37"/>
      <c r="H115" s="25"/>
      <c r="I115" s="40"/>
    </row>
    <row r="116" spans="2:9">
      <c r="B116" s="106"/>
      <c r="C116" s="35"/>
      <c r="D116" s="22"/>
      <c r="E116" s="22"/>
      <c r="F116" s="22"/>
      <c r="G116" s="37"/>
      <c r="H116" s="25"/>
      <c r="I116" s="40"/>
    </row>
    <row r="117" spans="2:9">
      <c r="B117" s="106"/>
      <c r="C117" s="35"/>
      <c r="D117" s="22"/>
      <c r="E117" s="22"/>
      <c r="F117" s="22"/>
      <c r="G117" s="37"/>
      <c r="H117" s="25"/>
      <c r="I117" s="40"/>
    </row>
    <row r="118" spans="2:9">
      <c r="B118" s="106"/>
      <c r="C118" s="35"/>
      <c r="D118" s="22"/>
      <c r="E118" s="22"/>
      <c r="F118" s="22"/>
      <c r="G118" s="37"/>
      <c r="H118" s="25"/>
      <c r="I118" s="40"/>
    </row>
    <row r="119" spans="2:9">
      <c r="B119" s="106"/>
      <c r="C119" s="35"/>
      <c r="D119" s="22"/>
      <c r="E119" s="22"/>
      <c r="F119" s="22"/>
      <c r="G119" s="37"/>
      <c r="H119" s="25"/>
      <c r="I119" s="40"/>
    </row>
    <row r="120" spans="2:9">
      <c r="B120" s="106"/>
      <c r="C120" s="35"/>
      <c r="D120" s="22"/>
      <c r="E120" s="22"/>
      <c r="F120" s="22"/>
      <c r="G120" s="37"/>
      <c r="H120" s="25"/>
      <c r="I120" s="40"/>
    </row>
    <row r="121" spans="2:9">
      <c r="B121" s="106"/>
      <c r="C121" s="35"/>
      <c r="D121" s="22"/>
      <c r="E121" s="22"/>
      <c r="F121" s="22"/>
      <c r="G121" s="37"/>
      <c r="H121" s="25"/>
      <c r="I121" s="40"/>
    </row>
    <row r="122" spans="2:9">
      <c r="B122" s="106"/>
      <c r="C122" s="35"/>
      <c r="D122" s="22"/>
      <c r="E122" s="22"/>
      <c r="F122" s="22"/>
      <c r="G122" s="37"/>
      <c r="H122" s="25"/>
      <c r="I122" s="40"/>
    </row>
    <row r="123" spans="2:9">
      <c r="B123" s="106"/>
      <c r="C123" s="35"/>
      <c r="D123" s="22"/>
      <c r="E123" s="22"/>
      <c r="F123" s="22"/>
      <c r="G123" s="37"/>
      <c r="H123" s="25"/>
      <c r="I123" s="40"/>
    </row>
    <row r="124" spans="2:9">
      <c r="B124" s="106"/>
      <c r="C124" s="35"/>
      <c r="D124" s="22"/>
      <c r="E124" s="22"/>
      <c r="F124" s="22"/>
      <c r="G124" s="37"/>
      <c r="H124" s="25"/>
      <c r="I124" s="40"/>
    </row>
    <row r="125" spans="2:9">
      <c r="B125" s="106"/>
      <c r="C125" s="35"/>
      <c r="D125" s="22"/>
      <c r="E125" s="22"/>
      <c r="F125" s="22"/>
      <c r="G125" s="37"/>
      <c r="H125" s="25"/>
      <c r="I125" s="40"/>
    </row>
    <row r="126" spans="2:9">
      <c r="B126" s="106"/>
      <c r="C126" s="35"/>
      <c r="D126" s="22"/>
      <c r="E126" s="22"/>
      <c r="F126" s="22"/>
      <c r="G126" s="37"/>
      <c r="H126" s="25"/>
      <c r="I126" s="40"/>
    </row>
    <row r="127" spans="2:9" s="28" customFormat="1" ht="24.95" customHeight="1">
      <c r="B127" s="82" t="str">
        <f>$B$10</f>
        <v>C7.2</v>
      </c>
      <c r="C127" s="29" t="s">
        <v>125</v>
      </c>
      <c r="D127" s="30"/>
      <c r="E127" s="30"/>
      <c r="F127" s="31"/>
      <c r="G127" s="30"/>
      <c r="H127" s="32">
        <f>SUM(H72:H126)</f>
        <v>0</v>
      </c>
      <c r="I127" s="33"/>
    </row>
  </sheetData>
  <mergeCells count="11">
    <mergeCell ref="B67:G67"/>
    <mergeCell ref="H67:H70"/>
    <mergeCell ref="B68:G70"/>
    <mergeCell ref="F1:H1"/>
    <mergeCell ref="H4:H7"/>
    <mergeCell ref="B4:G4"/>
    <mergeCell ref="B5:G7"/>
    <mergeCell ref="B64:E64"/>
    <mergeCell ref="F64:H66"/>
    <mergeCell ref="B65:E65"/>
    <mergeCell ref="B66:E66"/>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B1:L102"/>
  <sheetViews>
    <sheetView view="pageBreakPreview" topLeftCell="B25" zoomScaleNormal="100" zoomScaleSheetLayoutView="100" workbookViewId="0">
      <selection activeCell="G44" sqref="G44"/>
    </sheetView>
  </sheetViews>
  <sheetFormatPr defaultColWidth="6.85546875" defaultRowHeight="12.75"/>
  <cols>
    <col min="1" max="1" width="0.85546875" style="1" customWidth="1"/>
    <col min="2" max="2" width="11.7109375" style="455" customWidth="1"/>
    <col min="3" max="3" width="45.7109375" style="1" customWidth="1"/>
    <col min="4" max="4" width="15.28515625" style="1" customWidth="1"/>
    <col min="5" max="5" width="5.7109375" style="1" customWidth="1"/>
    <col min="6" max="6" width="15.7109375" style="4" customWidth="1"/>
    <col min="7" max="7" width="15.7109375" style="398" customWidth="1"/>
    <col min="8" max="8" width="20.42578125" style="399" bestFit="1" customWidth="1"/>
    <col min="9" max="9" width="0" style="1" hidden="1" customWidth="1"/>
    <col min="10" max="10" width="18.85546875" style="1" hidden="1" customWidth="1"/>
    <col min="11" max="11" width="13.28515625" style="1" hidden="1" customWidth="1"/>
    <col min="12" max="36" width="0" style="1" hidden="1" customWidth="1"/>
    <col min="37" max="16384" width="6.85546875" style="1"/>
  </cols>
  <sheetData>
    <row r="1" spans="2:8" ht="20.25" customHeight="1">
      <c r="B1" s="678" t="str">
        <f>Client1</f>
        <v>AIRPORTS COMPANY - SOUTH AFRICA</v>
      </c>
      <c r="C1" s="678"/>
      <c r="D1" s="678"/>
      <c r="E1" s="678"/>
      <c r="F1" s="676" t="str">
        <f>"Contract No. "&amp;ContractNo</f>
        <v>Contract No. KSIA7806/2025/RFP</v>
      </c>
      <c r="G1" s="676"/>
      <c r="H1" s="676"/>
    </row>
    <row r="2" spans="2:8">
      <c r="B2" s="678" t="s">
        <v>3</v>
      </c>
      <c r="C2" s="678"/>
      <c r="D2" s="678"/>
      <c r="E2" s="678"/>
      <c r="F2" s="676"/>
      <c r="G2" s="676"/>
      <c r="H2" s="676"/>
    </row>
    <row r="3" spans="2:8">
      <c r="B3" s="679"/>
      <c r="C3" s="679"/>
      <c r="D3" s="679"/>
      <c r="E3" s="679"/>
      <c r="F3" s="677"/>
      <c r="G3" s="677"/>
      <c r="H3" s="677"/>
    </row>
    <row r="4" spans="2:8">
      <c r="B4" s="687" t="s">
        <v>10</v>
      </c>
      <c r="C4" s="688"/>
      <c r="D4" s="688"/>
      <c r="E4" s="688"/>
      <c r="F4" s="688"/>
      <c r="G4" s="688"/>
      <c r="H4" s="684" t="str">
        <f>"CHAPTER "&amp;B10</f>
        <v>CHAPTER C1.2</v>
      </c>
    </row>
    <row r="5" spans="2:8" ht="7.5" customHeight="1">
      <c r="B5" s="680" t="str">
        <f>ContractDescription</f>
        <v>PROCUREMENT OF A CIDB GRADE 9 CE CONTRACTOR THE COMPLETION OF BRAVO TAXIWAY EXTENSION AT KING SHAKA INTERNATIONAL AIRPORT FOR A PERIOD OF 12 MONTHS AT KING SHAKA INTERNATIONAL AIRPORT</v>
      </c>
      <c r="C5" s="681"/>
      <c r="D5" s="681"/>
      <c r="E5" s="681"/>
      <c r="F5" s="681"/>
      <c r="G5" s="681"/>
      <c r="H5" s="685"/>
    </row>
    <row r="6" spans="2:8" ht="24.75" customHeight="1">
      <c r="B6" s="680"/>
      <c r="C6" s="681"/>
      <c r="D6" s="681"/>
      <c r="E6" s="681"/>
      <c r="F6" s="681"/>
      <c r="G6" s="681"/>
      <c r="H6" s="685"/>
    </row>
    <row r="7" spans="2:8" ht="7.5" customHeight="1">
      <c r="B7" s="682"/>
      <c r="C7" s="683"/>
      <c r="D7" s="683"/>
      <c r="E7" s="683"/>
      <c r="F7" s="683"/>
      <c r="G7" s="683"/>
      <c r="H7" s="686"/>
    </row>
    <row r="8" spans="2:8" s="28" customFormat="1" ht="24.95" customHeight="1">
      <c r="B8" s="70" t="s">
        <v>11</v>
      </c>
      <c r="C8" s="519" t="s">
        <v>12</v>
      </c>
      <c r="D8" s="519" t="s">
        <v>13</v>
      </c>
      <c r="E8" s="519" t="s">
        <v>14</v>
      </c>
      <c r="F8" s="11" t="s">
        <v>15</v>
      </c>
      <c r="G8" s="409" t="s">
        <v>16</v>
      </c>
      <c r="H8" s="364" t="s">
        <v>17</v>
      </c>
    </row>
    <row r="9" spans="2:8">
      <c r="B9" s="294"/>
      <c r="C9" s="39"/>
      <c r="D9" s="39"/>
      <c r="E9" s="39"/>
      <c r="F9" s="22"/>
      <c r="G9" s="410"/>
      <c r="H9" s="363" t="str">
        <f t="shared" ref="H9:H54" si="0">IF(D9="","",F9*G9)</f>
        <v/>
      </c>
    </row>
    <row r="10" spans="2:8">
      <c r="B10" s="19" t="s">
        <v>18</v>
      </c>
      <c r="C10" s="20" t="s">
        <v>19</v>
      </c>
      <c r="D10" s="39"/>
      <c r="E10" s="39"/>
      <c r="F10" s="22"/>
      <c r="G10" s="410"/>
      <c r="H10" s="363" t="str">
        <f t="shared" si="0"/>
        <v/>
      </c>
    </row>
    <row r="11" spans="2:8" ht="53.25" customHeight="1">
      <c r="B11" s="19"/>
      <c r="C11" s="20" t="s">
        <v>20</v>
      </c>
      <c r="D11" s="39"/>
      <c r="E11" s="39"/>
      <c r="F11" s="22"/>
      <c r="G11" s="410"/>
      <c r="H11" s="363"/>
    </row>
    <row r="12" spans="2:8" ht="12.75" customHeight="1">
      <c r="B12" s="13"/>
      <c r="C12" s="14"/>
      <c r="D12" s="22"/>
      <c r="E12" s="22"/>
      <c r="F12" s="22"/>
      <c r="G12" s="410"/>
      <c r="H12" s="363" t="str">
        <f t="shared" si="0"/>
        <v/>
      </c>
    </row>
    <row r="13" spans="2:8">
      <c r="B13" s="13" t="s">
        <v>21</v>
      </c>
      <c r="C13" s="14" t="s">
        <v>22</v>
      </c>
      <c r="D13" s="22"/>
      <c r="E13" s="22"/>
      <c r="F13" s="240"/>
      <c r="G13" s="379"/>
      <c r="H13" s="363" t="str">
        <f t="shared" si="0"/>
        <v/>
      </c>
    </row>
    <row r="14" spans="2:8">
      <c r="B14" s="13"/>
      <c r="C14" s="14"/>
      <c r="D14" s="22"/>
      <c r="E14" s="22"/>
      <c r="F14" s="240"/>
      <c r="G14" s="585"/>
      <c r="H14" s="363" t="str">
        <f t="shared" si="0"/>
        <v/>
      </c>
    </row>
    <row r="15" spans="2:8" ht="25.5">
      <c r="B15" s="13" t="s">
        <v>23</v>
      </c>
      <c r="C15" s="14" t="s">
        <v>24</v>
      </c>
      <c r="D15" s="22" t="s">
        <v>25</v>
      </c>
      <c r="E15" s="22"/>
      <c r="F15" s="240">
        <v>12</v>
      </c>
      <c r="G15" s="585"/>
      <c r="H15" s="363">
        <f>IF(D15="","",F15*G15)</f>
        <v>0</v>
      </c>
    </row>
    <row r="16" spans="2:8">
      <c r="B16" s="13"/>
      <c r="C16" s="14"/>
      <c r="D16" s="22"/>
      <c r="E16" s="22"/>
      <c r="F16" s="240"/>
      <c r="G16" s="585"/>
      <c r="H16" s="363" t="str">
        <f t="shared" ref="H16:H18" si="1">IF(D16="","",F16*G16)</f>
        <v/>
      </c>
    </row>
    <row r="17" spans="2:8">
      <c r="B17" s="13" t="s">
        <v>26</v>
      </c>
      <c r="C17" s="14" t="s">
        <v>27</v>
      </c>
      <c r="D17" s="22" t="s">
        <v>28</v>
      </c>
      <c r="E17" s="22"/>
      <c r="F17" s="240">
        <v>12</v>
      </c>
      <c r="G17" s="585"/>
      <c r="H17" s="363">
        <f t="shared" si="1"/>
        <v>0</v>
      </c>
    </row>
    <row r="18" spans="2:8" ht="13.5" customHeight="1">
      <c r="B18" s="13"/>
      <c r="C18" s="14"/>
      <c r="D18" s="22"/>
      <c r="E18" s="22"/>
      <c r="F18" s="240"/>
      <c r="G18" s="585"/>
      <c r="H18" s="363" t="str">
        <f t="shared" si="1"/>
        <v/>
      </c>
    </row>
    <row r="19" spans="2:8">
      <c r="B19" s="13" t="s">
        <v>29</v>
      </c>
      <c r="C19" s="14" t="s">
        <v>30</v>
      </c>
      <c r="D19" s="22"/>
      <c r="E19" s="22"/>
      <c r="F19" s="240"/>
      <c r="G19" s="585"/>
      <c r="H19" s="363" t="str">
        <f t="shared" ref="H19:H27" si="2">IF(D19="","",F19*G19)</f>
        <v/>
      </c>
    </row>
    <row r="20" spans="2:8">
      <c r="B20" s="13"/>
      <c r="C20" s="14"/>
      <c r="D20" s="22"/>
      <c r="E20" s="22"/>
      <c r="F20" s="240"/>
      <c r="G20" s="585"/>
      <c r="H20" s="363" t="str">
        <f t="shared" si="2"/>
        <v/>
      </c>
    </row>
    <row r="21" spans="2:8">
      <c r="B21" s="13" t="s">
        <v>31</v>
      </c>
      <c r="C21" s="100" t="s">
        <v>32</v>
      </c>
      <c r="D21" s="22" t="s">
        <v>33</v>
      </c>
      <c r="E21" s="36"/>
      <c r="F21" s="240">
        <v>1</v>
      </c>
      <c r="G21" s="585"/>
      <c r="H21" s="363">
        <f t="shared" si="2"/>
        <v>0</v>
      </c>
    </row>
    <row r="22" spans="2:8">
      <c r="B22" s="13"/>
      <c r="C22" s="252"/>
      <c r="D22" s="36"/>
      <c r="E22" s="36"/>
      <c r="F22" s="240"/>
      <c r="G22" s="585"/>
      <c r="H22" s="363" t="str">
        <f t="shared" si="2"/>
        <v/>
      </c>
    </row>
    <row r="23" spans="2:8">
      <c r="B23" s="13" t="s">
        <v>34</v>
      </c>
      <c r="C23" s="14" t="s">
        <v>35</v>
      </c>
      <c r="D23" s="22" t="s">
        <v>33</v>
      </c>
      <c r="E23" s="22"/>
      <c r="F23" s="240">
        <v>1</v>
      </c>
      <c r="G23" s="585"/>
      <c r="H23" s="363">
        <f t="shared" si="2"/>
        <v>0</v>
      </c>
    </row>
    <row r="24" spans="2:8">
      <c r="B24" s="13"/>
      <c r="C24" s="14"/>
      <c r="D24" s="22"/>
      <c r="E24" s="22"/>
      <c r="F24" s="240"/>
      <c r="G24" s="585"/>
      <c r="H24" s="363" t="str">
        <f t="shared" si="2"/>
        <v/>
      </c>
    </row>
    <row r="25" spans="2:8" ht="25.5">
      <c r="B25" s="13" t="s">
        <v>36</v>
      </c>
      <c r="C25" s="14" t="s">
        <v>37</v>
      </c>
      <c r="D25" s="22" t="s">
        <v>25</v>
      </c>
      <c r="E25" s="22"/>
      <c r="F25" s="240">
        <v>12</v>
      </c>
      <c r="G25" s="585"/>
      <c r="H25" s="363">
        <f t="shared" si="2"/>
        <v>0</v>
      </c>
    </row>
    <row r="26" spans="2:8">
      <c r="B26" s="13"/>
      <c r="C26" s="14"/>
      <c r="D26" s="22"/>
      <c r="E26" s="22"/>
      <c r="F26" s="240"/>
      <c r="G26" s="585"/>
      <c r="H26" s="363" t="str">
        <f t="shared" si="2"/>
        <v/>
      </c>
    </row>
    <row r="27" spans="2:8" ht="25.5">
      <c r="B27" s="13" t="s">
        <v>38</v>
      </c>
      <c r="C27" s="14" t="s">
        <v>39</v>
      </c>
      <c r="D27" s="22" t="s">
        <v>25</v>
      </c>
      <c r="E27" s="22"/>
      <c r="F27" s="240">
        <v>12</v>
      </c>
      <c r="G27" s="585"/>
      <c r="H27" s="363">
        <f t="shared" si="2"/>
        <v>0</v>
      </c>
    </row>
    <row r="28" spans="2:8">
      <c r="B28" s="13"/>
      <c r="C28" s="14"/>
      <c r="D28" s="22"/>
      <c r="E28" s="22"/>
      <c r="F28" s="240"/>
      <c r="G28" s="585"/>
      <c r="H28" s="363"/>
    </row>
    <row r="29" spans="2:8">
      <c r="B29" s="19" t="s">
        <v>40</v>
      </c>
      <c r="C29" s="20" t="s">
        <v>41</v>
      </c>
      <c r="D29" s="22"/>
      <c r="E29" s="22"/>
      <c r="F29" s="22"/>
      <c r="G29" s="585"/>
      <c r="H29" s="363" t="str">
        <f t="shared" ref="H29:H33" si="3">IF(D29="","",F29*G29)</f>
        <v/>
      </c>
    </row>
    <row r="30" spans="2:8">
      <c r="B30" s="13"/>
      <c r="C30" s="14"/>
      <c r="D30" s="22"/>
      <c r="E30" s="22"/>
      <c r="F30" s="22"/>
      <c r="G30" s="585"/>
      <c r="H30" s="363" t="str">
        <f t="shared" si="3"/>
        <v/>
      </c>
    </row>
    <row r="31" spans="2:8">
      <c r="B31" s="13" t="s">
        <v>42</v>
      </c>
      <c r="C31" s="14" t="s">
        <v>43</v>
      </c>
      <c r="D31" s="22" t="s">
        <v>33</v>
      </c>
      <c r="E31" s="22"/>
      <c r="F31" s="22">
        <v>1</v>
      </c>
      <c r="G31" s="585"/>
      <c r="H31" s="363">
        <f t="shared" si="3"/>
        <v>0</v>
      </c>
    </row>
    <row r="32" spans="2:8">
      <c r="B32" s="13"/>
      <c r="C32" s="14"/>
      <c r="D32" s="22"/>
      <c r="E32" s="22"/>
      <c r="F32" s="22"/>
      <c r="G32" s="585"/>
      <c r="H32" s="363" t="str">
        <f t="shared" si="3"/>
        <v/>
      </c>
    </row>
    <row r="33" spans="2:10">
      <c r="B33" s="13" t="s">
        <v>44</v>
      </c>
      <c r="C33" s="14" t="s">
        <v>45</v>
      </c>
      <c r="D33" s="22" t="s">
        <v>25</v>
      </c>
      <c r="E33" s="22"/>
      <c r="F33" s="22">
        <v>12</v>
      </c>
      <c r="G33" s="585"/>
      <c r="H33" s="363">
        <f t="shared" si="3"/>
        <v>0</v>
      </c>
    </row>
    <row r="34" spans="2:10">
      <c r="B34" s="13"/>
      <c r="C34" s="14"/>
      <c r="D34" s="22"/>
      <c r="E34" s="22"/>
      <c r="F34" s="240"/>
      <c r="G34" s="585"/>
      <c r="H34" s="363"/>
    </row>
    <row r="35" spans="2:10" ht="25.5">
      <c r="B35" s="13" t="s">
        <v>46</v>
      </c>
      <c r="C35" s="100" t="s">
        <v>47</v>
      </c>
      <c r="D35" s="22" t="s">
        <v>25</v>
      </c>
      <c r="E35" s="54"/>
      <c r="F35" s="240">
        <v>12</v>
      </c>
      <c r="G35" s="585"/>
      <c r="H35" s="363">
        <f>G35*F35</f>
        <v>0</v>
      </c>
    </row>
    <row r="36" spans="2:10">
      <c r="B36" s="13"/>
      <c r="C36" s="100"/>
      <c r="D36" s="22"/>
      <c r="E36" s="54"/>
      <c r="F36" s="240"/>
      <c r="G36" s="585"/>
      <c r="H36" s="363"/>
    </row>
    <row r="37" spans="2:10">
      <c r="B37" s="629" t="s">
        <v>48</v>
      </c>
      <c r="C37" s="630" t="s">
        <v>49</v>
      </c>
      <c r="D37" s="631"/>
      <c r="E37" s="632"/>
      <c r="F37" s="563"/>
      <c r="G37" s="633"/>
      <c r="H37" s="634" t="str">
        <f t="shared" ref="H37:H42" si="4">IF(D37="","",F37*G37)</f>
        <v/>
      </c>
    </row>
    <row r="38" spans="2:10">
      <c r="B38" s="635"/>
      <c r="C38" s="636"/>
      <c r="D38" s="631"/>
      <c r="E38" s="632"/>
      <c r="F38" s="563"/>
      <c r="G38" s="633"/>
      <c r="H38" s="634" t="str">
        <f t="shared" si="4"/>
        <v/>
      </c>
    </row>
    <row r="39" spans="2:10" ht="25.5">
      <c r="B39" s="629" t="s">
        <v>50</v>
      </c>
      <c r="C39" s="630" t="s">
        <v>51</v>
      </c>
      <c r="D39" s="563" t="s">
        <v>52</v>
      </c>
      <c r="E39" s="632"/>
      <c r="F39" s="563">
        <v>460000</v>
      </c>
      <c r="G39" s="637">
        <v>1</v>
      </c>
      <c r="H39" s="634">
        <f>G39*F39</f>
        <v>460000</v>
      </c>
      <c r="J39" s="306"/>
    </row>
    <row r="40" spans="2:10">
      <c r="B40" s="629"/>
      <c r="C40" s="630"/>
      <c r="D40" s="631"/>
      <c r="E40" s="632"/>
      <c r="F40" s="563"/>
      <c r="G40" s="637"/>
      <c r="H40" s="634" t="str">
        <f t="shared" si="4"/>
        <v/>
      </c>
      <c r="J40" s="306"/>
    </row>
    <row r="41" spans="2:10" ht="25.5">
      <c r="B41" s="629" t="s">
        <v>53</v>
      </c>
      <c r="C41" s="630" t="s">
        <v>54</v>
      </c>
      <c r="D41" s="631" t="s">
        <v>55</v>
      </c>
      <c r="E41" s="632"/>
      <c r="F41" s="563">
        <f>F39</f>
        <v>460000</v>
      </c>
      <c r="G41" s="633"/>
      <c r="H41" s="634">
        <f t="shared" si="4"/>
        <v>0</v>
      </c>
      <c r="J41" s="306"/>
    </row>
    <row r="42" spans="2:10">
      <c r="B42" s="13"/>
      <c r="C42" s="100"/>
      <c r="D42" s="36"/>
      <c r="E42" s="4"/>
      <c r="F42" s="22"/>
      <c r="G42" s="379"/>
      <c r="H42" s="363" t="str">
        <f t="shared" si="4"/>
        <v/>
      </c>
    </row>
    <row r="43" spans="2:10" ht="25.5">
      <c r="B43" s="13" t="s">
        <v>56</v>
      </c>
      <c r="C43" s="100" t="s">
        <v>57</v>
      </c>
      <c r="D43" s="36" t="s">
        <v>58</v>
      </c>
      <c r="E43" s="4"/>
      <c r="F43" s="22">
        <v>1100000</v>
      </c>
      <c r="G43" s="379">
        <v>1</v>
      </c>
      <c r="H43" s="363">
        <f>G43*F43</f>
        <v>1100000</v>
      </c>
    </row>
    <row r="44" spans="2:10">
      <c r="B44" s="13"/>
      <c r="C44" s="100"/>
      <c r="D44" s="36"/>
      <c r="E44" s="4"/>
      <c r="F44" s="22"/>
      <c r="G44" s="379"/>
      <c r="H44" s="363"/>
    </row>
    <row r="45" spans="2:10" ht="25.5">
      <c r="B45" s="13" t="s">
        <v>59</v>
      </c>
      <c r="C45" s="100" t="s">
        <v>60</v>
      </c>
      <c r="D45" s="36" t="s">
        <v>55</v>
      </c>
      <c r="E45" s="4"/>
      <c r="F45" s="22">
        <f>F43</f>
        <v>1100000</v>
      </c>
      <c r="G45" s="585"/>
      <c r="H45" s="363">
        <f t="shared" ref="H45" si="5">IF(D45="","",F45*G45)</f>
        <v>0</v>
      </c>
    </row>
    <row r="46" spans="2:10">
      <c r="B46" s="13"/>
      <c r="C46" s="100"/>
      <c r="D46" s="36"/>
      <c r="E46" s="4"/>
      <c r="F46" s="22"/>
      <c r="G46" s="379"/>
      <c r="H46" s="363"/>
    </row>
    <row r="47" spans="2:10" ht="25.5">
      <c r="B47" s="13" t="s">
        <v>61</v>
      </c>
      <c r="C47" s="100" t="s">
        <v>62</v>
      </c>
      <c r="D47" s="36" t="s">
        <v>58</v>
      </c>
      <c r="E47" s="4"/>
      <c r="F47" s="22">
        <v>350000</v>
      </c>
      <c r="G47" s="379">
        <v>1</v>
      </c>
      <c r="H47" s="363">
        <f t="shared" si="0"/>
        <v>350000</v>
      </c>
    </row>
    <row r="48" spans="2:10">
      <c r="B48" s="13"/>
      <c r="C48" s="100"/>
      <c r="D48" s="36"/>
      <c r="E48" s="4"/>
      <c r="F48" s="22"/>
      <c r="G48" s="379"/>
      <c r="H48" s="363"/>
    </row>
    <row r="49" spans="2:10" ht="25.5">
      <c r="B49" s="13" t="s">
        <v>63</v>
      </c>
      <c r="C49" s="100" t="s">
        <v>64</v>
      </c>
      <c r="D49" s="36" t="s">
        <v>55</v>
      </c>
      <c r="E49" s="4"/>
      <c r="F49" s="22">
        <f>F47</f>
        <v>350000</v>
      </c>
      <c r="G49" s="585"/>
      <c r="H49" s="363">
        <f t="shared" ref="H49" si="6">IF(D49="","",F49*G49)</f>
        <v>0</v>
      </c>
    </row>
    <row r="50" spans="2:10">
      <c r="B50" s="13"/>
      <c r="C50" s="100"/>
      <c r="D50" s="22"/>
      <c r="E50" s="22"/>
      <c r="F50" s="240"/>
      <c r="G50" s="410"/>
      <c r="H50" s="363"/>
    </row>
    <row r="51" spans="2:10" ht="51">
      <c r="B51" s="13" t="s">
        <v>65</v>
      </c>
      <c r="C51" s="100" t="s">
        <v>66</v>
      </c>
      <c r="D51" s="22" t="s">
        <v>67</v>
      </c>
      <c r="E51" s="22"/>
      <c r="F51" s="240">
        <v>1</v>
      </c>
      <c r="G51" s="586"/>
      <c r="H51" s="363">
        <f>G51*F51</f>
        <v>0</v>
      </c>
    </row>
    <row r="52" spans="2:10">
      <c r="B52" s="13"/>
      <c r="C52" s="100"/>
      <c r="D52" s="22"/>
      <c r="E52" s="22"/>
      <c r="F52" s="240"/>
      <c r="G52" s="586"/>
      <c r="H52" s="363"/>
    </row>
    <row r="53" spans="2:10" ht="44.25" customHeight="1">
      <c r="B53" s="13" t="s">
        <v>68</v>
      </c>
      <c r="C53" s="100" t="s">
        <v>69</v>
      </c>
      <c r="D53" s="22" t="s">
        <v>67</v>
      </c>
      <c r="E53" s="22"/>
      <c r="F53" s="240">
        <v>1</v>
      </c>
      <c r="G53" s="586"/>
      <c r="H53" s="363">
        <f>G53*F53</f>
        <v>0</v>
      </c>
    </row>
    <row r="54" spans="2:10">
      <c r="B54" s="13"/>
      <c r="C54" s="100"/>
      <c r="D54" s="36"/>
      <c r="E54" s="36"/>
      <c r="F54" s="36"/>
      <c r="G54" s="587"/>
      <c r="H54" s="363" t="str">
        <f t="shared" si="0"/>
        <v/>
      </c>
    </row>
    <row r="55" spans="2:10" ht="25.5">
      <c r="B55" s="13" t="s">
        <v>70</v>
      </c>
      <c r="C55" s="100" t="s">
        <v>71</v>
      </c>
      <c r="D55" s="36" t="s">
        <v>72</v>
      </c>
      <c r="E55" s="36"/>
      <c r="F55" s="36">
        <v>12</v>
      </c>
      <c r="G55" s="587"/>
      <c r="H55" s="363">
        <f>G55*F55</f>
        <v>0</v>
      </c>
    </row>
    <row r="56" spans="2:10">
      <c r="B56" s="13"/>
      <c r="C56" s="100"/>
      <c r="D56" s="36"/>
      <c r="E56" s="36"/>
      <c r="F56" s="430"/>
      <c r="G56" s="587"/>
      <c r="H56" s="363"/>
    </row>
    <row r="57" spans="2:10">
      <c r="B57" s="13" t="s">
        <v>73</v>
      </c>
      <c r="C57" s="100" t="s">
        <v>74</v>
      </c>
      <c r="D57" s="22" t="s">
        <v>67</v>
      </c>
      <c r="E57" s="22"/>
      <c r="F57" s="324">
        <v>1</v>
      </c>
      <c r="G57" s="588"/>
      <c r="H57" s="363">
        <f>G57*F57</f>
        <v>0</v>
      </c>
      <c r="J57" s="675"/>
    </row>
    <row r="58" spans="2:10">
      <c r="B58" s="13"/>
      <c r="C58" s="100"/>
      <c r="D58" s="22"/>
      <c r="E58" s="22"/>
      <c r="F58" s="324"/>
      <c r="G58" s="588"/>
      <c r="H58" s="363"/>
      <c r="J58" s="675"/>
    </row>
    <row r="59" spans="2:10">
      <c r="B59" s="13" t="s">
        <v>75</v>
      </c>
      <c r="C59" s="100" t="s">
        <v>76</v>
      </c>
      <c r="D59" s="22" t="s">
        <v>67</v>
      </c>
      <c r="E59" s="22"/>
      <c r="F59" s="324">
        <v>1</v>
      </c>
      <c r="G59" s="588"/>
      <c r="H59" s="363">
        <f>G59*F59</f>
        <v>0</v>
      </c>
      <c r="J59" s="675"/>
    </row>
    <row r="60" spans="2:10">
      <c r="B60" s="13"/>
      <c r="C60" s="100"/>
      <c r="D60" s="22"/>
      <c r="E60" s="22"/>
      <c r="F60" s="348"/>
      <c r="G60" s="588"/>
      <c r="H60" s="363"/>
    </row>
    <row r="61" spans="2:10" ht="25.5">
      <c r="B61" s="13" t="s">
        <v>77</v>
      </c>
      <c r="C61" s="100" t="s">
        <v>78</v>
      </c>
      <c r="D61" s="22" t="s">
        <v>28</v>
      </c>
      <c r="E61" s="22"/>
      <c r="F61" s="324">
        <v>12</v>
      </c>
      <c r="G61" s="588"/>
      <c r="H61" s="363">
        <f>G61*F61</f>
        <v>0</v>
      </c>
    </row>
    <row r="62" spans="2:10">
      <c r="B62" s="13"/>
      <c r="C62" s="100"/>
      <c r="D62" s="22"/>
      <c r="E62" s="22"/>
      <c r="F62" s="324"/>
      <c r="G62" s="588"/>
      <c r="H62" s="363"/>
    </row>
    <row r="63" spans="2:10" ht="25.5">
      <c r="B63" s="13" t="s">
        <v>79</v>
      </c>
      <c r="C63" s="100" t="s">
        <v>80</v>
      </c>
      <c r="D63" s="22" t="s">
        <v>28</v>
      </c>
      <c r="E63" s="22"/>
      <c r="F63" s="324">
        <v>12</v>
      </c>
      <c r="G63" s="588"/>
      <c r="H63" s="363">
        <f>G63*F63</f>
        <v>0</v>
      </c>
    </row>
    <row r="64" spans="2:10">
      <c r="B64" s="13"/>
      <c r="C64" s="100"/>
      <c r="D64" s="22"/>
      <c r="E64" s="22"/>
      <c r="F64" s="324"/>
      <c r="G64" s="350"/>
      <c r="H64" s="363"/>
    </row>
    <row r="65" spans="2:8" ht="68.45" customHeight="1">
      <c r="B65" s="13" t="s">
        <v>81</v>
      </c>
      <c r="C65" s="100" t="s">
        <v>82</v>
      </c>
      <c r="D65" s="22"/>
      <c r="E65" s="22"/>
      <c r="F65" s="348"/>
      <c r="G65" s="350"/>
      <c r="H65" s="363"/>
    </row>
    <row r="66" spans="2:8">
      <c r="B66" s="13"/>
      <c r="C66" s="100"/>
      <c r="D66" s="22"/>
      <c r="E66" s="22"/>
      <c r="F66" s="348"/>
      <c r="G66" s="350"/>
      <c r="H66" s="363"/>
    </row>
    <row r="67" spans="2:8">
      <c r="B67" s="13" t="s">
        <v>83</v>
      </c>
      <c r="C67" s="100" t="s">
        <v>84</v>
      </c>
      <c r="D67" s="22" t="s">
        <v>85</v>
      </c>
      <c r="E67" s="22"/>
      <c r="F67" s="324">
        <v>1</v>
      </c>
      <c r="G67" s="350">
        <v>-50000</v>
      </c>
      <c r="H67" s="363"/>
    </row>
    <row r="68" spans="2:8">
      <c r="B68" s="13"/>
      <c r="C68" s="100"/>
      <c r="D68" s="22"/>
      <c r="E68" s="22"/>
      <c r="F68" s="348"/>
      <c r="G68" s="350"/>
      <c r="H68" s="363"/>
    </row>
    <row r="69" spans="2:8">
      <c r="B69" s="13" t="s">
        <v>86</v>
      </c>
      <c r="C69" s="100" t="s">
        <v>87</v>
      </c>
      <c r="D69" s="22" t="s">
        <v>88</v>
      </c>
      <c r="E69" s="22"/>
      <c r="F69" s="324">
        <v>1</v>
      </c>
      <c r="G69" s="350">
        <v>-10000</v>
      </c>
      <c r="H69" s="363"/>
    </row>
    <row r="70" spans="2:8">
      <c r="B70" s="13"/>
      <c r="C70" s="100"/>
      <c r="D70" s="22"/>
      <c r="E70" s="22"/>
      <c r="F70" s="324"/>
      <c r="G70" s="350"/>
      <c r="H70" s="363"/>
    </row>
    <row r="71" spans="2:8" ht="51">
      <c r="B71" s="13" t="s">
        <v>89</v>
      </c>
      <c r="C71" s="100" t="s">
        <v>90</v>
      </c>
      <c r="D71" s="22"/>
      <c r="E71" s="22"/>
      <c r="F71" s="324"/>
      <c r="G71" s="350"/>
      <c r="H71" s="363"/>
    </row>
    <row r="72" spans="2:8">
      <c r="B72" s="13"/>
      <c r="C72" s="100"/>
      <c r="D72" s="22"/>
      <c r="E72" s="22"/>
      <c r="F72" s="324"/>
      <c r="G72" s="350"/>
      <c r="H72" s="363"/>
    </row>
    <row r="73" spans="2:8">
      <c r="B73" s="13" t="s">
        <v>83</v>
      </c>
      <c r="C73" s="100" t="s">
        <v>84</v>
      </c>
      <c r="D73" s="22" t="s">
        <v>85</v>
      </c>
      <c r="E73" s="22"/>
      <c r="F73" s="324">
        <v>1</v>
      </c>
      <c r="G73" s="350">
        <v>-10000</v>
      </c>
      <c r="H73" s="363"/>
    </row>
    <row r="74" spans="2:8">
      <c r="B74" s="13"/>
      <c r="C74" s="100"/>
      <c r="D74" s="22"/>
      <c r="E74" s="22"/>
      <c r="F74" s="324"/>
      <c r="G74" s="350"/>
      <c r="H74" s="363"/>
    </row>
    <row r="75" spans="2:8" ht="51">
      <c r="B75" s="13" t="s">
        <v>91</v>
      </c>
      <c r="C75" s="100" t="s">
        <v>92</v>
      </c>
      <c r="D75" s="22"/>
      <c r="E75" s="22"/>
      <c r="F75" s="324"/>
      <c r="G75" s="350"/>
      <c r="H75" s="363"/>
    </row>
    <row r="76" spans="2:8">
      <c r="B76" s="13"/>
      <c r="C76" s="100"/>
      <c r="D76" s="22"/>
      <c r="E76" s="22"/>
      <c r="F76" s="324"/>
      <c r="G76" s="350"/>
      <c r="H76" s="363"/>
    </row>
    <row r="77" spans="2:8">
      <c r="B77" s="13" t="s">
        <v>83</v>
      </c>
      <c r="C77" s="100" t="s">
        <v>84</v>
      </c>
      <c r="D77" s="22" t="s">
        <v>85</v>
      </c>
      <c r="E77" s="22"/>
      <c r="F77" s="324">
        <v>1</v>
      </c>
      <c r="G77" s="350">
        <v>-10000</v>
      </c>
      <c r="H77" s="363"/>
    </row>
    <row r="78" spans="2:8">
      <c r="B78" s="13"/>
      <c r="C78" s="100"/>
      <c r="D78" s="22"/>
      <c r="E78" s="22"/>
      <c r="F78" s="324"/>
      <c r="G78" s="350"/>
      <c r="H78" s="363"/>
    </row>
    <row r="79" spans="2:8" ht="40.9" customHeight="1">
      <c r="B79" s="13" t="s">
        <v>93</v>
      </c>
      <c r="C79" s="100" t="s">
        <v>94</v>
      </c>
      <c r="D79" s="22"/>
      <c r="E79" s="22"/>
      <c r="F79" s="324"/>
      <c r="G79" s="350"/>
      <c r="H79" s="363"/>
    </row>
    <row r="80" spans="2:8">
      <c r="B80" s="13"/>
      <c r="C80" s="100"/>
      <c r="D80" s="22"/>
      <c r="E80" s="22"/>
      <c r="F80" s="324"/>
      <c r="G80" s="350"/>
      <c r="H80" s="363"/>
    </row>
    <row r="81" spans="2:12">
      <c r="B81" s="13" t="s">
        <v>83</v>
      </c>
      <c r="C81" s="100" t="s">
        <v>84</v>
      </c>
      <c r="D81" s="22" t="s">
        <v>85</v>
      </c>
      <c r="E81" s="22"/>
      <c r="F81" s="324">
        <v>1</v>
      </c>
      <c r="G81" s="350">
        <v>-10000</v>
      </c>
      <c r="H81" s="363"/>
    </row>
    <row r="82" spans="2:12">
      <c r="B82" s="13"/>
      <c r="C82" s="100"/>
      <c r="D82" s="22"/>
      <c r="E82" s="22"/>
      <c r="F82" s="324"/>
      <c r="G82" s="350"/>
      <c r="H82" s="363"/>
    </row>
    <row r="83" spans="2:12" ht="25.5">
      <c r="B83" s="13" t="s">
        <v>95</v>
      </c>
      <c r="C83" s="100" t="s">
        <v>96</v>
      </c>
      <c r="D83" s="22" t="s">
        <v>52</v>
      </c>
      <c r="E83" s="22"/>
      <c r="F83" s="324">
        <v>2500000</v>
      </c>
      <c r="G83" s="588">
        <v>1</v>
      </c>
      <c r="H83" s="363">
        <f>G83*F83</f>
        <v>2500000</v>
      </c>
    </row>
    <row r="84" spans="2:12">
      <c r="B84" s="13"/>
      <c r="C84" s="100"/>
      <c r="D84" s="22"/>
      <c r="E84" s="22"/>
      <c r="F84" s="324"/>
      <c r="G84" s="588"/>
      <c r="H84" s="363"/>
    </row>
    <row r="85" spans="2:12" ht="25.5">
      <c r="B85" s="13" t="s">
        <v>97</v>
      </c>
      <c r="C85" s="100" t="s">
        <v>98</v>
      </c>
      <c r="D85" s="22" t="s">
        <v>55</v>
      </c>
      <c r="E85" s="22"/>
      <c r="F85" s="324">
        <v>2500000</v>
      </c>
      <c r="G85" s="588"/>
      <c r="H85" s="363">
        <f>G85*F85</f>
        <v>0</v>
      </c>
    </row>
    <row r="86" spans="2:12">
      <c r="B86" s="13"/>
      <c r="C86" s="100"/>
      <c r="D86" s="22"/>
      <c r="E86" s="22"/>
      <c r="F86" s="324"/>
      <c r="G86" s="350"/>
      <c r="H86" s="363"/>
    </row>
    <row r="87" spans="2:12">
      <c r="B87" s="13"/>
      <c r="C87" s="100"/>
      <c r="D87" s="22"/>
      <c r="E87" s="22"/>
      <c r="F87" s="324"/>
      <c r="G87" s="350"/>
      <c r="H87" s="363"/>
    </row>
    <row r="88" spans="2:12">
      <c r="B88" s="13"/>
      <c r="C88" s="100"/>
      <c r="D88" s="22"/>
      <c r="E88" s="22"/>
      <c r="F88" s="324"/>
      <c r="G88" s="350"/>
      <c r="H88" s="363"/>
    </row>
    <row r="89" spans="2:12">
      <c r="B89" s="13"/>
      <c r="C89" s="100"/>
      <c r="D89" s="22"/>
      <c r="E89" s="22"/>
      <c r="F89" s="348"/>
      <c r="G89" s="350"/>
      <c r="H89" s="363"/>
      <c r="K89" s="306"/>
    </row>
    <row r="90" spans="2:12" s="28" customFormat="1" ht="20.100000000000001" customHeight="1">
      <c r="B90" s="74" t="str">
        <f>B10</f>
        <v>C1.2</v>
      </c>
      <c r="C90" s="29" t="s">
        <v>99</v>
      </c>
      <c r="D90" s="30"/>
      <c r="E90" s="30"/>
      <c r="F90" s="31"/>
      <c r="G90" s="412"/>
      <c r="H90" s="364">
        <f>SUM(H9:H89)</f>
        <v>4410000</v>
      </c>
      <c r="K90" s="1"/>
      <c r="L90" s="1"/>
    </row>
    <row r="102" spans="4:4">
      <c r="D102" s="628"/>
    </row>
  </sheetData>
  <sheetProtection algorithmName="SHA-512" hashValue="hO/0A3CT6E8tijbmQJAD4QHmEOF/oy78hShgSBQ6JwE9OPYqyYOpBozC1lVRYJMhWsXk9sii/xGPVtNx1aFX+w==" saltValue="XcleDU/h4joq88kFOnpOgQ==" spinCount="100000" sheet="1" objects="1" scenarios="1"/>
  <mergeCells count="8">
    <mergeCell ref="J57:J59"/>
    <mergeCell ref="F1:H3"/>
    <mergeCell ref="B1:E1"/>
    <mergeCell ref="B2:E2"/>
    <mergeCell ref="B3:E3"/>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46" firstPageNumber="31" fitToHeight="0" orientation="portrait" cellComments="asDisplayed" useFirstPageNumber="1" r:id="rId1"/>
  <headerFooter>
    <oddHeader xml:space="preserve">&amp;CPREPARED BY NANKHOO CONSULTING ENGINEERS&amp;R&amp;"Arial,Bold Italic"
</oddHeader>
    <oddFooter>&amp;C&amp;F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6"/>
  <dimension ref="A1:I131"/>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c r="B4" s="695" t="s">
        <v>456</v>
      </c>
      <c r="C4" s="696"/>
      <c r="D4" s="696"/>
      <c r="E4" s="696"/>
      <c r="F4" s="696"/>
      <c r="G4" s="696"/>
      <c r="H4" s="773" t="str">
        <f>"CHAPTER "&amp;B10</f>
        <v>CHAPTER C7.3</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4"/>
      <c r="I5" s="8"/>
    </row>
    <row r="6" spans="2:9" ht="12.75" customHeight="1">
      <c r="B6" s="690"/>
      <c r="C6" s="691"/>
      <c r="D6" s="691"/>
      <c r="E6" s="691"/>
      <c r="F6" s="691"/>
      <c r="G6" s="691"/>
      <c r="H6" s="774"/>
      <c r="I6" s="8"/>
    </row>
    <row r="7" spans="2:9" s="9" customFormat="1" ht="7.5" customHeight="1">
      <c r="B7" s="692"/>
      <c r="C7" s="693"/>
      <c r="D7" s="693"/>
      <c r="E7" s="693"/>
      <c r="F7" s="693"/>
      <c r="G7" s="693"/>
      <c r="H7" s="775"/>
      <c r="I7" s="12"/>
    </row>
    <row r="8" spans="2:9" s="9" customFormat="1" ht="24.95" customHeight="1">
      <c r="B8" s="10" t="s">
        <v>11</v>
      </c>
      <c r="C8" s="11" t="s">
        <v>12</v>
      </c>
      <c r="D8" s="11" t="s">
        <v>13</v>
      </c>
      <c r="E8" s="11" t="s">
        <v>14</v>
      </c>
      <c r="F8" s="11" t="s">
        <v>15</v>
      </c>
      <c r="G8" s="11" t="s">
        <v>16</v>
      </c>
      <c r="H8" s="11" t="s">
        <v>17</v>
      </c>
      <c r="I8" s="12"/>
    </row>
    <row r="9" spans="2:9">
      <c r="B9" s="105"/>
      <c r="C9" s="52"/>
      <c r="D9" s="78"/>
      <c r="E9" s="15"/>
      <c r="F9" s="15"/>
      <c r="G9" s="16"/>
      <c r="H9" s="17" t="str">
        <f t="shared" ref="H9:H42" si="0">IF(D9="","",F9*G9)</f>
        <v/>
      </c>
      <c r="I9" s="18"/>
    </row>
    <row r="10" spans="2:9" s="51" customFormat="1" ht="25.5">
      <c r="B10" s="69" t="s">
        <v>1051</v>
      </c>
      <c r="C10" s="7" t="s">
        <v>1052</v>
      </c>
      <c r="D10" s="15"/>
      <c r="E10" s="15"/>
      <c r="F10" s="15"/>
      <c r="G10" s="16"/>
      <c r="H10" s="17"/>
      <c r="I10" s="18"/>
    </row>
    <row r="11" spans="2:9" s="51" customFormat="1">
      <c r="B11" s="48"/>
      <c r="C11" s="52"/>
      <c r="D11" s="15"/>
      <c r="E11" s="15"/>
      <c r="F11" s="15"/>
      <c r="G11" s="16"/>
      <c r="H11" s="17"/>
      <c r="I11" s="18"/>
    </row>
    <row r="12" spans="2:9" s="51" customFormat="1">
      <c r="B12" s="128" t="s">
        <v>1053</v>
      </c>
      <c r="C12" s="53" t="s">
        <v>1054</v>
      </c>
      <c r="D12" s="15"/>
      <c r="E12" s="22"/>
      <c r="F12" s="22"/>
      <c r="G12" s="39"/>
      <c r="H12" s="25" t="str">
        <f t="shared" si="0"/>
        <v/>
      </c>
      <c r="I12" s="40"/>
    </row>
    <row r="13" spans="2:9" s="51" customFormat="1">
      <c r="B13" s="48"/>
      <c r="C13" s="52"/>
      <c r="D13" s="22"/>
      <c r="E13" s="22"/>
      <c r="F13" s="22"/>
      <c r="G13" s="39"/>
      <c r="H13" s="25" t="str">
        <f t="shared" si="0"/>
        <v/>
      </c>
      <c r="I13" s="40"/>
    </row>
    <row r="14" spans="2:9" s="51" customFormat="1" ht="14.25">
      <c r="B14" s="128" t="s">
        <v>1055</v>
      </c>
      <c r="C14" s="53" t="s">
        <v>1056</v>
      </c>
      <c r="D14" s="22" t="s">
        <v>386</v>
      </c>
      <c r="E14" s="22"/>
      <c r="F14" s="22"/>
      <c r="G14" s="39"/>
      <c r="H14" s="25">
        <f t="shared" si="0"/>
        <v>0</v>
      </c>
      <c r="I14" s="40"/>
    </row>
    <row r="15" spans="2:9" s="51" customFormat="1">
      <c r="B15" s="48"/>
      <c r="C15" s="52"/>
      <c r="D15" s="22"/>
      <c r="E15" s="22"/>
      <c r="F15" s="22"/>
      <c r="G15" s="39"/>
      <c r="H15" s="25" t="str">
        <f t="shared" si="0"/>
        <v/>
      </c>
      <c r="I15" s="40"/>
    </row>
    <row r="16" spans="2:9" s="51" customFormat="1" ht="14.25">
      <c r="B16" s="48" t="s">
        <v>1057</v>
      </c>
      <c r="C16" s="55" t="s">
        <v>1058</v>
      </c>
      <c r="D16" s="22" t="s">
        <v>386</v>
      </c>
      <c r="E16" s="22"/>
      <c r="F16" s="23"/>
      <c r="G16" s="24"/>
      <c r="H16" s="25">
        <f t="shared" si="0"/>
        <v>0</v>
      </c>
      <c r="I16" s="41"/>
    </row>
    <row r="17" spans="2:9" s="51" customFormat="1">
      <c r="B17" s="48"/>
      <c r="C17" s="52"/>
      <c r="D17" s="22"/>
      <c r="E17" s="22"/>
      <c r="F17" s="23"/>
      <c r="G17" s="24"/>
      <c r="H17" s="25" t="str">
        <f t="shared" si="0"/>
        <v/>
      </c>
      <c r="I17" s="41"/>
    </row>
    <row r="18" spans="2:9" s="51" customFormat="1" ht="14.25">
      <c r="B18" s="128" t="s">
        <v>1059</v>
      </c>
      <c r="C18" s="53" t="s">
        <v>1060</v>
      </c>
      <c r="D18" s="22" t="s">
        <v>386</v>
      </c>
      <c r="E18" s="22"/>
      <c r="F18" s="23"/>
      <c r="G18" s="24"/>
      <c r="H18" s="25">
        <f t="shared" si="0"/>
        <v>0</v>
      </c>
      <c r="I18" s="41"/>
    </row>
    <row r="19" spans="2:9" s="51" customFormat="1">
      <c r="B19" s="48"/>
      <c r="C19" s="52"/>
      <c r="D19" s="22"/>
      <c r="E19" s="22"/>
      <c r="F19" s="23"/>
      <c r="G19" s="39"/>
      <c r="H19" s="25" t="str">
        <f t="shared" si="0"/>
        <v/>
      </c>
      <c r="I19" s="40"/>
    </row>
    <row r="20" spans="2:9" s="51" customFormat="1" ht="25.5">
      <c r="B20" s="48" t="s">
        <v>1061</v>
      </c>
      <c r="C20" s="53" t="s">
        <v>1062</v>
      </c>
      <c r="D20" s="22" t="s">
        <v>386</v>
      </c>
      <c r="E20" s="22"/>
      <c r="F20" s="23"/>
      <c r="G20" s="42"/>
      <c r="H20" s="25">
        <f t="shared" si="0"/>
        <v>0</v>
      </c>
      <c r="I20" s="40"/>
    </row>
    <row r="21" spans="2:9" s="51" customFormat="1">
      <c r="B21" s="48"/>
      <c r="C21" s="52"/>
      <c r="D21" s="22"/>
      <c r="E21" s="22"/>
      <c r="F21" s="23"/>
      <c r="G21" s="39"/>
      <c r="H21" s="25" t="str">
        <f t="shared" si="0"/>
        <v/>
      </c>
      <c r="I21" s="43"/>
    </row>
    <row r="22" spans="2:9" s="51" customFormat="1">
      <c r="B22" s="128" t="s">
        <v>1063</v>
      </c>
      <c r="C22" s="53" t="s">
        <v>1064</v>
      </c>
      <c r="D22" s="15"/>
      <c r="E22" s="22"/>
      <c r="F22" s="23"/>
      <c r="G22" s="39"/>
      <c r="H22" s="25" t="str">
        <f t="shared" si="0"/>
        <v/>
      </c>
      <c r="I22" s="99"/>
    </row>
    <row r="23" spans="2:9" s="51" customFormat="1">
      <c r="B23" s="48"/>
      <c r="C23" s="52"/>
      <c r="D23" s="22"/>
      <c r="E23" s="22"/>
      <c r="F23" s="23"/>
      <c r="G23" s="39"/>
      <c r="H23" s="25" t="str">
        <f t="shared" si="0"/>
        <v/>
      </c>
      <c r="I23" s="99"/>
    </row>
    <row r="24" spans="2:9" s="51" customFormat="1">
      <c r="B24" s="128" t="s">
        <v>1065</v>
      </c>
      <c r="C24" s="55" t="s">
        <v>1066</v>
      </c>
      <c r="D24" s="15" t="s">
        <v>85</v>
      </c>
      <c r="E24" s="22"/>
      <c r="F24" s="23"/>
      <c r="G24" s="37"/>
      <c r="H24" s="25">
        <f t="shared" si="0"/>
        <v>0</v>
      </c>
      <c r="I24" s="99"/>
    </row>
    <row r="25" spans="2:9" s="51" customFormat="1">
      <c r="B25" s="48"/>
      <c r="C25" s="52"/>
      <c r="D25" s="22"/>
      <c r="E25" s="22"/>
      <c r="F25" s="23"/>
      <c r="G25" s="39"/>
      <c r="H25" s="25" t="str">
        <f t="shared" si="0"/>
        <v/>
      </c>
      <c r="I25" s="99"/>
    </row>
    <row r="26" spans="2:9" s="51" customFormat="1">
      <c r="B26" s="48" t="s">
        <v>1067</v>
      </c>
      <c r="C26" s="53" t="s">
        <v>1068</v>
      </c>
      <c r="D26" s="15" t="s">
        <v>85</v>
      </c>
      <c r="E26" s="22"/>
      <c r="F26" s="23"/>
      <c r="G26" s="42"/>
      <c r="H26" s="25">
        <f t="shared" si="0"/>
        <v>0</v>
      </c>
      <c r="I26" s="99"/>
    </row>
    <row r="27" spans="2:9" s="51" customFormat="1">
      <c r="B27" s="48"/>
      <c r="C27" s="52"/>
      <c r="D27" s="22"/>
      <c r="E27" s="22"/>
      <c r="F27" s="23"/>
      <c r="G27" s="39"/>
      <c r="H27" s="25" t="str">
        <f t="shared" si="0"/>
        <v/>
      </c>
      <c r="I27" s="99"/>
    </row>
    <row r="28" spans="2:9" s="51" customFormat="1" ht="25.5">
      <c r="B28" s="128" t="s">
        <v>1069</v>
      </c>
      <c r="C28" s="53" t="s">
        <v>1070</v>
      </c>
      <c r="D28" s="22" t="s">
        <v>124</v>
      </c>
      <c r="E28" s="22"/>
      <c r="F28" s="23"/>
      <c r="G28" s="39"/>
      <c r="H28" s="25">
        <f t="shared" si="0"/>
        <v>0</v>
      </c>
      <c r="I28" s="40"/>
    </row>
    <row r="29" spans="2:9" s="51" customFormat="1">
      <c r="B29" s="48"/>
      <c r="C29" s="52"/>
      <c r="D29" s="22"/>
      <c r="E29" s="22"/>
      <c r="F29" s="23"/>
      <c r="G29" s="39"/>
      <c r="H29" s="25" t="str">
        <f t="shared" si="0"/>
        <v/>
      </c>
      <c r="I29" s="40"/>
    </row>
    <row r="30" spans="2:9" s="51" customFormat="1" ht="14.25">
      <c r="B30" s="128" t="s">
        <v>1071</v>
      </c>
      <c r="C30" s="53" t="s">
        <v>1072</v>
      </c>
      <c r="D30" s="22" t="s">
        <v>386</v>
      </c>
      <c r="E30" s="22"/>
      <c r="F30" s="23"/>
      <c r="G30" s="37"/>
      <c r="H30" s="25">
        <f t="shared" si="0"/>
        <v>0</v>
      </c>
      <c r="I30" s="41"/>
    </row>
    <row r="31" spans="2:9" s="51" customFormat="1">
      <c r="B31" s="48"/>
      <c r="C31" s="52"/>
      <c r="D31" s="15"/>
      <c r="E31" s="15"/>
      <c r="F31" s="26"/>
      <c r="G31" s="27"/>
      <c r="H31" s="25" t="str">
        <f t="shared" si="0"/>
        <v/>
      </c>
      <c r="I31" s="18"/>
    </row>
    <row r="32" spans="2:9" s="55" customFormat="1">
      <c r="B32" s="128" t="s">
        <v>1073</v>
      </c>
      <c r="C32" s="53" t="s">
        <v>1074</v>
      </c>
      <c r="D32" s="22" t="s">
        <v>85</v>
      </c>
      <c r="E32" s="15"/>
      <c r="F32" s="26"/>
      <c r="G32" s="27"/>
      <c r="H32" s="25">
        <f t="shared" si="0"/>
        <v>0</v>
      </c>
      <c r="I32" s="18"/>
    </row>
    <row r="33" spans="2:9" s="51" customFormat="1">
      <c r="B33" s="48"/>
      <c r="C33" s="52"/>
      <c r="D33" s="22"/>
      <c r="E33" s="22"/>
      <c r="F33" s="23"/>
      <c r="G33" s="37"/>
      <c r="H33" s="25" t="str">
        <f t="shared" si="0"/>
        <v/>
      </c>
      <c r="I33" s="41"/>
    </row>
    <row r="34" spans="2:9" s="51" customFormat="1" ht="25.5">
      <c r="B34" s="128" t="s">
        <v>1075</v>
      </c>
      <c r="C34" s="53" t="s">
        <v>1076</v>
      </c>
      <c r="D34" s="15"/>
      <c r="E34" s="22"/>
      <c r="F34" s="23"/>
      <c r="G34" s="37"/>
      <c r="H34" s="25" t="str">
        <f t="shared" si="0"/>
        <v/>
      </c>
      <c r="I34" s="41"/>
    </row>
    <row r="35" spans="2:9" s="51" customFormat="1">
      <c r="B35" s="48"/>
      <c r="C35" s="52"/>
      <c r="D35" s="22"/>
      <c r="E35" s="22"/>
      <c r="F35" s="23"/>
      <c r="G35" s="45"/>
      <c r="H35" s="25" t="str">
        <f t="shared" si="0"/>
        <v/>
      </c>
      <c r="I35" s="40"/>
    </row>
    <row r="36" spans="2:9" s="51" customFormat="1">
      <c r="B36" s="128" t="s">
        <v>1077</v>
      </c>
      <c r="C36" s="53" t="s">
        <v>1078</v>
      </c>
      <c r="D36" s="15" t="s">
        <v>347</v>
      </c>
      <c r="E36" s="22"/>
      <c r="F36" s="23"/>
      <c r="G36" s="45"/>
      <c r="H36" s="25">
        <f t="shared" si="0"/>
        <v>0</v>
      </c>
      <c r="I36" s="40"/>
    </row>
    <row r="37" spans="2:9" s="51" customFormat="1">
      <c r="B37" s="48"/>
      <c r="C37" s="52"/>
      <c r="D37" s="22"/>
      <c r="E37" s="22"/>
      <c r="F37" s="23"/>
      <c r="G37" s="42"/>
      <c r="H37" s="25" t="str">
        <f t="shared" si="0"/>
        <v/>
      </c>
      <c r="I37" s="40"/>
    </row>
    <row r="38" spans="2:9" s="51" customFormat="1" ht="25.5">
      <c r="B38" s="128" t="s">
        <v>1079</v>
      </c>
      <c r="C38" s="53" t="s">
        <v>1080</v>
      </c>
      <c r="D38" s="15"/>
      <c r="E38" s="22"/>
      <c r="F38" s="23"/>
      <c r="G38" s="42"/>
      <c r="H38" s="25" t="str">
        <f t="shared" si="0"/>
        <v/>
      </c>
      <c r="I38" s="40"/>
    </row>
    <row r="39" spans="2:9" s="51" customFormat="1">
      <c r="B39" s="48"/>
      <c r="C39" s="52"/>
      <c r="D39" s="22"/>
      <c r="E39" s="22"/>
      <c r="F39" s="22"/>
      <c r="G39" s="39"/>
      <c r="H39" s="25" t="str">
        <f t="shared" si="0"/>
        <v/>
      </c>
      <c r="I39" s="40"/>
    </row>
    <row r="40" spans="2:9" s="51" customFormat="1" ht="14.25">
      <c r="B40" s="128" t="s">
        <v>1081</v>
      </c>
      <c r="C40" s="53" t="s">
        <v>1082</v>
      </c>
      <c r="D40" s="22" t="s">
        <v>386</v>
      </c>
      <c r="E40" s="22"/>
      <c r="F40" s="22"/>
      <c r="G40" s="39"/>
      <c r="H40" s="25">
        <f t="shared" si="0"/>
        <v>0</v>
      </c>
      <c r="I40" s="40"/>
    </row>
    <row r="41" spans="2:9" s="51" customFormat="1">
      <c r="B41" s="48"/>
      <c r="C41" s="52"/>
      <c r="D41" s="22"/>
      <c r="E41" s="22"/>
      <c r="F41" s="22"/>
      <c r="G41" s="37"/>
      <c r="H41" s="25" t="str">
        <f t="shared" si="0"/>
        <v/>
      </c>
      <c r="I41" s="40"/>
    </row>
    <row r="42" spans="2:9" s="51" customFormat="1" ht="14.25">
      <c r="B42" s="48" t="s">
        <v>1083</v>
      </c>
      <c r="C42" s="55" t="s">
        <v>1084</v>
      </c>
      <c r="D42" s="22" t="s">
        <v>386</v>
      </c>
      <c r="E42" s="22"/>
      <c r="F42" s="22"/>
      <c r="G42" s="37"/>
      <c r="H42" s="25">
        <f t="shared" si="0"/>
        <v>0</v>
      </c>
      <c r="I42" s="40"/>
    </row>
    <row r="43" spans="2:9" s="51" customFormat="1">
      <c r="B43" s="48"/>
      <c r="C43" s="52"/>
      <c r="D43" s="22"/>
      <c r="E43" s="22"/>
      <c r="F43" s="22"/>
      <c r="G43" s="37"/>
      <c r="H43" s="25" t="str">
        <f t="shared" ref="H43:H90" si="1">IF(D43="","",F43*G43)</f>
        <v/>
      </c>
      <c r="I43" s="40"/>
    </row>
    <row r="44" spans="2:9" s="51" customFormat="1" ht="14.25">
      <c r="B44" s="128" t="s">
        <v>1085</v>
      </c>
      <c r="C44" s="53" t="s">
        <v>1086</v>
      </c>
      <c r="D44" s="22" t="s">
        <v>386</v>
      </c>
      <c r="E44" s="22"/>
      <c r="F44" s="22"/>
      <c r="G44" s="37"/>
      <c r="H44" s="25">
        <f t="shared" si="1"/>
        <v>0</v>
      </c>
      <c r="I44" s="40"/>
    </row>
    <row r="45" spans="2:9" s="51" customFormat="1">
      <c r="B45" s="48"/>
      <c r="C45" s="52"/>
      <c r="D45" s="22"/>
      <c r="E45" s="22"/>
      <c r="F45" s="22"/>
      <c r="G45" s="37"/>
      <c r="H45" s="25" t="str">
        <f t="shared" si="1"/>
        <v/>
      </c>
      <c r="I45" s="40"/>
    </row>
    <row r="46" spans="2:9" s="51" customFormat="1" ht="25.5">
      <c r="B46" s="128" t="s">
        <v>1087</v>
      </c>
      <c r="C46" s="55" t="s">
        <v>1088</v>
      </c>
      <c r="D46" s="15"/>
      <c r="E46" s="22"/>
      <c r="F46" s="22"/>
      <c r="G46" s="37"/>
      <c r="H46" s="25" t="str">
        <f t="shared" si="1"/>
        <v/>
      </c>
      <c r="I46" s="40"/>
    </row>
    <row r="47" spans="2:9" s="51" customFormat="1">
      <c r="B47" s="128"/>
      <c r="C47" s="55"/>
      <c r="D47" s="15"/>
      <c r="E47" s="22"/>
      <c r="F47" s="22"/>
      <c r="G47" s="37"/>
      <c r="H47" s="25" t="str">
        <f t="shared" si="1"/>
        <v/>
      </c>
      <c r="I47" s="40"/>
    </row>
    <row r="48" spans="2:9" s="51" customFormat="1" ht="14.25">
      <c r="B48" s="128" t="s">
        <v>1089</v>
      </c>
      <c r="C48" s="55" t="s">
        <v>1090</v>
      </c>
      <c r="D48" s="22" t="s">
        <v>124</v>
      </c>
      <c r="E48" s="22"/>
      <c r="F48" s="22"/>
      <c r="G48" s="37"/>
      <c r="H48" s="25">
        <f t="shared" si="1"/>
        <v>0</v>
      </c>
      <c r="I48" s="40"/>
    </row>
    <row r="49" spans="1:9" s="51" customFormat="1">
      <c r="B49" s="128"/>
      <c r="C49" s="55"/>
      <c r="D49" s="22"/>
      <c r="E49" s="22"/>
      <c r="F49" s="22"/>
      <c r="G49" s="37"/>
      <c r="H49" s="25" t="str">
        <f t="shared" si="1"/>
        <v/>
      </c>
      <c r="I49" s="40"/>
    </row>
    <row r="50" spans="1:9" s="51" customFormat="1" ht="25.5">
      <c r="B50" s="128" t="s">
        <v>1091</v>
      </c>
      <c r="C50" s="55" t="s">
        <v>1092</v>
      </c>
      <c r="D50" s="22" t="s">
        <v>124</v>
      </c>
      <c r="E50" s="22"/>
      <c r="F50" s="22"/>
      <c r="G50" s="37"/>
      <c r="H50" s="25">
        <f t="shared" si="1"/>
        <v>0</v>
      </c>
      <c r="I50" s="40"/>
    </row>
    <row r="51" spans="1:9" s="51" customFormat="1">
      <c r="B51" s="128"/>
      <c r="C51" s="55"/>
      <c r="D51" s="15"/>
      <c r="E51" s="22"/>
      <c r="F51" s="22"/>
      <c r="G51" s="37"/>
      <c r="H51" s="25" t="str">
        <f t="shared" si="1"/>
        <v/>
      </c>
      <c r="I51" s="40"/>
    </row>
    <row r="52" spans="1:9" s="51" customFormat="1" ht="25.5">
      <c r="B52" s="128" t="s">
        <v>1093</v>
      </c>
      <c r="C52" s="55" t="s">
        <v>1094</v>
      </c>
      <c r="D52" s="22" t="s">
        <v>124</v>
      </c>
      <c r="E52" s="22"/>
      <c r="F52" s="22"/>
      <c r="G52" s="46"/>
      <c r="H52" s="25">
        <f t="shared" si="1"/>
        <v>0</v>
      </c>
      <c r="I52" s="40"/>
    </row>
    <row r="53" spans="1:9" s="51" customFormat="1">
      <c r="B53" s="128"/>
      <c r="C53" s="55"/>
      <c r="D53" s="22"/>
      <c r="E53" s="22"/>
      <c r="F53" s="22"/>
      <c r="G53" s="46"/>
      <c r="H53" s="25" t="str">
        <f t="shared" si="1"/>
        <v/>
      </c>
      <c r="I53" s="40"/>
    </row>
    <row r="54" spans="1:9" s="51" customFormat="1" ht="38.25">
      <c r="B54" s="128" t="s">
        <v>1095</v>
      </c>
      <c r="C54" s="55" t="s">
        <v>1096</v>
      </c>
      <c r="D54" s="22" t="s">
        <v>124</v>
      </c>
      <c r="E54" s="22"/>
      <c r="F54" s="22"/>
      <c r="G54" s="46"/>
      <c r="H54" s="25">
        <f t="shared" si="1"/>
        <v>0</v>
      </c>
      <c r="I54" s="40"/>
    </row>
    <row r="55" spans="1:9" s="51" customFormat="1">
      <c r="B55" s="128"/>
      <c r="C55" s="55"/>
      <c r="D55" s="15"/>
      <c r="E55" s="22"/>
      <c r="F55" s="22"/>
      <c r="G55" s="46"/>
      <c r="H55" s="25" t="str">
        <f t="shared" si="1"/>
        <v/>
      </c>
      <c r="I55" s="40"/>
    </row>
    <row r="56" spans="1:9" s="51" customFormat="1" ht="25.5">
      <c r="B56" s="128" t="s">
        <v>1097</v>
      </c>
      <c r="C56" s="55" t="s">
        <v>1098</v>
      </c>
      <c r="D56" s="22" t="s">
        <v>903</v>
      </c>
      <c r="E56" s="22"/>
      <c r="F56" s="22"/>
      <c r="G56" s="37"/>
      <c r="H56" s="25">
        <f t="shared" si="1"/>
        <v>0</v>
      </c>
      <c r="I56" s="40"/>
    </row>
    <row r="57" spans="1:9" s="51" customFormat="1">
      <c r="B57" s="128"/>
      <c r="C57" s="55"/>
      <c r="D57" s="22"/>
      <c r="E57" s="22"/>
      <c r="F57" s="22"/>
      <c r="G57" s="37"/>
      <c r="H57" s="25" t="str">
        <f t="shared" si="1"/>
        <v/>
      </c>
      <c r="I57" s="40"/>
    </row>
    <row r="58" spans="1:9" s="51" customFormat="1" ht="25.5">
      <c r="A58" s="56"/>
      <c r="B58" s="128" t="s">
        <v>1099</v>
      </c>
      <c r="C58" s="55" t="s">
        <v>1100</v>
      </c>
      <c r="D58" s="22" t="s">
        <v>386</v>
      </c>
      <c r="E58" s="22"/>
      <c r="F58" s="22"/>
      <c r="G58" s="37"/>
      <c r="H58" s="25">
        <f t="shared" si="1"/>
        <v>0</v>
      </c>
      <c r="I58" s="40"/>
    </row>
    <row r="59" spans="1:9" s="51" customFormat="1">
      <c r="A59" s="56"/>
      <c r="B59" s="128"/>
      <c r="C59" s="55"/>
      <c r="D59" s="22"/>
      <c r="E59" s="22"/>
      <c r="F59" s="22"/>
      <c r="G59" s="37"/>
      <c r="H59" s="25"/>
      <c r="I59" s="40"/>
    </row>
    <row r="60" spans="1:9" s="51" customFormat="1">
      <c r="A60" s="56"/>
      <c r="B60" s="128"/>
      <c r="C60" s="55"/>
      <c r="D60" s="22"/>
      <c r="E60" s="22"/>
      <c r="F60" s="22"/>
      <c r="G60" s="37"/>
      <c r="H60" s="25"/>
      <c r="I60" s="40"/>
    </row>
    <row r="61" spans="1:9" s="51" customFormat="1">
      <c r="A61" s="56"/>
      <c r="B61" s="128"/>
      <c r="C61" s="55"/>
      <c r="D61" s="22"/>
      <c r="E61" s="22"/>
      <c r="F61" s="22"/>
      <c r="G61" s="37"/>
      <c r="H61" s="25"/>
      <c r="I61" s="40"/>
    </row>
    <row r="62" spans="1:9" s="51" customFormat="1">
      <c r="A62" s="56"/>
      <c r="B62" s="128"/>
      <c r="C62" s="55"/>
      <c r="D62" s="22"/>
      <c r="E62" s="22"/>
      <c r="F62" s="22"/>
      <c r="G62" s="37"/>
      <c r="H62" s="25"/>
      <c r="I62" s="40"/>
    </row>
    <row r="63" spans="1:9" s="51" customFormat="1">
      <c r="A63" s="56"/>
      <c r="B63" s="128"/>
      <c r="C63" s="55"/>
      <c r="D63" s="22"/>
      <c r="E63" s="22"/>
      <c r="F63" s="22"/>
      <c r="G63" s="37"/>
      <c r="H63" s="25"/>
      <c r="I63" s="40"/>
    </row>
    <row r="64" spans="1:9" s="51" customFormat="1">
      <c r="A64" s="56"/>
      <c r="B64" s="128"/>
      <c r="C64" s="55"/>
      <c r="D64" s="22"/>
      <c r="E64" s="22"/>
      <c r="F64" s="22"/>
      <c r="G64" s="37"/>
      <c r="H64" s="25"/>
      <c r="I64" s="40"/>
    </row>
    <row r="65" spans="2:9" s="51" customFormat="1">
      <c r="B65" s="48"/>
      <c r="C65" s="52"/>
      <c r="D65" s="22"/>
      <c r="E65" s="22"/>
      <c r="F65" s="22"/>
      <c r="G65" s="37"/>
      <c r="H65" s="25" t="str">
        <f t="shared" si="1"/>
        <v/>
      </c>
      <c r="I65" s="40"/>
    </row>
    <row r="66" spans="2:9" s="28" customFormat="1" ht="19.5" customHeight="1">
      <c r="B66" s="101" t="str">
        <f>$B$10</f>
        <v>C7.3</v>
      </c>
      <c r="C66" s="29" t="s">
        <v>99</v>
      </c>
      <c r="D66" s="30"/>
      <c r="E66" s="30"/>
      <c r="F66" s="31"/>
      <c r="G66" s="30"/>
      <c r="H66" s="32">
        <f>SUM(H9:H65)</f>
        <v>0</v>
      </c>
      <c r="I66" s="33"/>
    </row>
    <row r="67" spans="2:9">
      <c r="B67" s="736" t="str">
        <f>Client1</f>
        <v>AIRPORTS COMPANY - SOUTH AFRICA</v>
      </c>
      <c r="C67" s="736"/>
      <c r="D67" s="736"/>
      <c r="E67" s="736"/>
      <c r="F67" s="737" t="str">
        <f>"Contract No. "&amp;ContractNo</f>
        <v>Contract No. KSIA7806/2025/RFP</v>
      </c>
      <c r="G67" s="737"/>
      <c r="H67" s="737"/>
    </row>
    <row r="68" spans="2:9">
      <c r="B68" s="736" t="str">
        <f>Client2</f>
        <v>ACSA</v>
      </c>
      <c r="C68" s="736"/>
      <c r="D68" s="736"/>
      <c r="E68" s="736"/>
      <c r="F68" s="737"/>
      <c r="G68" s="737"/>
      <c r="H68" s="737"/>
    </row>
    <row r="69" spans="2:9">
      <c r="B69" s="739"/>
      <c r="C69" s="739"/>
      <c r="D69" s="739"/>
      <c r="E69" s="739"/>
      <c r="F69" s="738"/>
      <c r="G69" s="738"/>
      <c r="H69" s="738"/>
    </row>
    <row r="70" spans="2:9">
      <c r="B70" s="695" t="s">
        <v>456</v>
      </c>
      <c r="C70" s="696"/>
      <c r="D70" s="696"/>
      <c r="E70" s="696"/>
      <c r="F70" s="696"/>
      <c r="G70" s="696"/>
      <c r="H70" s="740" t="str">
        <f>$H$4</f>
        <v>CHAPTER C7.3</v>
      </c>
      <c r="I70" s="6"/>
    </row>
    <row r="71" spans="2:9">
      <c r="B71" s="690" t="str">
        <f>ContractDescription</f>
        <v>PROCUREMENT OF A CIDB GRADE 9 CE CONTRACTOR THE COMPLETION OF BRAVO TAXIWAY EXTENSION AT KING SHAKA INTERNATIONAL AIRPORT FOR A PERIOD OF 12 MONTHS AT KING SHAKA INTERNATIONAL AIRPORT</v>
      </c>
      <c r="C71" s="691"/>
      <c r="D71" s="691"/>
      <c r="E71" s="691"/>
      <c r="F71" s="691"/>
      <c r="G71" s="691"/>
      <c r="H71" s="737"/>
      <c r="I71" s="8"/>
    </row>
    <row r="72" spans="2:9">
      <c r="B72" s="690"/>
      <c r="C72" s="691"/>
      <c r="D72" s="691"/>
      <c r="E72" s="691"/>
      <c r="F72" s="691"/>
      <c r="G72" s="691"/>
      <c r="H72" s="737"/>
      <c r="I72" s="8"/>
    </row>
    <row r="73" spans="2:9">
      <c r="B73" s="692"/>
      <c r="C73" s="693"/>
      <c r="D73" s="693"/>
      <c r="E73" s="693"/>
      <c r="F73" s="693"/>
      <c r="G73" s="693"/>
      <c r="H73" s="738"/>
      <c r="I73" s="8"/>
    </row>
    <row r="74" spans="2:9" s="9" customFormat="1" ht="24.95" customHeight="1">
      <c r="B74" s="70" t="s">
        <v>11</v>
      </c>
      <c r="C74" s="11" t="s">
        <v>12</v>
      </c>
      <c r="D74" s="11" t="s">
        <v>13</v>
      </c>
      <c r="E74" s="11" t="s">
        <v>14</v>
      </c>
      <c r="F74" s="11" t="s">
        <v>15</v>
      </c>
      <c r="G74" s="11" t="s">
        <v>16</v>
      </c>
      <c r="H74" s="11" t="s">
        <v>17</v>
      </c>
      <c r="I74" s="12"/>
    </row>
    <row r="75" spans="2:9" s="28" customFormat="1" ht="19.5" customHeight="1">
      <c r="B75" s="74"/>
      <c r="C75" s="29" t="s">
        <v>140</v>
      </c>
      <c r="D75" s="30"/>
      <c r="E75" s="30"/>
      <c r="F75" s="31"/>
      <c r="G75" s="30"/>
      <c r="H75" s="32">
        <f>H66</f>
        <v>0</v>
      </c>
      <c r="I75" s="33"/>
    </row>
    <row r="76" spans="2:9" s="51" customFormat="1">
      <c r="B76" s="128"/>
      <c r="C76" s="55"/>
      <c r="D76" s="22"/>
      <c r="E76" s="22"/>
      <c r="F76" s="22"/>
      <c r="G76" s="37"/>
      <c r="H76" s="25" t="str">
        <f t="shared" si="1"/>
        <v/>
      </c>
      <c r="I76" s="40"/>
    </row>
    <row r="77" spans="2:9" s="51" customFormat="1" ht="25.5">
      <c r="B77" s="48" t="s">
        <v>1101</v>
      </c>
      <c r="C77" s="55" t="s">
        <v>1102</v>
      </c>
      <c r="D77" s="22"/>
      <c r="E77" s="22"/>
      <c r="F77" s="22"/>
      <c r="G77" s="37"/>
      <c r="H77" s="25" t="str">
        <f t="shared" si="1"/>
        <v/>
      </c>
      <c r="I77" s="40"/>
    </row>
    <row r="78" spans="2:9" s="51" customFormat="1">
      <c r="B78" s="81"/>
      <c r="C78" s="55"/>
      <c r="D78" s="15"/>
      <c r="E78" s="22"/>
      <c r="F78" s="22"/>
      <c r="G78" s="37"/>
      <c r="H78" s="25" t="str">
        <f t="shared" si="1"/>
        <v/>
      </c>
      <c r="I78" s="40"/>
    </row>
    <row r="79" spans="2:9" s="51" customFormat="1" ht="25.5">
      <c r="B79" s="48" t="s">
        <v>1103</v>
      </c>
      <c r="C79" s="55" t="s">
        <v>1104</v>
      </c>
      <c r="D79" s="22" t="s">
        <v>124</v>
      </c>
      <c r="E79" s="22"/>
      <c r="F79" s="22"/>
      <c r="G79" s="37"/>
      <c r="H79" s="25">
        <f t="shared" si="1"/>
        <v>0</v>
      </c>
      <c r="I79" s="99"/>
    </row>
    <row r="80" spans="2:9" s="51" customFormat="1">
      <c r="B80" s="81"/>
      <c r="C80" s="55"/>
      <c r="D80" s="15"/>
      <c r="E80" s="22"/>
      <c r="F80" s="22"/>
      <c r="G80" s="37"/>
      <c r="H80" s="25" t="str">
        <f t="shared" si="1"/>
        <v/>
      </c>
      <c r="I80" s="40"/>
    </row>
    <row r="81" spans="2:9" s="51" customFormat="1" ht="25.5">
      <c r="B81" s="128" t="s">
        <v>1105</v>
      </c>
      <c r="C81" s="53" t="s">
        <v>1106</v>
      </c>
      <c r="D81" s="22" t="s">
        <v>124</v>
      </c>
      <c r="E81" s="22"/>
      <c r="F81" s="22"/>
      <c r="G81" s="37"/>
      <c r="H81" s="25">
        <f t="shared" si="1"/>
        <v>0</v>
      </c>
      <c r="I81" s="99"/>
    </row>
    <row r="82" spans="2:9" s="51" customFormat="1">
      <c r="B82" s="81"/>
      <c r="C82" s="52"/>
      <c r="D82" s="22"/>
      <c r="E82" s="22"/>
      <c r="F82" s="22"/>
      <c r="G82" s="37"/>
      <c r="H82" s="25" t="str">
        <f t="shared" si="1"/>
        <v/>
      </c>
      <c r="I82" s="40"/>
    </row>
    <row r="83" spans="2:9" s="51" customFormat="1">
      <c r="B83" s="48" t="s">
        <v>1107</v>
      </c>
      <c r="C83" s="55" t="s">
        <v>1031</v>
      </c>
      <c r="D83" s="22"/>
      <c r="E83" s="22"/>
      <c r="F83" s="22"/>
      <c r="G83" s="37"/>
      <c r="H83" s="25" t="str">
        <f t="shared" si="1"/>
        <v/>
      </c>
      <c r="I83" s="40"/>
    </row>
    <row r="84" spans="2:9" s="51" customFormat="1">
      <c r="B84" s="81"/>
      <c r="C84" s="55"/>
      <c r="D84" s="15"/>
      <c r="E84" s="22"/>
      <c r="F84" s="22"/>
      <c r="G84" s="37"/>
      <c r="H84" s="25" t="str">
        <f t="shared" si="1"/>
        <v/>
      </c>
      <c r="I84" s="40"/>
    </row>
    <row r="85" spans="2:9" s="51" customFormat="1">
      <c r="B85" s="48" t="s">
        <v>1108</v>
      </c>
      <c r="C85" s="55" t="s">
        <v>1033</v>
      </c>
      <c r="D85" s="22" t="s">
        <v>85</v>
      </c>
      <c r="E85" s="22"/>
      <c r="F85" s="22"/>
      <c r="G85" s="37"/>
      <c r="H85" s="25">
        <f t="shared" si="1"/>
        <v>0</v>
      </c>
      <c r="I85" s="40"/>
    </row>
    <row r="86" spans="2:9" s="51" customFormat="1">
      <c r="B86" s="48"/>
      <c r="C86" s="52"/>
      <c r="D86" s="22"/>
      <c r="E86" s="22"/>
      <c r="F86" s="22"/>
      <c r="G86" s="37"/>
      <c r="H86" s="25" t="str">
        <f t="shared" si="1"/>
        <v/>
      </c>
      <c r="I86" s="40"/>
    </row>
    <row r="87" spans="2:9" s="51" customFormat="1">
      <c r="B87" s="128" t="s">
        <v>1109</v>
      </c>
      <c r="C87" s="53" t="s">
        <v>1035</v>
      </c>
      <c r="D87" s="22" t="s">
        <v>85</v>
      </c>
      <c r="E87" s="22"/>
      <c r="F87" s="22"/>
      <c r="G87" s="37"/>
      <c r="H87" s="25">
        <f t="shared" si="1"/>
        <v>0</v>
      </c>
      <c r="I87" s="40"/>
    </row>
    <row r="88" spans="2:9" s="51" customFormat="1">
      <c r="B88" s="81"/>
      <c r="C88" s="52"/>
      <c r="D88" s="22"/>
      <c r="E88" s="22"/>
      <c r="F88" s="22"/>
      <c r="G88" s="37"/>
      <c r="H88" s="25" t="str">
        <f t="shared" si="1"/>
        <v/>
      </c>
      <c r="I88" s="40"/>
    </row>
    <row r="89" spans="2:9" s="51" customFormat="1">
      <c r="B89" s="48" t="s">
        <v>1110</v>
      </c>
      <c r="C89" s="53" t="s">
        <v>941</v>
      </c>
      <c r="D89" s="22"/>
      <c r="E89" s="22"/>
      <c r="F89" s="22"/>
      <c r="G89" s="37"/>
      <c r="H89" s="25" t="str">
        <f t="shared" si="1"/>
        <v/>
      </c>
      <c r="I89" s="40"/>
    </row>
    <row r="90" spans="2:9" s="51" customFormat="1">
      <c r="B90" s="81"/>
      <c r="C90" s="53"/>
      <c r="D90" s="15"/>
      <c r="E90" s="22"/>
      <c r="F90" s="22"/>
      <c r="G90" s="37"/>
      <c r="H90" s="25" t="str">
        <f t="shared" si="1"/>
        <v/>
      </c>
      <c r="I90" s="40"/>
    </row>
    <row r="91" spans="2:9" s="51" customFormat="1" ht="25.5">
      <c r="B91" s="48" t="s">
        <v>1111</v>
      </c>
      <c r="C91" s="53" t="s">
        <v>1112</v>
      </c>
      <c r="D91" s="22" t="s">
        <v>124</v>
      </c>
      <c r="E91" s="22"/>
      <c r="F91" s="22"/>
      <c r="G91" s="37"/>
      <c r="H91" s="25">
        <f t="shared" ref="H91:H103" si="2">IF(D91="","",F91*G91)</f>
        <v>0</v>
      </c>
      <c r="I91" s="40"/>
    </row>
    <row r="92" spans="2:9" s="51" customFormat="1">
      <c r="B92" s="48"/>
      <c r="C92" s="52"/>
      <c r="D92" s="22"/>
      <c r="E92" s="22"/>
      <c r="F92" s="22"/>
      <c r="G92" s="37"/>
      <c r="H92" s="25" t="str">
        <f t="shared" si="2"/>
        <v/>
      </c>
      <c r="I92" s="40"/>
    </row>
    <row r="93" spans="2:9" s="51" customFormat="1" ht="14.25">
      <c r="B93" s="48" t="s">
        <v>1113</v>
      </c>
      <c r="C93" s="53" t="s">
        <v>1040</v>
      </c>
      <c r="D93" s="22" t="s">
        <v>124</v>
      </c>
      <c r="E93" s="22"/>
      <c r="F93" s="22"/>
      <c r="G93" s="37"/>
      <c r="H93" s="25">
        <f t="shared" si="2"/>
        <v>0</v>
      </c>
      <c r="I93" s="40"/>
    </row>
    <row r="94" spans="2:9" s="51" customFormat="1">
      <c r="B94" s="81"/>
      <c r="C94" s="52"/>
      <c r="D94" s="22"/>
      <c r="E94" s="22"/>
      <c r="F94" s="22"/>
      <c r="G94" s="37"/>
      <c r="H94" s="25" t="str">
        <f t="shared" si="2"/>
        <v/>
      </c>
      <c r="I94" s="40"/>
    </row>
    <row r="95" spans="2:9" s="51" customFormat="1" ht="25.5">
      <c r="B95" s="48" t="s">
        <v>1114</v>
      </c>
      <c r="C95" s="53" t="s">
        <v>1043</v>
      </c>
      <c r="D95" s="15" t="s">
        <v>898</v>
      </c>
      <c r="E95" s="22"/>
      <c r="F95" s="22"/>
      <c r="G95" s="37"/>
      <c r="H95" s="25">
        <f t="shared" si="2"/>
        <v>0</v>
      </c>
      <c r="I95" s="40"/>
    </row>
    <row r="96" spans="2:9" s="51" customFormat="1">
      <c r="B96" s="81"/>
      <c r="C96" s="52"/>
      <c r="D96" s="22"/>
      <c r="E96" s="22"/>
      <c r="F96" s="22"/>
      <c r="G96" s="37"/>
      <c r="H96" s="25" t="str">
        <f t="shared" si="2"/>
        <v/>
      </c>
      <c r="I96" s="40"/>
    </row>
    <row r="97" spans="2:9" s="51" customFormat="1">
      <c r="B97" s="48" t="s">
        <v>1115</v>
      </c>
      <c r="C97" s="53" t="s">
        <v>953</v>
      </c>
      <c r="D97" s="21"/>
      <c r="E97" s="22"/>
      <c r="F97" s="22"/>
      <c r="G97" s="37"/>
      <c r="H97" s="25" t="str">
        <f t="shared" si="2"/>
        <v/>
      </c>
      <c r="I97" s="40"/>
    </row>
    <row r="98" spans="2:9" s="51" customFormat="1">
      <c r="B98" s="81"/>
      <c r="C98" s="52"/>
      <c r="D98" s="22"/>
      <c r="E98" s="22"/>
      <c r="F98" s="22"/>
      <c r="G98" s="37"/>
      <c r="H98" s="25" t="str">
        <f t="shared" si="2"/>
        <v/>
      </c>
      <c r="I98" s="40"/>
    </row>
    <row r="99" spans="2:9" s="51" customFormat="1">
      <c r="B99" s="48" t="s">
        <v>1116</v>
      </c>
      <c r="C99" s="53" t="s">
        <v>1046</v>
      </c>
      <c r="D99" s="21" t="s">
        <v>903</v>
      </c>
      <c r="E99" s="22"/>
      <c r="F99" s="22"/>
      <c r="G99" s="37"/>
      <c r="H99" s="25">
        <f t="shared" si="2"/>
        <v>0</v>
      </c>
      <c r="I99" s="40"/>
    </row>
    <row r="100" spans="2:9" s="51" customFormat="1">
      <c r="B100" s="81"/>
      <c r="C100" s="52"/>
      <c r="D100" s="22"/>
      <c r="E100" s="22"/>
      <c r="F100" s="22"/>
      <c r="G100" s="37"/>
      <c r="H100" s="25" t="str">
        <f t="shared" si="2"/>
        <v/>
      </c>
      <c r="I100" s="40"/>
    </row>
    <row r="101" spans="2:9" s="51" customFormat="1">
      <c r="B101" s="128" t="s">
        <v>1117</v>
      </c>
      <c r="C101" s="55" t="s">
        <v>1048</v>
      </c>
      <c r="D101" s="15" t="s">
        <v>903</v>
      </c>
      <c r="E101" s="22"/>
      <c r="F101" s="22"/>
      <c r="G101" s="37"/>
      <c r="H101" s="25">
        <f t="shared" si="2"/>
        <v>0</v>
      </c>
      <c r="I101" s="40"/>
    </row>
    <row r="102" spans="2:9" s="51" customFormat="1">
      <c r="B102" s="81"/>
      <c r="D102" s="15"/>
      <c r="E102" s="22"/>
      <c r="F102" s="22"/>
      <c r="G102" s="37"/>
      <c r="H102" s="25" t="str">
        <f t="shared" si="2"/>
        <v/>
      </c>
      <c r="I102" s="40"/>
    </row>
    <row r="103" spans="2:9" s="51" customFormat="1" ht="25.5">
      <c r="B103" s="81" t="s">
        <v>1118</v>
      </c>
      <c r="C103" s="51" t="s">
        <v>1119</v>
      </c>
      <c r="D103" s="22" t="s">
        <v>124</v>
      </c>
      <c r="E103" s="22"/>
      <c r="F103" s="22"/>
      <c r="G103" s="37"/>
      <c r="H103" s="25">
        <f t="shared" si="2"/>
        <v>0</v>
      </c>
      <c r="I103" s="40"/>
    </row>
    <row r="104" spans="2:9">
      <c r="B104" s="106"/>
      <c r="C104" s="51"/>
      <c r="D104" s="36"/>
      <c r="E104" s="22"/>
      <c r="F104" s="22"/>
      <c r="G104" s="37"/>
      <c r="H104" s="25"/>
      <c r="I104" s="40"/>
    </row>
    <row r="105" spans="2:9">
      <c r="B105" s="106"/>
      <c r="C105" s="51"/>
      <c r="D105" s="36"/>
      <c r="E105" s="22"/>
      <c r="F105" s="22"/>
      <c r="G105" s="37"/>
      <c r="H105" s="25"/>
      <c r="I105" s="40"/>
    </row>
    <row r="106" spans="2:9">
      <c r="B106" s="106"/>
      <c r="C106" s="51"/>
      <c r="D106" s="36"/>
      <c r="E106" s="22"/>
      <c r="F106" s="22"/>
      <c r="G106" s="37"/>
      <c r="H106" s="25"/>
      <c r="I106" s="40"/>
    </row>
    <row r="107" spans="2:9">
      <c r="B107" s="106"/>
      <c r="C107" s="51"/>
      <c r="D107" s="36"/>
      <c r="E107" s="22"/>
      <c r="F107" s="22"/>
      <c r="G107" s="37"/>
      <c r="H107" s="25"/>
      <c r="I107" s="40"/>
    </row>
    <row r="108" spans="2:9">
      <c r="B108" s="106"/>
      <c r="C108" s="51"/>
      <c r="D108" s="36"/>
      <c r="E108" s="22"/>
      <c r="F108" s="22"/>
      <c r="G108" s="37"/>
      <c r="H108" s="25"/>
      <c r="I108" s="40"/>
    </row>
    <row r="109" spans="2:9">
      <c r="B109" s="106"/>
      <c r="C109" s="51"/>
      <c r="D109" s="36"/>
      <c r="E109" s="22"/>
      <c r="F109" s="22"/>
      <c r="G109" s="37"/>
      <c r="H109" s="25"/>
      <c r="I109" s="40"/>
    </row>
    <row r="110" spans="2:9">
      <c r="B110" s="106"/>
      <c r="C110" s="51"/>
      <c r="D110" s="36"/>
      <c r="E110" s="22"/>
      <c r="F110" s="22"/>
      <c r="G110" s="37"/>
      <c r="H110" s="25"/>
      <c r="I110" s="40"/>
    </row>
    <row r="111" spans="2:9">
      <c r="B111" s="106"/>
      <c r="C111" s="51"/>
      <c r="D111" s="36"/>
      <c r="E111" s="22"/>
      <c r="F111" s="22"/>
      <c r="G111" s="37"/>
      <c r="H111" s="25"/>
      <c r="I111" s="40"/>
    </row>
    <row r="112" spans="2:9">
      <c r="B112" s="106"/>
      <c r="C112" s="51"/>
      <c r="D112" s="36"/>
      <c r="E112" s="22"/>
      <c r="F112" s="22"/>
      <c r="G112" s="37"/>
      <c r="H112" s="25"/>
      <c r="I112" s="40"/>
    </row>
    <row r="113" spans="2:9">
      <c r="B113" s="106"/>
      <c r="C113" s="51"/>
      <c r="D113" s="36"/>
      <c r="E113" s="22"/>
      <c r="F113" s="22"/>
      <c r="G113" s="37"/>
      <c r="H113" s="25"/>
      <c r="I113" s="40"/>
    </row>
    <row r="114" spans="2:9">
      <c r="B114" s="106"/>
      <c r="C114" s="51"/>
      <c r="D114" s="36"/>
      <c r="E114" s="22"/>
      <c r="F114" s="22"/>
      <c r="G114" s="37"/>
      <c r="H114" s="25"/>
      <c r="I114" s="40"/>
    </row>
    <row r="115" spans="2:9">
      <c r="B115" s="106"/>
      <c r="C115" s="51"/>
      <c r="D115" s="36"/>
      <c r="E115" s="22"/>
      <c r="F115" s="22"/>
      <c r="G115" s="37"/>
      <c r="H115" s="25"/>
      <c r="I115" s="40"/>
    </row>
    <row r="116" spans="2:9">
      <c r="B116" s="106"/>
      <c r="C116" s="51"/>
      <c r="D116" s="36"/>
      <c r="E116" s="22"/>
      <c r="F116" s="22"/>
      <c r="G116" s="37"/>
      <c r="H116" s="25"/>
      <c r="I116" s="40"/>
    </row>
    <row r="117" spans="2:9">
      <c r="B117" s="106"/>
      <c r="C117" s="51"/>
      <c r="D117" s="36"/>
      <c r="E117" s="22"/>
      <c r="F117" s="22"/>
      <c r="G117" s="37"/>
      <c r="H117" s="25"/>
      <c r="I117" s="40"/>
    </row>
    <row r="118" spans="2:9">
      <c r="B118" s="106"/>
      <c r="C118" s="51"/>
      <c r="D118" s="36"/>
      <c r="E118" s="22"/>
      <c r="F118" s="22"/>
      <c r="G118" s="37"/>
      <c r="H118" s="25"/>
      <c r="I118" s="40"/>
    </row>
    <row r="119" spans="2:9">
      <c r="B119" s="106"/>
      <c r="C119" s="51"/>
      <c r="D119" s="36"/>
      <c r="E119" s="22"/>
      <c r="F119" s="22"/>
      <c r="G119" s="37"/>
      <c r="H119" s="25"/>
      <c r="I119" s="40"/>
    </row>
    <row r="120" spans="2:9">
      <c r="B120" s="106"/>
      <c r="C120" s="51"/>
      <c r="D120" s="36"/>
      <c r="E120" s="22"/>
      <c r="F120" s="22"/>
      <c r="G120" s="37"/>
      <c r="H120" s="25"/>
      <c r="I120" s="40"/>
    </row>
    <row r="121" spans="2:9">
      <c r="B121" s="106"/>
      <c r="C121" s="51"/>
      <c r="D121" s="36"/>
      <c r="E121" s="22"/>
      <c r="F121" s="22"/>
      <c r="G121" s="37"/>
      <c r="H121" s="25"/>
      <c r="I121" s="40"/>
    </row>
    <row r="122" spans="2:9">
      <c r="B122" s="106"/>
      <c r="C122" s="51"/>
      <c r="D122" s="36"/>
      <c r="E122" s="22"/>
      <c r="F122" s="22"/>
      <c r="G122" s="37"/>
      <c r="H122" s="25"/>
      <c r="I122" s="40"/>
    </row>
    <row r="123" spans="2:9">
      <c r="B123" s="106"/>
      <c r="C123" s="51"/>
      <c r="D123" s="36"/>
      <c r="E123" s="22"/>
      <c r="F123" s="22"/>
      <c r="G123" s="37"/>
      <c r="H123" s="25"/>
      <c r="I123" s="40"/>
    </row>
    <row r="124" spans="2:9">
      <c r="B124" s="106"/>
      <c r="C124" s="51"/>
      <c r="D124" s="36"/>
      <c r="E124" s="22"/>
      <c r="F124" s="22"/>
      <c r="G124" s="37"/>
      <c r="H124" s="25"/>
      <c r="I124" s="40"/>
    </row>
    <row r="125" spans="2:9">
      <c r="B125" s="106"/>
      <c r="C125" s="51"/>
      <c r="D125" s="36"/>
      <c r="E125" s="22"/>
      <c r="F125" s="22"/>
      <c r="G125" s="37"/>
      <c r="H125" s="25"/>
      <c r="I125" s="40"/>
    </row>
    <row r="126" spans="2:9">
      <c r="B126" s="106"/>
      <c r="C126" s="51"/>
      <c r="D126" s="36"/>
      <c r="E126" s="22"/>
      <c r="F126" s="22"/>
      <c r="G126" s="37"/>
      <c r="H126" s="25"/>
      <c r="I126" s="40"/>
    </row>
    <row r="127" spans="2:9">
      <c r="B127" s="106"/>
      <c r="C127" s="51"/>
      <c r="D127" s="36"/>
      <c r="E127" s="22"/>
      <c r="F127" s="22"/>
      <c r="G127" s="37"/>
      <c r="H127" s="25"/>
      <c r="I127" s="40"/>
    </row>
    <row r="128" spans="2:9">
      <c r="B128" s="106"/>
      <c r="C128" s="51"/>
      <c r="D128" s="36"/>
      <c r="E128" s="22"/>
      <c r="F128" s="22"/>
      <c r="G128" s="37"/>
      <c r="H128" s="25"/>
      <c r="I128" s="40"/>
    </row>
    <row r="129" spans="2:9">
      <c r="B129" s="106"/>
      <c r="C129" s="51"/>
      <c r="D129" s="36"/>
      <c r="E129" s="22"/>
      <c r="F129" s="22"/>
      <c r="G129" s="37"/>
      <c r="H129" s="25"/>
      <c r="I129" s="40"/>
    </row>
    <row r="130" spans="2:9">
      <c r="B130" s="106"/>
      <c r="C130" s="51"/>
      <c r="D130" s="36"/>
      <c r="E130" s="22"/>
      <c r="F130" s="22"/>
      <c r="G130" s="37"/>
      <c r="H130" s="25"/>
      <c r="I130" s="40"/>
    </row>
    <row r="131" spans="2:9" s="28" customFormat="1" ht="24.95" customHeight="1">
      <c r="B131" s="82" t="str">
        <f>$B$10</f>
        <v>C7.3</v>
      </c>
      <c r="C131" s="29" t="s">
        <v>125</v>
      </c>
      <c r="D131" s="30"/>
      <c r="E131" s="30"/>
      <c r="F131" s="31"/>
      <c r="G131" s="30"/>
      <c r="H131" s="32">
        <f>SUM(H75:H130)</f>
        <v>0</v>
      </c>
      <c r="I131" s="33"/>
    </row>
  </sheetData>
  <mergeCells count="11">
    <mergeCell ref="B70:G70"/>
    <mergeCell ref="H70:H73"/>
    <mergeCell ref="B71:G73"/>
    <mergeCell ref="F1:H1"/>
    <mergeCell ref="H4:H7"/>
    <mergeCell ref="B4:G4"/>
    <mergeCell ref="B5:G7"/>
    <mergeCell ref="B67:E67"/>
    <mergeCell ref="F67:H69"/>
    <mergeCell ref="B68:E68"/>
    <mergeCell ref="B69:E69"/>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77"/>
  <dimension ref="B1:I77"/>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c r="B4" s="695" t="s">
        <v>456</v>
      </c>
      <c r="C4" s="696"/>
      <c r="D4" s="696"/>
      <c r="E4" s="696"/>
      <c r="F4" s="696"/>
      <c r="G4" s="696"/>
      <c r="H4" s="773" t="str">
        <f>"CHAPTER "&amp;B10</f>
        <v>CHAPTER C7.4</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4"/>
      <c r="I5" s="8"/>
    </row>
    <row r="6" spans="2:9" ht="12.75" customHeight="1">
      <c r="B6" s="690"/>
      <c r="C6" s="691"/>
      <c r="D6" s="691"/>
      <c r="E6" s="691"/>
      <c r="F6" s="691"/>
      <c r="G6" s="691"/>
      <c r="H6" s="774"/>
      <c r="I6" s="8"/>
    </row>
    <row r="7" spans="2:9" s="9" customFormat="1" ht="7.5" customHeight="1">
      <c r="B7" s="692"/>
      <c r="C7" s="693"/>
      <c r="D7" s="693"/>
      <c r="E7" s="693"/>
      <c r="F7" s="693"/>
      <c r="G7" s="693"/>
      <c r="H7" s="775"/>
      <c r="I7" s="12"/>
    </row>
    <row r="8" spans="2:9" s="9" customFormat="1" ht="24.95" customHeight="1">
      <c r="B8" s="10" t="s">
        <v>11</v>
      </c>
      <c r="C8" s="11" t="s">
        <v>12</v>
      </c>
      <c r="D8" s="11" t="s">
        <v>13</v>
      </c>
      <c r="E8" s="11" t="s">
        <v>14</v>
      </c>
      <c r="F8" s="11" t="s">
        <v>15</v>
      </c>
      <c r="G8" s="11" t="s">
        <v>16</v>
      </c>
      <c r="H8" s="11" t="s">
        <v>17</v>
      </c>
      <c r="I8" s="12"/>
    </row>
    <row r="9" spans="2:9" s="9" customFormat="1">
      <c r="B9" s="77"/>
      <c r="C9" s="7"/>
      <c r="D9" s="85"/>
      <c r="E9" s="49"/>
      <c r="F9" s="49"/>
      <c r="G9" s="49"/>
      <c r="H9" s="17" t="str">
        <f t="shared" ref="H9:H76" si="0">IF(D9="","",F9*G9)</f>
        <v/>
      </c>
      <c r="I9" s="12"/>
    </row>
    <row r="10" spans="2:9" s="9" customFormat="1" ht="25.5">
      <c r="B10" s="77" t="s">
        <v>1120</v>
      </c>
      <c r="C10" s="7" t="s">
        <v>1121</v>
      </c>
      <c r="D10" s="49"/>
      <c r="E10" s="49"/>
      <c r="F10" s="49"/>
      <c r="G10" s="49"/>
      <c r="H10" s="17" t="str">
        <f t="shared" si="0"/>
        <v/>
      </c>
      <c r="I10" s="12"/>
    </row>
    <row r="11" spans="2:9" s="9" customFormat="1">
      <c r="B11" s="77"/>
      <c r="C11" s="7"/>
      <c r="D11" s="49"/>
      <c r="E11" s="49"/>
      <c r="F11" s="49"/>
      <c r="G11" s="49"/>
      <c r="H11" s="17" t="str">
        <f t="shared" si="0"/>
        <v/>
      </c>
      <c r="I11" s="12"/>
    </row>
    <row r="12" spans="2:9" ht="27.95" customHeight="1">
      <c r="B12" s="63" t="s">
        <v>1122</v>
      </c>
      <c r="C12" s="343" t="s">
        <v>1123</v>
      </c>
      <c r="D12" s="15" t="s">
        <v>1124</v>
      </c>
      <c r="E12" s="15"/>
      <c r="F12" s="15"/>
      <c r="G12" s="16"/>
      <c r="H12" s="17">
        <f>IF(D12="","",F12*G12)</f>
        <v>0</v>
      </c>
      <c r="I12" s="18"/>
    </row>
    <row r="13" spans="2:9">
      <c r="B13" s="63"/>
      <c r="C13" s="34"/>
      <c r="D13" s="15"/>
      <c r="E13" s="15"/>
      <c r="F13" s="15"/>
      <c r="G13" s="16"/>
      <c r="H13" s="17"/>
      <c r="I13" s="18"/>
    </row>
    <row r="14" spans="2:9">
      <c r="B14" s="63"/>
      <c r="C14" s="34"/>
      <c r="D14" s="15"/>
      <c r="E14" s="15"/>
      <c r="F14" s="15"/>
      <c r="G14" s="16"/>
      <c r="H14" s="17"/>
      <c r="I14" s="18"/>
    </row>
    <row r="15" spans="2:9">
      <c r="B15" s="63"/>
      <c r="C15" s="34"/>
      <c r="D15" s="15"/>
      <c r="E15" s="15"/>
      <c r="F15" s="15"/>
      <c r="G15" s="16"/>
      <c r="H15" s="17"/>
      <c r="I15" s="18"/>
    </row>
    <row r="16" spans="2:9">
      <c r="B16" s="63"/>
      <c r="C16" s="34"/>
      <c r="D16" s="15"/>
      <c r="E16" s="15"/>
      <c r="F16" s="15"/>
      <c r="G16" s="16"/>
      <c r="H16" s="17"/>
      <c r="I16" s="18"/>
    </row>
    <row r="17" spans="2:9">
      <c r="B17" s="63"/>
      <c r="C17" s="34"/>
      <c r="D17" s="15"/>
      <c r="E17" s="15"/>
      <c r="F17" s="15"/>
      <c r="G17" s="16"/>
      <c r="H17" s="17"/>
      <c r="I17" s="18"/>
    </row>
    <row r="18" spans="2:9">
      <c r="B18" s="63"/>
      <c r="C18" s="34"/>
      <c r="D18" s="15"/>
      <c r="E18" s="15"/>
      <c r="F18" s="15"/>
      <c r="G18" s="16"/>
      <c r="H18" s="17"/>
      <c r="I18" s="18"/>
    </row>
    <row r="19" spans="2:9">
      <c r="B19" s="63"/>
      <c r="C19" s="34"/>
      <c r="D19" s="15"/>
      <c r="E19" s="15"/>
      <c r="F19" s="15"/>
      <c r="G19" s="16"/>
      <c r="H19" s="17"/>
      <c r="I19" s="18"/>
    </row>
    <row r="20" spans="2:9">
      <c r="B20" s="63"/>
      <c r="C20" s="34"/>
      <c r="D20" s="15"/>
      <c r="E20" s="15"/>
      <c r="F20" s="15"/>
      <c r="G20" s="16"/>
      <c r="H20" s="17"/>
      <c r="I20" s="18"/>
    </row>
    <row r="21" spans="2:9">
      <c r="B21" s="63"/>
      <c r="C21" s="34"/>
      <c r="D21" s="15"/>
      <c r="E21" s="15"/>
      <c r="F21" s="15"/>
      <c r="G21" s="16"/>
      <c r="H21" s="17"/>
      <c r="I21" s="18"/>
    </row>
    <row r="22" spans="2:9">
      <c r="B22" s="63"/>
      <c r="C22" s="34"/>
      <c r="D22" s="15"/>
      <c r="E22" s="15"/>
      <c r="F22" s="15"/>
      <c r="G22" s="16"/>
      <c r="H22" s="17"/>
      <c r="I22" s="18"/>
    </row>
    <row r="23" spans="2:9">
      <c r="B23" s="63"/>
      <c r="C23" s="34"/>
      <c r="D23" s="15"/>
      <c r="E23" s="15"/>
      <c r="F23" s="15"/>
      <c r="G23" s="16"/>
      <c r="H23" s="17"/>
      <c r="I23" s="18"/>
    </row>
    <row r="24" spans="2:9">
      <c r="B24" s="63"/>
      <c r="C24" s="34"/>
      <c r="D24" s="15"/>
      <c r="E24" s="15"/>
      <c r="F24" s="15"/>
      <c r="G24" s="16"/>
      <c r="H24" s="17"/>
      <c r="I24" s="18"/>
    </row>
    <row r="25" spans="2:9">
      <c r="B25" s="63"/>
      <c r="C25" s="34"/>
      <c r="D25" s="15"/>
      <c r="E25" s="15"/>
      <c r="F25" s="15"/>
      <c r="G25" s="16"/>
      <c r="H25" s="17"/>
      <c r="I25" s="18"/>
    </row>
    <row r="26" spans="2:9">
      <c r="B26" s="63"/>
      <c r="C26" s="34"/>
      <c r="D26" s="15"/>
      <c r="E26" s="15"/>
      <c r="F26" s="15"/>
      <c r="G26" s="16"/>
      <c r="H26" s="17"/>
      <c r="I26" s="18"/>
    </row>
    <row r="27" spans="2:9">
      <c r="B27" s="63"/>
      <c r="C27" s="34"/>
      <c r="D27" s="15"/>
      <c r="E27" s="15"/>
      <c r="F27" s="15"/>
      <c r="G27" s="16"/>
      <c r="H27" s="17"/>
      <c r="I27" s="18"/>
    </row>
    <row r="28" spans="2:9">
      <c r="B28" s="63"/>
      <c r="C28" s="34"/>
      <c r="D28" s="15"/>
      <c r="E28" s="15"/>
      <c r="F28" s="15"/>
      <c r="G28" s="16"/>
      <c r="H28" s="17"/>
      <c r="I28" s="18"/>
    </row>
    <row r="29" spans="2:9">
      <c r="B29" s="63"/>
      <c r="C29" s="34"/>
      <c r="D29" s="15"/>
      <c r="E29" s="15"/>
      <c r="F29" s="15"/>
      <c r="G29" s="16"/>
      <c r="H29" s="17"/>
      <c r="I29" s="18"/>
    </row>
    <row r="30" spans="2:9">
      <c r="B30" s="63"/>
      <c r="C30" s="34"/>
      <c r="D30" s="15"/>
      <c r="E30" s="15"/>
      <c r="F30" s="15"/>
      <c r="G30" s="16"/>
      <c r="H30" s="17"/>
      <c r="I30" s="18"/>
    </row>
    <row r="31" spans="2:9">
      <c r="B31" s="63"/>
      <c r="C31" s="34"/>
      <c r="D31" s="15"/>
      <c r="E31" s="15"/>
      <c r="F31" s="15"/>
      <c r="G31" s="16"/>
      <c r="H31" s="17"/>
      <c r="I31" s="18"/>
    </row>
    <row r="32" spans="2:9">
      <c r="B32" s="63"/>
      <c r="C32" s="34"/>
      <c r="D32" s="15"/>
      <c r="E32" s="15"/>
      <c r="F32" s="15"/>
      <c r="G32" s="16"/>
      <c r="H32" s="17"/>
      <c r="I32" s="18"/>
    </row>
    <row r="33" spans="2:9">
      <c r="B33" s="63"/>
      <c r="C33" s="34"/>
      <c r="D33" s="15"/>
      <c r="E33" s="15"/>
      <c r="F33" s="15"/>
      <c r="G33" s="16"/>
      <c r="H33" s="17"/>
      <c r="I33" s="18"/>
    </row>
    <row r="34" spans="2:9">
      <c r="B34" s="63"/>
      <c r="C34" s="34"/>
      <c r="D34" s="15"/>
      <c r="E34" s="15"/>
      <c r="F34" s="15"/>
      <c r="G34" s="16"/>
      <c r="H34" s="17"/>
      <c r="I34" s="18"/>
    </row>
    <row r="35" spans="2:9">
      <c r="B35" s="63"/>
      <c r="C35" s="34"/>
      <c r="D35" s="15"/>
      <c r="E35" s="15"/>
      <c r="F35" s="15"/>
      <c r="G35" s="16"/>
      <c r="H35" s="17"/>
      <c r="I35" s="18"/>
    </row>
    <row r="36" spans="2:9">
      <c r="B36" s="63"/>
      <c r="C36" s="34"/>
      <c r="D36" s="15"/>
      <c r="E36" s="15"/>
      <c r="F36" s="15"/>
      <c r="G36" s="16"/>
      <c r="H36" s="17"/>
      <c r="I36" s="18"/>
    </row>
    <row r="37" spans="2:9">
      <c r="B37" s="63"/>
      <c r="C37" s="34"/>
      <c r="D37" s="15"/>
      <c r="E37" s="15"/>
      <c r="F37" s="15"/>
      <c r="G37" s="16"/>
      <c r="H37" s="17"/>
      <c r="I37" s="18"/>
    </row>
    <row r="38" spans="2:9">
      <c r="B38" s="63"/>
      <c r="C38" s="34"/>
      <c r="D38" s="15"/>
      <c r="E38" s="15"/>
      <c r="F38" s="15"/>
      <c r="G38" s="16"/>
      <c r="H38" s="17"/>
      <c r="I38" s="18"/>
    </row>
    <row r="39" spans="2:9">
      <c r="B39" s="63"/>
      <c r="C39" s="34"/>
      <c r="D39" s="15"/>
      <c r="E39" s="15"/>
      <c r="F39" s="15"/>
      <c r="G39" s="16"/>
      <c r="H39" s="17"/>
      <c r="I39" s="18"/>
    </row>
    <row r="40" spans="2:9">
      <c r="B40" s="63"/>
      <c r="C40" s="34"/>
      <c r="D40" s="15"/>
      <c r="E40" s="15"/>
      <c r="F40" s="15"/>
      <c r="G40" s="16"/>
      <c r="H40" s="17"/>
      <c r="I40" s="18"/>
    </row>
    <row r="41" spans="2:9">
      <c r="B41" s="63"/>
      <c r="C41" s="34"/>
      <c r="D41" s="15"/>
      <c r="E41" s="15"/>
      <c r="F41" s="15"/>
      <c r="G41" s="16"/>
      <c r="H41" s="17"/>
      <c r="I41" s="18"/>
    </row>
    <row r="42" spans="2:9">
      <c r="B42" s="63"/>
      <c r="C42" s="34"/>
      <c r="D42" s="15"/>
      <c r="E42" s="15"/>
      <c r="F42" s="15"/>
      <c r="G42" s="16"/>
      <c r="H42" s="17"/>
      <c r="I42" s="18"/>
    </row>
    <row r="43" spans="2:9">
      <c r="B43" s="63"/>
      <c r="C43" s="34"/>
      <c r="D43" s="15"/>
      <c r="E43" s="15"/>
      <c r="F43" s="15"/>
      <c r="G43" s="16"/>
      <c r="H43" s="17"/>
      <c r="I43" s="18"/>
    </row>
    <row r="44" spans="2:9">
      <c r="B44" s="63"/>
      <c r="C44" s="34"/>
      <c r="D44" s="15"/>
      <c r="E44" s="15"/>
      <c r="F44" s="15"/>
      <c r="G44" s="16"/>
      <c r="H44" s="17"/>
      <c r="I44" s="18"/>
    </row>
    <row r="45" spans="2:9">
      <c r="B45" s="63"/>
      <c r="C45" s="34"/>
      <c r="D45" s="15"/>
      <c r="E45" s="15"/>
      <c r="F45" s="15"/>
      <c r="G45" s="16"/>
      <c r="H45" s="17"/>
      <c r="I45" s="18"/>
    </row>
    <row r="46" spans="2:9">
      <c r="B46" s="63"/>
      <c r="C46" s="34"/>
      <c r="D46" s="15"/>
      <c r="E46" s="15"/>
      <c r="F46" s="15"/>
      <c r="G46" s="16"/>
      <c r="H46" s="17"/>
      <c r="I46" s="18"/>
    </row>
    <row r="47" spans="2:9">
      <c r="B47" s="63"/>
      <c r="C47" s="34"/>
      <c r="D47" s="15"/>
      <c r="E47" s="15"/>
      <c r="F47" s="15"/>
      <c r="G47" s="16"/>
      <c r="H47" s="17"/>
      <c r="I47" s="18"/>
    </row>
    <row r="48" spans="2:9">
      <c r="B48" s="63"/>
      <c r="C48" s="34"/>
      <c r="D48" s="15"/>
      <c r="E48" s="15"/>
      <c r="F48" s="15"/>
      <c r="G48" s="16"/>
      <c r="H48" s="17"/>
      <c r="I48" s="18"/>
    </row>
    <row r="49" spans="2:9">
      <c r="B49" s="63"/>
      <c r="C49" s="34"/>
      <c r="D49" s="15"/>
      <c r="E49" s="15"/>
      <c r="F49" s="15"/>
      <c r="G49" s="16"/>
      <c r="H49" s="17"/>
      <c r="I49" s="18"/>
    </row>
    <row r="50" spans="2:9">
      <c r="B50" s="63"/>
      <c r="C50" s="34"/>
      <c r="D50" s="15"/>
      <c r="E50" s="15"/>
      <c r="F50" s="15"/>
      <c r="G50" s="16"/>
      <c r="H50" s="17"/>
      <c r="I50" s="18"/>
    </row>
    <row r="51" spans="2:9">
      <c r="B51" s="63"/>
      <c r="C51" s="34"/>
      <c r="D51" s="15"/>
      <c r="E51" s="15"/>
      <c r="F51" s="15"/>
      <c r="G51" s="16"/>
      <c r="H51" s="17"/>
      <c r="I51" s="18"/>
    </row>
    <row r="52" spans="2:9">
      <c r="B52" s="63"/>
      <c r="C52" s="34"/>
      <c r="D52" s="15"/>
      <c r="E52" s="15"/>
      <c r="F52" s="15"/>
      <c r="G52" s="16"/>
      <c r="H52" s="17"/>
      <c r="I52" s="18"/>
    </row>
    <row r="53" spans="2:9">
      <c r="B53" s="63"/>
      <c r="C53" s="34"/>
      <c r="D53" s="15"/>
      <c r="E53" s="15"/>
      <c r="F53" s="15"/>
      <c r="G53" s="16"/>
      <c r="H53" s="17"/>
      <c r="I53" s="18"/>
    </row>
    <row r="54" spans="2:9">
      <c r="B54" s="63"/>
      <c r="C54" s="34"/>
      <c r="D54" s="15"/>
      <c r="E54" s="15"/>
      <c r="F54" s="15"/>
      <c r="G54" s="16"/>
      <c r="H54" s="17"/>
      <c r="I54" s="18"/>
    </row>
    <row r="55" spans="2:9">
      <c r="B55" s="63"/>
      <c r="C55" s="34"/>
      <c r="D55" s="15"/>
      <c r="E55" s="15"/>
      <c r="F55" s="15"/>
      <c r="G55" s="16"/>
      <c r="H55" s="17"/>
      <c r="I55" s="18"/>
    </row>
    <row r="56" spans="2:9">
      <c r="B56" s="63"/>
      <c r="C56" s="34"/>
      <c r="D56" s="15"/>
      <c r="E56" s="15"/>
      <c r="F56" s="15"/>
      <c r="G56" s="16"/>
      <c r="H56" s="17"/>
      <c r="I56" s="18"/>
    </row>
    <row r="57" spans="2:9">
      <c r="B57" s="63"/>
      <c r="C57" s="34"/>
      <c r="D57" s="15"/>
      <c r="E57" s="15"/>
      <c r="F57" s="15"/>
      <c r="G57" s="16"/>
      <c r="H57" s="17"/>
      <c r="I57" s="18"/>
    </row>
    <row r="58" spans="2:9">
      <c r="B58" s="63"/>
      <c r="C58" s="34"/>
      <c r="D58" s="15"/>
      <c r="E58" s="15"/>
      <c r="F58" s="15"/>
      <c r="G58" s="16"/>
      <c r="H58" s="17"/>
      <c r="I58" s="18"/>
    </row>
    <row r="59" spans="2:9">
      <c r="B59" s="63"/>
      <c r="C59" s="34"/>
      <c r="D59" s="15"/>
      <c r="E59" s="15"/>
      <c r="F59" s="15"/>
      <c r="G59" s="16"/>
      <c r="H59" s="17"/>
      <c r="I59" s="18"/>
    </row>
    <row r="60" spans="2:9">
      <c r="B60" s="63"/>
      <c r="C60" s="34"/>
      <c r="D60" s="15"/>
      <c r="E60" s="15"/>
      <c r="F60" s="15"/>
      <c r="G60" s="16"/>
      <c r="H60" s="17"/>
      <c r="I60" s="18"/>
    </row>
    <row r="61" spans="2:9">
      <c r="B61" s="77"/>
      <c r="C61" s="118"/>
      <c r="D61" s="68"/>
      <c r="E61" s="15"/>
      <c r="F61" s="15"/>
      <c r="G61" s="16"/>
      <c r="H61" s="17" t="str">
        <f t="shared" si="0"/>
        <v/>
      </c>
      <c r="I61" s="18"/>
    </row>
    <row r="62" spans="2:9">
      <c r="B62" s="77"/>
      <c r="C62" s="118"/>
      <c r="D62" s="68"/>
      <c r="E62" s="15"/>
      <c r="F62" s="15"/>
      <c r="G62" s="16"/>
      <c r="H62" s="17" t="str">
        <f t="shared" si="0"/>
        <v/>
      </c>
      <c r="I62" s="18"/>
    </row>
    <row r="63" spans="2:9">
      <c r="B63" s="77"/>
      <c r="C63" s="118"/>
      <c r="D63" s="68"/>
      <c r="E63" s="15"/>
      <c r="F63" s="15"/>
      <c r="G63" s="16"/>
      <c r="H63" s="17" t="str">
        <f t="shared" si="0"/>
        <v/>
      </c>
      <c r="I63" s="18"/>
    </row>
    <row r="64" spans="2:9">
      <c r="B64" s="77"/>
      <c r="C64" s="118"/>
      <c r="D64" s="68"/>
      <c r="E64" s="15"/>
      <c r="F64" s="15"/>
      <c r="G64" s="16"/>
      <c r="H64" s="17" t="str">
        <f t="shared" si="0"/>
        <v/>
      </c>
      <c r="I64" s="18"/>
    </row>
    <row r="65" spans="2:9">
      <c r="B65" s="77"/>
      <c r="C65" s="118"/>
      <c r="D65" s="68"/>
      <c r="E65" s="15"/>
      <c r="F65" s="15"/>
      <c r="G65" s="16"/>
      <c r="H65" s="17" t="str">
        <f t="shared" si="0"/>
        <v/>
      </c>
      <c r="I65" s="18"/>
    </row>
    <row r="66" spans="2:9">
      <c r="B66" s="77"/>
      <c r="C66" s="118"/>
      <c r="D66" s="68"/>
      <c r="E66" s="15"/>
      <c r="F66" s="15"/>
      <c r="G66" s="16"/>
      <c r="H66" s="17" t="str">
        <f t="shared" si="0"/>
        <v/>
      </c>
      <c r="I66" s="18"/>
    </row>
    <row r="67" spans="2:9">
      <c r="B67" s="77"/>
      <c r="C67" s="118"/>
      <c r="D67" s="68"/>
      <c r="E67" s="15"/>
      <c r="F67" s="15"/>
      <c r="G67" s="16"/>
      <c r="H67" s="17" t="str">
        <f t="shared" si="0"/>
        <v/>
      </c>
      <c r="I67" s="18"/>
    </row>
    <row r="68" spans="2:9">
      <c r="B68" s="77"/>
      <c r="C68" s="118"/>
      <c r="D68" s="68"/>
      <c r="E68" s="15"/>
      <c r="F68" s="15"/>
      <c r="G68" s="16"/>
      <c r="H68" s="17" t="str">
        <f t="shared" si="0"/>
        <v/>
      </c>
      <c r="I68" s="18"/>
    </row>
    <row r="69" spans="2:9">
      <c r="B69" s="77"/>
      <c r="C69" s="118"/>
      <c r="D69" s="68"/>
      <c r="E69" s="15"/>
      <c r="F69" s="15"/>
      <c r="G69" s="16"/>
      <c r="H69" s="17" t="str">
        <f t="shared" si="0"/>
        <v/>
      </c>
      <c r="I69" s="18"/>
    </row>
    <row r="70" spans="2:9">
      <c r="B70" s="77"/>
      <c r="C70" s="118"/>
      <c r="D70" s="68"/>
      <c r="E70" s="15"/>
      <c r="F70" s="15"/>
      <c r="G70" s="16"/>
      <c r="H70" s="17" t="str">
        <f t="shared" si="0"/>
        <v/>
      </c>
      <c r="I70" s="18"/>
    </row>
    <row r="71" spans="2:9">
      <c r="B71" s="77"/>
      <c r="C71" s="118"/>
      <c r="D71" s="68"/>
      <c r="E71" s="15"/>
      <c r="F71" s="15"/>
      <c r="G71" s="16"/>
      <c r="H71" s="17" t="str">
        <f t="shared" si="0"/>
        <v/>
      </c>
      <c r="I71" s="18"/>
    </row>
    <row r="72" spans="2:9">
      <c r="B72" s="77"/>
      <c r="C72" s="118"/>
      <c r="D72" s="68"/>
      <c r="E72" s="15"/>
      <c r="F72" s="15"/>
      <c r="G72" s="16"/>
      <c r="H72" s="17" t="str">
        <f t="shared" si="0"/>
        <v/>
      </c>
      <c r="I72" s="18"/>
    </row>
    <row r="73" spans="2:9">
      <c r="B73" s="77"/>
      <c r="C73" s="118"/>
      <c r="D73" s="68"/>
      <c r="E73" s="15"/>
      <c r="F73" s="15"/>
      <c r="G73" s="16"/>
      <c r="H73" s="17" t="str">
        <f t="shared" si="0"/>
        <v/>
      </c>
      <c r="I73" s="18"/>
    </row>
    <row r="74" spans="2:9">
      <c r="B74" s="77"/>
      <c r="C74" s="118"/>
      <c r="D74" s="68"/>
      <c r="E74" s="15"/>
      <c r="F74" s="15"/>
      <c r="G74" s="16"/>
      <c r="H74" s="17" t="str">
        <f t="shared" si="0"/>
        <v/>
      </c>
      <c r="I74" s="18"/>
    </row>
    <row r="75" spans="2:9">
      <c r="B75" s="77"/>
      <c r="C75" s="118"/>
      <c r="D75" s="68"/>
      <c r="E75" s="15"/>
      <c r="F75" s="15"/>
      <c r="G75" s="16"/>
      <c r="H75" s="17" t="str">
        <f t="shared" si="0"/>
        <v/>
      </c>
      <c r="I75" s="18"/>
    </row>
    <row r="76" spans="2:9">
      <c r="B76" s="77"/>
      <c r="C76" s="118"/>
      <c r="D76" s="68"/>
      <c r="E76" s="15"/>
      <c r="F76" s="15"/>
      <c r="G76" s="16"/>
      <c r="H76" s="17" t="str">
        <f t="shared" si="0"/>
        <v/>
      </c>
      <c r="I76" s="18"/>
    </row>
    <row r="77" spans="2:9" s="28" customFormat="1" ht="24.95" customHeight="1">
      <c r="B77" s="82" t="str">
        <f>$B$10</f>
        <v>C7.4</v>
      </c>
      <c r="C77" s="29" t="s">
        <v>125</v>
      </c>
      <c r="D77" s="30"/>
      <c r="E77" s="30"/>
      <c r="F77" s="31"/>
      <c r="G77" s="30"/>
      <c r="H77" s="32">
        <f>SUM(H9:H76)</f>
        <v>0</v>
      </c>
      <c r="I77" s="33"/>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1:I79"/>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c r="B4" s="695" t="s">
        <v>456</v>
      </c>
      <c r="C4" s="696"/>
      <c r="D4" s="696"/>
      <c r="E4" s="696"/>
      <c r="F4" s="696"/>
      <c r="G4" s="696"/>
      <c r="H4" s="773" t="str">
        <f>"CHAPTER "&amp;B10</f>
        <v>CHAPTER C7.5</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4"/>
      <c r="I5" s="8"/>
    </row>
    <row r="6" spans="2:9" ht="12.75" customHeight="1">
      <c r="B6" s="690"/>
      <c r="C6" s="691"/>
      <c r="D6" s="691"/>
      <c r="E6" s="691"/>
      <c r="F6" s="691"/>
      <c r="G6" s="691"/>
      <c r="H6" s="774"/>
      <c r="I6" s="8"/>
    </row>
    <row r="7" spans="2:9" s="9" customFormat="1" ht="7.5" customHeight="1">
      <c r="B7" s="692"/>
      <c r="C7" s="693"/>
      <c r="D7" s="693"/>
      <c r="E7" s="693"/>
      <c r="F7" s="693"/>
      <c r="G7" s="693"/>
      <c r="H7" s="775"/>
      <c r="I7" s="12"/>
    </row>
    <row r="8" spans="2:9" s="9" customFormat="1" ht="24.95" customHeight="1">
      <c r="B8" s="10" t="s">
        <v>11</v>
      </c>
      <c r="C8" s="11" t="s">
        <v>12</v>
      </c>
      <c r="D8" s="11" t="s">
        <v>13</v>
      </c>
      <c r="E8" s="11" t="s">
        <v>14</v>
      </c>
      <c r="F8" s="11" t="s">
        <v>15</v>
      </c>
      <c r="G8" s="11" t="s">
        <v>16</v>
      </c>
      <c r="H8" s="11" t="s">
        <v>17</v>
      </c>
      <c r="I8" s="12"/>
    </row>
    <row r="9" spans="2:9" s="9" customFormat="1">
      <c r="B9" s="107"/>
      <c r="C9" s="7"/>
      <c r="D9" s="85"/>
      <c r="E9" s="49"/>
      <c r="F9" s="49"/>
      <c r="G9" s="49"/>
      <c r="H9" s="17" t="str">
        <f t="shared" ref="H9:H74" si="0">IF(D9="","",F9*G9)</f>
        <v/>
      </c>
      <c r="I9" s="12"/>
    </row>
    <row r="10" spans="2:9" s="9" customFormat="1">
      <c r="B10" s="107" t="s">
        <v>1125</v>
      </c>
      <c r="C10" s="7" t="s">
        <v>1126</v>
      </c>
      <c r="D10" s="49"/>
      <c r="E10" s="49"/>
      <c r="F10" s="49"/>
      <c r="G10" s="49"/>
      <c r="H10" s="17" t="str">
        <f t="shared" si="0"/>
        <v/>
      </c>
      <c r="I10" s="12"/>
    </row>
    <row r="11" spans="2:9" s="9" customFormat="1">
      <c r="B11" s="107"/>
      <c r="C11" s="7"/>
      <c r="D11" s="49"/>
      <c r="E11" s="49"/>
      <c r="F11" s="49"/>
      <c r="G11" s="49"/>
      <c r="H11" s="17" t="str">
        <f t="shared" si="0"/>
        <v/>
      </c>
      <c r="I11" s="12"/>
    </row>
    <row r="12" spans="2:9" ht="14.25">
      <c r="B12" s="103" t="s">
        <v>1127</v>
      </c>
      <c r="C12" s="343" t="s">
        <v>1128</v>
      </c>
      <c r="D12" s="15" t="s">
        <v>124</v>
      </c>
      <c r="E12" s="15"/>
      <c r="F12" s="15"/>
      <c r="G12" s="16"/>
      <c r="H12" s="17">
        <f>IF(D12="","",F12*G12)</f>
        <v>0</v>
      </c>
      <c r="I12" s="18"/>
    </row>
    <row r="13" spans="2:9">
      <c r="B13" s="103"/>
      <c r="C13" s="34"/>
      <c r="D13" s="15"/>
      <c r="E13" s="15"/>
      <c r="F13" s="15"/>
      <c r="G13" s="16"/>
      <c r="H13" s="17"/>
      <c r="I13" s="18"/>
    </row>
    <row r="14" spans="2:9">
      <c r="B14" s="103"/>
      <c r="C14" s="34"/>
      <c r="D14" s="15"/>
      <c r="E14" s="15"/>
      <c r="F14" s="15"/>
      <c r="G14" s="16"/>
      <c r="H14" s="17"/>
      <c r="I14" s="18"/>
    </row>
    <row r="15" spans="2:9">
      <c r="B15" s="103"/>
      <c r="C15" s="34"/>
      <c r="D15" s="15"/>
      <c r="E15" s="15"/>
      <c r="F15" s="15"/>
      <c r="G15" s="16"/>
      <c r="H15" s="17"/>
      <c r="I15" s="18"/>
    </row>
    <row r="16" spans="2:9">
      <c r="B16" s="103"/>
      <c r="C16" s="34"/>
      <c r="D16" s="15"/>
      <c r="E16" s="15"/>
      <c r="F16" s="15"/>
      <c r="G16" s="16"/>
      <c r="H16" s="17"/>
      <c r="I16" s="18"/>
    </row>
    <row r="17" spans="2:9">
      <c r="B17" s="103"/>
      <c r="C17" s="34"/>
      <c r="D17" s="15"/>
      <c r="E17" s="15"/>
      <c r="F17" s="15"/>
      <c r="G17" s="16"/>
      <c r="H17" s="17"/>
      <c r="I17" s="18"/>
    </row>
    <row r="18" spans="2:9">
      <c r="B18" s="103"/>
      <c r="C18" s="34"/>
      <c r="D18" s="15"/>
      <c r="E18" s="15"/>
      <c r="F18" s="15"/>
      <c r="G18" s="16"/>
      <c r="H18" s="17"/>
      <c r="I18" s="18"/>
    </row>
    <row r="19" spans="2:9">
      <c r="B19" s="103"/>
      <c r="C19" s="34"/>
      <c r="D19" s="15"/>
      <c r="E19" s="15"/>
      <c r="F19" s="15"/>
      <c r="G19" s="16"/>
      <c r="H19" s="17"/>
      <c r="I19" s="18"/>
    </row>
    <row r="20" spans="2:9">
      <c r="B20" s="103"/>
      <c r="C20" s="34"/>
      <c r="D20" s="15"/>
      <c r="E20" s="15"/>
      <c r="F20" s="15"/>
      <c r="G20" s="16"/>
      <c r="H20" s="17"/>
      <c r="I20" s="18"/>
    </row>
    <row r="21" spans="2:9">
      <c r="B21" s="103"/>
      <c r="C21" s="34"/>
      <c r="D21" s="15"/>
      <c r="E21" s="15"/>
      <c r="F21" s="15"/>
      <c r="G21" s="16"/>
      <c r="H21" s="17"/>
      <c r="I21" s="18"/>
    </row>
    <row r="22" spans="2:9">
      <c r="B22" s="103"/>
      <c r="C22" s="34"/>
      <c r="D22" s="15"/>
      <c r="E22" s="15"/>
      <c r="F22" s="15"/>
      <c r="G22" s="16"/>
      <c r="H22" s="17"/>
      <c r="I22" s="18"/>
    </row>
    <row r="23" spans="2:9">
      <c r="B23" s="103"/>
      <c r="C23" s="34"/>
      <c r="D23" s="15"/>
      <c r="E23" s="15"/>
      <c r="F23" s="15"/>
      <c r="G23" s="16"/>
      <c r="H23" s="17"/>
      <c r="I23" s="18"/>
    </row>
    <row r="24" spans="2:9">
      <c r="B24" s="103"/>
      <c r="C24" s="34"/>
      <c r="D24" s="15"/>
      <c r="E24" s="15"/>
      <c r="F24" s="15"/>
      <c r="G24" s="16"/>
      <c r="H24" s="17"/>
      <c r="I24" s="18"/>
    </row>
    <row r="25" spans="2:9">
      <c r="B25" s="103"/>
      <c r="C25" s="34"/>
      <c r="D25" s="15"/>
      <c r="E25" s="15"/>
      <c r="F25" s="15"/>
      <c r="G25" s="16"/>
      <c r="H25" s="17"/>
      <c r="I25" s="18"/>
    </row>
    <row r="26" spans="2:9">
      <c r="B26" s="103"/>
      <c r="C26" s="34"/>
      <c r="D26" s="15"/>
      <c r="E26" s="15"/>
      <c r="F26" s="15"/>
      <c r="G26" s="16"/>
      <c r="H26" s="17"/>
      <c r="I26" s="18"/>
    </row>
    <row r="27" spans="2:9">
      <c r="B27" s="103"/>
      <c r="C27" s="34"/>
      <c r="D27" s="15"/>
      <c r="E27" s="15"/>
      <c r="F27" s="15"/>
      <c r="G27" s="16"/>
      <c r="H27" s="17"/>
      <c r="I27" s="18"/>
    </row>
    <row r="28" spans="2:9">
      <c r="B28" s="103"/>
      <c r="C28" s="34"/>
      <c r="D28" s="15"/>
      <c r="E28" s="15"/>
      <c r="F28" s="15"/>
      <c r="G28" s="16"/>
      <c r="H28" s="17"/>
      <c r="I28" s="18"/>
    </row>
    <row r="29" spans="2:9">
      <c r="B29" s="103"/>
      <c r="C29" s="34"/>
      <c r="D29" s="15"/>
      <c r="E29" s="15"/>
      <c r="F29" s="15"/>
      <c r="G29" s="16"/>
      <c r="H29" s="17"/>
      <c r="I29" s="18"/>
    </row>
    <row r="30" spans="2:9">
      <c r="B30" s="103"/>
      <c r="C30" s="34"/>
      <c r="D30" s="15"/>
      <c r="E30" s="15"/>
      <c r="F30" s="15"/>
      <c r="G30" s="16"/>
      <c r="H30" s="17"/>
      <c r="I30" s="18"/>
    </row>
    <row r="31" spans="2:9">
      <c r="B31" s="103"/>
      <c r="C31" s="34"/>
      <c r="D31" s="15"/>
      <c r="E31" s="15"/>
      <c r="F31" s="15"/>
      <c r="G31" s="16"/>
      <c r="H31" s="17"/>
      <c r="I31" s="18"/>
    </row>
    <row r="32" spans="2:9">
      <c r="B32" s="103"/>
      <c r="C32" s="34"/>
      <c r="D32" s="15"/>
      <c r="E32" s="15"/>
      <c r="F32" s="15"/>
      <c r="G32" s="16"/>
      <c r="H32" s="17"/>
      <c r="I32" s="18"/>
    </row>
    <row r="33" spans="2:9">
      <c r="B33" s="103"/>
      <c r="C33" s="34"/>
      <c r="D33" s="15"/>
      <c r="E33" s="15"/>
      <c r="F33" s="15"/>
      <c r="G33" s="16"/>
      <c r="H33" s="17"/>
      <c r="I33" s="18"/>
    </row>
    <row r="34" spans="2:9">
      <c r="B34" s="103"/>
      <c r="C34" s="34"/>
      <c r="D34" s="15"/>
      <c r="E34" s="15"/>
      <c r="F34" s="15"/>
      <c r="G34" s="16"/>
      <c r="H34" s="17"/>
      <c r="I34" s="18"/>
    </row>
    <row r="35" spans="2:9">
      <c r="B35" s="103"/>
      <c r="C35" s="34"/>
      <c r="D35" s="15"/>
      <c r="E35" s="15"/>
      <c r="F35" s="15"/>
      <c r="G35" s="16"/>
      <c r="H35" s="17"/>
      <c r="I35" s="18"/>
    </row>
    <row r="36" spans="2:9">
      <c r="B36" s="103"/>
      <c r="C36" s="34"/>
      <c r="D36" s="15"/>
      <c r="E36" s="15"/>
      <c r="F36" s="15"/>
      <c r="G36" s="16"/>
      <c r="H36" s="17"/>
      <c r="I36" s="18"/>
    </row>
    <row r="37" spans="2:9">
      <c r="B37" s="103"/>
      <c r="C37" s="34"/>
      <c r="D37" s="15"/>
      <c r="E37" s="15"/>
      <c r="F37" s="15"/>
      <c r="G37" s="16"/>
      <c r="H37" s="17"/>
      <c r="I37" s="18"/>
    </row>
    <row r="38" spans="2:9">
      <c r="B38" s="103"/>
      <c r="C38" s="34"/>
      <c r="D38" s="15"/>
      <c r="E38" s="15"/>
      <c r="F38" s="15"/>
      <c r="G38" s="16"/>
      <c r="H38" s="17"/>
      <c r="I38" s="18"/>
    </row>
    <row r="39" spans="2:9">
      <c r="B39" s="103"/>
      <c r="C39" s="34"/>
      <c r="D39" s="15"/>
      <c r="E39" s="15"/>
      <c r="F39" s="15"/>
      <c r="G39" s="16"/>
      <c r="H39" s="17"/>
      <c r="I39" s="18"/>
    </row>
    <row r="40" spans="2:9">
      <c r="B40" s="103"/>
      <c r="C40" s="34"/>
      <c r="D40" s="15"/>
      <c r="E40" s="15"/>
      <c r="F40" s="15"/>
      <c r="G40" s="16"/>
      <c r="H40" s="17"/>
      <c r="I40" s="18"/>
    </row>
    <row r="41" spans="2:9">
      <c r="B41" s="103"/>
      <c r="C41" s="34"/>
      <c r="D41" s="15"/>
      <c r="E41" s="15"/>
      <c r="F41" s="15"/>
      <c r="G41" s="16"/>
      <c r="H41" s="17"/>
      <c r="I41" s="18"/>
    </row>
    <row r="42" spans="2:9">
      <c r="B42" s="103"/>
      <c r="C42" s="34"/>
      <c r="D42" s="15"/>
      <c r="E42" s="15"/>
      <c r="F42" s="15"/>
      <c r="G42" s="16"/>
      <c r="H42" s="17"/>
      <c r="I42" s="18"/>
    </row>
    <row r="43" spans="2:9">
      <c r="B43" s="103"/>
      <c r="C43" s="34"/>
      <c r="D43" s="15"/>
      <c r="E43" s="15"/>
      <c r="F43" s="15"/>
      <c r="G43" s="16"/>
      <c r="H43" s="17"/>
      <c r="I43" s="18"/>
    </row>
    <row r="44" spans="2:9">
      <c r="B44" s="103"/>
      <c r="C44" s="34"/>
      <c r="D44" s="15"/>
      <c r="E44" s="15"/>
      <c r="F44" s="15"/>
      <c r="G44" s="16"/>
      <c r="H44" s="17"/>
      <c r="I44" s="18"/>
    </row>
    <row r="45" spans="2:9">
      <c r="B45" s="103"/>
      <c r="C45" s="34"/>
      <c r="D45" s="15"/>
      <c r="E45" s="15"/>
      <c r="F45" s="15"/>
      <c r="G45" s="16"/>
      <c r="H45" s="17"/>
      <c r="I45" s="18"/>
    </row>
    <row r="46" spans="2:9">
      <c r="B46" s="103"/>
      <c r="C46" s="34"/>
      <c r="D46" s="15"/>
      <c r="E46" s="15"/>
      <c r="F46" s="15"/>
      <c r="G46" s="16"/>
      <c r="H46" s="17"/>
      <c r="I46" s="18"/>
    </row>
    <row r="47" spans="2:9">
      <c r="B47" s="103"/>
      <c r="C47" s="34"/>
      <c r="D47" s="15"/>
      <c r="E47" s="15"/>
      <c r="F47" s="15"/>
      <c r="G47" s="16"/>
      <c r="H47" s="17"/>
      <c r="I47" s="18"/>
    </row>
    <row r="48" spans="2:9">
      <c r="B48" s="103"/>
      <c r="C48" s="34"/>
      <c r="D48" s="15"/>
      <c r="E48" s="15"/>
      <c r="F48" s="15"/>
      <c r="G48" s="16"/>
      <c r="H48" s="17"/>
      <c r="I48" s="18"/>
    </row>
    <row r="49" spans="2:9">
      <c r="B49" s="103"/>
      <c r="C49" s="34"/>
      <c r="D49" s="15"/>
      <c r="E49" s="15"/>
      <c r="F49" s="15"/>
      <c r="G49" s="16"/>
      <c r="H49" s="17"/>
      <c r="I49" s="18"/>
    </row>
    <row r="50" spans="2:9">
      <c r="B50" s="103"/>
      <c r="C50" s="34"/>
      <c r="D50" s="15"/>
      <c r="E50" s="15"/>
      <c r="F50" s="15"/>
      <c r="G50" s="16"/>
      <c r="H50" s="17"/>
      <c r="I50" s="18"/>
    </row>
    <row r="51" spans="2:9">
      <c r="B51" s="103"/>
      <c r="C51" s="34"/>
      <c r="D51" s="15"/>
      <c r="E51" s="15"/>
      <c r="F51" s="15"/>
      <c r="G51" s="16"/>
      <c r="H51" s="17"/>
      <c r="I51" s="18"/>
    </row>
    <row r="52" spans="2:9">
      <c r="B52" s="103"/>
      <c r="C52" s="34"/>
      <c r="D52" s="15"/>
      <c r="E52" s="15"/>
      <c r="F52" s="15"/>
      <c r="G52" s="16"/>
      <c r="H52" s="17"/>
      <c r="I52" s="18"/>
    </row>
    <row r="53" spans="2:9">
      <c r="B53" s="103"/>
      <c r="C53" s="34"/>
      <c r="D53" s="15"/>
      <c r="E53" s="15"/>
      <c r="F53" s="15"/>
      <c r="G53" s="16"/>
      <c r="H53" s="17"/>
      <c r="I53" s="18"/>
    </row>
    <row r="54" spans="2:9">
      <c r="B54" s="103"/>
      <c r="C54" s="34"/>
      <c r="D54" s="15"/>
      <c r="E54" s="15"/>
      <c r="F54" s="15"/>
      <c r="G54" s="16"/>
      <c r="H54" s="17"/>
      <c r="I54" s="18"/>
    </row>
    <row r="55" spans="2:9">
      <c r="B55" s="103"/>
      <c r="C55" s="34"/>
      <c r="D55" s="15"/>
      <c r="E55" s="15"/>
      <c r="F55" s="15"/>
      <c r="G55" s="16"/>
      <c r="H55" s="17"/>
      <c r="I55" s="18"/>
    </row>
    <row r="56" spans="2:9">
      <c r="B56" s="103"/>
      <c r="C56" s="34"/>
      <c r="D56" s="15"/>
      <c r="E56" s="15"/>
      <c r="F56" s="15"/>
      <c r="G56" s="16"/>
      <c r="H56" s="17"/>
      <c r="I56" s="18"/>
    </row>
    <row r="57" spans="2:9">
      <c r="B57" s="103"/>
      <c r="C57" s="34"/>
      <c r="D57" s="15"/>
      <c r="E57" s="15"/>
      <c r="F57" s="15"/>
      <c r="G57" s="16"/>
      <c r="H57" s="17"/>
      <c r="I57" s="18"/>
    </row>
    <row r="58" spans="2:9">
      <c r="B58" s="103"/>
      <c r="C58" s="34"/>
      <c r="D58" s="15"/>
      <c r="E58" s="15"/>
      <c r="F58" s="15"/>
      <c r="G58" s="16"/>
      <c r="H58" s="17"/>
      <c r="I58" s="18"/>
    </row>
    <row r="59" spans="2:9">
      <c r="B59" s="103"/>
      <c r="C59" s="34"/>
      <c r="D59" s="15"/>
      <c r="E59" s="15"/>
      <c r="F59" s="15"/>
      <c r="G59" s="16"/>
      <c r="H59" s="17"/>
      <c r="I59" s="18"/>
    </row>
    <row r="60" spans="2:9">
      <c r="B60" s="103"/>
      <c r="C60" s="34"/>
      <c r="D60" s="15"/>
      <c r="E60" s="15"/>
      <c r="F60" s="15"/>
      <c r="G60" s="16"/>
      <c r="H60" s="17"/>
      <c r="I60" s="18"/>
    </row>
    <row r="61" spans="2:9">
      <c r="B61" s="107"/>
      <c r="C61" s="118"/>
      <c r="D61" s="68"/>
      <c r="E61" s="15"/>
      <c r="F61" s="15"/>
      <c r="G61" s="16"/>
      <c r="H61" s="17" t="str">
        <f t="shared" si="0"/>
        <v/>
      </c>
      <c r="I61" s="18"/>
    </row>
    <row r="62" spans="2:9">
      <c r="B62" s="107"/>
      <c r="C62" s="118"/>
      <c r="D62" s="68"/>
      <c r="E62" s="15"/>
      <c r="F62" s="15"/>
      <c r="G62" s="16"/>
      <c r="H62" s="17" t="str">
        <f t="shared" si="0"/>
        <v/>
      </c>
      <c r="I62" s="18"/>
    </row>
    <row r="63" spans="2:9">
      <c r="B63" s="107"/>
      <c r="C63" s="118"/>
      <c r="D63" s="68"/>
      <c r="E63" s="15"/>
      <c r="F63" s="15"/>
      <c r="G63" s="16"/>
      <c r="H63" s="17" t="str">
        <f t="shared" si="0"/>
        <v/>
      </c>
      <c r="I63" s="18"/>
    </row>
    <row r="64" spans="2:9">
      <c r="B64" s="107"/>
      <c r="C64" s="118"/>
      <c r="D64" s="68"/>
      <c r="E64" s="15"/>
      <c r="F64" s="15"/>
      <c r="G64" s="16"/>
      <c r="H64" s="17" t="str">
        <f t="shared" si="0"/>
        <v/>
      </c>
      <c r="I64" s="18"/>
    </row>
    <row r="65" spans="2:9">
      <c r="B65" s="107"/>
      <c r="C65" s="118"/>
      <c r="D65" s="68"/>
      <c r="E65" s="15"/>
      <c r="F65" s="15"/>
      <c r="G65" s="16"/>
      <c r="H65" s="17" t="str">
        <f t="shared" si="0"/>
        <v/>
      </c>
      <c r="I65" s="18"/>
    </row>
    <row r="66" spans="2:9">
      <c r="B66" s="107"/>
      <c r="C66" s="118"/>
      <c r="D66" s="68"/>
      <c r="E66" s="15"/>
      <c r="F66" s="15"/>
      <c r="G66" s="16"/>
      <c r="H66" s="17"/>
      <c r="I66" s="18"/>
    </row>
    <row r="67" spans="2:9">
      <c r="B67" s="107"/>
      <c r="C67" s="118"/>
      <c r="D67" s="68"/>
      <c r="E67" s="15"/>
      <c r="F67" s="15"/>
      <c r="G67" s="16"/>
      <c r="H67" s="17"/>
      <c r="I67" s="18"/>
    </row>
    <row r="68" spans="2:9">
      <c r="B68" s="107"/>
      <c r="C68" s="118"/>
      <c r="D68" s="68"/>
      <c r="E68" s="15"/>
      <c r="F68" s="15"/>
      <c r="G68" s="16"/>
      <c r="H68" s="17" t="str">
        <f t="shared" si="0"/>
        <v/>
      </c>
      <c r="I68" s="18"/>
    </row>
    <row r="69" spans="2:9">
      <c r="B69" s="107"/>
      <c r="C69" s="118"/>
      <c r="D69" s="68"/>
      <c r="E69" s="15"/>
      <c r="F69" s="15"/>
      <c r="G69" s="16"/>
      <c r="H69" s="17" t="str">
        <f t="shared" si="0"/>
        <v/>
      </c>
      <c r="I69" s="18"/>
    </row>
    <row r="70" spans="2:9">
      <c r="B70" s="107"/>
      <c r="C70" s="118"/>
      <c r="D70" s="68"/>
      <c r="E70" s="15"/>
      <c r="F70" s="15"/>
      <c r="G70" s="16"/>
      <c r="H70" s="17" t="str">
        <f t="shared" si="0"/>
        <v/>
      </c>
      <c r="I70" s="18"/>
    </row>
    <row r="71" spans="2:9">
      <c r="B71" s="107"/>
      <c r="C71" s="118"/>
      <c r="D71" s="68"/>
      <c r="E71" s="15"/>
      <c r="F71" s="15"/>
      <c r="G71" s="16"/>
      <c r="H71" s="17" t="str">
        <f t="shared" si="0"/>
        <v/>
      </c>
      <c r="I71" s="18"/>
    </row>
    <row r="72" spans="2:9">
      <c r="B72" s="107"/>
      <c r="C72" s="118"/>
      <c r="D72" s="68"/>
      <c r="E72" s="15"/>
      <c r="F72" s="15"/>
      <c r="G72" s="16"/>
      <c r="H72" s="17"/>
      <c r="I72" s="18"/>
    </row>
    <row r="73" spans="2:9">
      <c r="B73" s="107"/>
      <c r="C73" s="118"/>
      <c r="D73" s="68"/>
      <c r="E73" s="15"/>
      <c r="F73" s="15"/>
      <c r="G73" s="16"/>
      <c r="H73" s="17" t="str">
        <f t="shared" si="0"/>
        <v/>
      </c>
      <c r="I73" s="18"/>
    </row>
    <row r="74" spans="2:9">
      <c r="B74" s="107"/>
      <c r="C74" s="118"/>
      <c r="D74" s="68"/>
      <c r="E74" s="15"/>
      <c r="F74" s="15"/>
      <c r="G74" s="16"/>
      <c r="H74" s="17" t="str">
        <f t="shared" si="0"/>
        <v/>
      </c>
      <c r="I74" s="18"/>
    </row>
    <row r="75" spans="2:9">
      <c r="B75" s="107"/>
      <c r="C75" s="118"/>
      <c r="D75" s="68"/>
      <c r="E75" s="15"/>
      <c r="F75" s="15"/>
      <c r="G75" s="16"/>
      <c r="H75" s="17" t="str">
        <f t="shared" ref="H75:H78" si="1">IF(D75="","",F75*G75)</f>
        <v/>
      </c>
      <c r="I75" s="18"/>
    </row>
    <row r="76" spans="2:9">
      <c r="B76" s="107"/>
      <c r="C76" s="118"/>
      <c r="D76" s="68"/>
      <c r="E76" s="15"/>
      <c r="F76" s="15"/>
      <c r="G76" s="16"/>
      <c r="H76" s="17" t="str">
        <f t="shared" si="1"/>
        <v/>
      </c>
      <c r="I76" s="18"/>
    </row>
    <row r="77" spans="2:9">
      <c r="B77" s="107"/>
      <c r="C77" s="118"/>
      <c r="D77" s="68"/>
      <c r="E77" s="15"/>
      <c r="F77" s="15"/>
      <c r="G77" s="16"/>
      <c r="H77" s="17" t="str">
        <f t="shared" si="1"/>
        <v/>
      </c>
      <c r="I77" s="18"/>
    </row>
    <row r="78" spans="2:9">
      <c r="B78" s="107"/>
      <c r="C78" s="118"/>
      <c r="D78" s="68"/>
      <c r="E78" s="15"/>
      <c r="F78" s="15"/>
      <c r="G78" s="16"/>
      <c r="H78" s="17" t="str">
        <f t="shared" si="1"/>
        <v/>
      </c>
      <c r="I78" s="18"/>
    </row>
    <row r="79" spans="2:9" s="28" customFormat="1" ht="24.95" customHeight="1">
      <c r="B79" s="82" t="str">
        <f>$B$10</f>
        <v>C7.5</v>
      </c>
      <c r="C79" s="29" t="s">
        <v>125</v>
      </c>
      <c r="D79" s="30"/>
      <c r="E79" s="30"/>
      <c r="F79" s="31"/>
      <c r="G79" s="30"/>
      <c r="H79" s="32">
        <f>SUM(H9:H78)</f>
        <v>0</v>
      </c>
      <c r="I79" s="33"/>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B1:I78"/>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c r="B4" s="695" t="s">
        <v>456</v>
      </c>
      <c r="C4" s="696"/>
      <c r="D4" s="696"/>
      <c r="E4" s="696"/>
      <c r="F4" s="696"/>
      <c r="G4" s="696"/>
      <c r="H4" s="773" t="str">
        <f>"CHAPTER "&amp;B10</f>
        <v>CHAPTER C7.6</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4"/>
      <c r="I5" s="8"/>
    </row>
    <row r="6" spans="2:9" ht="12.75" customHeight="1">
      <c r="B6" s="690"/>
      <c r="C6" s="691"/>
      <c r="D6" s="691"/>
      <c r="E6" s="691"/>
      <c r="F6" s="691"/>
      <c r="G6" s="691"/>
      <c r="H6" s="774"/>
      <c r="I6" s="8"/>
    </row>
    <row r="7" spans="2:9" s="9" customFormat="1" ht="7.5" customHeight="1">
      <c r="B7" s="692"/>
      <c r="C7" s="693"/>
      <c r="D7" s="693"/>
      <c r="E7" s="693"/>
      <c r="F7" s="693"/>
      <c r="G7" s="693"/>
      <c r="H7" s="775"/>
      <c r="I7" s="12"/>
    </row>
    <row r="8" spans="2:9" s="9" customFormat="1" ht="24.95" customHeight="1">
      <c r="B8" s="10" t="s">
        <v>11</v>
      </c>
      <c r="C8" s="11" t="s">
        <v>12</v>
      </c>
      <c r="D8" s="11" t="s">
        <v>13</v>
      </c>
      <c r="E8" s="11" t="s">
        <v>14</v>
      </c>
      <c r="F8" s="11" t="s">
        <v>15</v>
      </c>
      <c r="G8" s="11" t="s">
        <v>16</v>
      </c>
      <c r="H8" s="11" t="s">
        <v>17</v>
      </c>
      <c r="I8" s="12"/>
    </row>
    <row r="9" spans="2:9" s="9" customFormat="1">
      <c r="B9" s="107"/>
      <c r="C9" s="7"/>
      <c r="D9" s="85"/>
      <c r="E9" s="49"/>
      <c r="F9" s="49"/>
      <c r="G9" s="49"/>
      <c r="H9" s="17" t="str">
        <f t="shared" ref="H9:H71" si="0">IF(D9="","",F9*G9)</f>
        <v/>
      </c>
      <c r="I9" s="12"/>
    </row>
    <row r="10" spans="2:9" s="9" customFormat="1">
      <c r="B10" s="107" t="s">
        <v>1129</v>
      </c>
      <c r="C10" s="7" t="s">
        <v>1130</v>
      </c>
      <c r="D10" s="49"/>
      <c r="E10" s="49"/>
      <c r="F10" s="49"/>
      <c r="G10" s="49"/>
      <c r="H10" s="17" t="str">
        <f t="shared" si="0"/>
        <v/>
      </c>
      <c r="I10" s="12"/>
    </row>
    <row r="11" spans="2:9" s="9" customFormat="1">
      <c r="B11" s="107"/>
      <c r="C11" s="7"/>
      <c r="D11" s="49"/>
      <c r="E11" s="49"/>
      <c r="F11" s="49"/>
      <c r="G11" s="49"/>
      <c r="H11" s="17" t="str">
        <f t="shared" si="0"/>
        <v/>
      </c>
      <c r="I11" s="12"/>
    </row>
    <row r="12" spans="2:9" ht="25.5">
      <c r="B12" s="103" t="s">
        <v>1131</v>
      </c>
      <c r="C12" s="344" t="s">
        <v>1132</v>
      </c>
      <c r="D12" s="15" t="s">
        <v>124</v>
      </c>
      <c r="E12" s="15"/>
      <c r="F12" s="15"/>
      <c r="G12" s="16"/>
      <c r="H12" s="17">
        <f>IF(D12="","",F12*G12)</f>
        <v>0</v>
      </c>
      <c r="I12" s="18"/>
    </row>
    <row r="13" spans="2:9">
      <c r="B13" s="103"/>
      <c r="C13" s="34"/>
      <c r="D13" s="15"/>
      <c r="E13" s="15"/>
      <c r="F13" s="15"/>
      <c r="G13" s="16"/>
      <c r="H13" s="17"/>
      <c r="I13" s="18"/>
    </row>
    <row r="14" spans="2:9">
      <c r="B14" s="103"/>
      <c r="C14" s="34"/>
      <c r="D14" s="15"/>
      <c r="E14" s="15"/>
      <c r="F14" s="15"/>
      <c r="G14" s="16"/>
      <c r="H14" s="17"/>
      <c r="I14" s="18"/>
    </row>
    <row r="15" spans="2:9">
      <c r="B15" s="103"/>
      <c r="C15" s="34"/>
      <c r="D15" s="15"/>
      <c r="E15" s="15"/>
      <c r="F15" s="15"/>
      <c r="G15" s="16"/>
      <c r="H15" s="17"/>
      <c r="I15" s="18"/>
    </row>
    <row r="16" spans="2:9">
      <c r="B16" s="103"/>
      <c r="C16" s="34"/>
      <c r="D16" s="15"/>
      <c r="E16" s="15"/>
      <c r="F16" s="15"/>
      <c r="G16" s="16"/>
      <c r="H16" s="17"/>
      <c r="I16" s="18"/>
    </row>
    <row r="17" spans="2:9">
      <c r="B17" s="103"/>
      <c r="C17" s="34"/>
      <c r="D17" s="15"/>
      <c r="E17" s="15"/>
      <c r="F17" s="15"/>
      <c r="G17" s="16"/>
      <c r="H17" s="17"/>
      <c r="I17" s="18"/>
    </row>
    <row r="18" spans="2:9">
      <c r="B18" s="103"/>
      <c r="C18" s="34"/>
      <c r="D18" s="15"/>
      <c r="E18" s="15"/>
      <c r="F18" s="15"/>
      <c r="G18" s="16"/>
      <c r="H18" s="17"/>
      <c r="I18" s="18"/>
    </row>
    <row r="19" spans="2:9">
      <c r="B19" s="103"/>
      <c r="C19" s="34"/>
      <c r="D19" s="15"/>
      <c r="E19" s="15"/>
      <c r="F19" s="15"/>
      <c r="G19" s="16"/>
      <c r="H19" s="17"/>
      <c r="I19" s="18"/>
    </row>
    <row r="20" spans="2:9">
      <c r="B20" s="103"/>
      <c r="C20" s="34"/>
      <c r="D20" s="15"/>
      <c r="E20" s="15"/>
      <c r="F20" s="15"/>
      <c r="G20" s="16"/>
      <c r="H20" s="17"/>
      <c r="I20" s="18"/>
    </row>
    <row r="21" spans="2:9">
      <c r="B21" s="103"/>
      <c r="C21" s="34"/>
      <c r="D21" s="15"/>
      <c r="E21" s="15"/>
      <c r="F21" s="15"/>
      <c r="G21" s="16"/>
      <c r="H21" s="17"/>
      <c r="I21" s="18"/>
    </row>
    <row r="22" spans="2:9">
      <c r="B22" s="103"/>
      <c r="C22" s="34"/>
      <c r="D22" s="15"/>
      <c r="E22" s="15"/>
      <c r="F22" s="15"/>
      <c r="G22" s="16"/>
      <c r="H22" s="17"/>
      <c r="I22" s="18"/>
    </row>
    <row r="23" spans="2:9">
      <c r="B23" s="103"/>
      <c r="C23" s="34"/>
      <c r="D23" s="15"/>
      <c r="E23" s="15"/>
      <c r="F23" s="15"/>
      <c r="G23" s="16"/>
      <c r="H23" s="17"/>
      <c r="I23" s="18"/>
    </row>
    <row r="24" spans="2:9">
      <c r="B24" s="103"/>
      <c r="C24" s="34"/>
      <c r="D24" s="15"/>
      <c r="E24" s="15"/>
      <c r="F24" s="15"/>
      <c r="G24" s="16"/>
      <c r="H24" s="17"/>
      <c r="I24" s="18"/>
    </row>
    <row r="25" spans="2:9">
      <c r="B25" s="103"/>
      <c r="C25" s="34"/>
      <c r="D25" s="15"/>
      <c r="E25" s="15"/>
      <c r="F25" s="15"/>
      <c r="G25" s="16"/>
      <c r="H25" s="17"/>
      <c r="I25" s="18"/>
    </row>
    <row r="26" spans="2:9">
      <c r="B26" s="103"/>
      <c r="C26" s="34"/>
      <c r="D26" s="15"/>
      <c r="E26" s="15"/>
      <c r="F26" s="15"/>
      <c r="G26" s="16"/>
      <c r="H26" s="17"/>
      <c r="I26" s="18"/>
    </row>
    <row r="27" spans="2:9">
      <c r="B27" s="103"/>
      <c r="C27" s="34"/>
      <c r="D27" s="15"/>
      <c r="E27" s="15"/>
      <c r="F27" s="15"/>
      <c r="G27" s="16"/>
      <c r="H27" s="17"/>
      <c r="I27" s="18"/>
    </row>
    <row r="28" spans="2:9">
      <c r="B28" s="103"/>
      <c r="C28" s="34"/>
      <c r="D28" s="15"/>
      <c r="E28" s="15"/>
      <c r="F28" s="15"/>
      <c r="G28" s="16"/>
      <c r="H28" s="17"/>
      <c r="I28" s="18"/>
    </row>
    <row r="29" spans="2:9">
      <c r="B29" s="103"/>
      <c r="C29" s="34"/>
      <c r="D29" s="15"/>
      <c r="E29" s="15"/>
      <c r="F29" s="15"/>
      <c r="G29" s="16"/>
      <c r="H29" s="17"/>
      <c r="I29" s="18"/>
    </row>
    <row r="30" spans="2:9">
      <c r="B30" s="103"/>
      <c r="C30" s="34"/>
      <c r="D30" s="15"/>
      <c r="E30" s="15"/>
      <c r="F30" s="15"/>
      <c r="G30" s="16"/>
      <c r="H30" s="17"/>
      <c r="I30" s="18"/>
    </row>
    <row r="31" spans="2:9">
      <c r="B31" s="103"/>
      <c r="C31" s="34"/>
      <c r="D31" s="15"/>
      <c r="E31" s="15"/>
      <c r="F31" s="15"/>
      <c r="G31" s="16"/>
      <c r="H31" s="17"/>
      <c r="I31" s="18"/>
    </row>
    <row r="32" spans="2:9">
      <c r="B32" s="103"/>
      <c r="C32" s="34"/>
      <c r="D32" s="15"/>
      <c r="E32" s="15"/>
      <c r="F32" s="15"/>
      <c r="G32" s="16"/>
      <c r="H32" s="17"/>
      <c r="I32" s="18"/>
    </row>
    <row r="33" spans="2:9">
      <c r="B33" s="103"/>
      <c r="C33" s="34"/>
      <c r="D33" s="15"/>
      <c r="E33" s="15"/>
      <c r="F33" s="15"/>
      <c r="G33" s="16"/>
      <c r="H33" s="17"/>
      <c r="I33" s="18"/>
    </row>
    <row r="34" spans="2:9">
      <c r="B34" s="103"/>
      <c r="C34" s="34"/>
      <c r="D34" s="15"/>
      <c r="E34" s="15"/>
      <c r="F34" s="15"/>
      <c r="G34" s="16"/>
      <c r="H34" s="17"/>
      <c r="I34" s="18"/>
    </row>
    <row r="35" spans="2:9">
      <c r="B35" s="103"/>
      <c r="C35" s="34"/>
      <c r="D35" s="15"/>
      <c r="E35" s="15"/>
      <c r="F35" s="15"/>
      <c r="G35" s="16"/>
      <c r="H35" s="17"/>
      <c r="I35" s="18"/>
    </row>
    <row r="36" spans="2:9">
      <c r="B36" s="103"/>
      <c r="C36" s="34"/>
      <c r="D36" s="15"/>
      <c r="E36" s="15"/>
      <c r="F36" s="15"/>
      <c r="G36" s="16"/>
      <c r="H36" s="17"/>
      <c r="I36" s="18"/>
    </row>
    <row r="37" spans="2:9">
      <c r="B37" s="103"/>
      <c r="C37" s="34"/>
      <c r="D37" s="15"/>
      <c r="E37" s="15"/>
      <c r="F37" s="15"/>
      <c r="G37" s="16"/>
      <c r="H37" s="17"/>
      <c r="I37" s="18"/>
    </row>
    <row r="38" spans="2:9">
      <c r="B38" s="103"/>
      <c r="C38" s="34"/>
      <c r="D38" s="15"/>
      <c r="E38" s="15"/>
      <c r="F38" s="15"/>
      <c r="G38" s="16"/>
      <c r="H38" s="17"/>
      <c r="I38" s="18"/>
    </row>
    <row r="39" spans="2:9">
      <c r="B39" s="103"/>
      <c r="C39" s="34"/>
      <c r="D39" s="15"/>
      <c r="E39" s="15"/>
      <c r="F39" s="15"/>
      <c r="G39" s="16"/>
      <c r="H39" s="17"/>
      <c r="I39" s="18"/>
    </row>
    <row r="40" spans="2:9">
      <c r="B40" s="103"/>
      <c r="C40" s="34"/>
      <c r="D40" s="15"/>
      <c r="E40" s="15"/>
      <c r="F40" s="15"/>
      <c r="G40" s="16"/>
      <c r="H40" s="17"/>
      <c r="I40" s="18"/>
    </row>
    <row r="41" spans="2:9">
      <c r="B41" s="103"/>
      <c r="C41" s="34"/>
      <c r="D41" s="15"/>
      <c r="E41" s="15"/>
      <c r="F41" s="15"/>
      <c r="G41" s="16"/>
      <c r="H41" s="17"/>
      <c r="I41" s="18"/>
    </row>
    <row r="42" spans="2:9">
      <c r="B42" s="103"/>
      <c r="C42" s="34"/>
      <c r="D42" s="15"/>
      <c r="E42" s="15"/>
      <c r="F42" s="15"/>
      <c r="G42" s="16"/>
      <c r="H42" s="17"/>
      <c r="I42" s="18"/>
    </row>
    <row r="43" spans="2:9">
      <c r="B43" s="103"/>
      <c r="C43" s="34"/>
      <c r="D43" s="15"/>
      <c r="E43" s="15"/>
      <c r="F43" s="15"/>
      <c r="G43" s="16"/>
      <c r="H43" s="17"/>
      <c r="I43" s="18"/>
    </row>
    <row r="44" spans="2:9">
      <c r="B44" s="103"/>
      <c r="C44" s="34"/>
      <c r="D44" s="15"/>
      <c r="E44" s="15"/>
      <c r="F44" s="15"/>
      <c r="G44" s="16"/>
      <c r="H44" s="17"/>
      <c r="I44" s="18"/>
    </row>
    <row r="45" spans="2:9">
      <c r="B45" s="103"/>
      <c r="C45" s="34"/>
      <c r="D45" s="15"/>
      <c r="E45" s="15"/>
      <c r="F45" s="15"/>
      <c r="G45" s="16"/>
      <c r="H45" s="17"/>
      <c r="I45" s="18"/>
    </row>
    <row r="46" spans="2:9">
      <c r="B46" s="103"/>
      <c r="C46" s="34"/>
      <c r="D46" s="15"/>
      <c r="E46" s="15"/>
      <c r="F46" s="15"/>
      <c r="G46" s="16"/>
      <c r="H46" s="17"/>
      <c r="I46" s="18"/>
    </row>
    <row r="47" spans="2:9">
      <c r="B47" s="103"/>
      <c r="C47" s="34"/>
      <c r="D47" s="15"/>
      <c r="E47" s="15"/>
      <c r="F47" s="15"/>
      <c r="G47" s="16"/>
      <c r="H47" s="17"/>
      <c r="I47" s="18"/>
    </row>
    <row r="48" spans="2:9">
      <c r="B48" s="103"/>
      <c r="C48" s="34"/>
      <c r="D48" s="15"/>
      <c r="E48" s="15"/>
      <c r="F48" s="15"/>
      <c r="G48" s="16"/>
      <c r="H48" s="17"/>
      <c r="I48" s="18"/>
    </row>
    <row r="49" spans="2:9">
      <c r="B49" s="103"/>
      <c r="C49" s="34"/>
      <c r="D49" s="15"/>
      <c r="E49" s="15"/>
      <c r="F49" s="15"/>
      <c r="G49" s="16"/>
      <c r="H49" s="17"/>
      <c r="I49" s="18"/>
    </row>
    <row r="50" spans="2:9">
      <c r="B50" s="103"/>
      <c r="C50" s="34"/>
      <c r="D50" s="15"/>
      <c r="E50" s="15"/>
      <c r="F50" s="15"/>
      <c r="G50" s="16"/>
      <c r="H50" s="17"/>
      <c r="I50" s="18"/>
    </row>
    <row r="51" spans="2:9">
      <c r="B51" s="103"/>
      <c r="C51" s="34"/>
      <c r="D51" s="15"/>
      <c r="E51" s="15"/>
      <c r="F51" s="15"/>
      <c r="G51" s="16"/>
      <c r="H51" s="17"/>
      <c r="I51" s="18"/>
    </row>
    <row r="52" spans="2:9">
      <c r="B52" s="103"/>
      <c r="C52" s="34"/>
      <c r="D52" s="15"/>
      <c r="E52" s="15"/>
      <c r="F52" s="15"/>
      <c r="G52" s="16"/>
      <c r="H52" s="17"/>
      <c r="I52" s="18"/>
    </row>
    <row r="53" spans="2:9">
      <c r="B53" s="103"/>
      <c r="C53" s="34"/>
      <c r="D53" s="15"/>
      <c r="E53" s="15"/>
      <c r="F53" s="15"/>
      <c r="G53" s="16"/>
      <c r="H53" s="17"/>
      <c r="I53" s="18"/>
    </row>
    <row r="54" spans="2:9">
      <c r="B54" s="103"/>
      <c r="C54" s="34"/>
      <c r="D54" s="15"/>
      <c r="E54" s="15"/>
      <c r="F54" s="15"/>
      <c r="G54" s="16"/>
      <c r="H54" s="17"/>
      <c r="I54" s="18"/>
    </row>
    <row r="55" spans="2:9">
      <c r="B55" s="103"/>
      <c r="C55" s="34"/>
      <c r="D55" s="15"/>
      <c r="E55" s="15"/>
      <c r="F55" s="15"/>
      <c r="G55" s="16"/>
      <c r="H55" s="17"/>
      <c r="I55" s="18"/>
    </row>
    <row r="56" spans="2:9">
      <c r="B56" s="103"/>
      <c r="C56" s="34"/>
      <c r="D56" s="15"/>
      <c r="E56" s="15"/>
      <c r="F56" s="15"/>
      <c r="G56" s="16"/>
      <c r="H56" s="17"/>
      <c r="I56" s="18"/>
    </row>
    <row r="57" spans="2:9">
      <c r="B57" s="103"/>
      <c r="C57" s="34"/>
      <c r="D57" s="15"/>
      <c r="E57" s="15"/>
      <c r="F57" s="15"/>
      <c r="G57" s="16"/>
      <c r="H57" s="17"/>
      <c r="I57" s="18"/>
    </row>
    <row r="58" spans="2:9">
      <c r="B58" s="103"/>
      <c r="C58" s="34"/>
      <c r="D58" s="15"/>
      <c r="E58" s="15"/>
      <c r="F58" s="15"/>
      <c r="G58" s="16"/>
      <c r="H58" s="17"/>
      <c r="I58" s="18"/>
    </row>
    <row r="59" spans="2:9">
      <c r="B59" s="103"/>
      <c r="C59" s="34"/>
      <c r="D59" s="15"/>
      <c r="E59" s="15"/>
      <c r="F59" s="15"/>
      <c r="G59" s="16"/>
      <c r="H59" s="17"/>
      <c r="I59" s="18"/>
    </row>
    <row r="60" spans="2:9">
      <c r="B60" s="103"/>
      <c r="C60" s="34"/>
      <c r="D60" s="15"/>
      <c r="E60" s="15"/>
      <c r="F60" s="15"/>
      <c r="G60" s="16"/>
      <c r="H60" s="17"/>
      <c r="I60" s="18"/>
    </row>
    <row r="61" spans="2:9">
      <c r="B61" s="107"/>
      <c r="C61" s="118"/>
      <c r="D61" s="68"/>
      <c r="E61" s="15"/>
      <c r="F61" s="15"/>
      <c r="G61" s="16"/>
      <c r="H61" s="17" t="str">
        <f t="shared" si="0"/>
        <v/>
      </c>
      <c r="I61" s="18"/>
    </row>
    <row r="62" spans="2:9">
      <c r="B62" s="107"/>
      <c r="C62" s="118"/>
      <c r="D62" s="68"/>
      <c r="E62" s="15"/>
      <c r="F62" s="15"/>
      <c r="G62" s="16"/>
      <c r="H62" s="17" t="str">
        <f t="shared" si="0"/>
        <v/>
      </c>
      <c r="I62" s="18"/>
    </row>
    <row r="63" spans="2:9">
      <c r="B63" s="107"/>
      <c r="C63" s="118"/>
      <c r="D63" s="68"/>
      <c r="E63" s="15"/>
      <c r="F63" s="15"/>
      <c r="G63" s="16"/>
      <c r="H63" s="17" t="str">
        <f t="shared" si="0"/>
        <v/>
      </c>
      <c r="I63" s="18"/>
    </row>
    <row r="64" spans="2:9">
      <c r="B64" s="107"/>
      <c r="C64" s="118"/>
      <c r="D64" s="68"/>
      <c r="E64" s="15"/>
      <c r="F64" s="15"/>
      <c r="G64" s="16"/>
      <c r="H64" s="17" t="str">
        <f t="shared" si="0"/>
        <v/>
      </c>
      <c r="I64" s="18"/>
    </row>
    <row r="65" spans="2:9">
      <c r="B65" s="107"/>
      <c r="C65" s="118"/>
      <c r="D65" s="68"/>
      <c r="E65" s="15"/>
      <c r="F65" s="15"/>
      <c r="G65" s="16"/>
      <c r="H65" s="17" t="str">
        <f t="shared" si="0"/>
        <v/>
      </c>
      <c r="I65" s="18"/>
    </row>
    <row r="66" spans="2:9">
      <c r="B66" s="107"/>
      <c r="C66" s="118"/>
      <c r="D66" s="68"/>
      <c r="E66" s="15"/>
      <c r="F66" s="15"/>
      <c r="G66" s="16"/>
      <c r="H66" s="17"/>
      <c r="I66" s="18"/>
    </row>
    <row r="67" spans="2:9">
      <c r="B67" s="107"/>
      <c r="C67" s="118"/>
      <c r="D67" s="68"/>
      <c r="E67" s="15"/>
      <c r="F67" s="15"/>
      <c r="G67" s="16"/>
      <c r="H67" s="17"/>
      <c r="I67" s="18"/>
    </row>
    <row r="68" spans="2:9">
      <c r="B68" s="107"/>
      <c r="C68" s="118"/>
      <c r="D68" s="68"/>
      <c r="E68" s="15"/>
      <c r="F68" s="15"/>
      <c r="G68" s="16"/>
      <c r="H68" s="17" t="str">
        <f t="shared" si="0"/>
        <v/>
      </c>
      <c r="I68" s="18"/>
    </row>
    <row r="69" spans="2:9">
      <c r="B69" s="107"/>
      <c r="C69" s="118"/>
      <c r="D69" s="68"/>
      <c r="E69" s="15"/>
      <c r="F69" s="15"/>
      <c r="G69" s="16"/>
      <c r="H69" s="17" t="str">
        <f t="shared" si="0"/>
        <v/>
      </c>
      <c r="I69" s="18"/>
    </row>
    <row r="70" spans="2:9">
      <c r="B70" s="107"/>
      <c r="C70" s="118"/>
      <c r="D70" s="68"/>
      <c r="E70" s="15"/>
      <c r="F70" s="15"/>
      <c r="G70" s="16"/>
      <c r="H70" s="17" t="str">
        <f t="shared" si="0"/>
        <v/>
      </c>
      <c r="I70" s="18"/>
    </row>
    <row r="71" spans="2:9">
      <c r="B71" s="107"/>
      <c r="C71" s="118"/>
      <c r="D71" s="68"/>
      <c r="E71" s="15"/>
      <c r="F71" s="15"/>
      <c r="G71" s="16"/>
      <c r="H71" s="17" t="str">
        <f t="shared" si="0"/>
        <v/>
      </c>
      <c r="I71" s="18"/>
    </row>
    <row r="72" spans="2:9">
      <c r="B72" s="107"/>
      <c r="C72" s="118"/>
      <c r="D72" s="68"/>
      <c r="E72" s="15"/>
      <c r="F72" s="15"/>
      <c r="G72" s="16"/>
      <c r="H72" s="17"/>
      <c r="I72" s="18"/>
    </row>
    <row r="73" spans="2:9">
      <c r="B73" s="107"/>
      <c r="C73" s="118"/>
      <c r="D73" s="68"/>
      <c r="E73" s="15"/>
      <c r="F73" s="15"/>
      <c r="G73" s="16"/>
      <c r="H73" s="17" t="str">
        <f t="shared" ref="H73:H77" si="1">IF(D73="","",F73*G73)</f>
        <v/>
      </c>
      <c r="I73" s="18"/>
    </row>
    <row r="74" spans="2:9">
      <c r="B74" s="107"/>
      <c r="C74" s="118"/>
      <c r="D74" s="68"/>
      <c r="E74" s="15"/>
      <c r="F74" s="15"/>
      <c r="G74" s="16"/>
      <c r="H74" s="17" t="str">
        <f t="shared" si="1"/>
        <v/>
      </c>
      <c r="I74" s="18"/>
    </row>
    <row r="75" spans="2:9">
      <c r="B75" s="107"/>
      <c r="C75" s="118"/>
      <c r="D75" s="68"/>
      <c r="E75" s="15"/>
      <c r="F75" s="15"/>
      <c r="G75" s="16"/>
      <c r="H75" s="17" t="str">
        <f t="shared" si="1"/>
        <v/>
      </c>
      <c r="I75" s="18"/>
    </row>
    <row r="76" spans="2:9">
      <c r="B76" s="107"/>
      <c r="C76" s="118"/>
      <c r="D76" s="68"/>
      <c r="E76" s="15"/>
      <c r="F76" s="15"/>
      <c r="G76" s="16"/>
      <c r="H76" s="17" t="str">
        <f t="shared" si="1"/>
        <v/>
      </c>
      <c r="I76" s="18"/>
    </row>
    <row r="77" spans="2:9">
      <c r="B77" s="107"/>
      <c r="C77" s="118"/>
      <c r="D77" s="68"/>
      <c r="E77" s="15"/>
      <c r="F77" s="15"/>
      <c r="G77" s="16"/>
      <c r="H77" s="17" t="str">
        <f t="shared" si="1"/>
        <v/>
      </c>
      <c r="I77" s="18"/>
    </row>
    <row r="78" spans="2:9" s="28" customFormat="1" ht="24.95" customHeight="1">
      <c r="B78" s="82" t="str">
        <f>$B$10</f>
        <v>C7.6</v>
      </c>
      <c r="C78" s="29" t="s">
        <v>125</v>
      </c>
      <c r="D78" s="30"/>
      <c r="E78" s="30"/>
      <c r="F78" s="31"/>
      <c r="G78" s="30"/>
      <c r="H78" s="32">
        <f>SUM(H9:H77)</f>
        <v>0</v>
      </c>
      <c r="I78" s="33"/>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dimension ref="B1:R126"/>
  <sheetViews>
    <sheetView workbookViewId="0"/>
  </sheetViews>
  <sheetFormatPr defaultColWidth="6.85546875" defaultRowHeight="12.75"/>
  <cols>
    <col min="1" max="1" width="0.85546875" style="179" customWidth="1"/>
    <col min="2" max="2" width="11.7109375" style="209" customWidth="1"/>
    <col min="3" max="3" width="45.7109375" style="176" customWidth="1"/>
    <col min="4" max="4" width="13.7109375" style="200" customWidth="1"/>
    <col min="5" max="5" width="5.7109375" style="200" customWidth="1"/>
    <col min="6" max="7" width="15.7109375" style="200" customWidth="1"/>
    <col min="8" max="8" width="15.7109375" style="178" customWidth="1"/>
    <col min="9" max="9" width="0.85546875" style="178" customWidth="1"/>
    <col min="10" max="17" width="6.85546875" style="179"/>
    <col min="18" max="18" width="15.140625" style="179" customWidth="1"/>
    <col min="19" max="16384" width="6.85546875" style="179"/>
  </cols>
  <sheetData>
    <row r="1" spans="2:18">
      <c r="B1" s="232" t="str">
        <f>Client1</f>
        <v>AIRPORTS COMPANY - SOUTH AFRICA</v>
      </c>
      <c r="F1" s="746" t="str">
        <f>"Contract No. "&amp;ContractNo</f>
        <v>Contract No. KSIA7806/2025/RFP</v>
      </c>
      <c r="G1" s="746"/>
      <c r="H1" s="746"/>
    </row>
    <row r="2" spans="2:18">
      <c r="B2" s="232" t="str">
        <f>Client2</f>
        <v>ACSA</v>
      </c>
    </row>
    <row r="3" spans="2:18">
      <c r="B3" s="233"/>
      <c r="C3" s="201"/>
      <c r="D3" s="233"/>
      <c r="E3" s="233"/>
      <c r="F3" s="233"/>
      <c r="G3" s="233"/>
      <c r="H3" s="202"/>
    </row>
    <row r="4" spans="2:18">
      <c r="B4" s="749" t="s">
        <v>456</v>
      </c>
      <c r="C4" s="750"/>
      <c r="D4" s="750"/>
      <c r="E4" s="750"/>
      <c r="F4" s="750"/>
      <c r="G4" s="750"/>
      <c r="H4" s="767" t="str">
        <f>"CHAPTER "&amp;B10</f>
        <v>CHAPTER C8.1</v>
      </c>
      <c r="I4" s="234"/>
    </row>
    <row r="5" spans="2:18"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68"/>
      <c r="I5" s="180"/>
    </row>
    <row r="6" spans="2:18" ht="12.75" customHeight="1">
      <c r="B6" s="752"/>
      <c r="C6" s="753"/>
      <c r="D6" s="753"/>
      <c r="E6" s="753"/>
      <c r="F6" s="753"/>
      <c r="G6" s="753"/>
      <c r="H6" s="768"/>
      <c r="I6" s="180"/>
    </row>
    <row r="7" spans="2:18" ht="7.5" customHeight="1">
      <c r="B7" s="754"/>
      <c r="C7" s="755"/>
      <c r="D7" s="755"/>
      <c r="E7" s="755"/>
      <c r="F7" s="755"/>
      <c r="G7" s="755"/>
      <c r="H7" s="769"/>
      <c r="I7" s="180"/>
    </row>
    <row r="8" spans="2:18" s="183" customFormat="1" ht="24.95" customHeight="1">
      <c r="B8" s="203" t="s">
        <v>11</v>
      </c>
      <c r="C8" s="181" t="s">
        <v>12</v>
      </c>
      <c r="D8" s="181" t="s">
        <v>13</v>
      </c>
      <c r="E8" s="181" t="s">
        <v>14</v>
      </c>
      <c r="F8" s="181" t="s">
        <v>15</v>
      </c>
      <c r="G8" s="181" t="s">
        <v>16</v>
      </c>
      <c r="H8" s="181" t="s">
        <v>17</v>
      </c>
      <c r="I8" s="182"/>
    </row>
    <row r="9" spans="2:18">
      <c r="B9" s="207"/>
      <c r="C9" s="175"/>
      <c r="D9" s="186"/>
      <c r="E9" s="186"/>
      <c r="F9" s="186"/>
      <c r="G9" s="186"/>
      <c r="H9" s="184" t="str">
        <f>IF(D9="","",F9*G9)</f>
        <v/>
      </c>
      <c r="I9" s="187"/>
    </row>
    <row r="10" spans="2:18">
      <c r="B10" s="218" t="s">
        <v>1133</v>
      </c>
      <c r="C10" s="185" t="s">
        <v>1134</v>
      </c>
      <c r="D10" s="186"/>
      <c r="E10" s="186"/>
      <c r="F10" s="186"/>
      <c r="G10" s="186"/>
      <c r="H10" s="184" t="str">
        <f t="shared" ref="H10:H59" si="0">IF(D10="","",F10*G10)</f>
        <v/>
      </c>
      <c r="I10" s="187"/>
    </row>
    <row r="11" spans="2:18">
      <c r="B11" s="207"/>
      <c r="C11" s="175"/>
      <c r="D11" s="186"/>
      <c r="E11" s="186"/>
      <c r="F11" s="186"/>
      <c r="G11" s="186"/>
      <c r="H11" s="184" t="str">
        <f t="shared" si="0"/>
        <v/>
      </c>
      <c r="I11" s="187"/>
    </row>
    <row r="12" spans="2:18">
      <c r="B12" s="207" t="s">
        <v>1135</v>
      </c>
      <c r="C12" s="175" t="s">
        <v>1136</v>
      </c>
      <c r="D12" s="186"/>
      <c r="E12" s="186"/>
      <c r="F12" s="186"/>
      <c r="G12" s="186"/>
      <c r="H12" s="184" t="str">
        <f t="shared" si="0"/>
        <v/>
      </c>
      <c r="I12" s="187"/>
    </row>
    <row r="13" spans="2:18">
      <c r="B13" s="207"/>
      <c r="C13" s="175"/>
      <c r="D13" s="186"/>
      <c r="E13" s="186"/>
      <c r="F13" s="186"/>
      <c r="G13" s="186"/>
      <c r="H13" s="184" t="str">
        <f t="shared" si="0"/>
        <v/>
      </c>
      <c r="I13" s="187"/>
      <c r="N13" s="179">
        <v>23500</v>
      </c>
      <c r="O13" s="179">
        <v>9.1999999999999993</v>
      </c>
      <c r="P13" s="179">
        <f>O13*N13</f>
        <v>216199.99999999997</v>
      </c>
      <c r="Q13" s="179">
        <f>P13*0.7</f>
        <v>151339.99999999997</v>
      </c>
      <c r="R13" s="179">
        <f>Q13*1.025</f>
        <v>155123.49999999997</v>
      </c>
    </row>
    <row r="14" spans="2:18">
      <c r="B14" s="207" t="s">
        <v>1137</v>
      </c>
      <c r="C14" s="175" t="s">
        <v>1138</v>
      </c>
      <c r="D14" s="186" t="s">
        <v>898</v>
      </c>
      <c r="E14" s="186"/>
      <c r="F14" s="188">
        <v>155123</v>
      </c>
      <c r="G14" s="221">
        <v>0</v>
      </c>
      <c r="H14" s="184">
        <f t="shared" si="0"/>
        <v>0</v>
      </c>
      <c r="I14" s="190"/>
    </row>
    <row r="15" spans="2:18">
      <c r="B15" s="207"/>
      <c r="C15" s="175"/>
      <c r="D15" s="186"/>
      <c r="E15" s="186"/>
      <c r="F15" s="188"/>
      <c r="G15" s="189"/>
      <c r="H15" s="184" t="str">
        <f t="shared" si="0"/>
        <v/>
      </c>
      <c r="I15" s="190"/>
    </row>
    <row r="16" spans="2:18" ht="25.5">
      <c r="B16" s="207" t="s">
        <v>1139</v>
      </c>
      <c r="C16" s="175" t="s">
        <v>1140</v>
      </c>
      <c r="D16" s="186" t="s">
        <v>898</v>
      </c>
      <c r="E16" s="192" t="s">
        <v>14</v>
      </c>
      <c r="F16" s="188">
        <v>5000</v>
      </c>
      <c r="G16" s="221">
        <v>0</v>
      </c>
      <c r="H16" s="184">
        <f t="shared" si="0"/>
        <v>0</v>
      </c>
    </row>
    <row r="17" spans="2:9">
      <c r="B17" s="207"/>
      <c r="C17" s="175"/>
      <c r="D17" s="186"/>
      <c r="E17" s="192"/>
      <c r="F17" s="188"/>
      <c r="G17" s="192"/>
      <c r="H17" s="184" t="str">
        <f t="shared" si="0"/>
        <v/>
      </c>
    </row>
    <row r="18" spans="2:9">
      <c r="B18" s="207"/>
      <c r="C18" s="175"/>
      <c r="D18" s="186"/>
      <c r="E18" s="186"/>
      <c r="F18" s="188"/>
      <c r="G18" s="186"/>
      <c r="H18" s="184" t="str">
        <f t="shared" si="0"/>
        <v/>
      </c>
      <c r="I18" s="187"/>
    </row>
    <row r="19" spans="2:9">
      <c r="B19" s="207"/>
      <c r="C19" s="175"/>
      <c r="D19" s="186"/>
      <c r="E19" s="186"/>
      <c r="F19" s="188"/>
      <c r="G19" s="186"/>
      <c r="H19" s="184" t="str">
        <f t="shared" si="0"/>
        <v/>
      </c>
      <c r="I19" s="187"/>
    </row>
    <row r="20" spans="2:9">
      <c r="B20" s="207"/>
      <c r="C20" s="175"/>
      <c r="D20" s="186"/>
      <c r="E20" s="186"/>
      <c r="F20" s="188"/>
      <c r="G20" s="189"/>
      <c r="H20" s="184" t="str">
        <f t="shared" si="0"/>
        <v/>
      </c>
      <c r="I20" s="190"/>
    </row>
    <row r="21" spans="2:9">
      <c r="B21" s="207"/>
      <c r="C21" s="175"/>
      <c r="D21" s="186"/>
      <c r="E21" s="186"/>
      <c r="F21" s="188"/>
      <c r="G21" s="223"/>
      <c r="H21" s="184" t="str">
        <f t="shared" si="0"/>
        <v/>
      </c>
      <c r="I21" s="187"/>
    </row>
    <row r="22" spans="2:9">
      <c r="B22" s="207"/>
      <c r="C22" s="175"/>
      <c r="D22" s="186"/>
      <c r="E22" s="186"/>
      <c r="F22" s="188"/>
      <c r="G22" s="223"/>
      <c r="H22" s="184" t="str">
        <f t="shared" si="0"/>
        <v/>
      </c>
      <c r="I22" s="187"/>
    </row>
    <row r="23" spans="2:9">
      <c r="B23" s="207"/>
      <c r="C23" s="175"/>
      <c r="D23" s="186"/>
      <c r="E23" s="186"/>
      <c r="F23" s="188"/>
      <c r="G23" s="189"/>
      <c r="H23" s="184" t="str">
        <f t="shared" si="0"/>
        <v/>
      </c>
      <c r="I23" s="190"/>
    </row>
    <row r="24" spans="2:9">
      <c r="B24" s="207"/>
      <c r="C24" s="175"/>
      <c r="D24" s="186"/>
      <c r="E24" s="186"/>
      <c r="F24" s="188"/>
      <c r="G24" s="189"/>
      <c r="H24" s="184" t="str">
        <f t="shared" si="0"/>
        <v/>
      </c>
      <c r="I24" s="190"/>
    </row>
    <row r="25" spans="2:9">
      <c r="B25" s="207"/>
      <c r="C25" s="175"/>
      <c r="D25" s="186"/>
      <c r="E25" s="186"/>
      <c r="F25" s="188"/>
      <c r="G25" s="223"/>
      <c r="H25" s="184" t="str">
        <f t="shared" si="0"/>
        <v/>
      </c>
      <c r="I25" s="187"/>
    </row>
    <row r="26" spans="2:9">
      <c r="B26" s="207"/>
      <c r="C26" s="175"/>
      <c r="D26" s="186"/>
      <c r="E26" s="186"/>
      <c r="F26" s="188"/>
      <c r="G26" s="223"/>
      <c r="H26" s="184" t="str">
        <f t="shared" si="0"/>
        <v/>
      </c>
      <c r="I26" s="187"/>
    </row>
    <row r="27" spans="2:9">
      <c r="B27" s="207"/>
      <c r="C27" s="175"/>
      <c r="D27" s="186"/>
      <c r="E27" s="186"/>
      <c r="F27" s="188"/>
      <c r="G27" s="225"/>
      <c r="H27" s="184" t="str">
        <f t="shared" si="0"/>
        <v/>
      </c>
      <c r="I27" s="187"/>
    </row>
    <row r="28" spans="2:9">
      <c r="B28" s="207"/>
      <c r="C28" s="175"/>
      <c r="D28" s="186"/>
      <c r="E28" s="186"/>
      <c r="F28" s="188"/>
      <c r="G28" s="225"/>
      <c r="H28" s="184" t="str">
        <f t="shared" si="0"/>
        <v/>
      </c>
      <c r="I28" s="187"/>
    </row>
    <row r="29" spans="2:9">
      <c r="B29" s="207"/>
      <c r="C29" s="175"/>
      <c r="D29" s="186"/>
      <c r="E29" s="186"/>
      <c r="F29" s="186"/>
      <c r="G29" s="186"/>
      <c r="H29" s="184" t="str">
        <f t="shared" si="0"/>
        <v/>
      </c>
      <c r="I29" s="187"/>
    </row>
    <row r="30" spans="2:9">
      <c r="B30" s="207"/>
      <c r="C30" s="175"/>
      <c r="D30" s="186"/>
      <c r="E30" s="186"/>
      <c r="F30" s="186"/>
      <c r="G30" s="186"/>
      <c r="H30" s="184" t="str">
        <f t="shared" si="0"/>
        <v/>
      </c>
      <c r="I30" s="187"/>
    </row>
    <row r="31" spans="2:9">
      <c r="B31" s="207"/>
      <c r="C31" s="175"/>
      <c r="D31" s="186"/>
      <c r="E31" s="186"/>
      <c r="F31" s="186"/>
      <c r="G31" s="189"/>
      <c r="H31" s="184" t="str">
        <f t="shared" si="0"/>
        <v/>
      </c>
      <c r="I31" s="187"/>
    </row>
    <row r="32" spans="2:9">
      <c r="B32" s="207"/>
      <c r="C32" s="175"/>
      <c r="D32" s="186"/>
      <c r="E32" s="186"/>
      <c r="F32" s="186"/>
      <c r="G32" s="189"/>
      <c r="H32" s="184" t="str">
        <f t="shared" si="0"/>
        <v/>
      </c>
      <c r="I32" s="187"/>
    </row>
    <row r="33" spans="2:9">
      <c r="B33" s="207"/>
      <c r="C33" s="175"/>
      <c r="D33" s="186"/>
      <c r="E33" s="186"/>
      <c r="F33" s="186"/>
      <c r="G33" s="189"/>
      <c r="H33" s="184" t="str">
        <f t="shared" si="0"/>
        <v/>
      </c>
      <c r="I33" s="187"/>
    </row>
    <row r="34" spans="2:9">
      <c r="B34" s="207"/>
      <c r="C34" s="175"/>
      <c r="D34" s="186"/>
      <c r="E34" s="186"/>
      <c r="F34" s="186"/>
      <c r="G34" s="189"/>
      <c r="H34" s="184" t="str">
        <f t="shared" si="0"/>
        <v/>
      </c>
      <c r="I34" s="187"/>
    </row>
    <row r="35" spans="2:9">
      <c r="B35" s="207"/>
      <c r="C35" s="175"/>
      <c r="D35" s="186"/>
      <c r="E35" s="186"/>
      <c r="F35" s="186"/>
      <c r="G35" s="189"/>
      <c r="H35" s="184" t="str">
        <f t="shared" si="0"/>
        <v/>
      </c>
      <c r="I35" s="187"/>
    </row>
    <row r="36" spans="2:9">
      <c r="B36" s="207"/>
      <c r="C36" s="175"/>
      <c r="D36" s="186"/>
      <c r="E36" s="186"/>
      <c r="F36" s="186"/>
      <c r="G36" s="189"/>
      <c r="H36" s="184" t="str">
        <f t="shared" si="0"/>
        <v/>
      </c>
      <c r="I36" s="187"/>
    </row>
    <row r="37" spans="2:9">
      <c r="B37" s="207"/>
      <c r="C37" s="175"/>
      <c r="D37" s="186"/>
      <c r="E37" s="186"/>
      <c r="F37" s="186"/>
      <c r="G37" s="189"/>
      <c r="H37" s="184" t="str">
        <f t="shared" si="0"/>
        <v/>
      </c>
      <c r="I37" s="187"/>
    </row>
    <row r="38" spans="2:9">
      <c r="B38" s="207"/>
      <c r="C38" s="175"/>
      <c r="D38" s="186"/>
      <c r="E38" s="186"/>
      <c r="F38" s="186"/>
      <c r="G38" s="189"/>
      <c r="H38" s="184" t="str">
        <f t="shared" si="0"/>
        <v/>
      </c>
      <c r="I38" s="187"/>
    </row>
    <row r="39" spans="2:9">
      <c r="B39" s="207"/>
      <c r="C39" s="175"/>
      <c r="D39" s="186"/>
      <c r="E39" s="186"/>
      <c r="F39" s="186"/>
      <c r="G39" s="189"/>
      <c r="H39" s="184" t="str">
        <f t="shared" si="0"/>
        <v/>
      </c>
      <c r="I39" s="187"/>
    </row>
    <row r="40" spans="2:9">
      <c r="B40" s="186"/>
      <c r="C40" s="175"/>
      <c r="D40" s="186"/>
      <c r="E40" s="186"/>
      <c r="F40" s="186"/>
      <c r="G40" s="189"/>
      <c r="H40" s="184" t="str">
        <f t="shared" si="0"/>
        <v/>
      </c>
      <c r="I40" s="187"/>
    </row>
    <row r="41" spans="2:9">
      <c r="B41" s="207"/>
      <c r="C41" s="175"/>
      <c r="D41" s="186"/>
      <c r="E41" s="186"/>
      <c r="F41" s="186"/>
      <c r="G41" s="189"/>
      <c r="H41" s="184" t="str">
        <f t="shared" si="0"/>
        <v/>
      </c>
      <c r="I41" s="187"/>
    </row>
    <row r="42" spans="2:9">
      <c r="B42" s="207"/>
      <c r="C42" s="175"/>
      <c r="D42" s="186"/>
      <c r="E42" s="186"/>
      <c r="F42" s="186"/>
      <c r="G42" s="206"/>
      <c r="H42" s="184" t="str">
        <f t="shared" si="0"/>
        <v/>
      </c>
      <c r="I42" s="187"/>
    </row>
    <row r="43" spans="2:9">
      <c r="B43" s="207"/>
      <c r="C43" s="175"/>
      <c r="D43" s="186"/>
      <c r="E43" s="186"/>
      <c r="F43" s="186"/>
      <c r="G43" s="206"/>
      <c r="H43" s="184" t="str">
        <f t="shared" si="0"/>
        <v/>
      </c>
      <c r="I43" s="187"/>
    </row>
    <row r="44" spans="2:9">
      <c r="B44" s="207"/>
      <c r="C44" s="175"/>
      <c r="D44" s="186"/>
      <c r="E44" s="186"/>
      <c r="F44" s="186"/>
      <c r="G44" s="206"/>
      <c r="H44" s="184" t="str">
        <f t="shared" si="0"/>
        <v/>
      </c>
      <c r="I44" s="187"/>
    </row>
    <row r="45" spans="2:9">
      <c r="B45" s="207"/>
      <c r="C45" s="175"/>
      <c r="D45" s="186"/>
      <c r="E45" s="186"/>
      <c r="F45" s="186"/>
      <c r="G45" s="206"/>
      <c r="H45" s="184" t="str">
        <f t="shared" si="0"/>
        <v/>
      </c>
      <c r="I45" s="187"/>
    </row>
    <row r="46" spans="2:9">
      <c r="B46" s="207"/>
      <c r="C46" s="175"/>
      <c r="D46" s="186"/>
      <c r="E46" s="186"/>
      <c r="F46" s="186"/>
      <c r="G46" s="206"/>
      <c r="H46" s="184" t="str">
        <f t="shared" si="0"/>
        <v/>
      </c>
      <c r="I46" s="187"/>
    </row>
    <row r="47" spans="2:9">
      <c r="B47" s="207"/>
      <c r="C47" s="175"/>
      <c r="D47" s="192"/>
      <c r="E47" s="192"/>
      <c r="F47" s="192"/>
      <c r="G47" s="206"/>
      <c r="H47" s="184" t="str">
        <f t="shared" si="0"/>
        <v/>
      </c>
    </row>
    <row r="48" spans="2:9">
      <c r="B48" s="207"/>
      <c r="C48" s="175"/>
      <c r="D48" s="186"/>
      <c r="E48" s="186"/>
      <c r="F48" s="186"/>
      <c r="G48" s="206"/>
      <c r="H48" s="184" t="str">
        <f t="shared" si="0"/>
        <v/>
      </c>
      <c r="I48" s="187"/>
    </row>
    <row r="49" spans="2:9">
      <c r="B49" s="207"/>
      <c r="C49" s="191"/>
      <c r="D49" s="192"/>
      <c r="E49" s="192"/>
      <c r="F49" s="192"/>
      <c r="G49" s="206"/>
      <c r="H49" s="184" t="str">
        <f t="shared" si="0"/>
        <v/>
      </c>
      <c r="I49" s="210"/>
    </row>
    <row r="50" spans="2:9">
      <c r="B50" s="207"/>
      <c r="C50" s="191"/>
      <c r="D50" s="192"/>
      <c r="E50" s="192"/>
      <c r="F50" s="192"/>
      <c r="G50" s="206"/>
      <c r="H50" s="184" t="str">
        <f t="shared" si="0"/>
        <v/>
      </c>
    </row>
    <row r="51" spans="2:9">
      <c r="B51" s="207"/>
      <c r="C51" s="191"/>
      <c r="D51" s="186"/>
      <c r="E51" s="186"/>
      <c r="F51" s="186"/>
      <c r="G51" s="206"/>
      <c r="H51" s="184" t="str">
        <f t="shared" si="0"/>
        <v/>
      </c>
      <c r="I51" s="187"/>
    </row>
    <row r="52" spans="2:9">
      <c r="B52" s="207"/>
      <c r="C52" s="175"/>
      <c r="D52" s="186"/>
      <c r="E52" s="186"/>
      <c r="F52" s="186"/>
      <c r="G52" s="206"/>
      <c r="H52" s="184" t="str">
        <f t="shared" si="0"/>
        <v/>
      </c>
      <c r="I52" s="187"/>
    </row>
    <row r="53" spans="2:9">
      <c r="B53" s="207"/>
      <c r="C53" s="175"/>
      <c r="D53" s="186"/>
      <c r="E53" s="186"/>
      <c r="F53" s="186"/>
      <c r="G53" s="206"/>
      <c r="H53" s="184" t="str">
        <f t="shared" si="0"/>
        <v/>
      </c>
      <c r="I53" s="187"/>
    </row>
    <row r="54" spans="2:9">
      <c r="B54" s="207"/>
      <c r="C54" s="175"/>
      <c r="D54" s="186"/>
      <c r="E54" s="186"/>
      <c r="F54" s="186"/>
      <c r="G54" s="206"/>
      <c r="H54" s="184" t="str">
        <f t="shared" si="0"/>
        <v/>
      </c>
      <c r="I54" s="187"/>
    </row>
    <row r="55" spans="2:9">
      <c r="B55" s="207"/>
      <c r="C55" s="175"/>
      <c r="D55" s="186"/>
      <c r="E55" s="186"/>
      <c r="F55" s="186"/>
      <c r="G55" s="206"/>
      <c r="H55" s="184" t="str">
        <f t="shared" si="0"/>
        <v/>
      </c>
      <c r="I55" s="187"/>
    </row>
    <row r="56" spans="2:9">
      <c r="B56" s="207"/>
      <c r="C56" s="175"/>
      <c r="D56" s="186"/>
      <c r="E56" s="186"/>
      <c r="F56" s="186"/>
      <c r="G56" s="206"/>
      <c r="H56" s="184" t="str">
        <f t="shared" si="0"/>
        <v/>
      </c>
      <c r="I56" s="187"/>
    </row>
    <row r="57" spans="2:9">
      <c r="B57" s="207"/>
      <c r="C57" s="345"/>
      <c r="D57" s="186"/>
      <c r="E57" s="186"/>
      <c r="F57" s="186"/>
      <c r="G57" s="206"/>
      <c r="H57" s="184" t="str">
        <f t="shared" si="0"/>
        <v/>
      </c>
      <c r="I57" s="187"/>
    </row>
    <row r="58" spans="2:9">
      <c r="B58" s="207"/>
      <c r="C58" s="345"/>
      <c r="D58" s="186"/>
      <c r="E58" s="186"/>
      <c r="F58" s="186"/>
      <c r="G58" s="206"/>
      <c r="H58" s="184" t="str">
        <f t="shared" si="0"/>
        <v/>
      </c>
      <c r="I58" s="187"/>
    </row>
    <row r="59" spans="2:9">
      <c r="B59" s="207"/>
      <c r="C59" s="345"/>
      <c r="D59" s="186"/>
      <c r="E59" s="186"/>
      <c r="F59" s="186"/>
      <c r="G59" s="206"/>
      <c r="H59" s="184" t="str">
        <f t="shared" si="0"/>
        <v/>
      </c>
      <c r="I59" s="187"/>
    </row>
    <row r="60" spans="2:9">
      <c r="B60" s="207"/>
      <c r="C60" s="175"/>
      <c r="D60" s="186"/>
      <c r="E60" s="186"/>
      <c r="F60" s="186"/>
      <c r="G60" s="206"/>
      <c r="H60" s="184" t="str">
        <f t="shared" ref="H60:H62" si="1">IF(D60="","",F60*G60)</f>
        <v/>
      </c>
      <c r="I60" s="187"/>
    </row>
    <row r="61" spans="2:9">
      <c r="B61" s="207"/>
      <c r="C61" s="175"/>
      <c r="D61" s="186"/>
      <c r="E61" s="186"/>
      <c r="F61" s="186"/>
      <c r="G61" s="206"/>
      <c r="H61" s="184" t="str">
        <f t="shared" si="1"/>
        <v/>
      </c>
      <c r="I61" s="187"/>
    </row>
    <row r="62" spans="2:9">
      <c r="B62" s="207"/>
      <c r="C62" s="175"/>
      <c r="D62" s="186"/>
      <c r="E62" s="186"/>
      <c r="F62" s="186"/>
      <c r="G62" s="206"/>
      <c r="H62" s="184" t="str">
        <f t="shared" si="1"/>
        <v/>
      </c>
      <c r="I62" s="187"/>
    </row>
    <row r="63" spans="2:9" s="199" customFormat="1" ht="24.95" customHeight="1">
      <c r="B63" s="228" t="str">
        <f>$B$10</f>
        <v>C8.1</v>
      </c>
      <c r="C63" s="194" t="s">
        <v>125</v>
      </c>
      <c r="D63" s="195"/>
      <c r="E63" s="195"/>
      <c r="F63" s="196"/>
      <c r="G63" s="208"/>
      <c r="H63" s="197">
        <f>SUM(H9:H62)</f>
        <v>0</v>
      </c>
      <c r="I63" s="198"/>
    </row>
    <row r="64" spans="2:9">
      <c r="G64" s="204"/>
    </row>
    <row r="65" spans="7:7">
      <c r="G65" s="204"/>
    </row>
    <row r="66" spans="7:7">
      <c r="G66" s="204"/>
    </row>
    <row r="67" spans="7:7">
      <c r="G67" s="204"/>
    </row>
    <row r="68" spans="7:7">
      <c r="G68" s="204"/>
    </row>
    <row r="69" spans="7:7">
      <c r="G69" s="204"/>
    </row>
    <row r="70" spans="7:7">
      <c r="G70" s="204"/>
    </row>
    <row r="71" spans="7:7">
      <c r="G71" s="204"/>
    </row>
    <row r="117" spans="6:6">
      <c r="F117" s="230"/>
    </row>
    <row r="118" spans="6:6">
      <c r="F118" s="230"/>
    </row>
    <row r="119" spans="6:6">
      <c r="F119" s="230"/>
    </row>
    <row r="120" spans="6:6">
      <c r="F120" s="230"/>
    </row>
    <row r="121" spans="6:6">
      <c r="F121" s="230"/>
    </row>
    <row r="122" spans="6:6">
      <c r="F122" s="230"/>
    </row>
    <row r="123" spans="6:6">
      <c r="F123" s="230"/>
    </row>
    <row r="124" spans="6:6">
      <c r="F124" s="230"/>
    </row>
    <row r="125" spans="6:6">
      <c r="F125" s="230"/>
    </row>
    <row r="126" spans="6:6">
      <c r="F126" s="230"/>
    </row>
  </sheetData>
  <mergeCells count="4">
    <mergeCell ref="F1:H1"/>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7"/>
  <dimension ref="B1:I73"/>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C8.2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1141</v>
      </c>
      <c r="C10" s="20" t="s">
        <v>1142</v>
      </c>
      <c r="D10" s="22"/>
      <c r="E10" s="22"/>
      <c r="F10" s="22"/>
      <c r="G10" s="39"/>
      <c r="H10" s="17" t="str">
        <f t="shared" ref="H10:H72" si="0">IF(D10="","",F10*G10)</f>
        <v/>
      </c>
      <c r="I10" s="40"/>
    </row>
    <row r="11" spans="2:9">
      <c r="B11" s="48"/>
      <c r="C11" s="14"/>
      <c r="D11" s="22"/>
      <c r="E11" s="22"/>
      <c r="F11" s="22"/>
      <c r="G11" s="39"/>
      <c r="H11" s="17" t="str">
        <f t="shared" si="0"/>
        <v/>
      </c>
      <c r="I11" s="40"/>
    </row>
    <row r="12" spans="2:9">
      <c r="B12" s="48" t="s">
        <v>1143</v>
      </c>
      <c r="C12" s="14" t="s">
        <v>1144</v>
      </c>
      <c r="D12" s="22"/>
      <c r="E12" s="22"/>
      <c r="F12" s="22"/>
      <c r="G12" s="39"/>
      <c r="H12" s="17" t="str">
        <f t="shared" si="0"/>
        <v/>
      </c>
      <c r="I12" s="40"/>
    </row>
    <row r="13" spans="2:9">
      <c r="B13" s="48"/>
      <c r="C13" s="14"/>
      <c r="D13" s="22"/>
      <c r="E13" s="22"/>
      <c r="F13" s="22"/>
      <c r="G13" s="39"/>
      <c r="H13" s="17" t="str">
        <f t="shared" si="0"/>
        <v/>
      </c>
      <c r="I13" s="40"/>
    </row>
    <row r="14" spans="2:9">
      <c r="B14" s="48" t="s">
        <v>1145</v>
      </c>
      <c r="C14" s="14" t="s">
        <v>1146</v>
      </c>
      <c r="D14" s="22"/>
      <c r="E14" s="22"/>
      <c r="F14" s="23"/>
      <c r="G14" s="24"/>
      <c r="H14" s="17" t="str">
        <f t="shared" si="0"/>
        <v/>
      </c>
      <c r="I14" s="41"/>
    </row>
    <row r="15" spans="2:9">
      <c r="B15" s="48"/>
      <c r="C15" s="14"/>
      <c r="D15" s="22"/>
      <c r="E15" s="22"/>
      <c r="F15" s="23"/>
      <c r="G15" s="24"/>
      <c r="H15" s="17" t="str">
        <f t="shared" si="0"/>
        <v/>
      </c>
      <c r="I15" s="41"/>
    </row>
    <row r="16" spans="2:9" ht="25.5">
      <c r="B16" s="48" t="s">
        <v>83</v>
      </c>
      <c r="C16" s="14" t="s">
        <v>1147</v>
      </c>
      <c r="D16" s="22" t="s">
        <v>898</v>
      </c>
      <c r="E16" s="22"/>
      <c r="F16" s="23"/>
      <c r="G16" s="24"/>
      <c r="H16" s="17">
        <f t="shared" si="0"/>
        <v>0</v>
      </c>
      <c r="I16" s="41"/>
    </row>
    <row r="17" spans="2:9">
      <c r="B17" s="48"/>
      <c r="C17" s="14"/>
      <c r="D17" s="22"/>
      <c r="E17" s="22"/>
      <c r="F17" s="23"/>
      <c r="G17" s="24"/>
      <c r="H17" s="17" t="str">
        <f t="shared" si="0"/>
        <v/>
      </c>
      <c r="I17" s="41"/>
    </row>
    <row r="18" spans="2:9">
      <c r="B18" s="48" t="s">
        <v>1148</v>
      </c>
      <c r="C18" s="14" t="s">
        <v>1149</v>
      </c>
      <c r="D18" s="22"/>
      <c r="E18" s="22"/>
      <c r="F18" s="23"/>
      <c r="G18" s="39"/>
      <c r="H18" s="17" t="str">
        <f t="shared" si="0"/>
        <v/>
      </c>
      <c r="I18" s="40"/>
    </row>
    <row r="19" spans="2:9">
      <c r="B19" s="48"/>
      <c r="C19" s="14"/>
      <c r="D19" s="22"/>
      <c r="E19" s="22"/>
      <c r="F19" s="23"/>
      <c r="G19" s="42"/>
      <c r="H19" s="17" t="str">
        <f t="shared" si="0"/>
        <v/>
      </c>
      <c r="I19" s="40"/>
    </row>
    <row r="20" spans="2:9" ht="25.5">
      <c r="B20" s="48" t="s">
        <v>83</v>
      </c>
      <c r="C20" s="14" t="s">
        <v>1147</v>
      </c>
      <c r="D20" s="22" t="s">
        <v>898</v>
      </c>
      <c r="E20" s="22"/>
      <c r="F20" s="23"/>
      <c r="G20" s="39"/>
      <c r="H20" s="17">
        <f t="shared" si="0"/>
        <v>0</v>
      </c>
      <c r="I20" s="43"/>
    </row>
    <row r="21" spans="2:9">
      <c r="B21" s="48"/>
      <c r="C21" s="14"/>
      <c r="D21" s="22"/>
      <c r="E21" s="36"/>
      <c r="F21" s="23"/>
      <c r="G21" s="44"/>
      <c r="H21" s="17" t="str">
        <f t="shared" si="0"/>
        <v/>
      </c>
    </row>
    <row r="22" spans="2:9">
      <c r="B22" s="48" t="s">
        <v>1150</v>
      </c>
      <c r="C22" s="14" t="s">
        <v>1151</v>
      </c>
      <c r="D22" s="22" t="s">
        <v>898</v>
      </c>
      <c r="E22" s="36"/>
      <c r="F22" s="23"/>
      <c r="G22" s="44"/>
      <c r="H22" s="17">
        <f t="shared" si="0"/>
        <v>0</v>
      </c>
    </row>
    <row r="23" spans="2:9">
      <c r="B23" s="48"/>
      <c r="C23" s="14"/>
      <c r="D23" s="22"/>
      <c r="E23" s="36"/>
      <c r="F23" s="23"/>
      <c r="G23" s="37"/>
      <c r="H23" s="17" t="str">
        <f t="shared" si="0"/>
        <v/>
      </c>
    </row>
    <row r="24" spans="2:9">
      <c r="B24" s="48" t="s">
        <v>1152</v>
      </c>
      <c r="C24" s="14" t="s">
        <v>1153</v>
      </c>
      <c r="D24" s="22" t="s">
        <v>898</v>
      </c>
      <c r="E24" s="36"/>
      <c r="F24" s="23"/>
      <c r="G24" s="44"/>
      <c r="H24" s="17">
        <f t="shared" si="0"/>
        <v>0</v>
      </c>
    </row>
    <row r="25" spans="2:9">
      <c r="B25" s="48"/>
      <c r="C25" s="14"/>
      <c r="D25" s="22"/>
      <c r="E25" s="36"/>
      <c r="F25" s="23"/>
      <c r="G25" s="42"/>
      <c r="H25" s="17" t="str">
        <f t="shared" si="0"/>
        <v/>
      </c>
    </row>
    <row r="26" spans="2:9" ht="25.5">
      <c r="B26" s="48" t="s">
        <v>1154</v>
      </c>
      <c r="C26" s="14" t="s">
        <v>1155</v>
      </c>
      <c r="D26" s="22"/>
      <c r="E26" s="36"/>
      <c r="F26" s="23"/>
      <c r="G26" s="44"/>
      <c r="H26" s="17" t="str">
        <f t="shared" si="0"/>
        <v/>
      </c>
    </row>
    <row r="27" spans="2:9">
      <c r="B27" s="48"/>
      <c r="C27" s="14"/>
      <c r="D27" s="22"/>
      <c r="E27" s="22"/>
      <c r="F27" s="23"/>
      <c r="G27" s="39"/>
      <c r="H27" s="17" t="str">
        <f t="shared" si="0"/>
        <v/>
      </c>
      <c r="I27" s="40"/>
    </row>
    <row r="28" spans="2:9">
      <c r="B28" s="48" t="s">
        <v>1156</v>
      </c>
      <c r="C28" s="14" t="s">
        <v>1146</v>
      </c>
      <c r="D28" s="22"/>
      <c r="E28" s="22"/>
      <c r="F28" s="23"/>
      <c r="G28" s="39"/>
      <c r="H28" s="17" t="str">
        <f t="shared" si="0"/>
        <v/>
      </c>
      <c r="I28" s="40"/>
    </row>
    <row r="29" spans="2:9">
      <c r="B29" s="48"/>
      <c r="C29" s="14"/>
      <c r="D29" s="22"/>
      <c r="E29" s="22"/>
      <c r="F29" s="23"/>
      <c r="G29" s="37"/>
      <c r="H29" s="17" t="str">
        <f t="shared" si="0"/>
        <v/>
      </c>
      <c r="I29" s="41"/>
    </row>
    <row r="30" spans="2:9" ht="25.5">
      <c r="B30" s="48" t="s">
        <v>83</v>
      </c>
      <c r="C30" s="14" t="s">
        <v>1147</v>
      </c>
      <c r="D30" s="22" t="s">
        <v>898</v>
      </c>
      <c r="E30" s="15"/>
      <c r="F30" s="26"/>
      <c r="G30" s="27"/>
      <c r="H30" s="17">
        <f t="shared" si="0"/>
        <v>0</v>
      </c>
      <c r="I30" s="18"/>
    </row>
    <row r="31" spans="2:9" s="35" customFormat="1">
      <c r="B31" s="48"/>
      <c r="C31" s="14"/>
      <c r="D31" s="15"/>
      <c r="E31" s="15"/>
      <c r="F31" s="26"/>
      <c r="G31" s="27"/>
      <c r="H31" s="17" t="str">
        <f t="shared" si="0"/>
        <v/>
      </c>
      <c r="I31" s="18"/>
    </row>
    <row r="32" spans="2:9">
      <c r="B32" s="48" t="s">
        <v>1157</v>
      </c>
      <c r="C32" s="14" t="s">
        <v>1149</v>
      </c>
      <c r="D32" s="22"/>
      <c r="E32" s="22"/>
      <c r="F32" s="23"/>
      <c r="G32" s="37"/>
      <c r="H32" s="17" t="str">
        <f t="shared" si="0"/>
        <v/>
      </c>
      <c r="I32" s="41"/>
    </row>
    <row r="33" spans="2:9">
      <c r="B33" s="48"/>
      <c r="C33" s="14"/>
      <c r="D33" s="22"/>
      <c r="E33" s="22"/>
      <c r="F33" s="23"/>
      <c r="G33" s="37"/>
      <c r="H33" s="17" t="str">
        <f t="shared" si="0"/>
        <v/>
      </c>
      <c r="I33" s="41"/>
    </row>
    <row r="34" spans="2:9" ht="25.5">
      <c r="B34" s="48" t="s">
        <v>83</v>
      </c>
      <c r="C34" s="14" t="s">
        <v>1147</v>
      </c>
      <c r="D34" s="22" t="s">
        <v>898</v>
      </c>
      <c r="E34" s="22"/>
      <c r="F34" s="23"/>
      <c r="G34" s="45"/>
      <c r="H34" s="17">
        <f t="shared" si="0"/>
        <v>0</v>
      </c>
      <c r="I34" s="40"/>
    </row>
    <row r="35" spans="2:9">
      <c r="B35" s="48"/>
      <c r="C35" s="14"/>
      <c r="D35" s="22"/>
      <c r="E35" s="22"/>
      <c r="F35" s="23"/>
      <c r="G35" s="45"/>
      <c r="H35" s="17" t="str">
        <f t="shared" si="0"/>
        <v/>
      </c>
      <c r="I35" s="40"/>
    </row>
    <row r="36" spans="2:9">
      <c r="B36" s="48" t="s">
        <v>1158</v>
      </c>
      <c r="C36" s="14" t="s">
        <v>1151</v>
      </c>
      <c r="D36" s="22" t="s">
        <v>898</v>
      </c>
      <c r="E36" s="22"/>
      <c r="F36" s="23"/>
      <c r="G36" s="42"/>
      <c r="H36" s="17">
        <f t="shared" si="0"/>
        <v>0</v>
      </c>
      <c r="I36" s="40"/>
    </row>
    <row r="37" spans="2:9">
      <c r="B37" s="48"/>
      <c r="C37" s="14"/>
      <c r="D37" s="22"/>
      <c r="E37" s="22"/>
      <c r="F37" s="23"/>
      <c r="G37" s="42"/>
      <c r="H37" s="17" t="str">
        <f t="shared" si="0"/>
        <v/>
      </c>
      <c r="I37" s="40"/>
    </row>
    <row r="38" spans="2:9">
      <c r="B38" s="48" t="s">
        <v>1159</v>
      </c>
      <c r="C38" s="14" t="s">
        <v>1153</v>
      </c>
      <c r="D38" s="22" t="s">
        <v>898</v>
      </c>
      <c r="E38" s="22"/>
      <c r="F38" s="22"/>
      <c r="G38" s="39"/>
      <c r="H38" s="17">
        <f t="shared" si="0"/>
        <v>0</v>
      </c>
      <c r="I38" s="40"/>
    </row>
    <row r="39" spans="2:9">
      <c r="B39" s="48"/>
      <c r="C39" s="14"/>
      <c r="D39" s="22"/>
      <c r="E39" s="22"/>
      <c r="F39" s="22"/>
      <c r="G39" s="39"/>
      <c r="H39" s="17" t="str">
        <f t="shared" si="0"/>
        <v/>
      </c>
      <c r="I39" s="40"/>
    </row>
    <row r="40" spans="2:9">
      <c r="B40" s="13"/>
      <c r="C40" s="100"/>
      <c r="D40" s="22"/>
      <c r="E40" s="22"/>
      <c r="F40" s="22"/>
      <c r="G40" s="37"/>
      <c r="H40" s="17" t="str">
        <f t="shared" si="0"/>
        <v/>
      </c>
      <c r="I40" s="40"/>
    </row>
    <row r="41" spans="2:9">
      <c r="B41" s="13"/>
      <c r="C41" s="14"/>
      <c r="D41" s="22"/>
      <c r="E41" s="22"/>
      <c r="F41" s="22"/>
      <c r="G41" s="37"/>
      <c r="H41" s="17" t="str">
        <f t="shared" si="0"/>
        <v/>
      </c>
      <c r="I41" s="40"/>
    </row>
    <row r="42" spans="2:9">
      <c r="B42" s="13"/>
      <c r="C42" s="14"/>
      <c r="D42" s="22"/>
      <c r="E42" s="22"/>
      <c r="F42" s="22"/>
      <c r="G42" s="37"/>
      <c r="H42" s="17" t="str">
        <f t="shared" si="0"/>
        <v/>
      </c>
      <c r="I42" s="40"/>
    </row>
    <row r="43" spans="2:9">
      <c r="B43" s="13"/>
      <c r="C43" s="14"/>
      <c r="D43" s="22"/>
      <c r="E43" s="22"/>
      <c r="F43" s="22"/>
      <c r="G43" s="37"/>
      <c r="H43" s="17" t="str">
        <f t="shared" si="0"/>
        <v/>
      </c>
      <c r="I43" s="40"/>
    </row>
    <row r="44" spans="2:9">
      <c r="B44" s="13"/>
      <c r="C44" s="14"/>
      <c r="D44" s="22"/>
      <c r="E44" s="22"/>
      <c r="F44" s="22"/>
      <c r="G44" s="37"/>
      <c r="H44" s="17" t="str">
        <f t="shared" si="0"/>
        <v/>
      </c>
      <c r="I44" s="40"/>
    </row>
    <row r="45" spans="2:9">
      <c r="B45" s="13"/>
      <c r="C45" s="14"/>
      <c r="D45" s="22"/>
      <c r="E45" s="22"/>
      <c r="F45" s="22"/>
      <c r="G45" s="37"/>
      <c r="H45" s="17" t="str">
        <f t="shared" si="0"/>
        <v/>
      </c>
      <c r="I45" s="40"/>
    </row>
    <row r="46" spans="2:9">
      <c r="B46" s="13"/>
      <c r="C46" s="252"/>
      <c r="D46" s="22"/>
      <c r="E46" s="22"/>
      <c r="F46" s="22"/>
      <c r="G46" s="37"/>
      <c r="H46" s="17" t="str">
        <f t="shared" si="0"/>
        <v/>
      </c>
      <c r="I46" s="40"/>
    </row>
    <row r="47" spans="2:9">
      <c r="B47" s="13"/>
      <c r="C47" s="252"/>
      <c r="D47" s="22"/>
      <c r="E47" s="22"/>
      <c r="F47" s="22"/>
      <c r="G47" s="37"/>
      <c r="H47" s="17" t="str">
        <f t="shared" si="0"/>
        <v/>
      </c>
      <c r="I47" s="40"/>
    </row>
    <row r="48" spans="2:9">
      <c r="B48" s="13"/>
      <c r="C48" s="252"/>
      <c r="D48" s="22"/>
      <c r="E48" s="22"/>
      <c r="F48" s="22"/>
      <c r="G48" s="37"/>
      <c r="H48" s="17" t="str">
        <f t="shared" si="0"/>
        <v/>
      </c>
      <c r="I48" s="40"/>
    </row>
    <row r="49" spans="2:9">
      <c r="B49" s="13"/>
      <c r="C49" s="14"/>
      <c r="D49" s="22"/>
      <c r="E49" s="22"/>
      <c r="F49" s="22"/>
      <c r="G49" s="37"/>
      <c r="H49" s="17" t="str">
        <f t="shared" si="0"/>
        <v/>
      </c>
      <c r="I49" s="40"/>
    </row>
    <row r="50" spans="2:9">
      <c r="B50" s="13"/>
      <c r="C50" s="14"/>
      <c r="D50" s="22"/>
      <c r="E50" s="22"/>
      <c r="F50" s="22"/>
      <c r="G50" s="37"/>
      <c r="H50" s="17" t="str">
        <f t="shared" si="0"/>
        <v/>
      </c>
      <c r="I50" s="40"/>
    </row>
    <row r="51" spans="2:9">
      <c r="B51" s="13"/>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22"/>
      <c r="E53" s="22"/>
      <c r="F53" s="22"/>
      <c r="G53" s="37"/>
      <c r="H53" s="17" t="str">
        <f t="shared" si="0"/>
        <v/>
      </c>
      <c r="I53" s="40"/>
    </row>
    <row r="54" spans="2:9">
      <c r="B54" s="13"/>
      <c r="C54" s="14"/>
      <c r="D54" s="22"/>
      <c r="E54" s="22"/>
      <c r="F54" s="22"/>
      <c r="G54" s="37"/>
      <c r="H54" s="17" t="str">
        <f t="shared" si="0"/>
        <v/>
      </c>
      <c r="I54" s="40"/>
    </row>
    <row r="55" spans="2:9">
      <c r="B55" s="13"/>
      <c r="C55" s="14"/>
      <c r="D55" s="22"/>
      <c r="E55" s="22"/>
      <c r="F55" s="22"/>
      <c r="G55" s="37"/>
      <c r="H55" s="17" t="str">
        <f t="shared" si="0"/>
        <v/>
      </c>
      <c r="I55" s="40"/>
    </row>
    <row r="56" spans="2:9">
      <c r="B56" s="13"/>
      <c r="C56" s="14"/>
      <c r="D56" s="22"/>
      <c r="E56" s="22"/>
      <c r="F56" s="22"/>
      <c r="G56" s="37"/>
      <c r="H56" s="17" t="str">
        <f t="shared" si="0"/>
        <v/>
      </c>
      <c r="I56" s="40"/>
    </row>
    <row r="57" spans="2:9">
      <c r="B57" s="13"/>
      <c r="C57" s="14"/>
      <c r="D57" s="22"/>
      <c r="E57" s="22"/>
      <c r="F57" s="22"/>
      <c r="G57" s="37"/>
      <c r="H57" s="17" t="str">
        <f t="shared" si="0"/>
        <v/>
      </c>
      <c r="I57" s="40"/>
    </row>
    <row r="58" spans="2:9">
      <c r="B58" s="13"/>
      <c r="C58" s="14"/>
      <c r="D58" s="22"/>
      <c r="E58" s="22"/>
      <c r="F58" s="22"/>
      <c r="G58" s="37"/>
      <c r="H58" s="17" t="str">
        <f t="shared" si="0"/>
        <v/>
      </c>
      <c r="I58" s="40"/>
    </row>
    <row r="59" spans="2:9">
      <c r="B59" s="13"/>
      <c r="C59" s="14"/>
      <c r="D59" s="22"/>
      <c r="E59" s="22"/>
      <c r="F59" s="22"/>
      <c r="G59" s="37"/>
      <c r="H59" s="17" t="str">
        <f t="shared" si="0"/>
        <v/>
      </c>
      <c r="I59" s="40"/>
    </row>
    <row r="60" spans="2:9">
      <c r="B60" s="13"/>
      <c r="C60" s="252"/>
      <c r="D60" s="22"/>
      <c r="E60" s="22"/>
      <c r="F60" s="22"/>
      <c r="G60" s="37"/>
      <c r="H60" s="17" t="str">
        <f t="shared" si="0"/>
        <v/>
      </c>
      <c r="I60" s="40"/>
    </row>
    <row r="61" spans="2:9">
      <c r="B61" s="13"/>
      <c r="C61" s="14"/>
      <c r="D61" s="22"/>
      <c r="E61" s="22"/>
      <c r="F61" s="22"/>
      <c r="G61" s="37"/>
      <c r="H61" s="17" t="str">
        <f t="shared" si="0"/>
        <v/>
      </c>
      <c r="I61" s="40"/>
    </row>
    <row r="62" spans="2:9">
      <c r="B62" s="13"/>
      <c r="C62" s="14"/>
      <c r="D62" s="22"/>
      <c r="E62" s="22"/>
      <c r="F62" s="22"/>
      <c r="G62" s="37"/>
      <c r="H62" s="17" t="str">
        <f t="shared" si="0"/>
        <v/>
      </c>
      <c r="I62" s="40"/>
    </row>
    <row r="63" spans="2:9">
      <c r="B63" s="13"/>
      <c r="C63" s="14"/>
      <c r="D63" s="22"/>
      <c r="E63" s="22"/>
      <c r="F63" s="22"/>
      <c r="G63" s="37"/>
      <c r="H63" s="17" t="str">
        <f t="shared" si="0"/>
        <v/>
      </c>
      <c r="I63" s="40"/>
    </row>
    <row r="64" spans="2:9">
      <c r="B64" s="13"/>
      <c r="C64" s="14"/>
      <c r="D64" s="22"/>
      <c r="E64" s="22"/>
      <c r="F64" s="22"/>
      <c r="G64" s="37"/>
      <c r="H64" s="17" t="str">
        <f t="shared" si="0"/>
        <v/>
      </c>
      <c r="I64" s="40"/>
    </row>
    <row r="65" spans="2:9">
      <c r="B65" s="13"/>
      <c r="C65" s="14"/>
      <c r="D65" s="22"/>
      <c r="E65" s="22"/>
      <c r="F65" s="22"/>
      <c r="G65" s="37"/>
      <c r="H65" s="17" t="str">
        <f t="shared" si="0"/>
        <v/>
      </c>
      <c r="I65" s="40"/>
    </row>
    <row r="66" spans="2:9">
      <c r="B66" s="13"/>
      <c r="C66" s="14"/>
      <c r="D66" s="22"/>
      <c r="E66" s="22"/>
      <c r="F66" s="22"/>
      <c r="G66" s="37"/>
      <c r="H66" s="17"/>
      <c r="I66" s="40"/>
    </row>
    <row r="67" spans="2:9">
      <c r="B67" s="13"/>
      <c r="C67" s="14"/>
      <c r="D67" s="22"/>
      <c r="E67" s="22"/>
      <c r="F67" s="22"/>
      <c r="G67" s="37"/>
      <c r="H67" s="17" t="str">
        <f t="shared" si="0"/>
        <v/>
      </c>
      <c r="I67" s="40"/>
    </row>
    <row r="68" spans="2:9">
      <c r="B68" s="13"/>
      <c r="C68" s="14"/>
      <c r="D68" s="22"/>
      <c r="E68" s="22"/>
      <c r="F68" s="22"/>
      <c r="G68" s="37"/>
      <c r="H68" s="17" t="str">
        <f t="shared" si="0"/>
        <v/>
      </c>
      <c r="I68" s="40"/>
    </row>
    <row r="69" spans="2:9">
      <c r="B69" s="21"/>
      <c r="C69" s="14"/>
      <c r="D69" s="22"/>
      <c r="E69" s="22"/>
      <c r="F69" s="22"/>
      <c r="G69" s="37"/>
      <c r="H69" s="17" t="str">
        <f t="shared" si="0"/>
        <v/>
      </c>
      <c r="I69" s="40"/>
    </row>
    <row r="70" spans="2:9">
      <c r="B70" s="13"/>
      <c r="C70" s="14"/>
      <c r="D70" s="22"/>
      <c r="E70" s="22"/>
      <c r="F70" s="22"/>
      <c r="G70" s="37"/>
      <c r="H70" s="17" t="str">
        <f t="shared" si="0"/>
        <v/>
      </c>
      <c r="I70" s="40"/>
    </row>
    <row r="71" spans="2:9">
      <c r="B71" s="13"/>
      <c r="C71" s="14"/>
      <c r="D71" s="22"/>
      <c r="E71" s="22"/>
      <c r="F71" s="22"/>
      <c r="G71" s="37"/>
      <c r="H71" s="17" t="str">
        <f t="shared" si="0"/>
        <v/>
      </c>
      <c r="I71" s="40"/>
    </row>
    <row r="72" spans="2:9">
      <c r="B72" s="13"/>
      <c r="C72" s="14"/>
      <c r="D72" s="22"/>
      <c r="E72" s="22"/>
      <c r="F72" s="22"/>
      <c r="G72" s="37"/>
      <c r="H72" s="17" t="str">
        <f t="shared" si="0"/>
        <v/>
      </c>
      <c r="I72" s="40"/>
    </row>
    <row r="73" spans="2:9" s="28" customFormat="1" ht="24.95" customHeight="1">
      <c r="B73" s="82" t="str">
        <f>$B$10</f>
        <v>C8.2</v>
      </c>
      <c r="C73" s="29" t="s">
        <v>125</v>
      </c>
      <c r="D73" s="30"/>
      <c r="E73" s="30"/>
      <c r="F73" s="31"/>
      <c r="G73" s="30"/>
      <c r="H73" s="32">
        <f>SUM(H9:H72)</f>
        <v>0</v>
      </c>
      <c r="I73"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8"/>
  <dimension ref="B1:I73"/>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6" t="str">
        <f>"CHAPTER "&amp;B10</f>
        <v>CHAPTER C8.3</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7"/>
      <c r="I5" s="8"/>
    </row>
    <row r="6" spans="2:9" ht="12.75" customHeight="1">
      <c r="B6" s="690"/>
      <c r="C6" s="691"/>
      <c r="D6" s="691"/>
      <c r="E6" s="691"/>
      <c r="F6" s="691"/>
      <c r="G6" s="691"/>
      <c r="H6" s="777"/>
      <c r="I6" s="8"/>
    </row>
    <row r="7" spans="2:9" ht="7.5" customHeight="1">
      <c r="B7" s="692"/>
      <c r="C7" s="693"/>
      <c r="D7" s="693"/>
      <c r="E7" s="693"/>
      <c r="F7" s="693"/>
      <c r="G7" s="693"/>
      <c r="H7" s="778"/>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25" t="str">
        <f t="shared" ref="H9:H72" si="0">IF(D9="","",F9*G9)</f>
        <v/>
      </c>
      <c r="I9" s="18"/>
    </row>
    <row r="10" spans="2:9">
      <c r="B10" s="69" t="s">
        <v>1160</v>
      </c>
      <c r="C10" s="20" t="s">
        <v>1161</v>
      </c>
      <c r="D10" s="22"/>
      <c r="E10" s="22"/>
      <c r="F10" s="22"/>
      <c r="G10" s="39"/>
      <c r="H10" s="25" t="str">
        <f t="shared" si="0"/>
        <v/>
      </c>
      <c r="I10" s="40"/>
    </row>
    <row r="11" spans="2:9">
      <c r="B11" s="48"/>
      <c r="C11" s="14"/>
      <c r="D11" s="22"/>
      <c r="E11" s="22"/>
      <c r="F11" s="22"/>
      <c r="G11" s="39"/>
      <c r="H11" s="25" t="str">
        <f t="shared" si="0"/>
        <v/>
      </c>
      <c r="I11" s="40"/>
    </row>
    <row r="12" spans="2:9">
      <c r="B12" s="48" t="s">
        <v>1162</v>
      </c>
      <c r="C12" s="14" t="s">
        <v>1163</v>
      </c>
      <c r="D12" s="22"/>
      <c r="E12" s="22"/>
      <c r="F12" s="22"/>
      <c r="G12" s="39"/>
      <c r="H12" s="25" t="str">
        <f t="shared" si="0"/>
        <v/>
      </c>
      <c r="I12" s="40"/>
    </row>
    <row r="13" spans="2:9">
      <c r="B13" s="48"/>
      <c r="C13" s="14"/>
      <c r="D13" s="22"/>
      <c r="E13" s="22"/>
      <c r="F13" s="22"/>
      <c r="G13" s="39"/>
      <c r="H13" s="25" t="str">
        <f t="shared" si="0"/>
        <v/>
      </c>
      <c r="I13" s="40"/>
    </row>
    <row r="14" spans="2:9" ht="38.25">
      <c r="B14" s="48" t="s">
        <v>1164</v>
      </c>
      <c r="C14" s="14" t="s">
        <v>1165</v>
      </c>
      <c r="D14" s="22" t="s">
        <v>386</v>
      </c>
      <c r="E14" s="22"/>
      <c r="F14" s="23"/>
      <c r="G14" s="24"/>
      <c r="H14" s="25">
        <f t="shared" si="0"/>
        <v>0</v>
      </c>
      <c r="I14" s="41"/>
    </row>
    <row r="15" spans="2:9">
      <c r="B15" s="48"/>
      <c r="C15" s="14"/>
      <c r="D15" s="22"/>
      <c r="E15" s="22"/>
      <c r="F15" s="23"/>
      <c r="G15" s="24"/>
      <c r="H15" s="25" t="str">
        <f t="shared" si="0"/>
        <v/>
      </c>
      <c r="I15" s="41"/>
    </row>
    <row r="16" spans="2:9" ht="38.25">
      <c r="B16" s="48" t="s">
        <v>1166</v>
      </c>
      <c r="C16" s="14" t="s">
        <v>1167</v>
      </c>
      <c r="D16" s="22" t="s">
        <v>386</v>
      </c>
      <c r="E16" s="22"/>
      <c r="F16" s="23"/>
      <c r="G16" s="24"/>
      <c r="H16" s="25">
        <f t="shared" si="0"/>
        <v>0</v>
      </c>
      <c r="I16" s="41"/>
    </row>
    <row r="17" spans="2:9">
      <c r="B17" s="48"/>
      <c r="C17" s="14"/>
      <c r="D17" s="22"/>
      <c r="E17" s="22"/>
      <c r="F17" s="23"/>
      <c r="G17" s="24"/>
      <c r="H17" s="25" t="str">
        <f t="shared" si="0"/>
        <v/>
      </c>
      <c r="I17" s="41"/>
    </row>
    <row r="18" spans="2:9" ht="38.25">
      <c r="B18" s="48" t="s">
        <v>1168</v>
      </c>
      <c r="C18" s="14" t="s">
        <v>1169</v>
      </c>
      <c r="D18" s="22" t="s">
        <v>386</v>
      </c>
      <c r="E18" s="22"/>
      <c r="F18" s="23"/>
      <c r="G18" s="39"/>
      <c r="H18" s="25">
        <f t="shared" si="0"/>
        <v>0</v>
      </c>
      <c r="I18" s="40"/>
    </row>
    <row r="19" spans="2:9">
      <c r="B19" s="48"/>
      <c r="C19" s="14"/>
      <c r="D19" s="22"/>
      <c r="E19" s="22"/>
      <c r="F19" s="23"/>
      <c r="G19" s="42"/>
      <c r="H19" s="25" t="str">
        <f t="shared" si="0"/>
        <v/>
      </c>
      <c r="I19" s="40"/>
    </row>
    <row r="20" spans="2:9">
      <c r="B20" s="48"/>
      <c r="C20" s="14"/>
      <c r="D20" s="22"/>
      <c r="E20" s="22"/>
      <c r="F20" s="23"/>
      <c r="G20" s="39"/>
      <c r="H20" s="25" t="str">
        <f t="shared" si="0"/>
        <v/>
      </c>
      <c r="I20" s="43"/>
    </row>
    <row r="21" spans="2:9">
      <c r="B21" s="48"/>
      <c r="C21" s="14"/>
      <c r="D21" s="22"/>
      <c r="E21" s="36"/>
      <c r="F21" s="23"/>
      <c r="G21" s="44"/>
      <c r="H21" s="25" t="str">
        <f t="shared" si="0"/>
        <v/>
      </c>
    </row>
    <row r="22" spans="2:9">
      <c r="B22" s="48"/>
      <c r="C22" s="14"/>
      <c r="D22" s="22"/>
      <c r="E22" s="36"/>
      <c r="F22" s="23"/>
      <c r="G22" s="44"/>
      <c r="H22" s="25" t="str">
        <f t="shared" si="0"/>
        <v/>
      </c>
    </row>
    <row r="23" spans="2:9">
      <c r="B23" s="48"/>
      <c r="C23" s="14"/>
      <c r="D23" s="22"/>
      <c r="E23" s="36"/>
      <c r="F23" s="23"/>
      <c r="G23" s="37"/>
      <c r="H23" s="25" t="str">
        <f t="shared" si="0"/>
        <v/>
      </c>
    </row>
    <row r="24" spans="2:9">
      <c r="B24" s="48"/>
      <c r="C24" s="14"/>
      <c r="D24" s="22"/>
      <c r="E24" s="36"/>
      <c r="F24" s="23"/>
      <c r="G24" s="44"/>
      <c r="H24" s="25" t="str">
        <f t="shared" si="0"/>
        <v/>
      </c>
    </row>
    <row r="25" spans="2:9">
      <c r="B25" s="48"/>
      <c r="C25" s="14"/>
      <c r="D25" s="22"/>
      <c r="E25" s="36"/>
      <c r="F25" s="23"/>
      <c r="G25" s="42"/>
      <c r="H25" s="25" t="str">
        <f t="shared" si="0"/>
        <v/>
      </c>
    </row>
    <row r="26" spans="2:9">
      <c r="B26" s="48"/>
      <c r="C26" s="14"/>
      <c r="D26" s="22"/>
      <c r="E26" s="36"/>
      <c r="F26" s="23"/>
      <c r="G26" s="44"/>
      <c r="H26" s="25" t="str">
        <f t="shared" si="0"/>
        <v/>
      </c>
    </row>
    <row r="27" spans="2:9">
      <c r="B27" s="48"/>
      <c r="C27" s="14"/>
      <c r="D27" s="22"/>
      <c r="E27" s="22"/>
      <c r="F27" s="23"/>
      <c r="G27" s="39"/>
      <c r="H27" s="25" t="str">
        <f t="shared" si="0"/>
        <v/>
      </c>
      <c r="I27" s="40"/>
    </row>
    <row r="28" spans="2:9">
      <c r="B28" s="48"/>
      <c r="C28" s="14"/>
      <c r="D28" s="22"/>
      <c r="E28" s="22"/>
      <c r="F28" s="23"/>
      <c r="G28" s="39"/>
      <c r="H28" s="25" t="str">
        <f t="shared" si="0"/>
        <v/>
      </c>
      <c r="I28" s="40"/>
    </row>
    <row r="29" spans="2:9">
      <c r="B29" s="48"/>
      <c r="C29" s="14"/>
      <c r="D29" s="22"/>
      <c r="E29" s="22"/>
      <c r="F29" s="23"/>
      <c r="G29" s="37"/>
      <c r="H29" s="25" t="str">
        <f t="shared" si="0"/>
        <v/>
      </c>
      <c r="I29" s="41"/>
    </row>
    <row r="30" spans="2:9">
      <c r="B30" s="48"/>
      <c r="C30" s="14"/>
      <c r="D30" s="22"/>
      <c r="E30" s="15"/>
      <c r="F30" s="26"/>
      <c r="G30" s="27"/>
      <c r="H30" s="25" t="str">
        <f t="shared" si="0"/>
        <v/>
      </c>
      <c r="I30" s="18"/>
    </row>
    <row r="31" spans="2:9" s="35" customFormat="1">
      <c r="B31" s="48"/>
      <c r="C31" s="14"/>
      <c r="D31" s="15"/>
      <c r="E31" s="15"/>
      <c r="F31" s="26"/>
      <c r="G31" s="27"/>
      <c r="H31" s="25" t="str">
        <f t="shared" si="0"/>
        <v/>
      </c>
      <c r="I31" s="18"/>
    </row>
    <row r="32" spans="2:9">
      <c r="B32" s="48"/>
      <c r="C32" s="14"/>
      <c r="D32" s="22"/>
      <c r="E32" s="22"/>
      <c r="F32" s="23"/>
      <c r="G32" s="37"/>
      <c r="H32" s="25" t="str">
        <f t="shared" si="0"/>
        <v/>
      </c>
      <c r="I32" s="41"/>
    </row>
    <row r="33" spans="2:9">
      <c r="B33" s="48"/>
      <c r="C33" s="14"/>
      <c r="D33" s="22"/>
      <c r="E33" s="22"/>
      <c r="F33" s="23"/>
      <c r="G33" s="37"/>
      <c r="H33" s="25" t="str">
        <f t="shared" si="0"/>
        <v/>
      </c>
      <c r="I33" s="41"/>
    </row>
    <row r="34" spans="2:9">
      <c r="B34" s="48"/>
      <c r="C34" s="14"/>
      <c r="D34" s="22"/>
      <c r="E34" s="22"/>
      <c r="F34" s="23"/>
      <c r="G34" s="45"/>
      <c r="H34" s="25" t="str">
        <f t="shared" si="0"/>
        <v/>
      </c>
      <c r="I34" s="40"/>
    </row>
    <row r="35" spans="2:9">
      <c r="B35" s="48"/>
      <c r="C35" s="14"/>
      <c r="D35" s="22"/>
      <c r="E35" s="22"/>
      <c r="F35" s="23"/>
      <c r="G35" s="45"/>
      <c r="H35" s="25" t="str">
        <f t="shared" si="0"/>
        <v/>
      </c>
      <c r="I35" s="40"/>
    </row>
    <row r="36" spans="2:9">
      <c r="B36" s="48"/>
      <c r="C36" s="14"/>
      <c r="D36" s="22"/>
      <c r="E36" s="22"/>
      <c r="F36" s="23"/>
      <c r="G36" s="42"/>
      <c r="H36" s="25" t="str">
        <f t="shared" si="0"/>
        <v/>
      </c>
      <c r="I36" s="40"/>
    </row>
    <row r="37" spans="2:9">
      <c r="B37" s="48"/>
      <c r="C37" s="14"/>
      <c r="D37" s="22"/>
      <c r="E37" s="22"/>
      <c r="F37" s="23"/>
      <c r="G37" s="42"/>
      <c r="H37" s="25" t="str">
        <f t="shared" si="0"/>
        <v/>
      </c>
      <c r="I37" s="40"/>
    </row>
    <row r="38" spans="2:9">
      <c r="B38" s="48"/>
      <c r="C38" s="14"/>
      <c r="D38" s="22"/>
      <c r="E38" s="22"/>
      <c r="F38" s="22"/>
      <c r="G38" s="39"/>
      <c r="H38" s="25" t="str">
        <f t="shared" si="0"/>
        <v/>
      </c>
      <c r="I38" s="40"/>
    </row>
    <row r="39" spans="2:9">
      <c r="B39" s="48"/>
      <c r="C39" s="14"/>
      <c r="D39" s="22"/>
      <c r="E39" s="22"/>
      <c r="F39" s="22"/>
      <c r="G39" s="39"/>
      <c r="H39" s="25" t="str">
        <f t="shared" si="0"/>
        <v/>
      </c>
      <c r="I39" s="40"/>
    </row>
    <row r="40" spans="2:9">
      <c r="B40" s="48"/>
      <c r="C40" s="14"/>
      <c r="D40" s="22"/>
      <c r="E40" s="22"/>
      <c r="F40" s="22"/>
      <c r="G40" s="37"/>
      <c r="H40" s="25" t="str">
        <f t="shared" si="0"/>
        <v/>
      </c>
      <c r="I40" s="40"/>
    </row>
    <row r="41" spans="2:9">
      <c r="B41" s="48"/>
      <c r="C41" s="14"/>
      <c r="D41" s="22"/>
      <c r="E41" s="22"/>
      <c r="F41" s="22"/>
      <c r="G41" s="37"/>
      <c r="H41" s="25" t="str">
        <f t="shared" si="0"/>
        <v/>
      </c>
      <c r="I41" s="40"/>
    </row>
    <row r="42" spans="2:9">
      <c r="B42" s="48"/>
      <c r="C42" s="14"/>
      <c r="D42" s="22"/>
      <c r="E42" s="22"/>
      <c r="F42" s="22"/>
      <c r="G42" s="37"/>
      <c r="H42" s="25" t="str">
        <f t="shared" si="0"/>
        <v/>
      </c>
      <c r="I42" s="40"/>
    </row>
    <row r="43" spans="2:9">
      <c r="B43" s="48"/>
      <c r="C43" s="14"/>
      <c r="D43" s="22"/>
      <c r="E43" s="22"/>
      <c r="F43" s="22"/>
      <c r="G43" s="37"/>
      <c r="H43" s="25" t="str">
        <f t="shared" si="0"/>
        <v/>
      </c>
      <c r="I43" s="40"/>
    </row>
    <row r="44" spans="2:9">
      <c r="B44" s="48"/>
      <c r="C44" s="14"/>
      <c r="D44" s="22"/>
      <c r="E44" s="22"/>
      <c r="F44" s="22"/>
      <c r="G44" s="37"/>
      <c r="H44" s="25" t="str">
        <f t="shared" si="0"/>
        <v/>
      </c>
      <c r="I44" s="40"/>
    </row>
    <row r="45" spans="2:9">
      <c r="B45" s="48"/>
      <c r="C45" s="14"/>
      <c r="D45" s="22"/>
      <c r="E45" s="22"/>
      <c r="F45" s="22"/>
      <c r="G45" s="37"/>
      <c r="H45" s="25" t="str">
        <f t="shared" si="0"/>
        <v/>
      </c>
      <c r="I45" s="40"/>
    </row>
    <row r="46" spans="2:9">
      <c r="B46" s="48"/>
      <c r="C46" s="14"/>
      <c r="D46" s="22"/>
      <c r="E46" s="22"/>
      <c r="F46" s="22"/>
      <c r="G46" s="37"/>
      <c r="H46" s="25" t="str">
        <f t="shared" si="0"/>
        <v/>
      </c>
      <c r="I46" s="40"/>
    </row>
    <row r="47" spans="2:9">
      <c r="B47" s="48"/>
      <c r="C47" s="14"/>
      <c r="D47" s="22"/>
      <c r="E47" s="22"/>
      <c r="F47" s="22"/>
      <c r="G47" s="37"/>
      <c r="H47" s="25" t="str">
        <f t="shared" si="0"/>
        <v/>
      </c>
      <c r="I47" s="40"/>
    </row>
    <row r="48" spans="2:9">
      <c r="B48" s="48"/>
      <c r="C48" s="14"/>
      <c r="D48" s="22"/>
      <c r="E48" s="22"/>
      <c r="F48" s="22"/>
      <c r="G48" s="46"/>
      <c r="H48" s="25" t="str">
        <f t="shared" si="0"/>
        <v/>
      </c>
      <c r="I48" s="40"/>
    </row>
    <row r="49" spans="2:9">
      <c r="B49" s="81"/>
      <c r="C49" s="14"/>
      <c r="D49" s="22"/>
      <c r="E49" s="22"/>
      <c r="F49" s="22"/>
      <c r="G49" s="46"/>
      <c r="H49" s="25" t="str">
        <f t="shared" si="0"/>
        <v/>
      </c>
      <c r="I49" s="40"/>
    </row>
    <row r="50" spans="2:9">
      <c r="B50" s="48"/>
      <c r="C50" s="14"/>
      <c r="D50" s="22"/>
      <c r="E50" s="22"/>
      <c r="F50" s="22"/>
      <c r="G50" s="37"/>
      <c r="H50" s="25" t="str">
        <f t="shared" si="0"/>
        <v/>
      </c>
      <c r="I50" s="40"/>
    </row>
    <row r="51" spans="2:9">
      <c r="B51" s="48"/>
      <c r="C51" s="14"/>
      <c r="D51" s="22"/>
      <c r="E51" s="22"/>
      <c r="F51" s="22"/>
      <c r="G51" s="37"/>
      <c r="H51" s="25" t="str">
        <f t="shared" si="0"/>
        <v/>
      </c>
      <c r="I51" s="40"/>
    </row>
    <row r="52" spans="2:9">
      <c r="B52" s="48"/>
      <c r="C52" s="14"/>
      <c r="D52" s="22"/>
      <c r="E52" s="22"/>
      <c r="F52" s="22"/>
      <c r="G52" s="37"/>
      <c r="H52" s="25" t="str">
        <f t="shared" si="0"/>
        <v/>
      </c>
      <c r="I52" s="40"/>
    </row>
    <row r="53" spans="2:9">
      <c r="B53" s="48"/>
      <c r="C53" s="14"/>
      <c r="D53" s="22"/>
      <c r="E53" s="22"/>
      <c r="F53" s="22"/>
      <c r="G53" s="37"/>
      <c r="H53" s="25" t="str">
        <f t="shared" si="0"/>
        <v/>
      </c>
      <c r="I53" s="40"/>
    </row>
    <row r="54" spans="2:9">
      <c r="B54" s="48"/>
      <c r="C54" s="14"/>
      <c r="D54" s="22"/>
      <c r="E54" s="22"/>
      <c r="F54" s="22"/>
      <c r="G54" s="37"/>
      <c r="H54" s="25" t="str">
        <f t="shared" si="0"/>
        <v/>
      </c>
      <c r="I54" s="40"/>
    </row>
    <row r="55" spans="2:9">
      <c r="B55" s="48"/>
      <c r="C55" s="14"/>
      <c r="D55" s="22"/>
      <c r="E55" s="22"/>
      <c r="F55" s="22"/>
      <c r="G55" s="37"/>
      <c r="H55" s="25" t="str">
        <f t="shared" si="0"/>
        <v/>
      </c>
      <c r="I55" s="40"/>
    </row>
    <row r="56" spans="2:9">
      <c r="B56" s="48"/>
      <c r="C56" s="14"/>
      <c r="D56" s="36"/>
      <c r="E56" s="36"/>
      <c r="F56" s="36"/>
      <c r="G56" s="37"/>
      <c r="H56" s="25" t="str">
        <f t="shared" si="0"/>
        <v/>
      </c>
    </row>
    <row r="57" spans="2:9">
      <c r="B57" s="48"/>
      <c r="C57" s="14"/>
      <c r="D57" s="22"/>
      <c r="E57" s="22"/>
      <c r="F57" s="22"/>
      <c r="G57" s="37"/>
      <c r="H57" s="25" t="str">
        <f t="shared" si="0"/>
        <v/>
      </c>
      <c r="I57" s="40"/>
    </row>
    <row r="58" spans="2:9">
      <c r="B58" s="48"/>
      <c r="C58" s="100"/>
      <c r="D58" s="36"/>
      <c r="E58" s="36"/>
      <c r="F58" s="36"/>
      <c r="G58" s="37"/>
      <c r="H58" s="25" t="str">
        <f t="shared" si="0"/>
        <v/>
      </c>
      <c r="I58" s="47"/>
    </row>
    <row r="59" spans="2:9">
      <c r="B59" s="48"/>
      <c r="C59" s="100"/>
      <c r="D59" s="36"/>
      <c r="E59" s="36"/>
      <c r="F59" s="36"/>
      <c r="G59" s="37"/>
      <c r="H59" s="25" t="str">
        <f t="shared" si="0"/>
        <v/>
      </c>
    </row>
    <row r="60" spans="2:9">
      <c r="B60" s="48"/>
      <c r="C60" s="100"/>
      <c r="D60" s="22"/>
      <c r="E60" s="22"/>
      <c r="F60" s="22"/>
      <c r="G60" s="37"/>
      <c r="H60" s="25" t="str">
        <f t="shared" si="0"/>
        <v/>
      </c>
      <c r="I60" s="40"/>
    </row>
    <row r="61" spans="2:9">
      <c r="B61" s="48"/>
      <c r="C61" s="14"/>
      <c r="D61" s="22"/>
      <c r="E61" s="22"/>
      <c r="F61" s="22"/>
      <c r="G61" s="37"/>
      <c r="H61" s="25" t="str">
        <f t="shared" si="0"/>
        <v/>
      </c>
      <c r="I61" s="40"/>
    </row>
    <row r="62" spans="2:9">
      <c r="B62" s="48"/>
      <c r="C62" s="14"/>
      <c r="D62" s="22"/>
      <c r="E62" s="22"/>
      <c r="F62" s="22"/>
      <c r="G62" s="37"/>
      <c r="H62" s="25" t="str">
        <f t="shared" si="0"/>
        <v/>
      </c>
      <c r="I62" s="40"/>
    </row>
    <row r="63" spans="2:9">
      <c r="B63" s="48"/>
      <c r="C63" s="14"/>
      <c r="D63" s="22"/>
      <c r="E63" s="22"/>
      <c r="F63" s="22"/>
      <c r="G63" s="37"/>
      <c r="H63" s="25" t="str">
        <f t="shared" si="0"/>
        <v/>
      </c>
      <c r="I63" s="40"/>
    </row>
    <row r="64" spans="2:9">
      <c r="B64" s="48"/>
      <c r="C64" s="14"/>
      <c r="D64" s="22"/>
      <c r="E64" s="22"/>
      <c r="F64" s="22"/>
      <c r="G64" s="37"/>
      <c r="H64" s="25" t="str">
        <f t="shared" si="0"/>
        <v/>
      </c>
      <c r="I64" s="40"/>
    </row>
    <row r="65" spans="2:9">
      <c r="B65" s="48"/>
      <c r="C65" s="14"/>
      <c r="D65" s="22"/>
      <c r="E65" s="22"/>
      <c r="F65" s="22"/>
      <c r="G65" s="37"/>
      <c r="H65" s="25" t="str">
        <f t="shared" si="0"/>
        <v/>
      </c>
      <c r="I65" s="40"/>
    </row>
    <row r="66" spans="2:9">
      <c r="B66" s="48"/>
      <c r="C66" s="252"/>
      <c r="D66" s="22"/>
      <c r="E66" s="22"/>
      <c r="F66" s="22"/>
      <c r="G66" s="37"/>
      <c r="H66" s="25" t="str">
        <f t="shared" si="0"/>
        <v/>
      </c>
      <c r="I66" s="40"/>
    </row>
    <row r="67" spans="2:9">
      <c r="B67" s="48"/>
      <c r="C67" s="252"/>
      <c r="D67" s="22"/>
      <c r="E67" s="22"/>
      <c r="F67" s="22"/>
      <c r="G67" s="37"/>
      <c r="H67" s="25" t="str">
        <f t="shared" si="0"/>
        <v/>
      </c>
      <c r="I67" s="40"/>
    </row>
    <row r="68" spans="2:9">
      <c r="B68" s="48"/>
      <c r="C68" s="252"/>
      <c r="D68" s="22"/>
      <c r="E68" s="22"/>
      <c r="F68" s="22"/>
      <c r="G68" s="37"/>
      <c r="H68" s="25" t="str">
        <f t="shared" si="0"/>
        <v/>
      </c>
      <c r="I68" s="40"/>
    </row>
    <row r="69" spans="2:9">
      <c r="B69" s="48"/>
      <c r="C69" s="14"/>
      <c r="D69" s="22"/>
      <c r="E69" s="22"/>
      <c r="F69" s="22"/>
      <c r="G69" s="37"/>
      <c r="H69" s="25" t="str">
        <f t="shared" si="0"/>
        <v/>
      </c>
      <c r="I69" s="40"/>
    </row>
    <row r="70" spans="2:9">
      <c r="B70" s="48"/>
      <c r="C70" s="14"/>
      <c r="D70" s="22"/>
      <c r="E70" s="22"/>
      <c r="F70" s="22"/>
      <c r="G70" s="37"/>
      <c r="H70" s="25" t="str">
        <f t="shared" si="0"/>
        <v/>
      </c>
      <c r="I70" s="40"/>
    </row>
    <row r="71" spans="2:9">
      <c r="B71" s="48"/>
      <c r="C71" s="14"/>
      <c r="D71" s="22"/>
      <c r="E71" s="22"/>
      <c r="F71" s="22"/>
      <c r="G71" s="37"/>
      <c r="H71" s="25" t="str">
        <f t="shared" si="0"/>
        <v/>
      </c>
      <c r="I71" s="40"/>
    </row>
    <row r="72" spans="2:9">
      <c r="B72" s="48"/>
      <c r="C72" s="14"/>
      <c r="D72" s="22"/>
      <c r="E72" s="22"/>
      <c r="F72" s="22"/>
      <c r="G72" s="37"/>
      <c r="H72" s="25" t="str">
        <f t="shared" si="0"/>
        <v/>
      </c>
      <c r="I72" s="40"/>
    </row>
    <row r="73" spans="2:9" s="28" customFormat="1" ht="24.95" customHeight="1">
      <c r="B73" s="82" t="str">
        <f>$B$10</f>
        <v>C8.3</v>
      </c>
      <c r="C73" s="29" t="s">
        <v>125</v>
      </c>
      <c r="D73" s="30"/>
      <c r="E73" s="30"/>
      <c r="F73" s="31"/>
      <c r="G73" s="30"/>
      <c r="H73" s="32">
        <f>SUM(H9:H72)</f>
        <v>0</v>
      </c>
      <c r="I73"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9"/>
  <dimension ref="B1:I73"/>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C8.4</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25" t="str">
        <f t="shared" ref="H9:H27" si="0">IF(D9="","",F9*G9)</f>
        <v/>
      </c>
      <c r="I9" s="18"/>
    </row>
    <row r="10" spans="2:9">
      <c r="B10" s="69" t="s">
        <v>1170</v>
      </c>
      <c r="C10" s="20" t="s">
        <v>1171</v>
      </c>
      <c r="D10" s="22"/>
      <c r="E10" s="22"/>
      <c r="F10" s="22"/>
      <c r="G10" s="39"/>
      <c r="H10" s="25" t="str">
        <f t="shared" si="0"/>
        <v/>
      </c>
      <c r="I10" s="40"/>
    </row>
    <row r="11" spans="2:9">
      <c r="B11" s="48"/>
      <c r="C11" s="14"/>
      <c r="D11" s="22"/>
      <c r="E11" s="22"/>
      <c r="F11" s="22"/>
      <c r="G11" s="39"/>
      <c r="H11" s="25" t="str">
        <f t="shared" si="0"/>
        <v/>
      </c>
      <c r="I11" s="40"/>
    </row>
    <row r="12" spans="2:9">
      <c r="B12" s="48" t="s">
        <v>1172</v>
      </c>
      <c r="C12" s="14" t="s">
        <v>1173</v>
      </c>
      <c r="D12" s="22"/>
      <c r="E12" s="22"/>
      <c r="F12" s="22"/>
      <c r="G12" s="39"/>
      <c r="H12" s="25" t="str">
        <f t="shared" si="0"/>
        <v/>
      </c>
      <c r="I12" s="40"/>
    </row>
    <row r="13" spans="2:9">
      <c r="B13" s="48"/>
      <c r="C13" s="14"/>
      <c r="D13" s="22"/>
      <c r="E13" s="22"/>
      <c r="F13" s="22"/>
      <c r="G13" s="39"/>
      <c r="H13" s="25" t="str">
        <f t="shared" si="0"/>
        <v/>
      </c>
      <c r="I13" s="40"/>
    </row>
    <row r="14" spans="2:9" ht="25.5">
      <c r="B14" s="48" t="s">
        <v>1174</v>
      </c>
      <c r="C14" s="14" t="s">
        <v>1175</v>
      </c>
      <c r="D14" s="22" t="s">
        <v>898</v>
      </c>
      <c r="E14" s="22"/>
      <c r="F14" s="23"/>
      <c r="G14" s="24"/>
      <c r="H14" s="25">
        <f t="shared" si="0"/>
        <v>0</v>
      </c>
      <c r="I14" s="41"/>
    </row>
    <row r="15" spans="2:9">
      <c r="B15" s="48"/>
      <c r="C15" s="14"/>
      <c r="D15" s="22"/>
      <c r="E15" s="22"/>
      <c r="F15" s="23"/>
      <c r="G15" s="24"/>
      <c r="H15" s="25" t="str">
        <f t="shared" si="0"/>
        <v/>
      </c>
      <c r="I15" s="41"/>
    </row>
    <row r="16" spans="2:9">
      <c r="B16" s="48" t="s">
        <v>1176</v>
      </c>
      <c r="C16" s="14" t="s">
        <v>1177</v>
      </c>
      <c r="D16" s="22"/>
      <c r="E16" s="22"/>
      <c r="F16" s="23"/>
      <c r="G16" s="24"/>
      <c r="H16" s="25" t="str">
        <f t="shared" si="0"/>
        <v/>
      </c>
      <c r="I16" s="41"/>
    </row>
    <row r="17" spans="2:9">
      <c r="B17" s="48"/>
      <c r="C17" s="14"/>
      <c r="D17" s="22"/>
      <c r="E17" s="22"/>
      <c r="F17" s="23"/>
      <c r="G17" s="24"/>
      <c r="H17" s="25" t="str">
        <f t="shared" si="0"/>
        <v/>
      </c>
      <c r="I17" s="41"/>
    </row>
    <row r="18" spans="2:9" ht="25.5">
      <c r="B18" s="48" t="s">
        <v>83</v>
      </c>
      <c r="C18" s="14" t="s">
        <v>1178</v>
      </c>
      <c r="D18" s="22" t="s">
        <v>903</v>
      </c>
      <c r="E18" s="22"/>
      <c r="F18" s="23"/>
      <c r="G18" s="39"/>
      <c r="H18" s="25">
        <f t="shared" si="0"/>
        <v>0</v>
      </c>
      <c r="I18" s="40"/>
    </row>
    <row r="19" spans="2:9">
      <c r="B19" s="48"/>
      <c r="C19" s="14"/>
      <c r="D19" s="22"/>
      <c r="E19" s="22"/>
      <c r="F19" s="23"/>
      <c r="G19" s="39"/>
      <c r="H19" s="25"/>
      <c r="I19" s="40"/>
    </row>
    <row r="20" spans="2:9" ht="25.5">
      <c r="B20" s="48" t="s">
        <v>86</v>
      </c>
      <c r="C20" s="14" t="s">
        <v>1179</v>
      </c>
      <c r="D20" s="22" t="s">
        <v>903</v>
      </c>
      <c r="E20" s="22"/>
      <c r="F20" s="23"/>
      <c r="G20" s="42"/>
      <c r="H20" s="25">
        <f t="shared" si="0"/>
        <v>0</v>
      </c>
      <c r="I20" s="40"/>
    </row>
    <row r="21" spans="2:9">
      <c r="B21" s="48"/>
      <c r="C21" s="14"/>
      <c r="D21" s="22"/>
      <c r="E21" s="22"/>
      <c r="F21" s="23"/>
      <c r="G21" s="42"/>
      <c r="H21" s="25"/>
      <c r="I21" s="40"/>
    </row>
    <row r="22" spans="2:9" ht="25.5">
      <c r="B22" s="48" t="s">
        <v>117</v>
      </c>
      <c r="C22" s="14" t="s">
        <v>1180</v>
      </c>
      <c r="D22" s="22" t="s">
        <v>903</v>
      </c>
      <c r="E22" s="22"/>
      <c r="F22" s="23"/>
      <c r="G22" s="39"/>
      <c r="H22" s="25">
        <f t="shared" si="0"/>
        <v>0</v>
      </c>
      <c r="I22" s="43"/>
    </row>
    <row r="23" spans="2:9">
      <c r="B23" s="48"/>
      <c r="C23" s="14"/>
      <c r="D23" s="22"/>
      <c r="E23" s="22"/>
      <c r="F23" s="23"/>
      <c r="G23" s="39"/>
      <c r="H23" s="25"/>
      <c r="I23" s="43"/>
    </row>
    <row r="24" spans="2:9" ht="25.5">
      <c r="B24" s="48" t="s">
        <v>119</v>
      </c>
      <c r="C24" s="14" t="s">
        <v>1181</v>
      </c>
      <c r="D24" s="22" t="s">
        <v>386</v>
      </c>
      <c r="E24" s="36"/>
      <c r="F24" s="23"/>
      <c r="G24" s="44"/>
      <c r="H24" s="25">
        <f t="shared" si="0"/>
        <v>0</v>
      </c>
    </row>
    <row r="25" spans="2:9">
      <c r="B25" s="48"/>
      <c r="C25" s="14"/>
      <c r="D25" s="22"/>
      <c r="E25" s="36"/>
      <c r="F25" s="23"/>
      <c r="G25" s="44"/>
      <c r="H25" s="25"/>
    </row>
    <row r="26" spans="2:9" ht="25.5">
      <c r="B26" s="48" t="s">
        <v>306</v>
      </c>
      <c r="C26" s="14" t="s">
        <v>1182</v>
      </c>
      <c r="D26" s="22" t="s">
        <v>386</v>
      </c>
      <c r="E26" s="36"/>
      <c r="F26" s="23"/>
      <c r="G26" s="44"/>
      <c r="H26" s="25">
        <f t="shared" si="0"/>
        <v>0</v>
      </c>
    </row>
    <row r="27" spans="2:9">
      <c r="B27" s="48"/>
      <c r="C27" s="14"/>
      <c r="D27" s="22"/>
      <c r="E27" s="36"/>
      <c r="F27" s="23"/>
      <c r="G27" s="37"/>
      <c r="H27" s="25" t="str">
        <f t="shared" si="0"/>
        <v/>
      </c>
    </row>
    <row r="28" spans="2:9">
      <c r="B28" s="48"/>
      <c r="C28" s="14"/>
      <c r="D28" s="22"/>
      <c r="E28" s="36"/>
      <c r="F28" s="23"/>
      <c r="G28" s="44"/>
      <c r="H28" s="25"/>
    </row>
    <row r="29" spans="2:9">
      <c r="B29" s="48"/>
      <c r="C29" s="14"/>
      <c r="D29" s="22"/>
      <c r="E29" s="36"/>
      <c r="F29" s="23"/>
      <c r="G29" s="42"/>
      <c r="H29" s="25"/>
    </row>
    <row r="30" spans="2:9">
      <c r="B30" s="48"/>
      <c r="C30" s="14"/>
      <c r="D30" s="22"/>
      <c r="E30" s="36"/>
      <c r="F30" s="23"/>
      <c r="G30" s="44"/>
      <c r="H30" s="25"/>
    </row>
    <row r="31" spans="2:9">
      <c r="B31" s="13"/>
      <c r="C31" s="14"/>
      <c r="D31" s="22"/>
      <c r="E31" s="22"/>
      <c r="F31" s="23"/>
      <c r="G31" s="39"/>
      <c r="H31" s="25"/>
      <c r="I31" s="40"/>
    </row>
    <row r="32" spans="2:9">
      <c r="B32" s="21"/>
      <c r="C32" s="14"/>
      <c r="D32" s="22"/>
      <c r="E32" s="22"/>
      <c r="F32" s="23"/>
      <c r="G32" s="39"/>
      <c r="H32" s="25"/>
      <c r="I32" s="40"/>
    </row>
    <row r="33" spans="2:9">
      <c r="B33" s="21"/>
      <c r="C33" s="14"/>
      <c r="D33" s="22"/>
      <c r="E33" s="22"/>
      <c r="F33" s="23"/>
      <c r="G33" s="37"/>
      <c r="H33" s="25"/>
      <c r="I33" s="41"/>
    </row>
    <row r="34" spans="2:9">
      <c r="B34" s="21"/>
      <c r="C34" s="14"/>
      <c r="D34" s="22"/>
      <c r="E34" s="15"/>
      <c r="F34" s="26"/>
      <c r="G34" s="27"/>
      <c r="H34" s="25"/>
      <c r="I34" s="18"/>
    </row>
    <row r="35" spans="2:9" s="35" customFormat="1">
      <c r="B35" s="21"/>
      <c r="C35" s="14"/>
      <c r="D35" s="15"/>
      <c r="E35" s="15"/>
      <c r="F35" s="26"/>
      <c r="G35" s="27"/>
      <c r="H35" s="17"/>
      <c r="I35" s="18"/>
    </row>
    <row r="36" spans="2:9">
      <c r="B36" s="21"/>
      <c r="C36" s="14"/>
      <c r="D36" s="22"/>
      <c r="E36" s="22"/>
      <c r="F36" s="23"/>
      <c r="G36" s="37"/>
      <c r="H36" s="25"/>
      <c r="I36" s="41"/>
    </row>
    <row r="37" spans="2:9">
      <c r="B37" s="21"/>
      <c r="C37" s="14"/>
      <c r="D37" s="22"/>
      <c r="E37" s="22"/>
      <c r="F37" s="23"/>
      <c r="G37" s="37"/>
      <c r="H37" s="25"/>
      <c r="I37" s="41"/>
    </row>
    <row r="38" spans="2:9">
      <c r="B38" s="21"/>
      <c r="C38" s="14"/>
      <c r="D38" s="22"/>
      <c r="E38" s="22"/>
      <c r="F38" s="23"/>
      <c r="G38" s="45"/>
      <c r="H38" s="25"/>
      <c r="I38" s="40"/>
    </row>
    <row r="39" spans="2:9">
      <c r="B39" s="13"/>
      <c r="C39" s="14"/>
      <c r="D39" s="22"/>
      <c r="E39" s="22"/>
      <c r="F39" s="23"/>
      <c r="G39" s="45"/>
      <c r="H39" s="25"/>
      <c r="I39" s="40"/>
    </row>
    <row r="40" spans="2:9">
      <c r="B40" s="13"/>
      <c r="C40" s="14"/>
      <c r="D40" s="22"/>
      <c r="E40" s="22"/>
      <c r="F40" s="23"/>
      <c r="G40" s="42"/>
      <c r="H40" s="25"/>
      <c r="I40" s="40"/>
    </row>
    <row r="41" spans="2:9">
      <c r="B41" s="13"/>
      <c r="C41" s="14"/>
      <c r="D41" s="22"/>
      <c r="E41" s="22"/>
      <c r="F41" s="23"/>
      <c r="G41" s="42"/>
      <c r="H41" s="25"/>
      <c r="I41" s="40"/>
    </row>
    <row r="42" spans="2:9">
      <c r="B42" s="13"/>
      <c r="C42" s="14"/>
      <c r="D42" s="22"/>
      <c r="E42" s="22"/>
      <c r="F42" s="22"/>
      <c r="G42" s="39"/>
      <c r="H42" s="25"/>
      <c r="I42" s="40"/>
    </row>
    <row r="43" spans="2:9">
      <c r="B43" s="13"/>
      <c r="C43" s="14"/>
      <c r="D43" s="22"/>
      <c r="E43" s="22"/>
      <c r="F43" s="22"/>
      <c r="G43" s="39"/>
      <c r="H43" s="25"/>
      <c r="I43" s="40"/>
    </row>
    <row r="44" spans="2:9">
      <c r="B44" s="13"/>
      <c r="C44" s="14"/>
      <c r="D44" s="22"/>
      <c r="E44" s="22"/>
      <c r="F44" s="22"/>
      <c r="G44" s="37"/>
      <c r="H44" s="25"/>
      <c r="I44" s="40"/>
    </row>
    <row r="45" spans="2:9">
      <c r="B45" s="13"/>
      <c r="C45" s="14"/>
      <c r="D45" s="22"/>
      <c r="E45" s="22"/>
      <c r="F45" s="22"/>
      <c r="G45" s="37"/>
      <c r="H45" s="25"/>
      <c r="I45" s="40"/>
    </row>
    <row r="46" spans="2:9">
      <c r="B46" s="13"/>
      <c r="C46" s="14"/>
      <c r="D46" s="22"/>
      <c r="E46" s="22"/>
      <c r="F46" s="22"/>
      <c r="G46" s="37"/>
      <c r="H46" s="25"/>
      <c r="I46" s="40"/>
    </row>
    <row r="47" spans="2:9">
      <c r="B47" s="13"/>
      <c r="C47" s="14"/>
      <c r="D47" s="22"/>
      <c r="E47" s="22"/>
      <c r="F47" s="22"/>
      <c r="G47" s="37"/>
      <c r="H47" s="25"/>
      <c r="I47" s="40"/>
    </row>
    <row r="48" spans="2:9">
      <c r="B48" s="13"/>
      <c r="C48" s="14"/>
      <c r="D48" s="22"/>
      <c r="E48" s="22"/>
      <c r="F48" s="22"/>
      <c r="G48" s="37"/>
      <c r="H48" s="25"/>
      <c r="I48" s="40"/>
    </row>
    <row r="49" spans="2:9">
      <c r="B49" s="13"/>
      <c r="C49" s="14"/>
      <c r="D49" s="22"/>
      <c r="E49" s="22"/>
      <c r="F49" s="22"/>
      <c r="G49" s="37"/>
      <c r="H49" s="25"/>
      <c r="I49" s="40"/>
    </row>
    <row r="50" spans="2:9">
      <c r="B50" s="13"/>
      <c r="C50" s="14"/>
      <c r="D50" s="22"/>
      <c r="E50" s="22"/>
      <c r="F50" s="22"/>
      <c r="G50" s="37"/>
      <c r="H50" s="25"/>
      <c r="I50" s="40"/>
    </row>
    <row r="51" spans="2:9">
      <c r="B51" s="13"/>
      <c r="C51" s="14"/>
      <c r="D51" s="22"/>
      <c r="E51" s="22"/>
      <c r="F51" s="22"/>
      <c r="G51" s="37"/>
      <c r="H51" s="25"/>
      <c r="I51" s="40"/>
    </row>
    <row r="52" spans="2:9">
      <c r="B52" s="13"/>
      <c r="C52" s="14"/>
      <c r="D52" s="22"/>
      <c r="E52" s="22"/>
      <c r="F52" s="22"/>
      <c r="G52" s="46"/>
      <c r="H52" s="25"/>
      <c r="I52" s="40"/>
    </row>
    <row r="53" spans="2:9">
      <c r="B53" s="14"/>
      <c r="C53" s="14"/>
      <c r="D53" s="22"/>
      <c r="E53" s="22"/>
      <c r="F53" s="22"/>
      <c r="G53" s="46"/>
      <c r="H53" s="25"/>
      <c r="I53" s="40"/>
    </row>
    <row r="54" spans="2:9">
      <c r="B54" s="21"/>
      <c r="C54" s="14"/>
      <c r="D54" s="22"/>
      <c r="E54" s="22"/>
      <c r="F54" s="22"/>
      <c r="G54" s="37"/>
      <c r="H54" s="25"/>
      <c r="I54" s="40"/>
    </row>
    <row r="55" spans="2:9">
      <c r="B55" s="21"/>
      <c r="C55" s="14"/>
      <c r="D55" s="22"/>
      <c r="E55" s="22"/>
      <c r="F55" s="22"/>
      <c r="G55" s="37"/>
      <c r="H55" s="25"/>
      <c r="I55" s="40"/>
    </row>
    <row r="56" spans="2:9">
      <c r="B56" s="13"/>
      <c r="C56" s="14"/>
      <c r="D56" s="22"/>
      <c r="E56" s="22"/>
      <c r="F56" s="22"/>
      <c r="G56" s="37"/>
      <c r="H56" s="25"/>
      <c r="I56" s="40"/>
    </row>
    <row r="57" spans="2:9">
      <c r="B57" s="13"/>
      <c r="C57" s="14"/>
      <c r="D57" s="22"/>
      <c r="E57" s="22"/>
      <c r="F57" s="22"/>
      <c r="G57" s="37"/>
      <c r="H57" s="25"/>
      <c r="I57" s="40"/>
    </row>
    <row r="58" spans="2:9">
      <c r="B58" s="13"/>
      <c r="C58" s="14"/>
      <c r="D58" s="22"/>
      <c r="E58" s="22"/>
      <c r="F58" s="22"/>
      <c r="G58" s="37"/>
      <c r="H58" s="25"/>
      <c r="I58" s="40"/>
    </row>
    <row r="59" spans="2:9">
      <c r="B59" s="13"/>
      <c r="C59" s="14"/>
      <c r="D59" s="22"/>
      <c r="E59" s="22"/>
      <c r="F59" s="22"/>
      <c r="G59" s="37"/>
      <c r="H59" s="25"/>
      <c r="I59" s="40"/>
    </row>
    <row r="60" spans="2:9">
      <c r="B60" s="13"/>
      <c r="C60" s="14"/>
      <c r="D60" s="36"/>
      <c r="E60" s="36"/>
      <c r="F60" s="36"/>
      <c r="G60" s="37"/>
      <c r="H60" s="25"/>
    </row>
    <row r="61" spans="2:9">
      <c r="B61" s="13"/>
      <c r="C61" s="14"/>
      <c r="D61" s="22"/>
      <c r="E61" s="22"/>
      <c r="F61" s="22"/>
      <c r="G61" s="37"/>
      <c r="H61" s="25"/>
      <c r="I61" s="40"/>
    </row>
    <row r="62" spans="2:9">
      <c r="B62" s="13"/>
      <c r="C62" s="100"/>
      <c r="D62" s="36"/>
      <c r="E62" s="36"/>
      <c r="F62" s="36"/>
      <c r="G62" s="37"/>
      <c r="H62" s="25"/>
      <c r="I62" s="47"/>
    </row>
    <row r="63" spans="2:9">
      <c r="B63" s="13"/>
      <c r="C63" s="100"/>
      <c r="D63" s="36"/>
      <c r="E63" s="36"/>
      <c r="F63" s="36"/>
      <c r="G63" s="37"/>
      <c r="H63" s="25"/>
    </row>
    <row r="64" spans="2:9">
      <c r="B64" s="13"/>
      <c r="C64" s="100"/>
      <c r="D64" s="22"/>
      <c r="E64" s="22"/>
      <c r="F64" s="22"/>
      <c r="G64" s="37"/>
      <c r="H64" s="25"/>
      <c r="I64" s="40"/>
    </row>
    <row r="65" spans="2:9">
      <c r="B65" s="13"/>
      <c r="C65" s="14"/>
      <c r="D65" s="22"/>
      <c r="E65" s="22"/>
      <c r="F65" s="22"/>
      <c r="G65" s="37"/>
      <c r="H65" s="25"/>
      <c r="I65" s="40"/>
    </row>
    <row r="66" spans="2:9">
      <c r="B66" s="13"/>
      <c r="C66" s="14"/>
      <c r="D66" s="22"/>
      <c r="E66" s="22"/>
      <c r="F66" s="22"/>
      <c r="G66" s="37"/>
      <c r="H66" s="25"/>
      <c r="I66" s="40"/>
    </row>
    <row r="67" spans="2:9">
      <c r="B67" s="13"/>
      <c r="C67" s="14"/>
      <c r="D67" s="22"/>
      <c r="E67" s="22"/>
      <c r="F67" s="22"/>
      <c r="G67" s="37"/>
      <c r="H67" s="25"/>
      <c r="I67" s="40"/>
    </row>
    <row r="68" spans="2:9">
      <c r="B68" s="13"/>
      <c r="C68" s="14"/>
      <c r="D68" s="22"/>
      <c r="E68" s="22"/>
      <c r="F68" s="22"/>
      <c r="G68" s="37"/>
      <c r="H68" s="25"/>
      <c r="I68" s="40"/>
    </row>
    <row r="69" spans="2:9">
      <c r="B69" s="13"/>
      <c r="C69" s="14"/>
      <c r="D69" s="22"/>
      <c r="E69" s="22"/>
      <c r="F69" s="22"/>
      <c r="G69" s="37"/>
      <c r="H69" s="25"/>
      <c r="I69" s="40"/>
    </row>
    <row r="70" spans="2:9">
      <c r="B70" s="13"/>
      <c r="C70" s="14"/>
      <c r="D70" s="22"/>
      <c r="E70" s="22"/>
      <c r="F70" s="22"/>
      <c r="G70" s="37"/>
      <c r="H70" s="25"/>
      <c r="I70" s="40"/>
    </row>
    <row r="71" spans="2:9">
      <c r="B71" s="13"/>
      <c r="C71" s="14"/>
      <c r="D71" s="22"/>
      <c r="E71" s="22"/>
      <c r="F71" s="22"/>
      <c r="G71" s="37"/>
      <c r="H71" s="25"/>
      <c r="I71" s="40"/>
    </row>
    <row r="72" spans="2:9">
      <c r="B72" s="13"/>
      <c r="C72" s="14"/>
      <c r="D72" s="22"/>
      <c r="E72" s="22"/>
      <c r="F72" s="22"/>
      <c r="G72" s="37"/>
      <c r="H72" s="25"/>
      <c r="I72" s="40"/>
    </row>
    <row r="73" spans="2:9" s="28" customFormat="1" ht="24.75" customHeight="1">
      <c r="B73" s="82" t="str">
        <f>$B$10</f>
        <v>C8.4</v>
      </c>
      <c r="C73" s="29" t="s">
        <v>125</v>
      </c>
      <c r="D73" s="30"/>
      <c r="E73" s="30"/>
      <c r="F73" s="31"/>
      <c r="G73" s="30"/>
      <c r="H73" s="32">
        <f>SUM(H9:H72)</f>
        <v>0</v>
      </c>
      <c r="I73"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D60C-C08B-458C-B234-E2F8A08CC40B}">
  <sheetPr codeName="Sheet105">
    <tabColor rgb="FF00B0F0"/>
  </sheetPr>
  <dimension ref="B1:K31"/>
  <sheetViews>
    <sheetView view="pageBreakPreview" zoomScaleNormal="100" zoomScaleSheetLayoutView="100" workbookViewId="0">
      <selection activeCell="AL16" sqref="AL16"/>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3.28515625" style="398" customWidth="1"/>
    <col min="8" max="8" width="23.42578125" style="399" customWidth="1"/>
    <col min="9" max="9" width="38.7109375" style="3" hidden="1" customWidth="1"/>
    <col min="10" max="10" width="0" style="3" hidden="1" customWidth="1"/>
    <col min="11" max="11" width="11" style="3" hidden="1" customWidth="1"/>
    <col min="12" max="36" width="0" style="3" hidden="1" customWidth="1"/>
    <col min="37" max="16384" width="6.85546875" style="3"/>
  </cols>
  <sheetData>
    <row r="1" spans="2:11">
      <c r="B1" s="2" t="s">
        <v>1</v>
      </c>
      <c r="F1" s="676" t="s">
        <v>1183</v>
      </c>
      <c r="G1" s="676"/>
      <c r="H1" s="676"/>
    </row>
    <row r="2" spans="2:11">
      <c r="B2" s="90" t="str">
        <f>Client2</f>
        <v>ACSA</v>
      </c>
    </row>
    <row r="3" spans="2:11">
      <c r="B3" s="71"/>
      <c r="C3" s="71"/>
      <c r="D3" s="71"/>
      <c r="E3" s="71"/>
      <c r="F3" s="72"/>
      <c r="G3" s="400"/>
      <c r="H3" s="401"/>
    </row>
    <row r="4" spans="2:11">
      <c r="B4" s="695" t="s">
        <v>366</v>
      </c>
      <c r="C4" s="696"/>
      <c r="D4" s="696"/>
      <c r="E4" s="696"/>
      <c r="F4" s="696"/>
      <c r="G4" s="696"/>
      <c r="H4" s="742" t="str">
        <f>"CHAPTER "&amp;B10</f>
        <v>CHAPTER C8.1</v>
      </c>
      <c r="I4" s="676" t="s">
        <v>100</v>
      </c>
    </row>
    <row r="5" spans="2:11"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11" ht="12.75" customHeight="1">
      <c r="B6" s="690"/>
      <c r="C6" s="691"/>
      <c r="D6" s="691"/>
      <c r="E6" s="691"/>
      <c r="F6" s="691"/>
      <c r="G6" s="691"/>
      <c r="H6" s="743"/>
      <c r="I6" s="676"/>
    </row>
    <row r="7" spans="2:11" ht="15" customHeight="1">
      <c r="B7" s="692"/>
      <c r="C7" s="693"/>
      <c r="D7" s="693"/>
      <c r="E7" s="693"/>
      <c r="F7" s="693"/>
      <c r="G7" s="693"/>
      <c r="H7" s="744"/>
      <c r="I7" s="676"/>
    </row>
    <row r="8" spans="2:11" s="2" customFormat="1" ht="24.95" customHeight="1">
      <c r="B8" s="282" t="s">
        <v>11</v>
      </c>
      <c r="C8" s="280" t="s">
        <v>12</v>
      </c>
      <c r="D8" s="280" t="s">
        <v>13</v>
      </c>
      <c r="E8" s="280" t="s">
        <v>14</v>
      </c>
      <c r="F8" s="11" t="s">
        <v>15</v>
      </c>
      <c r="G8" s="409" t="s">
        <v>16</v>
      </c>
      <c r="H8" s="364" t="s">
        <v>17</v>
      </c>
      <c r="I8" s="676"/>
    </row>
    <row r="9" spans="2:11">
      <c r="B9" s="13"/>
      <c r="C9" s="14"/>
      <c r="D9" s="38"/>
      <c r="E9" s="38"/>
      <c r="F9" s="15"/>
      <c r="G9" s="427"/>
      <c r="H9" s="367" t="str">
        <f>IF(D9="","",F9*G9)</f>
        <v/>
      </c>
      <c r="I9" s="299"/>
    </row>
    <row r="10" spans="2:11">
      <c r="B10" s="19" t="s">
        <v>1133</v>
      </c>
      <c r="C10" s="20" t="s">
        <v>1134</v>
      </c>
      <c r="D10" s="14"/>
      <c r="E10" s="14"/>
      <c r="F10" s="22"/>
      <c r="G10" s="410"/>
      <c r="H10" s="367" t="str">
        <f t="shared" ref="H10:H30" si="0">IF(D10="","",F10*G10)</f>
        <v/>
      </c>
      <c r="I10" s="284"/>
    </row>
    <row r="11" spans="2:11">
      <c r="B11" s="13"/>
      <c r="C11" s="14"/>
      <c r="D11" s="14"/>
      <c r="E11" s="14"/>
      <c r="F11" s="22"/>
      <c r="G11" s="410"/>
      <c r="H11" s="367" t="str">
        <f t="shared" si="0"/>
        <v/>
      </c>
      <c r="I11" s="284"/>
    </row>
    <row r="12" spans="2:11">
      <c r="B12" s="13" t="s">
        <v>1135</v>
      </c>
      <c r="C12" s="14" t="s">
        <v>1136</v>
      </c>
      <c r="D12" s="14"/>
      <c r="E12" s="14"/>
      <c r="F12" s="22"/>
      <c r="G12" s="410"/>
      <c r="H12" s="367" t="str">
        <f t="shared" si="0"/>
        <v/>
      </c>
      <c r="I12" s="331"/>
    </row>
    <row r="13" spans="2:11">
      <c r="B13" s="13"/>
      <c r="C13" s="14"/>
      <c r="D13" s="14"/>
      <c r="E13" s="14"/>
      <c r="F13" s="22"/>
      <c r="G13" s="586"/>
      <c r="H13" s="367" t="str">
        <f t="shared" si="0"/>
        <v/>
      </c>
      <c r="I13" s="331"/>
    </row>
    <row r="14" spans="2:11">
      <c r="B14" s="13" t="s">
        <v>1137</v>
      </c>
      <c r="C14" s="14" t="s">
        <v>1184</v>
      </c>
      <c r="D14" s="14" t="s">
        <v>898</v>
      </c>
      <c r="E14" s="14"/>
      <c r="F14" s="240">
        <v>5500</v>
      </c>
      <c r="G14" s="587"/>
      <c r="H14" s="367">
        <f t="shared" si="0"/>
        <v>0</v>
      </c>
      <c r="I14" s="332"/>
      <c r="K14" s="3">
        <f>6765*0.7*1.1</f>
        <v>5209.05</v>
      </c>
    </row>
    <row r="15" spans="2:11">
      <c r="B15" s="13"/>
      <c r="C15" s="14"/>
      <c r="D15" s="14"/>
      <c r="E15" s="14"/>
      <c r="F15" s="240"/>
      <c r="G15" s="587"/>
      <c r="H15" s="367" t="str">
        <f t="shared" si="0"/>
        <v/>
      </c>
      <c r="I15" s="332"/>
    </row>
    <row r="16" spans="2:11" ht="25.5">
      <c r="B16" s="13" t="s">
        <v>1139</v>
      </c>
      <c r="C16" s="14" t="s">
        <v>1140</v>
      </c>
      <c r="D16" s="14" t="s">
        <v>898</v>
      </c>
      <c r="E16" s="14" t="s">
        <v>14</v>
      </c>
      <c r="F16" s="240">
        <v>550</v>
      </c>
      <c r="G16" s="587"/>
      <c r="H16" s="367">
        <f>G16*F16</f>
        <v>0</v>
      </c>
      <c r="I16" s="332"/>
    </row>
    <row r="17" spans="2:9">
      <c r="B17" s="13"/>
      <c r="C17" s="14"/>
      <c r="D17" s="14"/>
      <c r="E17" s="14"/>
      <c r="F17" s="240"/>
      <c r="G17" s="587"/>
      <c r="H17" s="367"/>
      <c r="I17" s="332"/>
    </row>
    <row r="18" spans="2:9">
      <c r="B18" s="13"/>
      <c r="C18" s="100"/>
      <c r="D18" s="50"/>
      <c r="E18" s="50"/>
      <c r="F18" s="36"/>
      <c r="G18" s="351"/>
      <c r="H18" s="367" t="str">
        <f t="shared" si="0"/>
        <v/>
      </c>
      <c r="I18" s="4"/>
    </row>
    <row r="19" spans="2:9">
      <c r="B19" s="13"/>
      <c r="C19" s="100"/>
      <c r="D19" s="14"/>
      <c r="E19" s="14"/>
      <c r="F19" s="22"/>
      <c r="G19" s="351"/>
      <c r="H19" s="367" t="str">
        <f t="shared" si="0"/>
        <v/>
      </c>
      <c r="I19" s="331"/>
    </row>
    <row r="20" spans="2:9">
      <c r="B20" s="13"/>
      <c r="C20" s="14"/>
      <c r="D20" s="14"/>
      <c r="E20" s="14"/>
      <c r="F20" s="22"/>
      <c r="G20" s="351"/>
      <c r="H20" s="367" t="str">
        <f t="shared" si="0"/>
        <v/>
      </c>
      <c r="I20" s="331"/>
    </row>
    <row r="21" spans="2:9">
      <c r="B21" s="13"/>
      <c r="C21" s="14"/>
      <c r="D21" s="14"/>
      <c r="E21" s="14"/>
      <c r="F21" s="22"/>
      <c r="G21" s="351"/>
      <c r="H21" s="367" t="str">
        <f t="shared" si="0"/>
        <v/>
      </c>
      <c r="I21" s="284"/>
    </row>
    <row r="22" spans="2:9">
      <c r="B22" s="13"/>
      <c r="C22" s="14"/>
      <c r="D22" s="14"/>
      <c r="E22" s="14"/>
      <c r="F22" s="22"/>
      <c r="G22" s="351"/>
      <c r="H22" s="367" t="str">
        <f t="shared" si="0"/>
        <v/>
      </c>
      <c r="I22" s="284"/>
    </row>
    <row r="23" spans="2:9">
      <c r="B23" s="13"/>
      <c r="C23" s="14"/>
      <c r="D23" s="14"/>
      <c r="E23" s="14"/>
      <c r="F23" s="22"/>
      <c r="G23" s="351"/>
      <c r="H23" s="367" t="str">
        <f t="shared" si="0"/>
        <v/>
      </c>
      <c r="I23" s="284"/>
    </row>
    <row r="24" spans="2:9">
      <c r="B24" s="13"/>
      <c r="C24" s="14"/>
      <c r="D24" s="14"/>
      <c r="E24" s="14"/>
      <c r="F24" s="22"/>
      <c r="G24" s="351"/>
      <c r="H24" s="367" t="str">
        <f t="shared" si="0"/>
        <v/>
      </c>
      <c r="I24" s="284"/>
    </row>
    <row r="25" spans="2:9">
      <c r="B25" s="13"/>
      <c r="C25" s="252"/>
      <c r="D25" s="14"/>
      <c r="E25" s="14"/>
      <c r="F25" s="22"/>
      <c r="G25" s="351"/>
      <c r="H25" s="367" t="str">
        <f t="shared" si="0"/>
        <v/>
      </c>
      <c r="I25" s="284"/>
    </row>
    <row r="26" spans="2:9">
      <c r="B26" s="13"/>
      <c r="C26" s="252"/>
      <c r="D26" s="14"/>
      <c r="E26" s="14"/>
      <c r="F26" s="22"/>
      <c r="G26" s="351"/>
      <c r="H26" s="367" t="str">
        <f t="shared" si="0"/>
        <v/>
      </c>
      <c r="I26" s="284"/>
    </row>
    <row r="27" spans="2:9">
      <c r="B27" s="13"/>
      <c r="C27" s="252"/>
      <c r="D27" s="14"/>
      <c r="E27" s="14"/>
      <c r="F27" s="22"/>
      <c r="G27" s="351"/>
      <c r="H27" s="367" t="str">
        <f t="shared" si="0"/>
        <v/>
      </c>
      <c r="I27" s="284"/>
    </row>
    <row r="28" spans="2:9">
      <c r="B28" s="13"/>
      <c r="C28" s="14"/>
      <c r="D28" s="14"/>
      <c r="E28" s="14"/>
      <c r="F28" s="22"/>
      <c r="G28" s="351"/>
      <c r="H28" s="367" t="str">
        <f t="shared" si="0"/>
        <v/>
      </c>
      <c r="I28" s="284"/>
    </row>
    <row r="29" spans="2:9">
      <c r="B29" s="13"/>
      <c r="C29" s="14"/>
      <c r="D29" s="14"/>
      <c r="E29" s="14"/>
      <c r="F29" s="22"/>
      <c r="G29" s="351"/>
      <c r="H29" s="367" t="str">
        <f t="shared" si="0"/>
        <v/>
      </c>
      <c r="I29" s="284"/>
    </row>
    <row r="30" spans="2:9">
      <c r="B30" s="13"/>
      <c r="C30" s="14"/>
      <c r="D30" s="14"/>
      <c r="E30" s="14"/>
      <c r="F30" s="22"/>
      <c r="G30" s="351"/>
      <c r="H30" s="367" t="str">
        <f t="shared" si="0"/>
        <v/>
      </c>
      <c r="I30" s="284"/>
    </row>
    <row r="31" spans="2:9" s="2" customFormat="1" ht="24.95" customHeight="1">
      <c r="B31" s="290" t="str">
        <f>$B$10</f>
        <v>C8.1</v>
      </c>
      <c r="C31" s="276" t="s">
        <v>125</v>
      </c>
      <c r="D31" s="287"/>
      <c r="E31" s="287"/>
      <c r="F31" s="31"/>
      <c r="G31" s="412"/>
      <c r="H31" s="364">
        <f>SUM(H9:H30)</f>
        <v>0</v>
      </c>
      <c r="I31" s="289"/>
    </row>
  </sheetData>
  <sheetProtection algorithmName="SHA-512" hashValue="6Up+D6sIj+oWNpGpzOa/7XehTrK8aW334u+HXpxvP149ItZnlzbN1s3OsFk4EcFCKPewGeMZezHLDwuSUM+3TA==" saltValue="9HnM+NnSLJzRhV1+WuVr2Q=="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8"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0">
    <tabColor rgb="FF00B0F0"/>
  </sheetPr>
  <dimension ref="B1:I79"/>
  <sheetViews>
    <sheetView view="pageBreakPreview" topLeftCell="A7" zoomScaleNormal="100" zoomScaleSheetLayoutView="100" workbookViewId="0">
      <selection activeCell="G18" sqref="G18"/>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21.85546875" style="399" customWidth="1"/>
    <col min="9" max="9" width="43.140625" style="5" hidden="1" customWidth="1"/>
    <col min="10" max="36" width="0" style="1" hidden="1" customWidth="1"/>
    <col min="37" max="16384" width="6.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71"/>
      <c r="C3" s="71"/>
      <c r="D3" s="72"/>
      <c r="E3" s="72"/>
      <c r="F3" s="72"/>
      <c r="G3" s="400"/>
      <c r="H3" s="401"/>
    </row>
    <row r="4" spans="2:9">
      <c r="B4" s="695" t="s">
        <v>366</v>
      </c>
      <c r="C4" s="696"/>
      <c r="D4" s="696"/>
      <c r="E4" s="696"/>
      <c r="F4" s="696"/>
      <c r="G4" s="696"/>
      <c r="H4" s="742" t="str">
        <f>"CHAPTER "&amp;B10</f>
        <v>CHAPTER C8.5</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7.5" customHeight="1">
      <c r="B7" s="692"/>
      <c r="C7" s="693"/>
      <c r="D7" s="693"/>
      <c r="E7" s="693"/>
      <c r="F7" s="693"/>
      <c r="G7" s="693"/>
      <c r="H7" s="744"/>
      <c r="I7" s="676"/>
    </row>
    <row r="8" spans="2:9" s="9" customFormat="1" ht="24.95" customHeight="1">
      <c r="B8" s="10" t="s">
        <v>11</v>
      </c>
      <c r="C8" s="11" t="s">
        <v>12</v>
      </c>
      <c r="D8" s="11" t="s">
        <v>13</v>
      </c>
      <c r="E8" s="11" t="s">
        <v>14</v>
      </c>
      <c r="F8" s="11" t="s">
        <v>15</v>
      </c>
      <c r="G8" s="409" t="s">
        <v>16</v>
      </c>
      <c r="H8" s="364" t="s">
        <v>17</v>
      </c>
      <c r="I8" s="676"/>
    </row>
    <row r="9" spans="2:9">
      <c r="B9" s="48"/>
      <c r="C9" s="14"/>
      <c r="D9" s="15"/>
      <c r="E9" s="15"/>
      <c r="F9" s="15"/>
      <c r="G9" s="427"/>
      <c r="H9" s="367" t="str">
        <f>IF(D9="","",F9*G9)</f>
        <v/>
      </c>
      <c r="I9" s="239"/>
    </row>
    <row r="10" spans="2:9">
      <c r="B10" s="69" t="s">
        <v>1185</v>
      </c>
      <c r="C10" s="20" t="s">
        <v>1186</v>
      </c>
      <c r="D10" s="22"/>
      <c r="E10" s="22"/>
      <c r="F10" s="22"/>
      <c r="G10" s="410"/>
      <c r="H10" s="367" t="str">
        <f t="shared" ref="H10:H73" si="0">IF(D10="","",F10*G10)</f>
        <v/>
      </c>
      <c r="I10" s="277"/>
    </row>
    <row r="11" spans="2:9">
      <c r="B11" s="48"/>
      <c r="C11" s="14"/>
      <c r="D11" s="22"/>
      <c r="E11" s="22"/>
      <c r="F11" s="22"/>
      <c r="G11" s="586"/>
      <c r="H11" s="367" t="str">
        <f t="shared" si="0"/>
        <v/>
      </c>
      <c r="I11" s="277"/>
    </row>
    <row r="12" spans="2:9">
      <c r="B12" s="48" t="s">
        <v>1187</v>
      </c>
      <c r="C12" s="14" t="s">
        <v>1188</v>
      </c>
      <c r="D12" s="22"/>
      <c r="E12" s="22"/>
      <c r="F12" s="22"/>
      <c r="G12" s="586"/>
      <c r="H12" s="367" t="str">
        <f t="shared" si="0"/>
        <v/>
      </c>
      <c r="I12" s="331"/>
    </row>
    <row r="13" spans="2:9">
      <c r="B13" s="48"/>
      <c r="C13" s="14"/>
      <c r="D13" s="22"/>
      <c r="E13" s="22"/>
      <c r="F13" s="22"/>
      <c r="G13" s="586"/>
      <c r="H13" s="367" t="str">
        <f t="shared" si="0"/>
        <v/>
      </c>
      <c r="I13" s="331"/>
    </row>
    <row r="14" spans="2:9">
      <c r="B14" s="48" t="s">
        <v>1189</v>
      </c>
      <c r="C14" s="14" t="s">
        <v>1190</v>
      </c>
      <c r="D14" s="22"/>
      <c r="E14" s="22"/>
      <c r="F14" s="240"/>
      <c r="G14" s="587"/>
      <c r="H14" s="367" t="str">
        <f t="shared" si="0"/>
        <v/>
      </c>
      <c r="I14" s="332"/>
    </row>
    <row r="15" spans="2:9">
      <c r="B15" s="48"/>
      <c r="C15" s="14"/>
      <c r="D15" s="22"/>
      <c r="E15" s="22"/>
      <c r="F15" s="240"/>
      <c r="G15" s="587"/>
      <c r="H15" s="367" t="str">
        <f t="shared" si="0"/>
        <v/>
      </c>
      <c r="I15" s="332"/>
    </row>
    <row r="16" spans="2:9">
      <c r="B16" s="48" t="s">
        <v>83</v>
      </c>
      <c r="C16" s="14" t="s">
        <v>1191</v>
      </c>
      <c r="D16" s="22" t="s">
        <v>347</v>
      </c>
      <c r="E16" s="22" t="s">
        <v>14</v>
      </c>
      <c r="F16" s="240">
        <v>2500</v>
      </c>
      <c r="G16" s="587"/>
      <c r="H16" s="367">
        <f t="shared" si="0"/>
        <v>0</v>
      </c>
      <c r="I16" s="332" t="s">
        <v>725</v>
      </c>
    </row>
    <row r="17" spans="2:9">
      <c r="B17" s="48"/>
      <c r="C17" s="14"/>
      <c r="D17" s="22"/>
      <c r="E17" s="22"/>
      <c r="F17" s="240"/>
      <c r="G17" s="587"/>
      <c r="H17" s="367" t="str">
        <f t="shared" si="0"/>
        <v/>
      </c>
      <c r="I17" s="332"/>
    </row>
    <row r="18" spans="2:9">
      <c r="B18" s="48" t="s">
        <v>1192</v>
      </c>
      <c r="C18" s="14" t="s">
        <v>1193</v>
      </c>
      <c r="D18" s="22" t="s">
        <v>898</v>
      </c>
      <c r="E18" s="22" t="s">
        <v>14</v>
      </c>
      <c r="F18" s="240">
        <v>175</v>
      </c>
      <c r="G18" s="587"/>
      <c r="H18" s="367">
        <f t="shared" si="0"/>
        <v>0</v>
      </c>
      <c r="I18" s="332" t="s">
        <v>725</v>
      </c>
    </row>
    <row r="19" spans="2:9">
      <c r="B19" s="48"/>
      <c r="C19" s="14"/>
      <c r="D19" s="22"/>
      <c r="E19" s="22"/>
      <c r="F19" s="240"/>
      <c r="G19" s="587"/>
      <c r="H19" s="367" t="str">
        <f t="shared" si="0"/>
        <v/>
      </c>
      <c r="I19" s="331"/>
    </row>
    <row r="20" spans="2:9">
      <c r="B20" s="48" t="s">
        <v>1194</v>
      </c>
      <c r="C20" s="14" t="s">
        <v>1195</v>
      </c>
      <c r="D20" s="22" t="s">
        <v>898</v>
      </c>
      <c r="E20" s="36" t="s">
        <v>14</v>
      </c>
      <c r="F20" s="240">
        <v>175</v>
      </c>
      <c r="G20" s="587"/>
      <c r="H20" s="367">
        <f t="shared" si="0"/>
        <v>0</v>
      </c>
      <c r="I20" s="332" t="s">
        <v>725</v>
      </c>
    </row>
    <row r="21" spans="2:9">
      <c r="B21" s="48"/>
      <c r="C21" s="14"/>
      <c r="D21" s="22"/>
      <c r="E21" s="36"/>
      <c r="F21" s="240"/>
      <c r="G21" s="587"/>
      <c r="H21" s="367" t="str">
        <f t="shared" si="0"/>
        <v/>
      </c>
      <c r="I21" s="331"/>
    </row>
    <row r="22" spans="2:9">
      <c r="B22" s="48" t="s">
        <v>1196</v>
      </c>
      <c r="C22" s="14" t="s">
        <v>1197</v>
      </c>
      <c r="D22" s="22"/>
      <c r="E22" s="36"/>
      <c r="F22" s="240"/>
      <c r="G22" s="587"/>
      <c r="H22" s="367" t="str">
        <f t="shared" si="0"/>
        <v/>
      </c>
      <c r="I22" s="4"/>
    </row>
    <row r="23" spans="2:9">
      <c r="B23" s="48"/>
      <c r="C23" s="14"/>
      <c r="D23" s="22"/>
      <c r="E23" s="36"/>
      <c r="F23" s="240"/>
      <c r="G23" s="587"/>
      <c r="H23" s="367" t="str">
        <f t="shared" si="0"/>
        <v/>
      </c>
      <c r="I23" s="4"/>
    </row>
    <row r="24" spans="2:9">
      <c r="B24" s="48" t="s">
        <v>83</v>
      </c>
      <c r="C24" s="14" t="s">
        <v>1198</v>
      </c>
      <c r="D24" s="22" t="s">
        <v>898</v>
      </c>
      <c r="E24" s="36" t="s">
        <v>14</v>
      </c>
      <c r="F24" s="240">
        <v>200</v>
      </c>
      <c r="G24" s="587"/>
      <c r="H24" s="367">
        <f t="shared" si="0"/>
        <v>0</v>
      </c>
      <c r="I24" s="332" t="s">
        <v>725</v>
      </c>
    </row>
    <row r="25" spans="2:9">
      <c r="B25" s="48"/>
      <c r="C25" s="14"/>
      <c r="D25" s="22"/>
      <c r="E25" s="36"/>
      <c r="F25" s="240"/>
      <c r="G25" s="587"/>
      <c r="H25" s="367" t="str">
        <f t="shared" si="0"/>
        <v/>
      </c>
      <c r="I25" s="4"/>
    </row>
    <row r="26" spans="2:9">
      <c r="B26" s="48" t="s">
        <v>1199</v>
      </c>
      <c r="C26" s="14" t="s">
        <v>1200</v>
      </c>
      <c r="D26" s="22" t="s">
        <v>347</v>
      </c>
      <c r="E26" s="22" t="s">
        <v>14</v>
      </c>
      <c r="F26" s="240">
        <v>2500</v>
      </c>
      <c r="G26" s="587"/>
      <c r="H26" s="367">
        <f t="shared" si="0"/>
        <v>0</v>
      </c>
      <c r="I26" s="332" t="s">
        <v>725</v>
      </c>
    </row>
    <row r="27" spans="2:9">
      <c r="B27" s="48"/>
      <c r="C27" s="14"/>
      <c r="D27" s="22"/>
      <c r="E27" s="22"/>
      <c r="F27" s="240"/>
      <c r="G27" s="587"/>
      <c r="H27" s="367" t="str">
        <f t="shared" si="0"/>
        <v/>
      </c>
      <c r="I27" s="4"/>
    </row>
    <row r="28" spans="2:9">
      <c r="B28" s="48" t="s">
        <v>1201</v>
      </c>
      <c r="C28" s="14" t="s">
        <v>1202</v>
      </c>
      <c r="D28" s="22" t="s">
        <v>347</v>
      </c>
      <c r="E28" s="22" t="s">
        <v>14</v>
      </c>
      <c r="F28" s="240">
        <v>2500</v>
      </c>
      <c r="G28" s="587"/>
      <c r="H28" s="367">
        <f t="shared" si="0"/>
        <v>0</v>
      </c>
      <c r="I28" s="332" t="s">
        <v>725</v>
      </c>
    </row>
    <row r="29" spans="2:9">
      <c r="B29" s="48"/>
      <c r="C29" s="14"/>
      <c r="D29" s="22"/>
      <c r="E29" s="22"/>
      <c r="F29" s="240"/>
      <c r="G29" s="586"/>
      <c r="H29" s="367" t="str">
        <f t="shared" si="0"/>
        <v/>
      </c>
      <c r="I29" s="331"/>
    </row>
    <row r="30" spans="2:9">
      <c r="B30" s="48"/>
      <c r="C30" s="14"/>
      <c r="D30" s="22"/>
      <c r="E30" s="22"/>
      <c r="F30" s="240"/>
      <c r="G30" s="587"/>
      <c r="H30" s="367"/>
      <c r="I30" s="278"/>
    </row>
    <row r="31" spans="2:9">
      <c r="B31" s="48"/>
      <c r="C31" s="14"/>
      <c r="D31" s="22"/>
      <c r="E31" s="15"/>
      <c r="F31" s="249"/>
      <c r="G31" s="593"/>
      <c r="H31" s="367"/>
      <c r="I31" s="239"/>
    </row>
    <row r="32" spans="2:9" s="35" customFormat="1">
      <c r="B32" s="48"/>
      <c r="C32" s="14"/>
      <c r="D32" s="15"/>
      <c r="E32" s="15"/>
      <c r="F32" s="249"/>
      <c r="G32" s="427"/>
      <c r="H32" s="367"/>
      <c r="I32" s="239"/>
    </row>
    <row r="33" spans="2:9">
      <c r="B33" s="21"/>
      <c r="C33" s="14"/>
      <c r="D33" s="22"/>
      <c r="E33" s="22"/>
      <c r="F33" s="240"/>
      <c r="G33" s="351"/>
      <c r="H33" s="367" t="str">
        <f t="shared" si="0"/>
        <v/>
      </c>
      <c r="I33" s="278"/>
    </row>
    <row r="34" spans="2:9">
      <c r="B34" s="21"/>
      <c r="C34" s="14"/>
      <c r="D34" s="22"/>
      <c r="E34" s="22"/>
      <c r="F34" s="240"/>
      <c r="G34" s="351"/>
      <c r="H34" s="367" t="str">
        <f t="shared" si="0"/>
        <v/>
      </c>
      <c r="I34" s="278"/>
    </row>
    <row r="35" spans="2:9">
      <c r="B35" s="21"/>
      <c r="C35" s="14"/>
      <c r="D35" s="22"/>
      <c r="E35" s="22"/>
      <c r="F35" s="240"/>
      <c r="G35" s="410"/>
      <c r="H35" s="367" t="str">
        <f t="shared" si="0"/>
        <v/>
      </c>
      <c r="I35" s="277"/>
    </row>
    <row r="36" spans="2:9">
      <c r="B36" s="13"/>
      <c r="C36" s="14"/>
      <c r="D36" s="22"/>
      <c r="E36" s="22"/>
      <c r="F36" s="240"/>
      <c r="G36" s="410"/>
      <c r="H36" s="367" t="str">
        <f t="shared" si="0"/>
        <v/>
      </c>
      <c r="I36" s="277"/>
    </row>
    <row r="37" spans="2:9">
      <c r="B37" s="13"/>
      <c r="C37" s="14"/>
      <c r="D37" s="22"/>
      <c r="E37" s="22"/>
      <c r="F37" s="240"/>
      <c r="G37" s="379"/>
      <c r="H37" s="367" t="str">
        <f t="shared" si="0"/>
        <v/>
      </c>
      <c r="I37" s="277"/>
    </row>
    <row r="38" spans="2:9">
      <c r="B38" s="13"/>
      <c r="C38" s="14"/>
      <c r="D38" s="22"/>
      <c r="E38" s="22"/>
      <c r="F38" s="240"/>
      <c r="G38" s="379"/>
      <c r="H38" s="367" t="str">
        <f t="shared" si="0"/>
        <v/>
      </c>
      <c r="I38" s="277"/>
    </row>
    <row r="39" spans="2:9">
      <c r="B39" s="13"/>
      <c r="C39" s="14"/>
      <c r="D39" s="22"/>
      <c r="E39" s="22"/>
      <c r="F39" s="22"/>
      <c r="G39" s="410"/>
      <c r="H39" s="367" t="str">
        <f t="shared" si="0"/>
        <v/>
      </c>
      <c r="I39" s="277"/>
    </row>
    <row r="40" spans="2:9">
      <c r="B40" s="13"/>
      <c r="C40" s="14"/>
      <c r="D40" s="22"/>
      <c r="E40" s="22"/>
      <c r="F40" s="22"/>
      <c r="G40" s="410"/>
      <c r="H40" s="367" t="str">
        <f t="shared" si="0"/>
        <v/>
      </c>
      <c r="I40" s="277"/>
    </row>
    <row r="41" spans="2:9">
      <c r="B41" s="13"/>
      <c r="C41" s="14"/>
      <c r="D41" s="22"/>
      <c r="E41" s="22"/>
      <c r="F41" s="22"/>
      <c r="G41" s="351"/>
      <c r="H41" s="367" t="str">
        <f t="shared" si="0"/>
        <v/>
      </c>
      <c r="I41" s="277"/>
    </row>
    <row r="42" spans="2:9">
      <c r="B42" s="13"/>
      <c r="C42" s="14"/>
      <c r="D42" s="22"/>
      <c r="E42" s="22"/>
      <c r="F42" s="22"/>
      <c r="G42" s="351"/>
      <c r="H42" s="367" t="str">
        <f t="shared" si="0"/>
        <v/>
      </c>
      <c r="I42" s="277"/>
    </row>
    <row r="43" spans="2:9">
      <c r="B43" s="13"/>
      <c r="C43" s="14"/>
      <c r="D43" s="22"/>
      <c r="E43" s="22"/>
      <c r="F43" s="22"/>
      <c r="G43" s="351"/>
      <c r="H43" s="367" t="str">
        <f t="shared" si="0"/>
        <v/>
      </c>
      <c r="I43" s="277"/>
    </row>
    <row r="44" spans="2:9">
      <c r="B44" s="13"/>
      <c r="C44" s="14"/>
      <c r="D44" s="22"/>
      <c r="E44" s="22"/>
      <c r="F44" s="22"/>
      <c r="G44" s="351"/>
      <c r="H44" s="367" t="str">
        <f t="shared" si="0"/>
        <v/>
      </c>
      <c r="I44" s="277"/>
    </row>
    <row r="45" spans="2:9">
      <c r="B45" s="13"/>
      <c r="C45" s="14"/>
      <c r="D45" s="22"/>
      <c r="E45" s="22"/>
      <c r="F45" s="22"/>
      <c r="G45" s="351"/>
      <c r="H45" s="367" t="str">
        <f t="shared" si="0"/>
        <v/>
      </c>
      <c r="I45" s="277"/>
    </row>
    <row r="46" spans="2:9">
      <c r="B46" s="13"/>
      <c r="C46" s="14"/>
      <c r="D46" s="22"/>
      <c r="E46" s="22"/>
      <c r="F46" s="22"/>
      <c r="G46" s="351"/>
      <c r="H46" s="367" t="str">
        <f t="shared" si="0"/>
        <v/>
      </c>
      <c r="I46" s="277"/>
    </row>
    <row r="47" spans="2:9">
      <c r="B47" s="13"/>
      <c r="C47" s="14"/>
      <c r="D47" s="22"/>
      <c r="E47" s="22"/>
      <c r="F47" s="22"/>
      <c r="G47" s="351"/>
      <c r="H47" s="367" t="str">
        <f t="shared" si="0"/>
        <v/>
      </c>
      <c r="I47" s="277"/>
    </row>
    <row r="48" spans="2:9">
      <c r="B48" s="13"/>
      <c r="C48" s="14"/>
      <c r="D48" s="22"/>
      <c r="E48" s="22"/>
      <c r="F48" s="22"/>
      <c r="G48" s="351"/>
      <c r="H48" s="367" t="str">
        <f t="shared" si="0"/>
        <v/>
      </c>
      <c r="I48" s="277"/>
    </row>
    <row r="49" spans="2:9">
      <c r="B49" s="13"/>
      <c r="C49" s="14"/>
      <c r="D49" s="22"/>
      <c r="E49" s="22"/>
      <c r="F49" s="22"/>
      <c r="G49" s="351"/>
      <c r="H49" s="367" t="str">
        <f t="shared" si="0"/>
        <v/>
      </c>
      <c r="I49" s="277"/>
    </row>
    <row r="50" spans="2:9">
      <c r="B50" s="14"/>
      <c r="C50" s="14"/>
      <c r="D50" s="22"/>
      <c r="E50" s="22"/>
      <c r="F50" s="22"/>
      <c r="G50" s="351"/>
      <c r="H50" s="367" t="str">
        <f t="shared" si="0"/>
        <v/>
      </c>
      <c r="I50" s="277"/>
    </row>
    <row r="51" spans="2:9">
      <c r="B51" s="21"/>
      <c r="C51" s="14"/>
      <c r="D51" s="22"/>
      <c r="E51" s="22"/>
      <c r="F51" s="22"/>
      <c r="G51" s="351"/>
      <c r="H51" s="367" t="str">
        <f t="shared" si="0"/>
        <v/>
      </c>
      <c r="I51" s="277"/>
    </row>
    <row r="52" spans="2:9">
      <c r="B52" s="21"/>
      <c r="C52" s="14"/>
      <c r="D52" s="22"/>
      <c r="E52" s="22"/>
      <c r="F52" s="22"/>
      <c r="G52" s="351"/>
      <c r="H52" s="367" t="str">
        <f t="shared" si="0"/>
        <v/>
      </c>
      <c r="I52" s="277"/>
    </row>
    <row r="53" spans="2:9">
      <c r="B53" s="13"/>
      <c r="C53" s="14"/>
      <c r="D53" s="22"/>
      <c r="E53" s="22"/>
      <c r="F53" s="22"/>
      <c r="G53" s="351"/>
      <c r="H53" s="367" t="str">
        <f t="shared" si="0"/>
        <v/>
      </c>
      <c r="I53" s="277"/>
    </row>
    <row r="54" spans="2:9">
      <c r="B54" s="13"/>
      <c r="C54" s="14"/>
      <c r="D54" s="22"/>
      <c r="E54" s="22"/>
      <c r="F54" s="22"/>
      <c r="G54" s="351"/>
      <c r="H54" s="367" t="str">
        <f t="shared" si="0"/>
        <v/>
      </c>
      <c r="I54" s="277"/>
    </row>
    <row r="55" spans="2:9">
      <c r="B55" s="13"/>
      <c r="C55" s="14"/>
      <c r="D55" s="22"/>
      <c r="E55" s="22"/>
      <c r="F55" s="22"/>
      <c r="G55" s="351"/>
      <c r="H55" s="367" t="str">
        <f t="shared" si="0"/>
        <v/>
      </c>
      <c r="I55" s="277"/>
    </row>
    <row r="56" spans="2:9">
      <c r="B56" s="13"/>
      <c r="C56" s="14"/>
      <c r="D56" s="22"/>
      <c r="E56" s="22"/>
      <c r="F56" s="22"/>
      <c r="G56" s="351"/>
      <c r="H56" s="367" t="str">
        <f t="shared" si="0"/>
        <v/>
      </c>
      <c r="I56" s="277"/>
    </row>
    <row r="57" spans="2:9">
      <c r="B57" s="13"/>
      <c r="C57" s="14"/>
      <c r="D57" s="36"/>
      <c r="E57" s="36"/>
      <c r="F57" s="36"/>
      <c r="G57" s="351"/>
      <c r="H57" s="367" t="str">
        <f t="shared" si="0"/>
        <v/>
      </c>
    </row>
    <row r="58" spans="2:9">
      <c r="B58" s="13"/>
      <c r="C58" s="14"/>
      <c r="D58" s="22"/>
      <c r="E58" s="22"/>
      <c r="F58" s="22"/>
      <c r="G58" s="351"/>
      <c r="H58" s="367" t="str">
        <f t="shared" si="0"/>
        <v/>
      </c>
      <c r="I58" s="277"/>
    </row>
    <row r="59" spans="2:9">
      <c r="B59" s="13"/>
      <c r="C59" s="100"/>
      <c r="D59" s="36"/>
      <c r="E59" s="36"/>
      <c r="F59" s="36"/>
      <c r="G59" s="351"/>
      <c r="H59" s="367" t="str">
        <f t="shared" si="0"/>
        <v/>
      </c>
      <c r="I59" s="47"/>
    </row>
    <row r="60" spans="2:9">
      <c r="B60" s="13"/>
      <c r="C60" s="100"/>
      <c r="D60" s="36"/>
      <c r="E60" s="36"/>
      <c r="F60" s="36"/>
      <c r="G60" s="351"/>
      <c r="H60" s="367" t="str">
        <f t="shared" si="0"/>
        <v/>
      </c>
    </row>
    <row r="61" spans="2:9">
      <c r="B61" s="13"/>
      <c r="C61" s="100"/>
      <c r="D61" s="22"/>
      <c r="E61" s="22"/>
      <c r="F61" s="22"/>
      <c r="G61" s="351"/>
      <c r="H61" s="367" t="str">
        <f t="shared" si="0"/>
        <v/>
      </c>
      <c r="I61" s="277"/>
    </row>
    <row r="62" spans="2:9">
      <c r="B62" s="13"/>
      <c r="C62" s="14"/>
      <c r="D62" s="22"/>
      <c r="E62" s="22"/>
      <c r="F62" s="22"/>
      <c r="G62" s="351"/>
      <c r="H62" s="367" t="str">
        <f t="shared" si="0"/>
        <v/>
      </c>
      <c r="I62" s="277"/>
    </row>
    <row r="63" spans="2:9">
      <c r="B63" s="13"/>
      <c r="C63" s="14"/>
      <c r="D63" s="22"/>
      <c r="E63" s="22"/>
      <c r="F63" s="22"/>
      <c r="G63" s="351"/>
      <c r="H63" s="367" t="str">
        <f t="shared" si="0"/>
        <v/>
      </c>
      <c r="I63" s="277"/>
    </row>
    <row r="64" spans="2:9">
      <c r="B64" s="13"/>
      <c r="C64" s="14"/>
      <c r="D64" s="22"/>
      <c r="E64" s="22"/>
      <c r="F64" s="22"/>
      <c r="G64" s="351"/>
      <c r="H64" s="367" t="str">
        <f t="shared" si="0"/>
        <v/>
      </c>
      <c r="I64" s="277"/>
    </row>
    <row r="65" spans="2:9">
      <c r="B65" s="13"/>
      <c r="C65" s="14"/>
      <c r="D65" s="22"/>
      <c r="E65" s="22"/>
      <c r="F65" s="22"/>
      <c r="G65" s="351"/>
      <c r="H65" s="367" t="str">
        <f t="shared" si="0"/>
        <v/>
      </c>
      <c r="I65" s="277"/>
    </row>
    <row r="66" spans="2:9">
      <c r="B66" s="13"/>
      <c r="C66" s="14"/>
      <c r="D66" s="22"/>
      <c r="E66" s="22"/>
      <c r="F66" s="22"/>
      <c r="G66" s="351"/>
      <c r="H66" s="367" t="str">
        <f t="shared" si="0"/>
        <v/>
      </c>
      <c r="I66" s="277"/>
    </row>
    <row r="67" spans="2:9">
      <c r="B67" s="13"/>
      <c r="C67" s="252"/>
      <c r="D67" s="22"/>
      <c r="E67" s="22"/>
      <c r="F67" s="22"/>
      <c r="G67" s="351"/>
      <c r="H67" s="367" t="str">
        <f t="shared" si="0"/>
        <v/>
      </c>
      <c r="I67" s="277"/>
    </row>
    <row r="68" spans="2:9">
      <c r="B68" s="13"/>
      <c r="C68" s="252"/>
      <c r="D68" s="22"/>
      <c r="E68" s="22"/>
      <c r="F68" s="22"/>
      <c r="G68" s="351"/>
      <c r="H68" s="367" t="str">
        <f t="shared" si="0"/>
        <v/>
      </c>
      <c r="I68" s="277"/>
    </row>
    <row r="69" spans="2:9">
      <c r="B69" s="13"/>
      <c r="C69" s="252"/>
      <c r="D69" s="22"/>
      <c r="E69" s="22"/>
      <c r="F69" s="22"/>
      <c r="G69" s="351"/>
      <c r="H69" s="367" t="str">
        <f t="shared" si="0"/>
        <v/>
      </c>
      <c r="I69" s="277"/>
    </row>
    <row r="70" spans="2:9">
      <c r="B70" s="13"/>
      <c r="C70" s="14"/>
      <c r="D70" s="22"/>
      <c r="E70" s="22"/>
      <c r="F70" s="22"/>
      <c r="G70" s="351"/>
      <c r="H70" s="367" t="str">
        <f t="shared" si="0"/>
        <v/>
      </c>
      <c r="I70" s="277"/>
    </row>
    <row r="71" spans="2:9">
      <c r="B71" s="13"/>
      <c r="C71" s="14"/>
      <c r="D71" s="22"/>
      <c r="E71" s="22"/>
      <c r="F71" s="22"/>
      <c r="G71" s="351"/>
      <c r="H71" s="367" t="str">
        <f t="shared" si="0"/>
        <v/>
      </c>
      <c r="I71" s="277"/>
    </row>
    <row r="72" spans="2:9">
      <c r="B72" s="13"/>
      <c r="C72" s="14"/>
      <c r="D72" s="22"/>
      <c r="E72" s="22"/>
      <c r="F72" s="22"/>
      <c r="G72" s="351"/>
      <c r="H72" s="367" t="str">
        <f t="shared" si="0"/>
        <v/>
      </c>
      <c r="I72" s="277"/>
    </row>
    <row r="73" spans="2:9">
      <c r="B73" s="13"/>
      <c r="C73" s="14"/>
      <c r="D73" s="22"/>
      <c r="E73" s="22"/>
      <c r="F73" s="22"/>
      <c r="G73" s="351"/>
      <c r="H73" s="367" t="str">
        <f t="shared" si="0"/>
        <v/>
      </c>
      <c r="I73" s="277"/>
    </row>
    <row r="74" spans="2:9">
      <c r="B74" s="13"/>
      <c r="C74" s="14"/>
      <c r="D74" s="22"/>
      <c r="E74" s="22"/>
      <c r="F74" s="22"/>
      <c r="G74" s="351"/>
      <c r="H74" s="367" t="str">
        <f t="shared" ref="H74:H78" si="1">IF(D74="","",F74*G74)</f>
        <v/>
      </c>
      <c r="I74" s="277"/>
    </row>
    <row r="75" spans="2:9">
      <c r="B75" s="13"/>
      <c r="C75" s="14"/>
      <c r="D75" s="22"/>
      <c r="E75" s="22"/>
      <c r="F75" s="22"/>
      <c r="G75" s="351"/>
      <c r="H75" s="367" t="str">
        <f t="shared" si="1"/>
        <v/>
      </c>
      <c r="I75" s="277"/>
    </row>
    <row r="76" spans="2:9">
      <c r="B76" s="13"/>
      <c r="C76" s="14"/>
      <c r="D76" s="22"/>
      <c r="E76" s="22"/>
      <c r="F76" s="22"/>
      <c r="G76" s="351"/>
      <c r="H76" s="367" t="str">
        <f t="shared" si="1"/>
        <v/>
      </c>
      <c r="I76" s="277"/>
    </row>
    <row r="77" spans="2:9">
      <c r="B77" s="13"/>
      <c r="C77" s="14"/>
      <c r="D77" s="22"/>
      <c r="E77" s="22"/>
      <c r="F77" s="22"/>
      <c r="G77" s="351"/>
      <c r="H77" s="367" t="str">
        <f t="shared" si="1"/>
        <v/>
      </c>
      <c r="I77" s="277"/>
    </row>
    <row r="78" spans="2:9">
      <c r="B78" s="13"/>
      <c r="C78" s="14"/>
      <c r="D78" s="22"/>
      <c r="E78" s="22"/>
      <c r="F78" s="22"/>
      <c r="G78" s="351"/>
      <c r="H78" s="367" t="str">
        <f t="shared" si="1"/>
        <v/>
      </c>
      <c r="I78" s="277"/>
    </row>
    <row r="79" spans="2:9" s="28" customFormat="1" ht="24.75" customHeight="1">
      <c r="B79" s="82" t="str">
        <f>$B$10</f>
        <v>C8.5</v>
      </c>
      <c r="C79" s="29" t="s">
        <v>125</v>
      </c>
      <c r="D79" s="30"/>
      <c r="E79" s="30"/>
      <c r="F79" s="31"/>
      <c r="G79" s="412"/>
      <c r="H79" s="364">
        <f>SUM(H9:H78)</f>
        <v>0</v>
      </c>
      <c r="I79" s="236"/>
    </row>
  </sheetData>
  <sheetProtection algorithmName="SHA-512" hashValue="LpAhriTJFsSaRgcd2YpVJqDOzq+sPBWJKylv+bfMDzElrhso7FU3BI8lualZ9C51+mtkJGmhQ5dMKN9Rf9uGqA==" saltValue="JRbRsFxvoeTU52K8JtxDsw==" spinCount="100000" sheet="1" objects="1" scenarios="1"/>
  <mergeCells count="5">
    <mergeCell ref="F1:H1"/>
    <mergeCell ref="B5:G7"/>
    <mergeCell ref="H4:H7"/>
    <mergeCell ref="B4:G4"/>
    <mergeCell ref="I4:I8"/>
  </mergeCells>
  <pageMargins left="0.43307086614173229" right="0.31496062992125984" top="0.43307086614173229" bottom="0.62992125984251968" header="0.35433070866141736" footer="0.31496062992125984"/>
  <pageSetup paperSize="9" scale="56"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B1:R114"/>
  <sheetViews>
    <sheetView view="pageBreakPreview" zoomScaleNormal="100" zoomScaleSheetLayoutView="100" workbookViewId="0">
      <selection activeCell="G16" sqref="G16"/>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2.85546875" style="4" customWidth="1"/>
    <col min="7" max="7" width="15.7109375" style="398" customWidth="1"/>
    <col min="8" max="8" width="21.5703125" style="399" customWidth="1"/>
    <col min="9" max="9" width="41.5703125" style="3" hidden="1" customWidth="1"/>
    <col min="10" max="10" width="25.42578125" style="3" hidden="1" customWidth="1"/>
    <col min="11" max="11" width="6.85546875" style="3" hidden="1" customWidth="1"/>
    <col min="12" max="12" width="19.140625" style="3" hidden="1" customWidth="1"/>
    <col min="13" max="18" width="6.85546875" style="3" hidden="1" customWidth="1"/>
    <col min="19" max="36" width="0" style="3" hidden="1" customWidth="1"/>
    <col min="37" max="16384" width="6.85546875" style="3"/>
  </cols>
  <sheetData>
    <row r="1" spans="2:12" ht="25.5" customHeight="1">
      <c r="B1" s="2" t="str">
        <f>Client1</f>
        <v>AIRPORTS COMPANY - SOUTH AFRICA</v>
      </c>
      <c r="F1" s="676" t="str">
        <f>"Contract No. "&amp;ContractNo</f>
        <v>Contract No. KSIA7806/2025/RFP</v>
      </c>
      <c r="G1" s="676"/>
      <c r="H1" s="676"/>
    </row>
    <row r="2" spans="2:12">
      <c r="B2" s="2" t="str">
        <f>Client2</f>
        <v>ACSA</v>
      </c>
    </row>
    <row r="3" spans="2:12">
      <c r="B3" s="71"/>
      <c r="C3" s="71"/>
      <c r="D3" s="71"/>
      <c r="E3" s="71"/>
      <c r="F3" s="72"/>
      <c r="G3" s="400"/>
      <c r="H3" s="401"/>
    </row>
    <row r="4" spans="2:12">
      <c r="B4" s="695" t="s">
        <v>10</v>
      </c>
      <c r="C4" s="696"/>
      <c r="D4" s="696"/>
      <c r="E4" s="696"/>
      <c r="F4" s="696"/>
      <c r="G4" s="696"/>
      <c r="H4" s="684" t="str">
        <f>"CHAPTER "&amp;B10</f>
        <v>CHAPTER C1.3</v>
      </c>
      <c r="I4" s="676" t="s">
        <v>100</v>
      </c>
    </row>
    <row r="5" spans="2:12"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c r="I5" s="676"/>
    </row>
    <row r="6" spans="2:12" ht="12.75" customHeight="1">
      <c r="B6" s="690"/>
      <c r="C6" s="691"/>
      <c r="D6" s="691"/>
      <c r="E6" s="691"/>
      <c r="F6" s="691"/>
      <c r="G6" s="691"/>
      <c r="H6" s="694"/>
      <c r="I6" s="676"/>
    </row>
    <row r="7" spans="2:12" ht="17.25" customHeight="1">
      <c r="B7" s="692"/>
      <c r="C7" s="693"/>
      <c r="D7" s="693"/>
      <c r="E7" s="693"/>
      <c r="F7" s="693"/>
      <c r="G7" s="693"/>
      <c r="H7" s="686"/>
      <c r="I7" s="676"/>
    </row>
    <row r="8" spans="2:12" s="2" customFormat="1" ht="24.95" customHeight="1">
      <c r="B8" s="282" t="s">
        <v>11</v>
      </c>
      <c r="C8" s="280" t="s">
        <v>12</v>
      </c>
      <c r="D8" s="280" t="s">
        <v>13</v>
      </c>
      <c r="E8" s="280" t="s">
        <v>14</v>
      </c>
      <c r="F8" s="11" t="s">
        <v>15</v>
      </c>
      <c r="G8" s="409" t="s">
        <v>16</v>
      </c>
      <c r="H8" s="364" t="s">
        <v>17</v>
      </c>
      <c r="I8" s="676"/>
    </row>
    <row r="9" spans="2:12">
      <c r="B9" s="13"/>
      <c r="C9" s="14"/>
      <c r="D9" s="14"/>
      <c r="E9" s="14"/>
      <c r="F9" s="22"/>
      <c r="G9" s="410"/>
      <c r="H9" s="363" t="str">
        <f>IF(D9="","",F9*G9)</f>
        <v/>
      </c>
    </row>
    <row r="10" spans="2:12" ht="25.5">
      <c r="B10" s="19" t="s">
        <v>101</v>
      </c>
      <c r="C10" s="20" t="s">
        <v>102</v>
      </c>
      <c r="D10" s="14"/>
      <c r="E10" s="14"/>
      <c r="F10" s="22"/>
      <c r="G10" s="410"/>
      <c r="H10" s="363" t="str">
        <f t="shared" ref="H10:H34" si="0">IF(D10="","",F10*G10)</f>
        <v/>
      </c>
    </row>
    <row r="11" spans="2:12">
      <c r="B11" s="13"/>
      <c r="C11" s="14"/>
      <c r="D11" s="14"/>
      <c r="E11" s="14"/>
      <c r="F11" s="22"/>
      <c r="G11" s="410"/>
      <c r="H11" s="363" t="str">
        <f t="shared" si="0"/>
        <v/>
      </c>
    </row>
    <row r="12" spans="2:12">
      <c r="B12" s="13" t="s">
        <v>103</v>
      </c>
      <c r="C12" s="14" t="s">
        <v>104</v>
      </c>
      <c r="D12" s="14"/>
      <c r="E12" s="14"/>
      <c r="F12" s="410"/>
      <c r="G12" s="410"/>
      <c r="H12" s="363" t="str">
        <f t="shared" si="0"/>
        <v/>
      </c>
      <c r="L12" s="514"/>
    </row>
    <row r="13" spans="2:12">
      <c r="B13" s="13"/>
      <c r="C13" s="14"/>
      <c r="D13" s="14"/>
      <c r="E13" s="14"/>
      <c r="F13" s="410"/>
      <c r="G13" s="587"/>
      <c r="H13" s="363" t="str">
        <f t="shared" si="0"/>
        <v/>
      </c>
    </row>
    <row r="14" spans="2:12">
      <c r="B14" s="13" t="s">
        <v>105</v>
      </c>
      <c r="C14" s="14" t="s">
        <v>106</v>
      </c>
      <c r="D14" s="14" t="s">
        <v>33</v>
      </c>
      <c r="E14" s="14"/>
      <c r="F14" s="350">
        <v>1</v>
      </c>
      <c r="G14" s="587"/>
      <c r="H14" s="363">
        <f>G14*F14</f>
        <v>0</v>
      </c>
      <c r="J14" s="522"/>
      <c r="L14" s="514">
        <f>H14+H18</f>
        <v>0</v>
      </c>
    </row>
    <row r="15" spans="2:12">
      <c r="B15" s="13"/>
      <c r="C15" s="14"/>
      <c r="D15" s="14"/>
      <c r="E15" s="14"/>
      <c r="F15" s="351"/>
      <c r="G15" s="587"/>
      <c r="H15" s="363"/>
      <c r="J15" s="523"/>
      <c r="L15" s="514" t="e">
        <f>'CIVIL BOQ Summary'!#REF!</f>
        <v>#REF!</v>
      </c>
    </row>
    <row r="16" spans="2:12" ht="25.5">
      <c r="B16" s="629" t="s">
        <v>107</v>
      </c>
      <c r="C16" s="638" t="s">
        <v>108</v>
      </c>
      <c r="D16" s="638" t="s">
        <v>25</v>
      </c>
      <c r="E16" s="638"/>
      <c r="F16" s="639">
        <v>12</v>
      </c>
      <c r="G16" s="640"/>
      <c r="H16" s="634">
        <f t="shared" ref="H16" si="1">IF(D16="","",F16*G16)</f>
        <v>0</v>
      </c>
      <c r="J16" s="523"/>
      <c r="L16" s="514"/>
    </row>
    <row r="17" spans="2:12">
      <c r="B17" s="629"/>
      <c r="C17" s="638"/>
      <c r="D17" s="638"/>
      <c r="E17" s="638"/>
      <c r="F17" s="639"/>
      <c r="G17" s="640"/>
      <c r="H17" s="634"/>
      <c r="J17" s="523"/>
      <c r="L17" s="514"/>
    </row>
    <row r="18" spans="2:12" ht="25.5">
      <c r="B18" s="629" t="s">
        <v>109</v>
      </c>
      <c r="C18" s="638" t="s">
        <v>110</v>
      </c>
      <c r="D18" s="638" t="s">
        <v>25</v>
      </c>
      <c r="E18" s="638"/>
      <c r="F18" s="639">
        <v>12</v>
      </c>
      <c r="G18" s="640"/>
      <c r="H18" s="634">
        <f t="shared" ref="H18" si="2">IF(D18="","",F18*G18)</f>
        <v>0</v>
      </c>
      <c r="J18" s="524"/>
      <c r="L18" s="525" t="e">
        <f>L14/L15</f>
        <v>#REF!</v>
      </c>
    </row>
    <row r="19" spans="2:12">
      <c r="B19" s="13"/>
      <c r="C19" s="14"/>
      <c r="D19" s="14"/>
      <c r="E19" s="14"/>
      <c r="F19" s="351"/>
      <c r="G19" s="587"/>
      <c r="H19" s="363" t="str">
        <f t="shared" si="0"/>
        <v/>
      </c>
      <c r="L19" s="526"/>
    </row>
    <row r="20" spans="2:12" ht="51">
      <c r="B20" s="13"/>
      <c r="C20" s="20" t="s">
        <v>111</v>
      </c>
      <c r="D20" s="14"/>
      <c r="E20" s="14"/>
      <c r="F20" s="351"/>
      <c r="G20" s="587"/>
      <c r="H20" s="363"/>
      <c r="L20" s="526"/>
    </row>
    <row r="21" spans="2:12">
      <c r="B21" s="13"/>
      <c r="C21" s="14"/>
      <c r="D21" s="14"/>
      <c r="E21" s="14"/>
      <c r="F21" s="351"/>
      <c r="G21" s="587"/>
      <c r="H21" s="363"/>
      <c r="L21" s="526"/>
    </row>
    <row r="22" spans="2:12">
      <c r="B22" s="13" t="s">
        <v>112</v>
      </c>
      <c r="C22" s="14" t="s">
        <v>113</v>
      </c>
      <c r="D22" s="14"/>
      <c r="E22" s="14"/>
      <c r="F22" s="351"/>
      <c r="G22" s="587"/>
      <c r="H22" s="363"/>
      <c r="I22" s="689" t="s">
        <v>114</v>
      </c>
      <c r="L22" s="526"/>
    </row>
    <row r="23" spans="2:12">
      <c r="B23" s="13"/>
      <c r="C23" s="14"/>
      <c r="D23" s="14"/>
      <c r="E23" s="14"/>
      <c r="F23" s="351"/>
      <c r="G23" s="587"/>
      <c r="H23" s="363"/>
      <c r="I23" s="689"/>
      <c r="L23" s="526"/>
    </row>
    <row r="24" spans="2:12">
      <c r="B24" s="13" t="s">
        <v>83</v>
      </c>
      <c r="C24" s="14" t="s">
        <v>115</v>
      </c>
      <c r="D24" s="14" t="s">
        <v>85</v>
      </c>
      <c r="E24" s="14"/>
      <c r="F24" s="351">
        <v>1</v>
      </c>
      <c r="G24" s="587"/>
      <c r="H24" s="363">
        <f>G24*F24</f>
        <v>0</v>
      </c>
      <c r="I24" s="689"/>
      <c r="L24" s="526"/>
    </row>
    <row r="25" spans="2:12">
      <c r="B25" s="13"/>
      <c r="C25" s="14"/>
      <c r="D25" s="14"/>
      <c r="E25" s="14"/>
      <c r="F25" s="351"/>
      <c r="G25" s="587"/>
      <c r="H25" s="363"/>
      <c r="I25" s="689"/>
      <c r="L25" s="526"/>
    </row>
    <row r="26" spans="2:12">
      <c r="B26" s="13" t="s">
        <v>86</v>
      </c>
      <c r="C26" s="14" t="s">
        <v>116</v>
      </c>
      <c r="D26" s="14" t="s">
        <v>85</v>
      </c>
      <c r="E26" s="14"/>
      <c r="F26" s="351">
        <v>1</v>
      </c>
      <c r="G26" s="587"/>
      <c r="H26" s="363">
        <f t="shared" ref="H26:H30" si="3">G26*F26</f>
        <v>0</v>
      </c>
      <c r="I26" s="689"/>
      <c r="L26" s="526"/>
    </row>
    <row r="27" spans="2:12">
      <c r="B27" s="13"/>
      <c r="C27" s="14"/>
      <c r="D27" s="14"/>
      <c r="E27" s="14"/>
      <c r="F27" s="351"/>
      <c r="G27" s="587"/>
      <c r="H27" s="363"/>
      <c r="I27" s="689"/>
      <c r="L27" s="526"/>
    </row>
    <row r="28" spans="2:12">
      <c r="B28" s="13" t="s">
        <v>117</v>
      </c>
      <c r="C28" s="14" t="s">
        <v>118</v>
      </c>
      <c r="D28" s="14" t="s">
        <v>25</v>
      </c>
      <c r="E28" s="14"/>
      <c r="F28" s="351">
        <v>3</v>
      </c>
      <c r="G28" s="587"/>
      <c r="H28" s="363">
        <f t="shared" si="3"/>
        <v>0</v>
      </c>
      <c r="I28" s="689"/>
      <c r="L28" s="526"/>
    </row>
    <row r="29" spans="2:12">
      <c r="B29" s="13"/>
      <c r="C29" s="14"/>
      <c r="D29" s="14"/>
      <c r="E29" s="14"/>
      <c r="F29" s="351"/>
      <c r="G29" s="351"/>
      <c r="H29" s="363"/>
      <c r="I29" s="689"/>
      <c r="L29" s="526"/>
    </row>
    <row r="30" spans="2:12">
      <c r="B30" s="13" t="s">
        <v>119</v>
      </c>
      <c r="C30" s="14" t="s">
        <v>120</v>
      </c>
      <c r="D30" s="14" t="s">
        <v>121</v>
      </c>
      <c r="E30" s="14"/>
      <c r="F30" s="351">
        <v>1</v>
      </c>
      <c r="G30" s="351">
        <v>300000</v>
      </c>
      <c r="H30" s="363">
        <f t="shared" si="3"/>
        <v>300000</v>
      </c>
      <c r="I30" s="689"/>
      <c r="L30" s="526"/>
    </row>
    <row r="31" spans="2:12">
      <c r="B31" s="13"/>
      <c r="C31" s="14"/>
      <c r="D31" s="14"/>
      <c r="E31" s="14"/>
      <c r="F31" s="351"/>
      <c r="G31" s="351"/>
      <c r="H31" s="363"/>
      <c r="L31" s="526"/>
    </row>
    <row r="32" spans="2:12">
      <c r="B32" s="13"/>
      <c r="C32" s="14"/>
      <c r="D32" s="14"/>
      <c r="E32" s="14"/>
      <c r="F32" s="351"/>
      <c r="G32" s="351"/>
      <c r="H32" s="363"/>
      <c r="L32" s="526"/>
    </row>
    <row r="33" spans="2:10" ht="14.25">
      <c r="B33" s="13" t="s">
        <v>122</v>
      </c>
      <c r="C33" s="14" t="s">
        <v>123</v>
      </c>
      <c r="D33" s="14" t="s">
        <v>124</v>
      </c>
      <c r="E33" s="14"/>
      <c r="F33" s="350">
        <v>24</v>
      </c>
      <c r="G33" s="587"/>
      <c r="H33" s="363">
        <f t="shared" si="0"/>
        <v>0</v>
      </c>
      <c r="J33" s="527"/>
    </row>
    <row r="34" spans="2:10">
      <c r="B34" s="13"/>
      <c r="C34" s="14"/>
      <c r="D34" s="14"/>
      <c r="E34" s="14"/>
      <c r="F34" s="351"/>
      <c r="G34" s="351"/>
      <c r="H34" s="363" t="str">
        <f t="shared" si="0"/>
        <v/>
      </c>
    </row>
    <row r="35" spans="2:10">
      <c r="B35" s="13"/>
      <c r="C35" s="14"/>
      <c r="D35" s="14"/>
      <c r="E35" s="14"/>
      <c r="F35" s="410"/>
      <c r="G35" s="351"/>
      <c r="H35" s="363"/>
    </row>
    <row r="36" spans="2:10">
      <c r="B36" s="13"/>
      <c r="C36" s="14"/>
      <c r="D36" s="14"/>
      <c r="E36" s="14"/>
      <c r="F36" s="410"/>
      <c r="G36" s="351"/>
      <c r="H36" s="363"/>
    </row>
    <row r="37" spans="2:10">
      <c r="B37" s="13"/>
      <c r="C37" s="14"/>
      <c r="D37" s="14"/>
      <c r="E37" s="14"/>
      <c r="F37" s="22"/>
      <c r="G37" s="351"/>
      <c r="H37" s="363"/>
    </row>
    <row r="38" spans="2:10">
      <c r="B38" s="13"/>
      <c r="C38" s="14"/>
      <c r="D38" s="14"/>
      <c r="E38" s="14"/>
      <c r="F38" s="22"/>
      <c r="G38" s="351"/>
      <c r="H38" s="363"/>
    </row>
    <row r="39" spans="2:10">
      <c r="B39" s="13"/>
      <c r="C39" s="14"/>
      <c r="D39" s="14"/>
      <c r="E39" s="14"/>
      <c r="F39" s="22"/>
      <c r="G39" s="351"/>
      <c r="H39" s="363"/>
    </row>
    <row r="40" spans="2:10">
      <c r="B40" s="13"/>
      <c r="C40" s="14"/>
      <c r="D40" s="14"/>
      <c r="E40" s="14"/>
      <c r="F40" s="22"/>
      <c r="G40" s="351"/>
      <c r="H40" s="363"/>
    </row>
    <row r="41" spans="2:10">
      <c r="B41" s="13"/>
      <c r="C41" s="14"/>
      <c r="D41" s="14"/>
      <c r="E41" s="14"/>
      <c r="F41" s="22"/>
      <c r="G41" s="351"/>
      <c r="H41" s="363"/>
    </row>
    <row r="42" spans="2:10">
      <c r="B42" s="13"/>
      <c r="C42" s="14"/>
      <c r="D42" s="14"/>
      <c r="E42" s="14"/>
      <c r="F42" s="22"/>
      <c r="G42" s="351"/>
      <c r="H42" s="363"/>
    </row>
    <row r="43" spans="2:10">
      <c r="B43" s="13"/>
      <c r="C43" s="14"/>
      <c r="D43" s="14"/>
      <c r="E43" s="14"/>
      <c r="F43" s="22"/>
      <c r="G43" s="351"/>
      <c r="H43" s="363"/>
    </row>
    <row r="44" spans="2:10">
      <c r="B44" s="13"/>
      <c r="C44" s="14"/>
      <c r="D44" s="14"/>
      <c r="E44" s="14"/>
      <c r="F44" s="22"/>
      <c r="G44" s="351"/>
      <c r="H44" s="363"/>
    </row>
    <row r="45" spans="2:10">
      <c r="B45" s="13"/>
      <c r="C45" s="14"/>
      <c r="D45" s="14"/>
      <c r="E45" s="14"/>
      <c r="F45" s="22"/>
      <c r="G45" s="351"/>
      <c r="H45" s="363"/>
    </row>
    <row r="46" spans="2:10">
      <c r="B46" s="13"/>
      <c r="C46" s="14"/>
      <c r="D46" s="14"/>
      <c r="E46" s="14"/>
      <c r="F46" s="22"/>
      <c r="G46" s="351"/>
      <c r="H46" s="363"/>
    </row>
    <row r="47" spans="2:10">
      <c r="B47" s="13"/>
      <c r="C47" s="14"/>
      <c r="D47" s="14"/>
      <c r="E47" s="14"/>
      <c r="F47" s="22"/>
      <c r="G47" s="351"/>
      <c r="H47" s="363"/>
    </row>
    <row r="48" spans="2:10">
      <c r="B48" s="13"/>
      <c r="C48" s="14"/>
      <c r="D48" s="14"/>
      <c r="E48" s="14"/>
      <c r="F48" s="22"/>
      <c r="G48" s="351"/>
      <c r="H48" s="363"/>
    </row>
    <row r="49" spans="2:8">
      <c r="B49" s="13"/>
      <c r="C49" s="14"/>
      <c r="D49" s="14"/>
      <c r="E49" s="14"/>
      <c r="F49" s="22"/>
      <c r="G49" s="351"/>
      <c r="H49" s="363"/>
    </row>
    <row r="50" spans="2:8">
      <c r="B50" s="13"/>
      <c r="C50" s="14"/>
      <c r="D50" s="14"/>
      <c r="E50" s="14"/>
      <c r="F50" s="22"/>
      <c r="G50" s="351"/>
      <c r="H50" s="363"/>
    </row>
    <row r="51" spans="2:8">
      <c r="B51" s="13"/>
      <c r="C51" s="14"/>
      <c r="D51" s="14"/>
      <c r="E51" s="14"/>
      <c r="F51" s="22"/>
      <c r="G51" s="351"/>
      <c r="H51" s="363"/>
    </row>
    <row r="52" spans="2:8">
      <c r="B52" s="13"/>
      <c r="C52" s="14"/>
      <c r="D52" s="14"/>
      <c r="E52" s="14"/>
      <c r="F52" s="22"/>
      <c r="G52" s="351"/>
      <c r="H52" s="363"/>
    </row>
    <row r="53" spans="2:8">
      <c r="B53" s="13"/>
      <c r="C53" s="14"/>
      <c r="D53" s="14"/>
      <c r="E53" s="14"/>
      <c r="F53" s="22"/>
      <c r="G53" s="351"/>
      <c r="H53" s="363"/>
    </row>
    <row r="54" spans="2:8">
      <c r="B54" s="13"/>
      <c r="C54" s="50"/>
      <c r="D54" s="14"/>
      <c r="E54" s="14"/>
      <c r="F54" s="22"/>
      <c r="G54" s="351"/>
      <c r="H54" s="363"/>
    </row>
    <row r="55" spans="2:8">
      <c r="B55" s="13"/>
      <c r="C55" s="14"/>
      <c r="D55" s="14"/>
      <c r="E55" s="14"/>
      <c r="F55" s="22"/>
      <c r="G55" s="351"/>
      <c r="H55" s="363"/>
    </row>
    <row r="56" spans="2:8">
      <c r="B56" s="13"/>
      <c r="C56" s="14"/>
      <c r="D56" s="14"/>
      <c r="E56" s="14"/>
      <c r="F56" s="22"/>
      <c r="G56" s="351"/>
      <c r="H56" s="363"/>
    </row>
    <row r="57" spans="2:8">
      <c r="B57" s="13"/>
      <c r="C57" s="14"/>
      <c r="D57" s="14"/>
      <c r="E57" s="14"/>
      <c r="F57" s="22"/>
      <c r="G57" s="351"/>
      <c r="H57" s="363"/>
    </row>
    <row r="58" spans="2:8">
      <c r="B58" s="13"/>
      <c r="C58" s="14"/>
      <c r="D58" s="14"/>
      <c r="E58" s="14"/>
      <c r="F58" s="22"/>
      <c r="G58" s="351"/>
      <c r="H58" s="363"/>
    </row>
    <row r="59" spans="2:8">
      <c r="B59" s="13"/>
      <c r="C59" s="14"/>
      <c r="D59" s="14"/>
      <c r="E59" s="14"/>
      <c r="F59" s="22"/>
      <c r="G59" s="351"/>
      <c r="H59" s="363"/>
    </row>
    <row r="60" spans="2:8">
      <c r="B60" s="13"/>
      <c r="C60" s="14"/>
      <c r="D60" s="14"/>
      <c r="E60" s="14"/>
      <c r="F60" s="22"/>
      <c r="G60" s="351"/>
      <c r="H60" s="363"/>
    </row>
    <row r="61" spans="2:8">
      <c r="B61" s="13"/>
      <c r="C61" s="14"/>
      <c r="D61" s="14"/>
      <c r="E61" s="14"/>
      <c r="F61" s="22"/>
      <c r="G61" s="351"/>
      <c r="H61" s="363"/>
    </row>
    <row r="62" spans="2:8" s="2" customFormat="1" ht="24.95" customHeight="1">
      <c r="B62" s="290" t="str">
        <f>B10</f>
        <v>C1.3</v>
      </c>
      <c r="C62" s="276" t="s">
        <v>125</v>
      </c>
      <c r="D62" s="287"/>
      <c r="E62" s="287"/>
      <c r="F62" s="31"/>
      <c r="G62" s="412"/>
      <c r="H62" s="364">
        <f>SUM(H9:H61)</f>
        <v>300000</v>
      </c>
    </row>
    <row r="105" spans="6:6">
      <c r="F105" s="352"/>
    </row>
    <row r="106" spans="6:6">
      <c r="F106" s="352"/>
    </row>
    <row r="107" spans="6:6">
      <c r="F107" s="352"/>
    </row>
    <row r="108" spans="6:6">
      <c r="F108" s="352"/>
    </row>
    <row r="109" spans="6:6">
      <c r="F109" s="352"/>
    </row>
    <row r="110" spans="6:6">
      <c r="F110" s="352"/>
    </row>
    <row r="111" spans="6:6">
      <c r="F111" s="352"/>
    </row>
    <row r="112" spans="6:6">
      <c r="F112" s="352"/>
    </row>
    <row r="113" spans="6:6">
      <c r="F113" s="352"/>
    </row>
    <row r="114" spans="6:6">
      <c r="F114" s="352"/>
    </row>
  </sheetData>
  <sheetProtection algorithmName="SHA-512" hashValue="7lsIngnHT9wlcdBe3sI6RThxY/qy7D0xm7dylnFYNXAZ7/8137LYLbsIzCkoBp6XARqD1RfJeo88dnfq/UOtDw==" saltValue="aB0l9XinLnEUx4mKzeUBtQ==" spinCount="100000" sheet="1" objects="1" scenarios="1"/>
  <mergeCells count="6">
    <mergeCell ref="I22:I30"/>
    <mergeCell ref="F1:H1"/>
    <mergeCell ref="B5:G7"/>
    <mergeCell ref="H4:H7"/>
    <mergeCell ref="B4:G4"/>
    <mergeCell ref="I4:I8"/>
  </mergeCells>
  <phoneticPr fontId="17" type="noConversion"/>
  <pageMargins left="0.43307086614173229" right="0.31496062992125984" top="0.43307086614173229" bottom="0.62992125984251968" header="0.35433070866141736" footer="0.31496062992125984"/>
  <pageSetup paperSize="9" scale="55"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1"/>
  <dimension ref="B1:I77"/>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C8.6</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c r="B10" s="69" t="s">
        <v>1203</v>
      </c>
      <c r="C10" s="20" t="s">
        <v>1204</v>
      </c>
      <c r="D10" s="22"/>
      <c r="E10" s="22"/>
      <c r="F10" s="22"/>
      <c r="G10" s="39"/>
      <c r="H10" s="17" t="str">
        <f t="shared" ref="H10:H73" si="0">IF(D10="","",F10*G10)</f>
        <v/>
      </c>
      <c r="I10" s="40"/>
    </row>
    <row r="11" spans="2:9">
      <c r="B11" s="48"/>
      <c r="C11" s="14"/>
      <c r="D11" s="22"/>
      <c r="E11" s="22"/>
      <c r="F11" s="22"/>
      <c r="G11" s="39"/>
      <c r="H11" s="17" t="str">
        <f t="shared" si="0"/>
        <v/>
      </c>
      <c r="I11" s="40"/>
    </row>
    <row r="12" spans="2:9">
      <c r="B12" s="48" t="s">
        <v>1205</v>
      </c>
      <c r="C12" s="14" t="s">
        <v>1206</v>
      </c>
      <c r="D12" s="22"/>
      <c r="E12" s="22"/>
      <c r="F12" s="22"/>
      <c r="G12" s="39"/>
      <c r="H12" s="17" t="str">
        <f t="shared" si="0"/>
        <v/>
      </c>
      <c r="I12" s="40"/>
    </row>
    <row r="13" spans="2:9">
      <c r="B13" s="48"/>
      <c r="C13" s="14"/>
      <c r="D13" s="22"/>
      <c r="E13" s="22"/>
      <c r="F13" s="22"/>
      <c r="G13" s="39"/>
      <c r="H13" s="17" t="str">
        <f t="shared" si="0"/>
        <v/>
      </c>
      <c r="I13" s="40"/>
    </row>
    <row r="14" spans="2:9" ht="25.5">
      <c r="B14" s="48" t="s">
        <v>1207</v>
      </c>
      <c r="C14" s="14" t="s">
        <v>1208</v>
      </c>
      <c r="D14" s="22" t="s">
        <v>347</v>
      </c>
      <c r="E14" s="22"/>
      <c r="F14" s="23"/>
      <c r="G14" s="24"/>
      <c r="H14" s="17">
        <f t="shared" si="0"/>
        <v>0</v>
      </c>
      <c r="I14" s="41"/>
    </row>
    <row r="15" spans="2:9">
      <c r="B15" s="48"/>
      <c r="C15" s="14"/>
      <c r="D15" s="22"/>
      <c r="E15" s="22"/>
      <c r="F15" s="23"/>
      <c r="G15" s="24"/>
      <c r="H15" s="17" t="str">
        <f t="shared" si="0"/>
        <v/>
      </c>
      <c r="I15" s="41"/>
    </row>
    <row r="16" spans="2:9" ht="25.5">
      <c r="B16" s="48" t="s">
        <v>1209</v>
      </c>
      <c r="C16" s="14" t="s">
        <v>1210</v>
      </c>
      <c r="D16" s="22" t="s">
        <v>124</v>
      </c>
      <c r="E16" s="22"/>
      <c r="F16" s="23"/>
      <c r="G16" s="24"/>
      <c r="H16" s="17">
        <f t="shared" si="0"/>
        <v>0</v>
      </c>
      <c r="I16" s="41"/>
    </row>
    <row r="17" spans="2:9">
      <c r="B17" s="48"/>
      <c r="C17" s="14"/>
      <c r="D17" s="22"/>
      <c r="E17" s="22"/>
      <c r="F17" s="23"/>
      <c r="G17" s="24"/>
      <c r="H17" s="17" t="str">
        <f t="shared" si="0"/>
        <v/>
      </c>
      <c r="I17" s="41"/>
    </row>
    <row r="18" spans="2:9">
      <c r="B18" s="48"/>
      <c r="C18" s="14"/>
      <c r="D18" s="22"/>
      <c r="E18" s="22"/>
      <c r="F18" s="23"/>
      <c r="G18" s="39"/>
      <c r="H18" s="17" t="str">
        <f t="shared" si="0"/>
        <v/>
      </c>
      <c r="I18" s="40"/>
    </row>
    <row r="19" spans="2:9">
      <c r="B19" s="21"/>
      <c r="C19" s="14"/>
      <c r="D19" s="22"/>
      <c r="E19" s="22"/>
      <c r="F19" s="23"/>
      <c r="G19" s="42"/>
      <c r="H19" s="17" t="str">
        <f t="shared" si="0"/>
        <v/>
      </c>
      <c r="I19" s="40"/>
    </row>
    <row r="20" spans="2:9">
      <c r="B20" s="21"/>
      <c r="C20" s="14"/>
      <c r="D20" s="22"/>
      <c r="E20" s="22"/>
      <c r="F20" s="23"/>
      <c r="G20" s="39"/>
      <c r="H20" s="17" t="str">
        <f t="shared" si="0"/>
        <v/>
      </c>
      <c r="I20" s="43"/>
    </row>
    <row r="21" spans="2:9">
      <c r="B21" s="21"/>
      <c r="C21" s="14"/>
      <c r="D21" s="22"/>
      <c r="E21" s="36"/>
      <c r="F21" s="23"/>
      <c r="G21" s="44"/>
      <c r="H21" s="17" t="str">
        <f t="shared" si="0"/>
        <v/>
      </c>
    </row>
    <row r="22" spans="2:9">
      <c r="B22" s="21"/>
      <c r="C22" s="14"/>
      <c r="D22" s="22"/>
      <c r="E22" s="36"/>
      <c r="F22" s="23"/>
      <c r="G22" s="44"/>
      <c r="H22" s="17" t="str">
        <f t="shared" si="0"/>
        <v/>
      </c>
    </row>
    <row r="23" spans="2:9">
      <c r="B23" s="21"/>
      <c r="C23" s="14"/>
      <c r="D23" s="22"/>
      <c r="E23" s="36"/>
      <c r="F23" s="23"/>
      <c r="G23" s="37"/>
      <c r="H23" s="17" t="str">
        <f t="shared" si="0"/>
        <v/>
      </c>
    </row>
    <row r="24" spans="2:9">
      <c r="B24" s="21"/>
      <c r="C24" s="14"/>
      <c r="D24" s="22"/>
      <c r="E24" s="36"/>
      <c r="F24" s="23"/>
      <c r="G24" s="44"/>
      <c r="H24" s="17" t="str">
        <f t="shared" si="0"/>
        <v/>
      </c>
    </row>
    <row r="25" spans="2:9">
      <c r="B25" s="13"/>
      <c r="C25" s="14"/>
      <c r="D25" s="22"/>
      <c r="E25" s="36"/>
      <c r="F25" s="23"/>
      <c r="G25" s="42"/>
      <c r="H25" s="17" t="str">
        <f t="shared" si="0"/>
        <v/>
      </c>
    </row>
    <row r="26" spans="2:9">
      <c r="B26" s="13"/>
      <c r="C26" s="14"/>
      <c r="D26" s="22"/>
      <c r="E26" s="36"/>
      <c r="F26" s="23"/>
      <c r="G26" s="44"/>
      <c r="H26" s="17" t="str">
        <f t="shared" si="0"/>
        <v/>
      </c>
    </row>
    <row r="27" spans="2:9">
      <c r="B27" s="13"/>
      <c r="C27" s="14"/>
      <c r="D27" s="22"/>
      <c r="E27" s="22"/>
      <c r="F27" s="23"/>
      <c r="G27" s="39"/>
      <c r="H27" s="17" t="str">
        <f t="shared" si="0"/>
        <v/>
      </c>
      <c r="I27" s="40"/>
    </row>
    <row r="28" spans="2:9">
      <c r="B28" s="21"/>
      <c r="C28" s="14"/>
      <c r="D28" s="22"/>
      <c r="E28" s="22"/>
      <c r="F28" s="23"/>
      <c r="G28" s="39"/>
      <c r="H28" s="17" t="str">
        <f t="shared" si="0"/>
        <v/>
      </c>
      <c r="I28" s="40"/>
    </row>
    <row r="29" spans="2:9">
      <c r="B29" s="21"/>
      <c r="C29" s="14"/>
      <c r="D29" s="22"/>
      <c r="E29" s="22"/>
      <c r="F29" s="23"/>
      <c r="G29" s="37"/>
      <c r="H29" s="17" t="str">
        <f t="shared" si="0"/>
        <v/>
      </c>
      <c r="I29" s="41"/>
    </row>
    <row r="30" spans="2:9">
      <c r="B30" s="21"/>
      <c r="C30" s="14"/>
      <c r="D30" s="22"/>
      <c r="E30" s="15"/>
      <c r="F30" s="26"/>
      <c r="G30" s="27"/>
      <c r="H30" s="17" t="str">
        <f t="shared" si="0"/>
        <v/>
      </c>
      <c r="I30" s="18"/>
    </row>
    <row r="31" spans="2:9" s="35" customFormat="1">
      <c r="B31" s="21"/>
      <c r="C31" s="14"/>
      <c r="D31" s="15"/>
      <c r="E31" s="15"/>
      <c r="F31" s="26"/>
      <c r="G31" s="27"/>
      <c r="H31" s="17" t="str">
        <f t="shared" si="0"/>
        <v/>
      </c>
      <c r="I31" s="18"/>
    </row>
    <row r="32" spans="2:9">
      <c r="B32" s="21"/>
      <c r="C32" s="14"/>
      <c r="D32" s="22"/>
      <c r="E32" s="22"/>
      <c r="F32" s="23"/>
      <c r="G32" s="37"/>
      <c r="H32" s="17" t="str">
        <f t="shared" si="0"/>
        <v/>
      </c>
      <c r="I32" s="41"/>
    </row>
    <row r="33" spans="2:9">
      <c r="B33" s="21"/>
      <c r="C33" s="14"/>
      <c r="D33" s="22"/>
      <c r="E33" s="22"/>
      <c r="F33" s="23"/>
      <c r="G33" s="37"/>
      <c r="H33" s="17" t="str">
        <f t="shared" si="0"/>
        <v/>
      </c>
      <c r="I33" s="41"/>
    </row>
    <row r="34" spans="2:9">
      <c r="B34" s="21"/>
      <c r="C34" s="14"/>
      <c r="D34" s="22"/>
      <c r="E34" s="22"/>
      <c r="F34" s="23"/>
      <c r="G34" s="45"/>
      <c r="H34" s="17" t="str">
        <f t="shared" si="0"/>
        <v/>
      </c>
      <c r="I34" s="40"/>
    </row>
    <row r="35" spans="2:9">
      <c r="B35" s="13"/>
      <c r="C35" s="14"/>
      <c r="D35" s="22"/>
      <c r="E35" s="22"/>
      <c r="F35" s="23"/>
      <c r="G35" s="45"/>
      <c r="H35" s="17" t="str">
        <f t="shared" si="0"/>
        <v/>
      </c>
      <c r="I35" s="40"/>
    </row>
    <row r="36" spans="2:9">
      <c r="B36" s="13"/>
      <c r="C36" s="14"/>
      <c r="D36" s="22"/>
      <c r="E36" s="22"/>
      <c r="F36" s="23"/>
      <c r="G36" s="42"/>
      <c r="H36" s="17" t="str">
        <f t="shared" si="0"/>
        <v/>
      </c>
      <c r="I36" s="40"/>
    </row>
    <row r="37" spans="2:9">
      <c r="B37" s="13"/>
      <c r="C37" s="14"/>
      <c r="D37" s="22"/>
      <c r="E37" s="22"/>
      <c r="F37" s="23"/>
      <c r="G37" s="42"/>
      <c r="H37" s="17" t="str">
        <f t="shared" si="0"/>
        <v/>
      </c>
      <c r="I37" s="40"/>
    </row>
    <row r="38" spans="2:9">
      <c r="B38" s="13"/>
      <c r="C38" s="14"/>
      <c r="D38" s="22"/>
      <c r="E38" s="22"/>
      <c r="F38" s="22"/>
      <c r="G38" s="39"/>
      <c r="H38" s="17" t="str">
        <f t="shared" si="0"/>
        <v/>
      </c>
      <c r="I38" s="40"/>
    </row>
    <row r="39" spans="2:9">
      <c r="B39" s="13"/>
      <c r="C39" s="14"/>
      <c r="D39" s="22"/>
      <c r="E39" s="22"/>
      <c r="F39" s="22"/>
      <c r="G39" s="39"/>
      <c r="H39" s="17" t="str">
        <f t="shared" si="0"/>
        <v/>
      </c>
      <c r="I39" s="40"/>
    </row>
    <row r="40" spans="2:9">
      <c r="B40" s="13"/>
      <c r="C40" s="14"/>
      <c r="D40" s="22"/>
      <c r="E40" s="22"/>
      <c r="F40" s="22"/>
      <c r="G40" s="37"/>
      <c r="H40" s="17" t="str">
        <f t="shared" si="0"/>
        <v/>
      </c>
      <c r="I40" s="40"/>
    </row>
    <row r="41" spans="2:9">
      <c r="B41" s="13"/>
      <c r="C41" s="14"/>
      <c r="D41" s="22"/>
      <c r="E41" s="22"/>
      <c r="F41" s="22"/>
      <c r="G41" s="37"/>
      <c r="H41" s="17" t="str">
        <f t="shared" si="0"/>
        <v/>
      </c>
      <c r="I41" s="40"/>
    </row>
    <row r="42" spans="2:9">
      <c r="B42" s="13"/>
      <c r="C42" s="14"/>
      <c r="D42" s="22"/>
      <c r="E42" s="22"/>
      <c r="F42" s="22"/>
      <c r="G42" s="37"/>
      <c r="H42" s="17" t="str">
        <f t="shared" si="0"/>
        <v/>
      </c>
      <c r="I42" s="40"/>
    </row>
    <row r="43" spans="2:9">
      <c r="B43" s="13"/>
      <c r="C43" s="14"/>
      <c r="D43" s="22"/>
      <c r="E43" s="22"/>
      <c r="F43" s="22"/>
      <c r="G43" s="37"/>
      <c r="H43" s="17" t="str">
        <f t="shared" si="0"/>
        <v/>
      </c>
      <c r="I43" s="40"/>
    </row>
    <row r="44" spans="2:9">
      <c r="B44" s="13"/>
      <c r="C44" s="14"/>
      <c r="D44" s="22"/>
      <c r="E44" s="22"/>
      <c r="F44" s="22"/>
      <c r="G44" s="37"/>
      <c r="H44" s="17" t="str">
        <f t="shared" si="0"/>
        <v/>
      </c>
      <c r="I44" s="40"/>
    </row>
    <row r="45" spans="2:9">
      <c r="B45" s="13"/>
      <c r="C45" s="14"/>
      <c r="D45" s="22"/>
      <c r="E45" s="22"/>
      <c r="F45" s="22"/>
      <c r="G45" s="37"/>
      <c r="H45" s="17" t="str">
        <f t="shared" si="0"/>
        <v/>
      </c>
      <c r="I45" s="40"/>
    </row>
    <row r="46" spans="2:9">
      <c r="B46" s="13"/>
      <c r="C46" s="14"/>
      <c r="D46" s="22"/>
      <c r="E46" s="22"/>
      <c r="F46" s="22"/>
      <c r="G46" s="37"/>
      <c r="H46" s="17" t="str">
        <f t="shared" si="0"/>
        <v/>
      </c>
      <c r="I46" s="40"/>
    </row>
    <row r="47" spans="2:9">
      <c r="B47" s="13"/>
      <c r="C47" s="14"/>
      <c r="D47" s="22"/>
      <c r="E47" s="22"/>
      <c r="F47" s="22"/>
      <c r="G47" s="37"/>
      <c r="H47" s="17" t="str">
        <f t="shared" si="0"/>
        <v/>
      </c>
      <c r="I47" s="40"/>
    </row>
    <row r="48" spans="2:9">
      <c r="B48" s="13"/>
      <c r="C48" s="14"/>
      <c r="D48" s="22"/>
      <c r="E48" s="22"/>
      <c r="F48" s="22"/>
      <c r="G48" s="46"/>
      <c r="H48" s="17" t="str">
        <f t="shared" si="0"/>
        <v/>
      </c>
      <c r="I48" s="40"/>
    </row>
    <row r="49" spans="2:9">
      <c r="B49" s="14"/>
      <c r="C49" s="14"/>
      <c r="D49" s="22"/>
      <c r="E49" s="22"/>
      <c r="F49" s="22"/>
      <c r="G49" s="46"/>
      <c r="H49" s="17" t="str">
        <f t="shared" si="0"/>
        <v/>
      </c>
      <c r="I49" s="40"/>
    </row>
    <row r="50" spans="2:9">
      <c r="B50" s="21"/>
      <c r="C50" s="14"/>
      <c r="D50" s="22"/>
      <c r="E50" s="22"/>
      <c r="F50" s="22"/>
      <c r="G50" s="37"/>
      <c r="H50" s="17" t="str">
        <f t="shared" si="0"/>
        <v/>
      </c>
      <c r="I50" s="40"/>
    </row>
    <row r="51" spans="2:9">
      <c r="B51" s="21"/>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22"/>
      <c r="E53" s="22"/>
      <c r="F53" s="22"/>
      <c r="G53" s="37"/>
      <c r="H53" s="17" t="str">
        <f t="shared" si="0"/>
        <v/>
      </c>
      <c r="I53" s="40"/>
    </row>
    <row r="54" spans="2:9">
      <c r="B54" s="13"/>
      <c r="C54" s="14"/>
      <c r="D54" s="22"/>
      <c r="E54" s="22"/>
      <c r="F54" s="22"/>
      <c r="G54" s="37"/>
      <c r="H54" s="17" t="str">
        <f t="shared" si="0"/>
        <v/>
      </c>
      <c r="I54" s="40"/>
    </row>
    <row r="55" spans="2:9">
      <c r="B55" s="13"/>
      <c r="C55" s="14"/>
      <c r="D55" s="22"/>
      <c r="E55" s="22"/>
      <c r="F55" s="22"/>
      <c r="G55" s="37"/>
      <c r="H55" s="17" t="str">
        <f t="shared" si="0"/>
        <v/>
      </c>
      <c r="I55" s="40"/>
    </row>
    <row r="56" spans="2:9">
      <c r="B56" s="13"/>
      <c r="C56" s="14"/>
      <c r="D56" s="36"/>
      <c r="E56" s="36"/>
      <c r="F56" s="36"/>
      <c r="G56" s="37"/>
      <c r="H56" s="17" t="str">
        <f t="shared" si="0"/>
        <v/>
      </c>
    </row>
    <row r="57" spans="2:9">
      <c r="B57" s="13"/>
      <c r="C57" s="14"/>
      <c r="D57" s="22"/>
      <c r="E57" s="22"/>
      <c r="F57" s="22"/>
      <c r="G57" s="37"/>
      <c r="H57" s="17" t="str">
        <f t="shared" si="0"/>
        <v/>
      </c>
      <c r="I57" s="40"/>
    </row>
    <row r="58" spans="2:9">
      <c r="B58" s="13"/>
      <c r="C58" s="100"/>
      <c r="D58" s="36"/>
      <c r="E58" s="36"/>
      <c r="F58" s="36"/>
      <c r="G58" s="37"/>
      <c r="H58" s="17" t="str">
        <f t="shared" si="0"/>
        <v/>
      </c>
      <c r="I58" s="47"/>
    </row>
    <row r="59" spans="2:9">
      <c r="B59" s="13"/>
      <c r="C59" s="100"/>
      <c r="D59" s="36"/>
      <c r="E59" s="36"/>
      <c r="F59" s="36"/>
      <c r="G59" s="37"/>
      <c r="H59" s="17" t="str">
        <f t="shared" si="0"/>
        <v/>
      </c>
    </row>
    <row r="60" spans="2:9">
      <c r="B60" s="13"/>
      <c r="C60" s="100"/>
      <c r="D60" s="22"/>
      <c r="E60" s="22"/>
      <c r="F60" s="22"/>
      <c r="G60" s="37"/>
      <c r="H60" s="17" t="str">
        <f t="shared" si="0"/>
        <v/>
      </c>
      <c r="I60" s="40"/>
    </row>
    <row r="61" spans="2:9">
      <c r="B61" s="13"/>
      <c r="C61" s="14"/>
      <c r="D61" s="22"/>
      <c r="E61" s="22"/>
      <c r="F61" s="22"/>
      <c r="G61" s="37"/>
      <c r="H61" s="17" t="str">
        <f t="shared" si="0"/>
        <v/>
      </c>
      <c r="I61" s="40"/>
    </row>
    <row r="62" spans="2:9">
      <c r="B62" s="13"/>
      <c r="C62" s="14"/>
      <c r="D62" s="22"/>
      <c r="E62" s="22"/>
      <c r="F62" s="22"/>
      <c r="G62" s="37"/>
      <c r="H62" s="17" t="str">
        <f t="shared" si="0"/>
        <v/>
      </c>
      <c r="I62" s="40"/>
    </row>
    <row r="63" spans="2:9">
      <c r="B63" s="13"/>
      <c r="C63" s="14"/>
      <c r="D63" s="22"/>
      <c r="E63" s="22"/>
      <c r="F63" s="22"/>
      <c r="G63" s="37"/>
      <c r="H63" s="17" t="str">
        <f t="shared" si="0"/>
        <v/>
      </c>
      <c r="I63" s="40"/>
    </row>
    <row r="64" spans="2:9">
      <c r="B64" s="13"/>
      <c r="C64" s="14"/>
      <c r="D64" s="22"/>
      <c r="E64" s="22"/>
      <c r="F64" s="22"/>
      <c r="G64" s="37"/>
      <c r="H64" s="17" t="str">
        <f t="shared" si="0"/>
        <v/>
      </c>
      <c r="I64" s="40"/>
    </row>
    <row r="65" spans="2:9">
      <c r="B65" s="13"/>
      <c r="C65" s="14"/>
      <c r="D65" s="22"/>
      <c r="E65" s="22"/>
      <c r="F65" s="22"/>
      <c r="G65" s="37"/>
      <c r="H65" s="17" t="str">
        <f t="shared" si="0"/>
        <v/>
      </c>
      <c r="I65" s="40"/>
    </row>
    <row r="66" spans="2:9">
      <c r="B66" s="13"/>
      <c r="C66" s="252"/>
      <c r="D66" s="22"/>
      <c r="E66" s="22"/>
      <c r="F66" s="22"/>
      <c r="G66" s="37"/>
      <c r="H66" s="17" t="str">
        <f t="shared" si="0"/>
        <v/>
      </c>
      <c r="I66" s="40"/>
    </row>
    <row r="67" spans="2:9">
      <c r="B67" s="13"/>
      <c r="C67" s="252"/>
      <c r="D67" s="22"/>
      <c r="E67" s="22"/>
      <c r="F67" s="22"/>
      <c r="G67" s="37"/>
      <c r="H67" s="17" t="str">
        <f t="shared" si="0"/>
        <v/>
      </c>
      <c r="I67" s="40"/>
    </row>
    <row r="68" spans="2:9">
      <c r="B68" s="13"/>
      <c r="C68" s="252"/>
      <c r="D68" s="22"/>
      <c r="E68" s="22"/>
      <c r="F68" s="22"/>
      <c r="G68" s="37"/>
      <c r="H68" s="17" t="str">
        <f t="shared" si="0"/>
        <v/>
      </c>
      <c r="I68" s="40"/>
    </row>
    <row r="69" spans="2:9">
      <c r="B69" s="13"/>
      <c r="C69" s="14"/>
      <c r="D69" s="22"/>
      <c r="E69" s="22"/>
      <c r="F69" s="22"/>
      <c r="G69" s="37"/>
      <c r="H69" s="17" t="str">
        <f t="shared" si="0"/>
        <v/>
      </c>
      <c r="I69" s="40"/>
    </row>
    <row r="70" spans="2:9">
      <c r="B70" s="13"/>
      <c r="C70" s="14"/>
      <c r="D70" s="22"/>
      <c r="E70" s="22"/>
      <c r="F70" s="22"/>
      <c r="G70" s="37"/>
      <c r="H70" s="17" t="str">
        <f t="shared" si="0"/>
        <v/>
      </c>
      <c r="I70" s="40"/>
    </row>
    <row r="71" spans="2:9">
      <c r="B71" s="13"/>
      <c r="C71" s="14"/>
      <c r="D71" s="22"/>
      <c r="E71" s="22"/>
      <c r="F71" s="22"/>
      <c r="G71" s="37"/>
      <c r="H71" s="17" t="str">
        <f t="shared" si="0"/>
        <v/>
      </c>
      <c r="I71" s="40"/>
    </row>
    <row r="72" spans="2:9">
      <c r="B72" s="13"/>
      <c r="C72" s="14"/>
      <c r="D72" s="22"/>
      <c r="E72" s="22"/>
      <c r="F72" s="22"/>
      <c r="G72" s="37"/>
      <c r="H72" s="17" t="str">
        <f t="shared" si="0"/>
        <v/>
      </c>
      <c r="I72" s="40"/>
    </row>
    <row r="73" spans="2:9">
      <c r="B73" s="13"/>
      <c r="C73" s="14"/>
      <c r="D73" s="22"/>
      <c r="E73" s="22"/>
      <c r="F73" s="22"/>
      <c r="G73" s="37"/>
      <c r="H73" s="17" t="str">
        <f t="shared" si="0"/>
        <v/>
      </c>
      <c r="I73" s="40"/>
    </row>
    <row r="74" spans="2:9">
      <c r="B74" s="13"/>
      <c r="C74" s="14"/>
      <c r="D74" s="22"/>
      <c r="E74" s="22"/>
      <c r="F74" s="22"/>
      <c r="G74" s="37"/>
      <c r="H74" s="17" t="str">
        <f t="shared" ref="H74:H76" si="1">IF(D74="","",F74*G74)</f>
        <v/>
      </c>
      <c r="I74" s="40"/>
    </row>
    <row r="75" spans="2:9">
      <c r="B75" s="13"/>
      <c r="C75" s="14"/>
      <c r="D75" s="22"/>
      <c r="E75" s="22"/>
      <c r="F75" s="22"/>
      <c r="G75" s="37"/>
      <c r="H75" s="17" t="str">
        <f t="shared" si="1"/>
        <v/>
      </c>
      <c r="I75" s="40"/>
    </row>
    <row r="76" spans="2:9">
      <c r="B76" s="13"/>
      <c r="C76" s="14"/>
      <c r="D76" s="22"/>
      <c r="E76" s="22"/>
      <c r="F76" s="22"/>
      <c r="G76" s="37"/>
      <c r="H76" s="17" t="str">
        <f t="shared" si="1"/>
        <v/>
      </c>
      <c r="I76" s="40"/>
    </row>
    <row r="77" spans="2:9" s="28" customFormat="1" ht="24.75" customHeight="1">
      <c r="B77" s="82" t="str">
        <f>$B$10</f>
        <v>C8.6</v>
      </c>
      <c r="C77" s="29" t="s">
        <v>125</v>
      </c>
      <c r="D77" s="30"/>
      <c r="E77" s="30"/>
      <c r="F77" s="31"/>
      <c r="G77" s="30"/>
      <c r="H77" s="32">
        <f>SUM(H9:H76)</f>
        <v>0</v>
      </c>
      <c r="I77"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2"/>
  <dimension ref="B1:I79"/>
  <sheetViews>
    <sheetView workbookViewId="0"/>
  </sheetViews>
  <sheetFormatPr defaultColWidth="6.85546875" defaultRowHeight="12.75"/>
  <cols>
    <col min="1" max="1" width="0.85546875" style="1" customWidth="1"/>
    <col min="2" max="2" width="11.7109375" style="34" customWidth="1"/>
    <col min="3" max="3" width="45.7109375" style="52"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92"/>
      <c r="D3" s="72"/>
      <c r="E3" s="72"/>
      <c r="F3" s="72"/>
      <c r="G3" s="73"/>
      <c r="H3" s="91"/>
    </row>
    <row r="4" spans="2:9">
      <c r="B4" s="695" t="s">
        <v>456</v>
      </c>
      <c r="C4" s="696"/>
      <c r="D4" s="696"/>
      <c r="E4" s="696"/>
      <c r="F4" s="696"/>
      <c r="G4" s="696"/>
      <c r="H4" s="770" t="str">
        <f>"CHAPTER "&amp;B10</f>
        <v>CHAPTER C8.7</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25" t="str">
        <f>IF(D9="","",F9*G9)</f>
        <v/>
      </c>
      <c r="I9" s="18"/>
    </row>
    <row r="10" spans="2:9">
      <c r="B10" s="69" t="s">
        <v>1211</v>
      </c>
      <c r="C10" s="20" t="s">
        <v>1212</v>
      </c>
      <c r="D10" s="22"/>
      <c r="E10" s="22"/>
      <c r="F10" s="22"/>
      <c r="G10" s="39"/>
      <c r="H10" s="25" t="str">
        <f t="shared" ref="H10:H73" si="0">IF(D10="","",F10*G10)</f>
        <v/>
      </c>
      <c r="I10" s="40"/>
    </row>
    <row r="11" spans="2:9">
      <c r="B11" s="48"/>
      <c r="C11" s="14"/>
      <c r="D11" s="22"/>
      <c r="E11" s="22"/>
      <c r="F11" s="22"/>
      <c r="G11" s="39"/>
      <c r="H11" s="25" t="str">
        <f t="shared" si="0"/>
        <v/>
      </c>
      <c r="I11" s="40"/>
    </row>
    <row r="12" spans="2:9">
      <c r="B12" s="48" t="s">
        <v>1213</v>
      </c>
      <c r="C12" s="14" t="s">
        <v>1214</v>
      </c>
      <c r="D12" s="22"/>
      <c r="E12" s="22"/>
      <c r="F12" s="22"/>
      <c r="G12" s="39"/>
      <c r="H12" s="25" t="str">
        <f t="shared" si="0"/>
        <v/>
      </c>
      <c r="I12" s="40"/>
    </row>
    <row r="13" spans="2:9">
      <c r="B13" s="48"/>
      <c r="C13" s="14"/>
      <c r="D13" s="22"/>
      <c r="E13" s="22"/>
      <c r="F13" s="22"/>
      <c r="G13" s="39"/>
      <c r="H13" s="25" t="str">
        <f t="shared" si="0"/>
        <v/>
      </c>
      <c r="I13" s="40"/>
    </row>
    <row r="14" spans="2:9" ht="14.25">
      <c r="B14" s="48" t="s">
        <v>1215</v>
      </c>
      <c r="C14" s="14" t="s">
        <v>1216</v>
      </c>
      <c r="D14" s="22" t="s">
        <v>124</v>
      </c>
      <c r="E14" s="22"/>
      <c r="F14" s="23"/>
      <c r="G14" s="24"/>
      <c r="H14" s="25">
        <f t="shared" si="0"/>
        <v>0</v>
      </c>
      <c r="I14" s="41"/>
    </row>
    <row r="15" spans="2:9">
      <c r="B15" s="48"/>
      <c r="C15" s="14"/>
      <c r="D15" s="22"/>
      <c r="E15" s="22"/>
      <c r="F15" s="23"/>
      <c r="G15" s="24"/>
      <c r="H15" s="25" t="str">
        <f t="shared" si="0"/>
        <v/>
      </c>
      <c r="I15" s="41"/>
    </row>
    <row r="16" spans="2:9">
      <c r="B16" s="48" t="s">
        <v>1217</v>
      </c>
      <c r="C16" s="14" t="s">
        <v>1218</v>
      </c>
      <c r="D16" s="22" t="s">
        <v>898</v>
      </c>
      <c r="E16" s="22"/>
      <c r="F16" s="23"/>
      <c r="G16" s="24"/>
      <c r="H16" s="25">
        <f t="shared" si="0"/>
        <v>0</v>
      </c>
      <c r="I16" s="41"/>
    </row>
    <row r="17" spans="2:9">
      <c r="B17" s="48"/>
      <c r="C17" s="14"/>
      <c r="D17" s="22"/>
      <c r="E17" s="22"/>
      <c r="F17" s="23"/>
      <c r="G17" s="24"/>
      <c r="H17" s="25" t="str">
        <f t="shared" si="0"/>
        <v/>
      </c>
      <c r="I17" s="41"/>
    </row>
    <row r="18" spans="2:9">
      <c r="B18" s="48" t="s">
        <v>1219</v>
      </c>
      <c r="C18" s="14" t="s">
        <v>1220</v>
      </c>
      <c r="D18" s="22" t="s">
        <v>898</v>
      </c>
      <c r="E18" s="22"/>
      <c r="F18" s="23"/>
      <c r="G18" s="24"/>
      <c r="H18" s="25">
        <f t="shared" si="0"/>
        <v>0</v>
      </c>
      <c r="I18" s="41"/>
    </row>
    <row r="19" spans="2:9">
      <c r="B19" s="48"/>
      <c r="C19" s="14"/>
      <c r="D19" s="22"/>
      <c r="E19" s="22"/>
      <c r="F19" s="23"/>
      <c r="G19" s="24"/>
      <c r="H19" s="25" t="str">
        <f t="shared" si="0"/>
        <v/>
      </c>
      <c r="I19" s="41"/>
    </row>
    <row r="20" spans="2:9">
      <c r="B20" s="48" t="s">
        <v>1221</v>
      </c>
      <c r="C20" s="14" t="s">
        <v>1222</v>
      </c>
      <c r="D20" s="22" t="s">
        <v>898</v>
      </c>
      <c r="E20" s="22"/>
      <c r="F20" s="23"/>
      <c r="G20" s="24"/>
      <c r="H20" s="25">
        <f t="shared" si="0"/>
        <v>0</v>
      </c>
      <c r="I20" s="41"/>
    </row>
    <row r="21" spans="2:9">
      <c r="B21" s="48"/>
      <c r="C21" s="14"/>
      <c r="D21" s="22"/>
      <c r="E21" s="22"/>
      <c r="F21" s="23"/>
      <c r="G21" s="24"/>
      <c r="H21" s="25" t="str">
        <f t="shared" si="0"/>
        <v/>
      </c>
      <c r="I21" s="41"/>
    </row>
    <row r="22" spans="2:9" ht="14.25">
      <c r="B22" s="48" t="s">
        <v>1223</v>
      </c>
      <c r="C22" s="14" t="s">
        <v>1224</v>
      </c>
      <c r="D22" s="22" t="s">
        <v>1225</v>
      </c>
      <c r="E22" s="22"/>
      <c r="F22" s="23"/>
      <c r="G22" s="39"/>
      <c r="H22" s="25">
        <f t="shared" si="0"/>
        <v>0</v>
      </c>
      <c r="I22" s="40"/>
    </row>
    <row r="23" spans="2:9">
      <c r="B23" s="48"/>
      <c r="C23" s="14"/>
      <c r="D23" s="22"/>
      <c r="E23" s="22"/>
      <c r="F23" s="23"/>
      <c r="G23" s="42"/>
      <c r="H23" s="25" t="str">
        <f t="shared" si="0"/>
        <v/>
      </c>
      <c r="I23" s="40"/>
    </row>
    <row r="24" spans="2:9">
      <c r="B24" s="48"/>
      <c r="C24" s="14"/>
      <c r="D24" s="22"/>
      <c r="E24" s="22"/>
      <c r="F24" s="23"/>
      <c r="G24" s="39"/>
      <c r="H24" s="25" t="str">
        <f t="shared" si="0"/>
        <v/>
      </c>
      <c r="I24" s="43"/>
    </row>
    <row r="25" spans="2:9">
      <c r="B25" s="48"/>
      <c r="C25" s="14"/>
      <c r="D25" s="22"/>
      <c r="E25" s="36"/>
      <c r="F25" s="23"/>
      <c r="G25" s="44"/>
      <c r="H25" s="25" t="str">
        <f t="shared" si="0"/>
        <v/>
      </c>
    </row>
    <row r="26" spans="2:9">
      <c r="B26" s="48"/>
      <c r="C26" s="14"/>
      <c r="D26" s="22"/>
      <c r="E26" s="36"/>
      <c r="F26" s="23"/>
      <c r="G26" s="44"/>
      <c r="H26" s="25" t="str">
        <f t="shared" si="0"/>
        <v/>
      </c>
    </row>
    <row r="27" spans="2:9">
      <c r="B27" s="48"/>
      <c r="C27" s="14"/>
      <c r="D27" s="22"/>
      <c r="E27" s="36"/>
      <c r="F27" s="23"/>
      <c r="G27" s="37"/>
      <c r="H27" s="25" t="str">
        <f t="shared" si="0"/>
        <v/>
      </c>
    </row>
    <row r="28" spans="2:9">
      <c r="B28" s="48"/>
      <c r="C28" s="14"/>
      <c r="D28" s="22"/>
      <c r="E28" s="36"/>
      <c r="F28" s="23"/>
      <c r="G28" s="44"/>
      <c r="H28" s="25" t="str">
        <f t="shared" si="0"/>
        <v/>
      </c>
    </row>
    <row r="29" spans="2:9">
      <c r="B29" s="48"/>
      <c r="C29" s="14"/>
      <c r="D29" s="22"/>
      <c r="E29" s="36"/>
      <c r="F29" s="23"/>
      <c r="G29" s="42"/>
      <c r="H29" s="25" t="str">
        <f t="shared" si="0"/>
        <v/>
      </c>
    </row>
    <row r="30" spans="2:9">
      <c r="B30" s="48"/>
      <c r="C30" s="14"/>
      <c r="D30" s="22"/>
      <c r="E30" s="36"/>
      <c r="F30" s="23"/>
      <c r="G30" s="44"/>
      <c r="H30" s="25" t="str">
        <f t="shared" si="0"/>
        <v/>
      </c>
    </row>
    <row r="31" spans="2:9">
      <c r="B31" s="48"/>
      <c r="C31" s="14"/>
      <c r="D31" s="22"/>
      <c r="E31" s="22"/>
      <c r="F31" s="23"/>
      <c r="G31" s="39"/>
      <c r="H31" s="25" t="str">
        <f t="shared" si="0"/>
        <v/>
      </c>
      <c r="I31" s="40"/>
    </row>
    <row r="32" spans="2:9">
      <c r="B32" s="48"/>
      <c r="C32" s="14"/>
      <c r="D32" s="22"/>
      <c r="E32" s="22"/>
      <c r="F32" s="23"/>
      <c r="G32" s="39"/>
      <c r="H32" s="25" t="str">
        <f t="shared" si="0"/>
        <v/>
      </c>
      <c r="I32" s="40"/>
    </row>
    <row r="33" spans="2:9">
      <c r="B33" s="48"/>
      <c r="C33" s="14"/>
      <c r="D33" s="22"/>
      <c r="E33" s="22"/>
      <c r="F33" s="23"/>
      <c r="G33" s="37"/>
      <c r="H33" s="25" t="str">
        <f t="shared" si="0"/>
        <v/>
      </c>
      <c r="I33" s="41"/>
    </row>
    <row r="34" spans="2:9">
      <c r="B34" s="48"/>
      <c r="C34" s="14"/>
      <c r="D34" s="22"/>
      <c r="E34" s="15"/>
      <c r="F34" s="26"/>
      <c r="G34" s="27"/>
      <c r="H34" s="25" t="str">
        <f t="shared" si="0"/>
        <v/>
      </c>
      <c r="I34" s="18"/>
    </row>
    <row r="35" spans="2:9" s="35" customFormat="1">
      <c r="B35" s="48"/>
      <c r="C35" s="14"/>
      <c r="D35" s="15"/>
      <c r="E35" s="15"/>
      <c r="F35" s="26"/>
      <c r="G35" s="27"/>
      <c r="H35" s="25" t="str">
        <f t="shared" si="0"/>
        <v/>
      </c>
      <c r="I35" s="18"/>
    </row>
    <row r="36" spans="2:9">
      <c r="B36" s="48"/>
      <c r="C36" s="14"/>
      <c r="D36" s="22"/>
      <c r="E36" s="22"/>
      <c r="F36" s="23"/>
      <c r="G36" s="37"/>
      <c r="H36" s="25" t="str">
        <f t="shared" si="0"/>
        <v/>
      </c>
      <c r="I36" s="41"/>
    </row>
    <row r="37" spans="2:9">
      <c r="B37" s="48"/>
      <c r="C37" s="14"/>
      <c r="D37" s="22"/>
      <c r="E37" s="22"/>
      <c r="F37" s="23"/>
      <c r="G37" s="37"/>
      <c r="H37" s="25" t="str">
        <f t="shared" si="0"/>
        <v/>
      </c>
      <c r="I37" s="41"/>
    </row>
    <row r="38" spans="2:9">
      <c r="B38" s="48"/>
      <c r="C38" s="14"/>
      <c r="D38" s="22"/>
      <c r="E38" s="22"/>
      <c r="F38" s="23"/>
      <c r="G38" s="45"/>
      <c r="H38" s="25" t="str">
        <f t="shared" si="0"/>
        <v/>
      </c>
      <c r="I38" s="40"/>
    </row>
    <row r="39" spans="2:9">
      <c r="B39" s="48"/>
      <c r="C39" s="14"/>
      <c r="D39" s="22"/>
      <c r="E39" s="22"/>
      <c r="F39" s="23"/>
      <c r="G39" s="45"/>
      <c r="H39" s="25" t="str">
        <f t="shared" si="0"/>
        <v/>
      </c>
      <c r="I39" s="40"/>
    </row>
    <row r="40" spans="2:9">
      <c r="B40" s="48"/>
      <c r="C40" s="14"/>
      <c r="D40" s="22"/>
      <c r="E40" s="22"/>
      <c r="F40" s="23"/>
      <c r="G40" s="42"/>
      <c r="H40" s="25" t="str">
        <f t="shared" si="0"/>
        <v/>
      </c>
      <c r="I40" s="40"/>
    </row>
    <row r="41" spans="2:9">
      <c r="B41" s="48"/>
      <c r="C41" s="14"/>
      <c r="D41" s="22"/>
      <c r="E41" s="22"/>
      <c r="F41" s="23"/>
      <c r="G41" s="42"/>
      <c r="H41" s="25" t="str">
        <f t="shared" si="0"/>
        <v/>
      </c>
      <c r="I41" s="40"/>
    </row>
    <row r="42" spans="2:9">
      <c r="B42" s="48"/>
      <c r="C42" s="14"/>
      <c r="D42" s="22"/>
      <c r="E42" s="22"/>
      <c r="F42" s="22"/>
      <c r="G42" s="39"/>
      <c r="H42" s="25" t="str">
        <f t="shared" si="0"/>
        <v/>
      </c>
      <c r="I42" s="40"/>
    </row>
    <row r="43" spans="2:9">
      <c r="B43" s="48"/>
      <c r="C43" s="14"/>
      <c r="D43" s="22"/>
      <c r="E43" s="22"/>
      <c r="F43" s="22"/>
      <c r="G43" s="39"/>
      <c r="H43" s="25" t="str">
        <f t="shared" si="0"/>
        <v/>
      </c>
      <c r="I43" s="40"/>
    </row>
    <row r="44" spans="2:9">
      <c r="B44" s="48"/>
      <c r="C44" s="14"/>
      <c r="D44" s="22"/>
      <c r="E44" s="22"/>
      <c r="F44" s="22"/>
      <c r="G44" s="37"/>
      <c r="H44" s="25" t="str">
        <f t="shared" si="0"/>
        <v/>
      </c>
      <c r="I44" s="40"/>
    </row>
    <row r="45" spans="2:9">
      <c r="B45" s="48"/>
      <c r="C45" s="14"/>
      <c r="D45" s="22"/>
      <c r="E45" s="22"/>
      <c r="F45" s="22"/>
      <c r="G45" s="37"/>
      <c r="H45" s="25" t="str">
        <f t="shared" si="0"/>
        <v/>
      </c>
      <c r="I45" s="40"/>
    </row>
    <row r="46" spans="2:9">
      <c r="B46" s="48"/>
      <c r="C46" s="14"/>
      <c r="D46" s="22"/>
      <c r="E46" s="22"/>
      <c r="F46" s="22"/>
      <c r="G46" s="37"/>
      <c r="H46" s="25" t="str">
        <f t="shared" si="0"/>
        <v/>
      </c>
      <c r="I46" s="40"/>
    </row>
    <row r="47" spans="2:9">
      <c r="B47" s="48"/>
      <c r="C47" s="14"/>
      <c r="D47" s="22"/>
      <c r="E47" s="22"/>
      <c r="F47" s="22"/>
      <c r="G47" s="37"/>
      <c r="H47" s="25" t="str">
        <f t="shared" si="0"/>
        <v/>
      </c>
      <c r="I47" s="40"/>
    </row>
    <row r="48" spans="2:9">
      <c r="B48" s="48"/>
      <c r="C48" s="14"/>
      <c r="D48" s="22"/>
      <c r="E48" s="22"/>
      <c r="F48" s="22"/>
      <c r="G48" s="37"/>
      <c r="H48" s="25" t="str">
        <f t="shared" si="0"/>
        <v/>
      </c>
      <c r="I48" s="40"/>
    </row>
    <row r="49" spans="2:9">
      <c r="B49" s="48"/>
      <c r="C49" s="14"/>
      <c r="D49" s="22"/>
      <c r="E49" s="22"/>
      <c r="F49" s="22"/>
      <c r="G49" s="37"/>
      <c r="H49" s="25" t="str">
        <f t="shared" si="0"/>
        <v/>
      </c>
      <c r="I49" s="40"/>
    </row>
    <row r="50" spans="2:9">
      <c r="B50" s="48"/>
      <c r="C50" s="14"/>
      <c r="D50" s="22"/>
      <c r="E50" s="22"/>
      <c r="F50" s="22"/>
      <c r="G50" s="37"/>
      <c r="H50" s="25" t="str">
        <f t="shared" si="0"/>
        <v/>
      </c>
      <c r="I50" s="40"/>
    </row>
    <row r="51" spans="2:9">
      <c r="B51" s="48"/>
      <c r="C51" s="14"/>
      <c r="D51" s="22"/>
      <c r="E51" s="22"/>
      <c r="F51" s="22"/>
      <c r="G51" s="37"/>
      <c r="H51" s="25" t="str">
        <f t="shared" si="0"/>
        <v/>
      </c>
      <c r="I51" s="40"/>
    </row>
    <row r="52" spans="2:9">
      <c r="B52" s="48"/>
      <c r="C52" s="14"/>
      <c r="D52" s="22"/>
      <c r="E52" s="22"/>
      <c r="F52" s="22"/>
      <c r="G52" s="46"/>
      <c r="H52" s="25" t="str">
        <f t="shared" si="0"/>
        <v/>
      </c>
      <c r="I52" s="40"/>
    </row>
    <row r="53" spans="2:9">
      <c r="B53" s="81"/>
      <c r="C53" s="14"/>
      <c r="D53" s="22"/>
      <c r="E53" s="22"/>
      <c r="F53" s="22"/>
      <c r="G53" s="46"/>
      <c r="H53" s="25" t="str">
        <f t="shared" si="0"/>
        <v/>
      </c>
      <c r="I53" s="40"/>
    </row>
    <row r="54" spans="2:9">
      <c r="B54" s="48"/>
      <c r="C54" s="14"/>
      <c r="D54" s="22"/>
      <c r="E54" s="22"/>
      <c r="F54" s="22"/>
      <c r="G54" s="37"/>
      <c r="H54" s="25" t="str">
        <f t="shared" si="0"/>
        <v/>
      </c>
      <c r="I54" s="40"/>
    </row>
    <row r="55" spans="2:9">
      <c r="B55" s="48"/>
      <c r="C55" s="14"/>
      <c r="D55" s="22"/>
      <c r="E55" s="22"/>
      <c r="F55" s="22"/>
      <c r="G55" s="37"/>
      <c r="H55" s="25" t="str">
        <f t="shared" si="0"/>
        <v/>
      </c>
      <c r="I55" s="40"/>
    </row>
    <row r="56" spans="2:9">
      <c r="B56" s="48"/>
      <c r="C56" s="14"/>
      <c r="D56" s="22"/>
      <c r="E56" s="22"/>
      <c r="F56" s="22"/>
      <c r="G56" s="37"/>
      <c r="H56" s="25" t="str">
        <f t="shared" si="0"/>
        <v/>
      </c>
      <c r="I56" s="40"/>
    </row>
    <row r="57" spans="2:9">
      <c r="B57" s="48"/>
      <c r="C57" s="14"/>
      <c r="D57" s="22"/>
      <c r="E57" s="22"/>
      <c r="F57" s="22"/>
      <c r="G57" s="37"/>
      <c r="H57" s="25" t="str">
        <f t="shared" si="0"/>
        <v/>
      </c>
      <c r="I57" s="40"/>
    </row>
    <row r="58" spans="2:9">
      <c r="B58" s="48"/>
      <c r="C58" s="14"/>
      <c r="D58" s="22"/>
      <c r="E58" s="22"/>
      <c r="F58" s="22"/>
      <c r="G58" s="37"/>
      <c r="H58" s="25" t="str">
        <f t="shared" si="0"/>
        <v/>
      </c>
      <c r="I58" s="40"/>
    </row>
    <row r="59" spans="2:9">
      <c r="B59" s="48"/>
      <c r="C59" s="14"/>
      <c r="D59" s="22"/>
      <c r="E59" s="22"/>
      <c r="F59" s="22"/>
      <c r="G59" s="37"/>
      <c r="H59" s="25" t="str">
        <f t="shared" si="0"/>
        <v/>
      </c>
      <c r="I59" s="40"/>
    </row>
    <row r="60" spans="2:9">
      <c r="B60" s="48"/>
      <c r="C60" s="14"/>
      <c r="D60" s="36"/>
      <c r="E60" s="36"/>
      <c r="F60" s="36"/>
      <c r="G60" s="37"/>
      <c r="H60" s="25" t="str">
        <f t="shared" si="0"/>
        <v/>
      </c>
    </row>
    <row r="61" spans="2:9">
      <c r="B61" s="48"/>
      <c r="C61" s="14"/>
      <c r="D61" s="22"/>
      <c r="E61" s="22"/>
      <c r="F61" s="22"/>
      <c r="G61" s="37"/>
      <c r="H61" s="25" t="str">
        <f t="shared" si="0"/>
        <v/>
      </c>
      <c r="I61" s="40"/>
    </row>
    <row r="62" spans="2:9">
      <c r="B62" s="48"/>
      <c r="C62" s="100"/>
      <c r="D62" s="36"/>
      <c r="E62" s="36"/>
      <c r="F62" s="36"/>
      <c r="G62" s="37"/>
      <c r="H62" s="25" t="str">
        <f t="shared" si="0"/>
        <v/>
      </c>
      <c r="I62" s="47"/>
    </row>
    <row r="63" spans="2:9">
      <c r="B63" s="48"/>
      <c r="C63" s="100"/>
      <c r="D63" s="36"/>
      <c r="E63" s="36"/>
      <c r="F63" s="36"/>
      <c r="G63" s="37"/>
      <c r="H63" s="25" t="str">
        <f t="shared" si="0"/>
        <v/>
      </c>
    </row>
    <row r="64" spans="2:9">
      <c r="B64" s="48"/>
      <c r="C64" s="100"/>
      <c r="D64" s="22"/>
      <c r="E64" s="22"/>
      <c r="F64" s="22"/>
      <c r="G64" s="37"/>
      <c r="H64" s="25" t="str">
        <f t="shared" si="0"/>
        <v/>
      </c>
      <c r="I64" s="40"/>
    </row>
    <row r="65" spans="2:9">
      <c r="B65" s="48"/>
      <c r="C65" s="14"/>
      <c r="D65" s="22"/>
      <c r="E65" s="22"/>
      <c r="F65" s="22"/>
      <c r="G65" s="37"/>
      <c r="H65" s="25" t="str">
        <f t="shared" si="0"/>
        <v/>
      </c>
      <c r="I65" s="40"/>
    </row>
    <row r="66" spans="2:9">
      <c r="B66" s="48"/>
      <c r="C66" s="14"/>
      <c r="D66" s="22"/>
      <c r="E66" s="22"/>
      <c r="F66" s="22"/>
      <c r="G66" s="37"/>
      <c r="H66" s="25" t="str">
        <f t="shared" si="0"/>
        <v/>
      </c>
      <c r="I66" s="40"/>
    </row>
    <row r="67" spans="2:9">
      <c r="B67" s="48"/>
      <c r="C67" s="14"/>
      <c r="D67" s="22"/>
      <c r="E67" s="22"/>
      <c r="F67" s="22"/>
      <c r="G67" s="37"/>
      <c r="H67" s="25" t="str">
        <f t="shared" si="0"/>
        <v/>
      </c>
      <c r="I67" s="40"/>
    </row>
    <row r="68" spans="2:9">
      <c r="B68" s="48"/>
      <c r="C68" s="14"/>
      <c r="D68" s="22"/>
      <c r="E68" s="22"/>
      <c r="F68" s="22"/>
      <c r="G68" s="37"/>
      <c r="H68" s="25" t="str">
        <f t="shared" si="0"/>
        <v/>
      </c>
      <c r="I68" s="40"/>
    </row>
    <row r="69" spans="2:9">
      <c r="B69" s="48"/>
      <c r="C69" s="14"/>
      <c r="D69" s="22"/>
      <c r="E69" s="22"/>
      <c r="F69" s="22"/>
      <c r="G69" s="37"/>
      <c r="H69" s="25" t="str">
        <f t="shared" si="0"/>
        <v/>
      </c>
      <c r="I69" s="40"/>
    </row>
    <row r="70" spans="2:9">
      <c r="B70" s="48"/>
      <c r="C70" s="100"/>
      <c r="D70" s="22"/>
      <c r="E70" s="22"/>
      <c r="F70" s="22"/>
      <c r="G70" s="37"/>
      <c r="H70" s="25" t="str">
        <f t="shared" si="0"/>
        <v/>
      </c>
      <c r="I70" s="40"/>
    </row>
    <row r="71" spans="2:9">
      <c r="B71" s="48"/>
      <c r="C71" s="100"/>
      <c r="D71" s="22"/>
      <c r="E71" s="22"/>
      <c r="F71" s="22"/>
      <c r="G71" s="37"/>
      <c r="H71" s="25" t="str">
        <f t="shared" si="0"/>
        <v/>
      </c>
      <c r="I71" s="40"/>
    </row>
    <row r="72" spans="2:9">
      <c r="B72" s="48"/>
      <c r="C72" s="100"/>
      <c r="D72" s="22"/>
      <c r="E72" s="22"/>
      <c r="F72" s="22"/>
      <c r="G72" s="37"/>
      <c r="H72" s="25" t="str">
        <f t="shared" si="0"/>
        <v/>
      </c>
      <c r="I72" s="40"/>
    </row>
    <row r="73" spans="2:9">
      <c r="B73" s="48"/>
      <c r="C73" s="14"/>
      <c r="D73" s="22"/>
      <c r="E73" s="22"/>
      <c r="F73" s="22"/>
      <c r="G73" s="37"/>
      <c r="H73" s="25" t="str">
        <f t="shared" si="0"/>
        <v/>
      </c>
      <c r="I73" s="40"/>
    </row>
    <row r="74" spans="2:9">
      <c r="B74" s="48"/>
      <c r="C74" s="14"/>
      <c r="D74" s="22"/>
      <c r="E74" s="22"/>
      <c r="F74" s="22"/>
      <c r="G74" s="37"/>
      <c r="H74" s="25" t="str">
        <f t="shared" ref="H74:H78" si="1">IF(D74="","",F74*G74)</f>
        <v/>
      </c>
      <c r="I74" s="40"/>
    </row>
    <row r="75" spans="2:9">
      <c r="B75" s="48"/>
      <c r="C75" s="14"/>
      <c r="D75" s="22"/>
      <c r="E75" s="22"/>
      <c r="F75" s="22"/>
      <c r="G75" s="37"/>
      <c r="H75" s="25" t="str">
        <f t="shared" si="1"/>
        <v/>
      </c>
      <c r="I75" s="40"/>
    </row>
    <row r="76" spans="2:9">
      <c r="B76" s="48"/>
      <c r="C76" s="14"/>
      <c r="D76" s="22"/>
      <c r="E76" s="22"/>
      <c r="F76" s="22"/>
      <c r="G76" s="37"/>
      <c r="H76" s="25" t="str">
        <f t="shared" si="1"/>
        <v/>
      </c>
      <c r="I76" s="40"/>
    </row>
    <row r="77" spans="2:9">
      <c r="B77" s="48"/>
      <c r="C77" s="14"/>
      <c r="D77" s="22"/>
      <c r="E77" s="22"/>
      <c r="F77" s="22"/>
      <c r="G77" s="37"/>
      <c r="H77" s="25" t="str">
        <f t="shared" si="1"/>
        <v/>
      </c>
      <c r="I77" s="40"/>
    </row>
    <row r="78" spans="2:9">
      <c r="B78" s="48"/>
      <c r="C78" s="14"/>
      <c r="D78" s="22"/>
      <c r="E78" s="22"/>
      <c r="F78" s="22"/>
      <c r="G78" s="37"/>
      <c r="H78" s="25" t="str">
        <f t="shared" si="1"/>
        <v/>
      </c>
      <c r="I78" s="40"/>
    </row>
    <row r="79" spans="2:9" s="28" customFormat="1" ht="24.75" customHeight="1">
      <c r="B79" s="82" t="str">
        <f>$B$10</f>
        <v>C8.7</v>
      </c>
      <c r="C79" s="29" t="s">
        <v>125</v>
      </c>
      <c r="D79" s="30"/>
      <c r="E79" s="30"/>
      <c r="F79" s="31"/>
      <c r="G79" s="30"/>
      <c r="H79" s="32">
        <f>SUM(H9:H78)</f>
        <v>0</v>
      </c>
      <c r="I79" s="33"/>
    </row>
  </sheetData>
  <mergeCells count="4">
    <mergeCell ref="F1:H1"/>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3">
    <tabColor rgb="FF00B0F0"/>
  </sheetPr>
  <dimension ref="B1:O70"/>
  <sheetViews>
    <sheetView view="pageBreakPreview" topLeftCell="A12" zoomScaleNormal="100" zoomScaleSheetLayoutView="100" workbookViewId="0">
      <selection activeCell="C27" sqref="C27"/>
    </sheetView>
  </sheetViews>
  <sheetFormatPr defaultColWidth="6.85546875" defaultRowHeight="12.75"/>
  <cols>
    <col min="1" max="1" width="0.85546875" style="1" customWidth="1"/>
    <col min="2" max="2" width="11.7109375" style="83"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25.7109375" style="399" customWidth="1"/>
    <col min="9" max="9" width="33.5703125" style="5" hidden="1" customWidth="1"/>
    <col min="10" max="36" width="0" style="1" hidden="1" customWidth="1"/>
    <col min="37" max="16384" width="6.85546875" style="1"/>
  </cols>
  <sheetData>
    <row r="1" spans="2:14">
      <c r="B1" s="2" t="str">
        <f>Client1</f>
        <v>AIRPORTS COMPANY - SOUTH AFRICA</v>
      </c>
      <c r="F1" s="676" t="str">
        <f>"Contract No. "&amp;ContractNo</f>
        <v>Contract No. KSIA7806/2025/RFP</v>
      </c>
      <c r="G1" s="676"/>
      <c r="H1" s="676"/>
    </row>
    <row r="2" spans="2:14">
      <c r="B2" s="90" t="str">
        <f>Client2</f>
        <v>ACSA</v>
      </c>
    </row>
    <row r="3" spans="2:14">
      <c r="B3" s="71"/>
      <c r="C3" s="71"/>
      <c r="D3" s="72"/>
      <c r="E3" s="72"/>
      <c r="F3" s="72"/>
      <c r="G3" s="400"/>
      <c r="H3" s="401"/>
    </row>
    <row r="4" spans="2:14">
      <c r="B4" s="695" t="s">
        <v>366</v>
      </c>
      <c r="C4" s="696"/>
      <c r="D4" s="696"/>
      <c r="E4" s="696"/>
      <c r="F4" s="696"/>
      <c r="G4" s="696"/>
      <c r="H4" s="742" t="str">
        <f>"CHAPTER "&amp;B10</f>
        <v>CHAPTER C8.8</v>
      </c>
      <c r="I4" s="676" t="s">
        <v>100</v>
      </c>
    </row>
    <row r="5" spans="2:14"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14" ht="12.75" customHeight="1">
      <c r="B6" s="690"/>
      <c r="C6" s="691"/>
      <c r="D6" s="691"/>
      <c r="E6" s="691"/>
      <c r="F6" s="691"/>
      <c r="G6" s="691"/>
      <c r="H6" s="743"/>
      <c r="I6" s="676"/>
    </row>
    <row r="7" spans="2:14" ht="7.5" customHeight="1">
      <c r="B7" s="692"/>
      <c r="C7" s="693"/>
      <c r="D7" s="693"/>
      <c r="E7" s="693"/>
      <c r="F7" s="693"/>
      <c r="G7" s="693"/>
      <c r="H7" s="744"/>
      <c r="I7" s="676"/>
    </row>
    <row r="8" spans="2:14" s="9" customFormat="1" ht="24.95" customHeight="1">
      <c r="B8" s="10" t="s">
        <v>11</v>
      </c>
      <c r="C8" s="11" t="s">
        <v>12</v>
      </c>
      <c r="D8" s="11" t="s">
        <v>13</v>
      </c>
      <c r="E8" s="11" t="s">
        <v>14</v>
      </c>
      <c r="F8" s="11" t="s">
        <v>15</v>
      </c>
      <c r="G8" s="409" t="s">
        <v>16</v>
      </c>
      <c r="H8" s="364" t="s">
        <v>17</v>
      </c>
      <c r="I8" s="676"/>
    </row>
    <row r="9" spans="2:14">
      <c r="B9" s="48"/>
      <c r="C9" s="14"/>
      <c r="D9" s="15"/>
      <c r="E9" s="15"/>
      <c r="F9" s="15"/>
      <c r="G9" s="427"/>
      <c r="H9" s="367" t="str">
        <f>IF(D9="","",F9*G9)</f>
        <v/>
      </c>
      <c r="I9" s="239"/>
    </row>
    <row r="10" spans="2:14">
      <c r="B10" s="69" t="s">
        <v>1226</v>
      </c>
      <c r="C10" s="20" t="s">
        <v>1227</v>
      </c>
      <c r="D10" s="22"/>
      <c r="E10" s="22"/>
      <c r="F10" s="22"/>
      <c r="G10" s="410"/>
      <c r="H10" s="367" t="str">
        <f t="shared" ref="H10:H68" si="0">IF(D10="","",F10*G10)</f>
        <v/>
      </c>
      <c r="I10" s="277"/>
    </row>
    <row r="11" spans="2:14">
      <c r="B11" s="48"/>
      <c r="C11" s="14"/>
      <c r="D11" s="22"/>
      <c r="E11" s="22"/>
      <c r="F11" s="22"/>
      <c r="G11" s="410"/>
      <c r="H11" s="367" t="str">
        <f t="shared" si="0"/>
        <v/>
      </c>
      <c r="I11" s="277"/>
    </row>
    <row r="12" spans="2:14">
      <c r="B12" s="48" t="s">
        <v>1228</v>
      </c>
      <c r="C12" s="14" t="s">
        <v>1229</v>
      </c>
      <c r="D12" s="22"/>
      <c r="E12" s="22"/>
      <c r="F12" s="22"/>
      <c r="G12" s="410"/>
      <c r="H12" s="367" t="str">
        <f t="shared" si="0"/>
        <v/>
      </c>
      <c r="I12" s="277"/>
    </row>
    <row r="13" spans="2:14">
      <c r="B13" s="48"/>
      <c r="C13" s="14"/>
      <c r="D13" s="22"/>
      <c r="E13" s="22"/>
      <c r="F13" s="22"/>
      <c r="G13" s="410"/>
      <c r="H13" s="367" t="str">
        <f t="shared" si="0"/>
        <v/>
      </c>
      <c r="I13" s="277"/>
    </row>
    <row r="14" spans="2:14">
      <c r="B14" s="48" t="s">
        <v>1230</v>
      </c>
      <c r="C14" s="14" t="s">
        <v>1231</v>
      </c>
      <c r="D14" s="22"/>
      <c r="E14" s="22"/>
      <c r="F14" s="240"/>
      <c r="G14" s="351"/>
      <c r="H14" s="367" t="str">
        <f t="shared" si="0"/>
        <v/>
      </c>
      <c r="I14" s="278"/>
      <c r="N14" s="1">
        <f>400*1</f>
        <v>400</v>
      </c>
    </row>
    <row r="15" spans="2:14">
      <c r="B15" s="48"/>
      <c r="C15" s="14"/>
      <c r="D15" s="22"/>
      <c r="E15" s="22"/>
      <c r="F15" s="240"/>
      <c r="G15" s="587"/>
      <c r="H15" s="367" t="str">
        <f t="shared" si="0"/>
        <v/>
      </c>
      <c r="I15" s="278"/>
    </row>
    <row r="16" spans="2:14">
      <c r="B16" s="48" t="s">
        <v>83</v>
      </c>
      <c r="C16" s="14" t="s">
        <v>805</v>
      </c>
      <c r="D16" s="22" t="s">
        <v>347</v>
      </c>
      <c r="E16" s="22" t="s">
        <v>14</v>
      </c>
      <c r="F16" s="240">
        <v>500</v>
      </c>
      <c r="G16" s="587"/>
      <c r="H16" s="367">
        <f t="shared" si="0"/>
        <v>0</v>
      </c>
      <c r="I16" s="332" t="s">
        <v>725</v>
      </c>
    </row>
    <row r="17" spans="2:15">
      <c r="B17" s="48"/>
      <c r="C17" s="14"/>
      <c r="D17" s="22"/>
      <c r="E17" s="22"/>
      <c r="F17" s="240"/>
      <c r="G17" s="587"/>
      <c r="H17" s="367" t="str">
        <f t="shared" si="0"/>
        <v/>
      </c>
      <c r="I17" s="332"/>
    </row>
    <row r="18" spans="2:15">
      <c r="B18" s="48" t="s">
        <v>86</v>
      </c>
      <c r="C18" s="14" t="s">
        <v>807</v>
      </c>
      <c r="D18" s="22" t="s">
        <v>347</v>
      </c>
      <c r="E18" s="22" t="s">
        <v>14</v>
      </c>
      <c r="F18" s="240">
        <v>100</v>
      </c>
      <c r="G18" s="587"/>
      <c r="H18" s="367">
        <f t="shared" si="0"/>
        <v>0</v>
      </c>
      <c r="I18" s="332" t="s">
        <v>725</v>
      </c>
    </row>
    <row r="19" spans="2:15">
      <c r="B19" s="48"/>
      <c r="C19" s="14"/>
      <c r="D19" s="22"/>
      <c r="E19" s="22"/>
      <c r="F19" s="240"/>
      <c r="G19" s="587"/>
      <c r="H19" s="367" t="str">
        <f t="shared" si="0"/>
        <v/>
      </c>
      <c r="I19" s="332"/>
    </row>
    <row r="20" spans="2:15">
      <c r="B20" s="48"/>
      <c r="C20" s="14"/>
      <c r="D20" s="22"/>
      <c r="E20" s="22"/>
      <c r="F20" s="240"/>
      <c r="G20" s="587"/>
      <c r="H20" s="367" t="str">
        <f t="shared" si="0"/>
        <v/>
      </c>
      <c r="I20" s="332"/>
    </row>
    <row r="21" spans="2:15" ht="25.5">
      <c r="B21" s="294" t="s">
        <v>1232</v>
      </c>
      <c r="C21" s="39" t="s">
        <v>1233</v>
      </c>
      <c r="D21" s="39" t="s">
        <v>782</v>
      </c>
      <c r="E21" s="39" t="s">
        <v>14</v>
      </c>
      <c r="F21" s="240">
        <v>350</v>
      </c>
      <c r="G21" s="586"/>
      <c r="H21" s="367">
        <f>G21*F21</f>
        <v>0</v>
      </c>
      <c r="I21" s="332" t="s">
        <v>725</v>
      </c>
      <c r="M21" s="1">
        <f>1*0.3*0.2</f>
        <v>0.06</v>
      </c>
      <c r="N21" s="1">
        <v>90</v>
      </c>
      <c r="O21" s="1">
        <f>N21*M21</f>
        <v>5.3999999999999995</v>
      </c>
    </row>
    <row r="22" spans="2:15">
      <c r="B22" s="48"/>
      <c r="C22" s="14"/>
      <c r="D22" s="22"/>
      <c r="E22" s="22"/>
      <c r="F22" s="240"/>
      <c r="G22" s="586"/>
      <c r="H22" s="367"/>
      <c r="I22" s="331"/>
      <c r="M22" s="1">
        <f>1*0.3*0.15</f>
        <v>4.4999999999999998E-2</v>
      </c>
      <c r="N22" s="1">
        <v>950</v>
      </c>
      <c r="O22" s="1">
        <f t="shared" ref="O22:O24" si="1">N22*M22</f>
        <v>42.75</v>
      </c>
    </row>
    <row r="23" spans="2:15" ht="63.75">
      <c r="B23" s="294" t="s">
        <v>1234</v>
      </c>
      <c r="C23" s="39" t="s">
        <v>1235</v>
      </c>
      <c r="D23" s="39" t="s">
        <v>1236</v>
      </c>
      <c r="E23" s="39" t="s">
        <v>14</v>
      </c>
      <c r="F23" s="240">
        <v>90</v>
      </c>
      <c r="G23" s="586"/>
      <c r="H23" s="363">
        <f>G23*F23</f>
        <v>0</v>
      </c>
      <c r="I23" s="332" t="s">
        <v>725</v>
      </c>
      <c r="M23" s="1">
        <f>1*0.3*0.7</f>
        <v>0.21</v>
      </c>
      <c r="N23" s="1">
        <v>25</v>
      </c>
      <c r="O23" s="1">
        <f t="shared" si="1"/>
        <v>5.25</v>
      </c>
    </row>
    <row r="24" spans="2:15">
      <c r="B24" s="48"/>
      <c r="C24" s="14"/>
      <c r="D24" s="22"/>
      <c r="E24" s="22"/>
      <c r="F24" s="240"/>
      <c r="G24" s="585"/>
      <c r="H24" s="367"/>
      <c r="I24" s="277"/>
      <c r="M24" s="1">
        <f>1*0.3*0.05*2.45</f>
        <v>3.6749999999999998E-2</v>
      </c>
      <c r="N24" s="1">
        <v>2850</v>
      </c>
      <c r="O24" s="1">
        <f t="shared" si="1"/>
        <v>104.7375</v>
      </c>
    </row>
    <row r="25" spans="2:15">
      <c r="B25" s="48"/>
      <c r="C25" s="14"/>
      <c r="D25" s="22"/>
      <c r="E25" s="22"/>
      <c r="F25" s="240"/>
      <c r="G25" s="410"/>
      <c r="H25" s="367"/>
      <c r="I25" s="279"/>
      <c r="O25" s="1">
        <f>SUM(O21:O24)</f>
        <v>158.13749999999999</v>
      </c>
    </row>
    <row r="26" spans="2:15">
      <c r="B26" s="48"/>
      <c r="C26" s="14"/>
      <c r="D26" s="22"/>
      <c r="E26" s="22"/>
      <c r="F26" s="240"/>
      <c r="G26" s="410"/>
      <c r="H26" s="367"/>
      <c r="I26" s="279"/>
    </row>
    <row r="27" spans="2:15">
      <c r="B27" s="48"/>
      <c r="C27" s="14"/>
      <c r="D27" s="22"/>
      <c r="E27" s="36"/>
      <c r="F27" s="240"/>
      <c r="G27" s="431"/>
      <c r="H27" s="367"/>
    </row>
    <row r="28" spans="2:15">
      <c r="B28" s="48"/>
      <c r="C28" s="14"/>
      <c r="D28" s="22"/>
      <c r="E28" s="36"/>
      <c r="F28" s="240"/>
      <c r="G28" s="431"/>
      <c r="H28" s="367"/>
    </row>
    <row r="29" spans="2:15">
      <c r="B29" s="48"/>
      <c r="C29" s="14"/>
      <c r="D29" s="22"/>
      <c r="E29" s="36"/>
      <c r="F29" s="240"/>
      <c r="G29" s="431"/>
      <c r="H29" s="367"/>
    </row>
    <row r="30" spans="2:15">
      <c r="B30" s="48"/>
      <c r="C30" s="14"/>
      <c r="D30" s="22"/>
      <c r="E30" s="36"/>
      <c r="F30" s="240"/>
      <c r="G30" s="431"/>
      <c r="H30" s="367"/>
    </row>
    <row r="31" spans="2:15">
      <c r="B31" s="48"/>
      <c r="C31" s="14"/>
      <c r="D31" s="22"/>
      <c r="E31" s="36"/>
      <c r="F31" s="240"/>
      <c r="G31" s="351"/>
      <c r="H31" s="367"/>
    </row>
    <row r="32" spans="2:15">
      <c r="B32" s="48"/>
      <c r="C32" s="14"/>
      <c r="D32" s="22"/>
      <c r="E32" s="36"/>
      <c r="F32" s="240"/>
      <c r="G32" s="351"/>
      <c r="H32" s="367"/>
    </row>
    <row r="33" spans="2:9">
      <c r="B33" s="48"/>
      <c r="C33" s="14"/>
      <c r="D33" s="22"/>
      <c r="E33" s="36"/>
      <c r="F33" s="240"/>
      <c r="G33" s="431"/>
      <c r="H33" s="367"/>
    </row>
    <row r="34" spans="2:9">
      <c r="B34" s="48"/>
      <c r="C34" s="14"/>
      <c r="D34" s="22"/>
      <c r="E34" s="36"/>
      <c r="F34" s="240"/>
      <c r="G34" s="431"/>
      <c r="H34" s="367"/>
    </row>
    <row r="35" spans="2:9">
      <c r="B35" s="48"/>
      <c r="C35" s="14"/>
      <c r="D35" s="22"/>
      <c r="E35" s="36"/>
      <c r="F35" s="240"/>
      <c r="G35" s="379"/>
      <c r="H35" s="367"/>
    </row>
    <row r="36" spans="2:9">
      <c r="B36" s="48"/>
      <c r="C36" s="14"/>
      <c r="D36" s="22"/>
      <c r="E36" s="36"/>
      <c r="F36" s="240"/>
      <c r="G36" s="431"/>
      <c r="H36" s="367"/>
    </row>
    <row r="37" spans="2:9">
      <c r="B37" s="48"/>
      <c r="C37" s="14"/>
      <c r="D37" s="22"/>
      <c r="E37" s="22"/>
      <c r="F37" s="240"/>
      <c r="G37" s="410"/>
      <c r="H37" s="367"/>
      <c r="I37" s="277"/>
    </row>
    <row r="38" spans="2:9">
      <c r="B38" s="48"/>
      <c r="C38" s="14"/>
      <c r="D38" s="22"/>
      <c r="E38" s="22"/>
      <c r="F38" s="240"/>
      <c r="G38" s="410"/>
      <c r="H38" s="367"/>
      <c r="I38" s="277"/>
    </row>
    <row r="39" spans="2:9">
      <c r="B39" s="48"/>
      <c r="C39" s="14"/>
      <c r="D39" s="22"/>
      <c r="E39" s="22"/>
      <c r="F39" s="240"/>
      <c r="G39" s="351"/>
      <c r="H39" s="367"/>
      <c r="I39" s="278"/>
    </row>
    <row r="40" spans="2:9">
      <c r="B40" s="48"/>
      <c r="C40" s="14"/>
      <c r="D40" s="22"/>
      <c r="E40" s="15"/>
      <c r="F40" s="249"/>
      <c r="G40" s="427"/>
      <c r="H40" s="367"/>
      <c r="I40" s="239"/>
    </row>
    <row r="41" spans="2:9" s="35" customFormat="1">
      <c r="B41" s="48"/>
      <c r="C41" s="14"/>
      <c r="D41" s="22"/>
      <c r="E41" s="15"/>
      <c r="F41" s="249"/>
      <c r="G41" s="427"/>
      <c r="H41" s="367"/>
      <c r="I41" s="239"/>
    </row>
    <row r="42" spans="2:9" s="35" customFormat="1">
      <c r="B42" s="48"/>
      <c r="C42" s="14"/>
      <c r="D42" s="22"/>
      <c r="E42" s="15"/>
      <c r="F42" s="249"/>
      <c r="G42" s="427"/>
      <c r="H42" s="367"/>
      <c r="I42" s="239"/>
    </row>
    <row r="43" spans="2:9">
      <c r="B43" s="48"/>
      <c r="C43" s="14"/>
      <c r="D43" s="22"/>
      <c r="E43" s="22"/>
      <c r="F43" s="240"/>
      <c r="G43" s="351"/>
      <c r="H43" s="367"/>
      <c r="I43" s="278"/>
    </row>
    <row r="44" spans="2:9">
      <c r="B44" s="48"/>
      <c r="C44" s="14"/>
      <c r="D44" s="22"/>
      <c r="E44" s="22"/>
      <c r="F44" s="240"/>
      <c r="G44" s="351"/>
      <c r="H44" s="367"/>
      <c r="I44" s="278"/>
    </row>
    <row r="45" spans="2:9">
      <c r="B45" s="48"/>
      <c r="C45" s="14"/>
      <c r="D45" s="22"/>
      <c r="E45" s="22"/>
      <c r="F45" s="240"/>
      <c r="G45" s="351"/>
      <c r="H45" s="367"/>
      <c r="I45" s="278"/>
    </row>
    <row r="46" spans="2:9">
      <c r="B46" s="48"/>
      <c r="C46" s="14"/>
      <c r="D46" s="22"/>
      <c r="E46" s="22"/>
      <c r="F46" s="240"/>
      <c r="G46" s="351"/>
      <c r="H46" s="367"/>
      <c r="I46" s="278"/>
    </row>
    <row r="47" spans="2:9">
      <c r="B47" s="48"/>
      <c r="C47" s="14"/>
      <c r="D47" s="22"/>
      <c r="E47" s="22"/>
      <c r="F47" s="240"/>
      <c r="G47" s="410"/>
      <c r="H47" s="367"/>
      <c r="I47" s="277"/>
    </row>
    <row r="48" spans="2:9">
      <c r="B48" s="48"/>
      <c r="C48" s="14"/>
      <c r="D48" s="22"/>
      <c r="E48" s="22"/>
      <c r="F48" s="240"/>
      <c r="G48" s="410"/>
      <c r="H48" s="367"/>
      <c r="I48" s="277"/>
    </row>
    <row r="49" spans="2:9">
      <c r="B49" s="48"/>
      <c r="C49" s="14"/>
      <c r="D49" s="22"/>
      <c r="E49" s="22"/>
      <c r="F49" s="240"/>
      <c r="G49" s="379"/>
      <c r="H49" s="367"/>
      <c r="I49" s="277"/>
    </row>
    <row r="50" spans="2:9">
      <c r="B50" s="48"/>
      <c r="C50" s="14"/>
      <c r="D50" s="22"/>
      <c r="E50" s="22"/>
      <c r="F50" s="240"/>
      <c r="G50" s="379"/>
      <c r="H50" s="367"/>
      <c r="I50" s="277"/>
    </row>
    <row r="51" spans="2:9">
      <c r="B51" s="48"/>
      <c r="C51" s="14"/>
      <c r="D51" s="22"/>
      <c r="E51" s="22"/>
      <c r="F51" s="22"/>
      <c r="G51" s="410"/>
      <c r="H51" s="367"/>
      <c r="I51" s="277"/>
    </row>
    <row r="52" spans="2:9">
      <c r="B52" s="48"/>
      <c r="C52" s="14"/>
      <c r="D52" s="22"/>
      <c r="E52" s="22"/>
      <c r="F52" s="22"/>
      <c r="G52" s="410"/>
      <c r="H52" s="367"/>
      <c r="I52" s="277"/>
    </row>
    <row r="53" spans="2:9">
      <c r="B53" s="48"/>
      <c r="C53" s="14"/>
      <c r="D53" s="22"/>
      <c r="E53" s="22"/>
      <c r="F53" s="22"/>
      <c r="G53" s="410"/>
      <c r="H53" s="367"/>
      <c r="I53" s="277"/>
    </row>
    <row r="54" spans="2:9">
      <c r="B54" s="48"/>
      <c r="C54" s="14"/>
      <c r="D54" s="22"/>
      <c r="E54" s="22"/>
      <c r="F54" s="22"/>
      <c r="G54" s="410"/>
      <c r="H54" s="367"/>
      <c r="I54" s="277"/>
    </row>
    <row r="55" spans="2:9">
      <c r="B55" s="48"/>
      <c r="C55" s="14"/>
      <c r="D55" s="22"/>
      <c r="E55" s="22"/>
      <c r="F55" s="22"/>
      <c r="G55" s="351"/>
      <c r="H55" s="367"/>
      <c r="I55" s="277"/>
    </row>
    <row r="56" spans="2:9">
      <c r="B56" s="48"/>
      <c r="C56" s="14"/>
      <c r="D56" s="22"/>
      <c r="E56" s="22"/>
      <c r="F56" s="22"/>
      <c r="G56" s="351"/>
      <c r="H56" s="367"/>
      <c r="I56" s="277"/>
    </row>
    <row r="57" spans="2:9">
      <c r="B57" s="48"/>
      <c r="C57" s="14"/>
      <c r="D57" s="22"/>
      <c r="E57" s="22"/>
      <c r="F57" s="22"/>
      <c r="G57" s="351"/>
      <c r="H57" s="367"/>
      <c r="I57" s="277"/>
    </row>
    <row r="58" spans="2:9">
      <c r="B58" s="48"/>
      <c r="C58" s="14"/>
      <c r="D58" s="22"/>
      <c r="E58" s="22"/>
      <c r="F58" s="22"/>
      <c r="G58" s="351"/>
      <c r="H58" s="367" t="str">
        <f t="shared" si="0"/>
        <v/>
      </c>
      <c r="I58" s="277"/>
    </row>
    <row r="59" spans="2:9">
      <c r="B59" s="48"/>
      <c r="C59" s="14"/>
      <c r="D59" s="22"/>
      <c r="E59" s="22"/>
      <c r="F59" s="22"/>
      <c r="G59" s="351"/>
      <c r="H59" s="367" t="str">
        <f t="shared" si="0"/>
        <v/>
      </c>
      <c r="I59" s="277"/>
    </row>
    <row r="60" spans="2:9">
      <c r="B60" s="48"/>
      <c r="C60" s="14"/>
      <c r="D60" s="22"/>
      <c r="E60" s="22"/>
      <c r="F60" s="22"/>
      <c r="G60" s="351"/>
      <c r="H60" s="367" t="str">
        <f t="shared" si="0"/>
        <v/>
      </c>
      <c r="I60" s="277"/>
    </row>
    <row r="61" spans="2:9">
      <c r="B61" s="48"/>
      <c r="C61" s="14"/>
      <c r="D61" s="22"/>
      <c r="E61" s="22"/>
      <c r="F61" s="22"/>
      <c r="G61" s="351"/>
      <c r="H61" s="367" t="str">
        <f t="shared" si="0"/>
        <v/>
      </c>
      <c r="I61" s="277"/>
    </row>
    <row r="62" spans="2:9">
      <c r="B62" s="48"/>
      <c r="C62" s="14"/>
      <c r="D62" s="22"/>
      <c r="E62" s="22"/>
      <c r="F62" s="22"/>
      <c r="G62" s="351"/>
      <c r="H62" s="367" t="str">
        <f t="shared" si="0"/>
        <v/>
      </c>
      <c r="I62" s="277"/>
    </row>
    <row r="63" spans="2:9">
      <c r="B63" s="48"/>
      <c r="C63" s="14"/>
      <c r="D63" s="22"/>
      <c r="E63" s="22"/>
      <c r="F63" s="22"/>
      <c r="G63" s="351"/>
      <c r="H63" s="367" t="str">
        <f t="shared" si="0"/>
        <v/>
      </c>
      <c r="I63" s="277"/>
    </row>
    <row r="64" spans="2:9">
      <c r="B64" s="48"/>
      <c r="C64" s="14"/>
      <c r="D64" s="22"/>
      <c r="E64" s="22"/>
      <c r="F64" s="22"/>
      <c r="G64" s="351"/>
      <c r="H64" s="367" t="str">
        <f t="shared" si="0"/>
        <v/>
      </c>
      <c r="I64" s="277"/>
    </row>
    <row r="65" spans="2:9">
      <c r="B65" s="48"/>
      <c r="C65" s="14"/>
      <c r="D65" s="22"/>
      <c r="E65" s="22"/>
      <c r="F65" s="22"/>
      <c r="G65" s="351"/>
      <c r="H65" s="367" t="str">
        <f t="shared" si="0"/>
        <v/>
      </c>
      <c r="I65" s="277"/>
    </row>
    <row r="66" spans="2:9">
      <c r="B66" s="48"/>
      <c r="C66" s="14"/>
      <c r="D66" s="22"/>
      <c r="E66" s="22"/>
      <c r="F66" s="22"/>
      <c r="G66" s="351"/>
      <c r="H66" s="367" t="str">
        <f t="shared" si="0"/>
        <v/>
      </c>
      <c r="I66" s="277"/>
    </row>
    <row r="67" spans="2:9">
      <c r="B67" s="48"/>
      <c r="C67" s="14"/>
      <c r="D67" s="22"/>
      <c r="E67" s="22"/>
      <c r="F67" s="22"/>
      <c r="G67" s="351"/>
      <c r="H67" s="367" t="str">
        <f t="shared" si="0"/>
        <v/>
      </c>
      <c r="I67" s="277"/>
    </row>
    <row r="68" spans="2:9">
      <c r="B68" s="48"/>
      <c r="C68" s="14"/>
      <c r="D68" s="22"/>
      <c r="E68" s="22"/>
      <c r="F68" s="22"/>
      <c r="G68" s="351"/>
      <c r="H68" s="367" t="str">
        <f t="shared" si="0"/>
        <v/>
      </c>
      <c r="I68" s="277"/>
    </row>
    <row r="69" spans="2:9">
      <c r="B69" s="48"/>
      <c r="C69" s="14"/>
      <c r="D69" s="22"/>
      <c r="E69" s="22"/>
      <c r="F69" s="22"/>
      <c r="G69" s="351"/>
      <c r="H69" s="367" t="str">
        <f>IF(D69="","",F69*G69)</f>
        <v/>
      </c>
      <c r="I69" s="277"/>
    </row>
    <row r="70" spans="2:9" s="28" customFormat="1" ht="19.5" customHeight="1">
      <c r="B70" s="101" t="str">
        <f>$B$10</f>
        <v>C8.8</v>
      </c>
      <c r="C70" s="29" t="s">
        <v>99</v>
      </c>
      <c r="D70" s="30"/>
      <c r="E70" s="30"/>
      <c r="F70" s="31"/>
      <c r="G70" s="412"/>
      <c r="H70" s="364">
        <f>SUM(H9:H69)</f>
        <v>0</v>
      </c>
      <c r="I70" s="236"/>
    </row>
  </sheetData>
  <sheetProtection algorithmName="SHA-512" hashValue="T4v258j0fF2kKIS5LPOvBVWZp+b1puZdOjhOM/QmuUcxYv3W9DURyH8jGnTTQJH5KUxcjDfvB/5LGuStc6ceFg==" saltValue="7dpavwA+OllwXbHB2FvQyg==" spinCount="100000" sheet="1" objects="1" scenarios="1"/>
  <mergeCells count="5">
    <mergeCell ref="F1:H1"/>
    <mergeCell ref="B5:G7"/>
    <mergeCell ref="H4:H7"/>
    <mergeCell ref="B4:G4"/>
    <mergeCell ref="I4:I8"/>
  </mergeCells>
  <phoneticPr fontId="17" type="noConversion"/>
  <pageMargins left="0.43307086614173229" right="0.31496062992125984" top="0.43307086614173229" bottom="0.62992125984251968" header="0.35433070866141736" footer="0.31496062992125984"/>
  <pageSetup paperSize="9" scale="53"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dimension ref="B1:L62"/>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12">
      <c r="B1" s="2" t="str">
        <f>Client1</f>
        <v>AIRPORTS COMPANY - SOUTH AFRICA</v>
      </c>
      <c r="F1" s="732" t="str">
        <f>"Contract No. "&amp;ContractNo</f>
        <v>Contract No. KSIA7806/2025/RFP</v>
      </c>
      <c r="G1" s="732"/>
      <c r="H1" s="732"/>
    </row>
    <row r="2" spans="2:12">
      <c r="B2" s="90" t="str">
        <f>Client2</f>
        <v>ACSA</v>
      </c>
    </row>
    <row r="3" spans="2:12">
      <c r="B3" s="71"/>
      <c r="C3" s="71"/>
      <c r="D3" s="72"/>
      <c r="E3" s="72"/>
      <c r="F3" s="72"/>
      <c r="G3" s="73"/>
      <c r="H3" s="91"/>
    </row>
    <row r="4" spans="2:12">
      <c r="B4" s="695" t="s">
        <v>456</v>
      </c>
      <c r="C4" s="696"/>
      <c r="D4" s="696"/>
      <c r="E4" s="696"/>
      <c r="F4" s="696"/>
      <c r="G4" s="696"/>
      <c r="H4" s="770" t="str">
        <f>"CHAPTER "&amp;B10</f>
        <v>CHAPTER C9.1</v>
      </c>
      <c r="I4" s="6"/>
    </row>
    <row r="5" spans="2:12"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12" ht="12.75" customHeight="1">
      <c r="B6" s="690"/>
      <c r="C6" s="691"/>
      <c r="D6" s="691"/>
      <c r="E6" s="691"/>
      <c r="F6" s="691"/>
      <c r="G6" s="691"/>
      <c r="H6" s="771"/>
      <c r="I6" s="8"/>
    </row>
    <row r="7" spans="2:12" ht="7.5" customHeight="1">
      <c r="B7" s="692"/>
      <c r="C7" s="693"/>
      <c r="D7" s="693"/>
      <c r="E7" s="693"/>
      <c r="F7" s="693"/>
      <c r="G7" s="693"/>
      <c r="H7" s="772"/>
      <c r="I7" s="8"/>
    </row>
    <row r="8" spans="2:12" s="9" customFormat="1" ht="24.95" customHeight="1">
      <c r="B8" s="10" t="s">
        <v>11</v>
      </c>
      <c r="C8" s="11" t="s">
        <v>12</v>
      </c>
      <c r="D8" s="11" t="s">
        <v>13</v>
      </c>
      <c r="E8" s="11" t="s">
        <v>14</v>
      </c>
      <c r="F8" s="11" t="s">
        <v>15</v>
      </c>
      <c r="G8" s="11" t="s">
        <v>16</v>
      </c>
      <c r="H8" s="11" t="s">
        <v>17</v>
      </c>
      <c r="I8" s="12"/>
    </row>
    <row r="9" spans="2:12">
      <c r="B9" s="48"/>
      <c r="C9" s="14"/>
      <c r="D9" s="15"/>
      <c r="E9" s="15"/>
      <c r="F9" s="15"/>
      <c r="G9" s="16"/>
      <c r="H9" s="25" t="str">
        <f t="shared" ref="H9:H58" si="0">IF(D9="","",F9*G9)</f>
        <v/>
      </c>
      <c r="I9" s="18"/>
    </row>
    <row r="10" spans="2:12">
      <c r="B10" s="218" t="s">
        <v>1237</v>
      </c>
      <c r="C10" s="185" t="s">
        <v>1238</v>
      </c>
      <c r="D10" s="186"/>
      <c r="E10" s="186"/>
      <c r="F10" s="186"/>
      <c r="G10" s="186"/>
      <c r="H10" s="184" t="str">
        <f t="shared" si="0"/>
        <v/>
      </c>
      <c r="I10" s="40"/>
    </row>
    <row r="11" spans="2:12">
      <c r="B11" s="218"/>
      <c r="C11" s="185"/>
      <c r="D11" s="186"/>
      <c r="E11" s="186"/>
      <c r="F11" s="186"/>
      <c r="G11" s="186"/>
      <c r="H11" s="184"/>
      <c r="I11" s="40"/>
    </row>
    <row r="12" spans="2:12">
      <c r="B12" s="48" t="s">
        <v>1239</v>
      </c>
      <c r="C12" s="14" t="s">
        <v>1240</v>
      </c>
      <c r="D12" s="22"/>
      <c r="E12" s="22"/>
      <c r="F12" s="81"/>
      <c r="G12" s="81"/>
      <c r="H12" s="247" t="str">
        <f t="shared" ref="H12:H24" si="1">IF(D12="","",F12*G12)</f>
        <v/>
      </c>
      <c r="I12" s="40"/>
    </row>
    <row r="13" spans="2:12">
      <c r="B13" s="48"/>
      <c r="C13" s="14"/>
      <c r="D13" s="22"/>
      <c r="E13" s="22"/>
      <c r="F13" s="81"/>
      <c r="G13" s="81"/>
      <c r="H13" s="247" t="str">
        <f t="shared" si="1"/>
        <v/>
      </c>
      <c r="I13" s="40"/>
    </row>
    <row r="14" spans="2:12">
      <c r="B14" s="48"/>
      <c r="C14" s="14"/>
      <c r="D14" s="22"/>
      <c r="E14" s="22"/>
      <c r="F14" s="241"/>
      <c r="G14" s="256"/>
      <c r="H14" s="247" t="str">
        <f t="shared" si="1"/>
        <v/>
      </c>
      <c r="I14" s="41"/>
      <c r="L14" s="1" t="s">
        <v>1241</v>
      </c>
    </row>
    <row r="15" spans="2:12">
      <c r="B15" s="48" t="s">
        <v>1242</v>
      </c>
      <c r="C15" s="14" t="s">
        <v>1243</v>
      </c>
      <c r="D15" s="22"/>
      <c r="E15" s="36"/>
      <c r="F15" s="241"/>
      <c r="G15" s="106"/>
      <c r="H15" s="247" t="str">
        <f t="shared" si="1"/>
        <v/>
      </c>
      <c r="I15" s="41"/>
    </row>
    <row r="16" spans="2:12">
      <c r="B16" s="48"/>
      <c r="C16" s="14"/>
      <c r="D16" s="22"/>
      <c r="E16" s="36"/>
      <c r="F16" s="241"/>
      <c r="G16" s="106"/>
      <c r="H16" s="247" t="str">
        <f t="shared" si="1"/>
        <v/>
      </c>
      <c r="I16" s="41"/>
    </row>
    <row r="17" spans="2:11" ht="25.5">
      <c r="B17" s="48" t="s">
        <v>83</v>
      </c>
      <c r="C17" s="14" t="s">
        <v>1244</v>
      </c>
      <c r="D17" s="22" t="s">
        <v>33</v>
      </c>
      <c r="E17" s="36"/>
      <c r="F17" s="241">
        <v>1</v>
      </c>
      <c r="G17" s="256"/>
      <c r="H17" s="247">
        <f t="shared" si="1"/>
        <v>0</v>
      </c>
      <c r="I17" s="40"/>
    </row>
    <row r="18" spans="2:11">
      <c r="B18" s="48"/>
      <c r="C18" s="14"/>
      <c r="D18" s="22"/>
      <c r="E18" s="22"/>
      <c r="F18" s="255"/>
      <c r="G18" s="256"/>
      <c r="H18" s="247" t="str">
        <f t="shared" si="1"/>
        <v/>
      </c>
      <c r="I18" s="40"/>
    </row>
    <row r="19" spans="2:11">
      <c r="B19" s="48" t="s">
        <v>1245</v>
      </c>
      <c r="C19" s="14" t="s">
        <v>1246</v>
      </c>
      <c r="D19" s="22"/>
      <c r="E19" s="22"/>
      <c r="F19" s="255"/>
      <c r="G19" s="257"/>
      <c r="H19" s="247" t="str">
        <f t="shared" si="1"/>
        <v/>
      </c>
      <c r="I19" s="40"/>
    </row>
    <row r="20" spans="2:11">
      <c r="B20" s="48"/>
      <c r="C20" s="14"/>
      <c r="D20" s="22"/>
      <c r="E20" s="22"/>
      <c r="F20" s="255"/>
      <c r="G20" s="256"/>
      <c r="H20" s="247" t="str">
        <f t="shared" si="1"/>
        <v/>
      </c>
      <c r="I20" s="43"/>
    </row>
    <row r="21" spans="2:11" ht="25.5">
      <c r="B21" s="48" t="s">
        <v>1247</v>
      </c>
      <c r="C21" s="14" t="s">
        <v>1248</v>
      </c>
      <c r="D21" s="22" t="s">
        <v>124</v>
      </c>
      <c r="E21" s="22"/>
      <c r="F21" s="241">
        <v>350</v>
      </c>
      <c r="G21" s="256"/>
      <c r="H21" s="247">
        <f t="shared" si="1"/>
        <v>0</v>
      </c>
      <c r="K21" s="1">
        <f>50*7</f>
        <v>350</v>
      </c>
    </row>
    <row r="22" spans="2:11">
      <c r="B22" s="48"/>
      <c r="C22" s="14"/>
      <c r="D22" s="22"/>
      <c r="E22" s="22"/>
      <c r="F22" s="241"/>
      <c r="G22" s="256"/>
      <c r="H22" s="247" t="str">
        <f t="shared" si="1"/>
        <v/>
      </c>
    </row>
    <row r="23" spans="2:11" ht="25.5">
      <c r="B23" s="48" t="s">
        <v>1249</v>
      </c>
      <c r="C23" s="14" t="s">
        <v>1250</v>
      </c>
      <c r="D23" s="22" t="s">
        <v>124</v>
      </c>
      <c r="E23" s="22"/>
      <c r="F23" s="241">
        <v>350</v>
      </c>
      <c r="G23" s="81"/>
      <c r="H23" s="247">
        <f t="shared" si="1"/>
        <v>0</v>
      </c>
    </row>
    <row r="24" spans="2:11">
      <c r="B24" s="48"/>
      <c r="C24" s="14"/>
      <c r="D24" s="22"/>
      <c r="E24" s="22"/>
      <c r="F24" s="241"/>
      <c r="G24" s="256"/>
      <c r="H24" s="247" t="str">
        <f t="shared" si="1"/>
        <v/>
      </c>
    </row>
    <row r="25" spans="2:11">
      <c r="B25" s="48" t="s">
        <v>1251</v>
      </c>
      <c r="C25" s="14" t="s">
        <v>1252</v>
      </c>
      <c r="D25" s="22"/>
      <c r="E25" s="22"/>
      <c r="F25" s="241"/>
      <c r="G25" s="256"/>
      <c r="H25" s="247" t="str">
        <f t="shared" ref="H25:H39" si="2">IF(D25="","",F25*G25)</f>
        <v/>
      </c>
      <c r="I25" s="41"/>
    </row>
    <row r="26" spans="2:11">
      <c r="B26" s="48"/>
      <c r="C26" s="14"/>
      <c r="D26" s="22"/>
      <c r="E26" s="22"/>
      <c r="F26" s="241"/>
      <c r="G26" s="256"/>
      <c r="H26" s="247" t="str">
        <f t="shared" si="2"/>
        <v/>
      </c>
      <c r="I26" s="41"/>
    </row>
    <row r="27" spans="2:11">
      <c r="B27" s="48" t="s">
        <v>1253</v>
      </c>
      <c r="C27" s="14" t="s">
        <v>1254</v>
      </c>
      <c r="D27" s="22"/>
      <c r="E27" s="22"/>
      <c r="F27" s="241"/>
      <c r="G27" s="256"/>
      <c r="H27" s="247" t="str">
        <f t="shared" si="2"/>
        <v/>
      </c>
      <c r="I27" s="40"/>
    </row>
    <row r="28" spans="2:11">
      <c r="B28" s="48"/>
      <c r="C28" s="14"/>
      <c r="D28" s="22"/>
      <c r="E28" s="22"/>
      <c r="F28" s="241"/>
      <c r="G28" s="256"/>
      <c r="H28" s="247" t="str">
        <f t="shared" si="2"/>
        <v/>
      </c>
      <c r="I28" s="40"/>
    </row>
    <row r="29" spans="2:11" ht="38.25">
      <c r="B29" s="48" t="s">
        <v>306</v>
      </c>
      <c r="C29" s="14" t="s">
        <v>1255</v>
      </c>
      <c r="D29" s="22" t="s">
        <v>903</v>
      </c>
      <c r="E29" s="22"/>
      <c r="F29" s="241">
        <v>5500</v>
      </c>
      <c r="G29" s="256"/>
      <c r="H29" s="247">
        <f t="shared" si="2"/>
        <v>0</v>
      </c>
      <c r="I29" s="40"/>
    </row>
    <row r="30" spans="2:11">
      <c r="B30" s="48"/>
      <c r="C30" s="14"/>
      <c r="D30" s="22"/>
      <c r="E30" s="22"/>
      <c r="F30" s="241"/>
      <c r="G30" s="256"/>
      <c r="H30" s="247" t="str">
        <f t="shared" si="2"/>
        <v/>
      </c>
      <c r="I30" s="40"/>
    </row>
    <row r="31" spans="2:11">
      <c r="B31" s="48" t="s">
        <v>1256</v>
      </c>
      <c r="C31" s="14" t="s">
        <v>1257</v>
      </c>
      <c r="D31" s="22"/>
      <c r="E31" s="22"/>
      <c r="F31" s="241"/>
      <c r="G31" s="256"/>
      <c r="H31" s="247" t="str">
        <f t="shared" si="2"/>
        <v/>
      </c>
      <c r="I31" s="40"/>
    </row>
    <row r="32" spans="2:11">
      <c r="B32" s="48"/>
      <c r="C32" s="14"/>
      <c r="D32" s="22"/>
      <c r="E32" s="22"/>
      <c r="F32" s="241"/>
      <c r="G32" s="256"/>
      <c r="H32" s="247" t="str">
        <f t="shared" si="2"/>
        <v/>
      </c>
      <c r="I32" s="40"/>
    </row>
    <row r="33" spans="2:9" ht="51">
      <c r="B33" s="48" t="s">
        <v>1258</v>
      </c>
      <c r="C33" s="14" t="s">
        <v>1259</v>
      </c>
      <c r="D33" s="22" t="s">
        <v>903</v>
      </c>
      <c r="E33" s="22"/>
      <c r="F33" s="241">
        <v>550</v>
      </c>
      <c r="G33" s="256"/>
      <c r="H33" s="247">
        <f t="shared" si="2"/>
        <v>0</v>
      </c>
      <c r="I33" s="40"/>
    </row>
    <row r="34" spans="2:9">
      <c r="B34" s="48"/>
      <c r="C34" s="14"/>
      <c r="D34" s="22"/>
      <c r="E34" s="22"/>
      <c r="F34" s="241"/>
      <c r="G34" s="256"/>
      <c r="H34" s="247" t="str">
        <f t="shared" si="2"/>
        <v/>
      </c>
      <c r="I34" s="40"/>
    </row>
    <row r="35" spans="2:9">
      <c r="B35" s="48" t="s">
        <v>1260</v>
      </c>
      <c r="C35" s="14" t="s">
        <v>1261</v>
      </c>
      <c r="D35" s="22"/>
      <c r="E35" s="22"/>
      <c r="F35" s="241"/>
      <c r="G35" s="256"/>
      <c r="H35" s="247" t="str">
        <f t="shared" si="2"/>
        <v/>
      </c>
      <c r="I35" s="40"/>
    </row>
    <row r="36" spans="2:9">
      <c r="B36" s="48"/>
      <c r="C36" s="14"/>
      <c r="D36" s="22"/>
      <c r="E36" s="22"/>
      <c r="F36" s="241"/>
      <c r="G36" s="256"/>
      <c r="H36" s="247" t="str">
        <f t="shared" si="2"/>
        <v/>
      </c>
      <c r="I36" s="40"/>
    </row>
    <row r="37" spans="2:9">
      <c r="B37" s="48" t="s">
        <v>1262</v>
      </c>
      <c r="C37" s="14" t="s">
        <v>1263</v>
      </c>
      <c r="D37" s="22" t="s">
        <v>85</v>
      </c>
      <c r="E37" s="22"/>
      <c r="F37" s="241">
        <f>'[11]Input Data'!$C$84</f>
        <v>40</v>
      </c>
      <c r="G37" s="256"/>
      <c r="H37" s="247">
        <f t="shared" si="2"/>
        <v>0</v>
      </c>
      <c r="I37" s="40"/>
    </row>
    <row r="38" spans="2:9">
      <c r="B38" s="48"/>
      <c r="C38" s="14"/>
      <c r="D38" s="22"/>
      <c r="E38" s="22"/>
      <c r="F38" s="241"/>
      <c r="G38" s="256"/>
      <c r="H38" s="247" t="str">
        <f t="shared" si="2"/>
        <v/>
      </c>
      <c r="I38" s="40"/>
    </row>
    <row r="39" spans="2:9" ht="25.5">
      <c r="B39" s="48" t="s">
        <v>1264</v>
      </c>
      <c r="C39" s="14" t="s">
        <v>1265</v>
      </c>
      <c r="D39" s="22" t="s">
        <v>124</v>
      </c>
      <c r="E39" s="22"/>
      <c r="F39" s="241">
        <v>53802</v>
      </c>
      <c r="G39" s="256"/>
      <c r="H39" s="247">
        <f t="shared" si="2"/>
        <v>0</v>
      </c>
      <c r="I39" s="40"/>
    </row>
    <row r="40" spans="2:9">
      <c r="B40" s="48"/>
      <c r="C40" s="14"/>
      <c r="D40" s="22"/>
      <c r="E40" s="22"/>
      <c r="F40" s="22"/>
      <c r="G40" s="37"/>
      <c r="H40" s="25" t="str">
        <f t="shared" si="0"/>
        <v/>
      </c>
      <c r="I40" s="40"/>
    </row>
    <row r="41" spans="2:9">
      <c r="B41" s="48"/>
      <c r="C41" s="14"/>
      <c r="D41" s="22"/>
      <c r="E41" s="22"/>
      <c r="F41" s="22"/>
      <c r="G41" s="46"/>
      <c r="H41" s="25" t="str">
        <f t="shared" si="0"/>
        <v/>
      </c>
      <c r="I41" s="40"/>
    </row>
    <row r="42" spans="2:9">
      <c r="B42" s="81"/>
      <c r="C42" s="14"/>
      <c r="D42" s="22"/>
      <c r="E42" s="22"/>
      <c r="F42" s="22"/>
      <c r="G42" s="46"/>
      <c r="H42" s="25" t="str">
        <f t="shared" si="0"/>
        <v/>
      </c>
      <c r="I42" s="40"/>
    </row>
    <row r="43" spans="2:9">
      <c r="B43" s="48"/>
      <c r="C43" s="14"/>
      <c r="D43" s="22"/>
      <c r="E43" s="22"/>
      <c r="F43" s="22"/>
      <c r="G43" s="37"/>
      <c r="H43" s="25" t="str">
        <f t="shared" si="0"/>
        <v/>
      </c>
      <c r="I43" s="40"/>
    </row>
    <row r="44" spans="2:9">
      <c r="B44" s="48"/>
      <c r="C44" s="14"/>
      <c r="D44" s="22"/>
      <c r="E44" s="22"/>
      <c r="F44" s="22"/>
      <c r="G44" s="37"/>
      <c r="H44" s="25" t="str">
        <f t="shared" si="0"/>
        <v/>
      </c>
      <c r="I44" s="40"/>
    </row>
    <row r="45" spans="2:9">
      <c r="B45" s="48"/>
      <c r="C45" s="14"/>
      <c r="D45" s="22"/>
      <c r="E45" s="22"/>
      <c r="F45" s="22"/>
      <c r="G45" s="37"/>
      <c r="H45" s="25" t="str">
        <f t="shared" si="0"/>
        <v/>
      </c>
      <c r="I45" s="40"/>
    </row>
    <row r="46" spans="2:9">
      <c r="B46" s="48"/>
      <c r="C46" s="14"/>
      <c r="D46" s="22"/>
      <c r="E46" s="22"/>
      <c r="F46" s="22"/>
      <c r="G46" s="37"/>
      <c r="H46" s="25" t="str">
        <f t="shared" si="0"/>
        <v/>
      </c>
      <c r="I46" s="40"/>
    </row>
    <row r="47" spans="2:9">
      <c r="B47" s="48"/>
      <c r="C47" s="14"/>
      <c r="D47" s="22"/>
      <c r="E47" s="22"/>
      <c r="F47" s="22"/>
      <c r="G47" s="37"/>
      <c r="H47" s="25" t="str">
        <f t="shared" si="0"/>
        <v/>
      </c>
      <c r="I47" s="40"/>
    </row>
    <row r="48" spans="2:9">
      <c r="B48" s="48"/>
      <c r="C48" s="14"/>
      <c r="D48" s="22"/>
      <c r="E48" s="22"/>
      <c r="F48" s="22"/>
      <c r="G48" s="37"/>
      <c r="H48" s="25" t="str">
        <f t="shared" si="0"/>
        <v/>
      </c>
      <c r="I48" s="40"/>
    </row>
    <row r="49" spans="2:9">
      <c r="B49" s="48"/>
      <c r="C49" s="14"/>
      <c r="D49" s="36"/>
      <c r="E49" s="36"/>
      <c r="F49" s="36"/>
      <c r="G49" s="37"/>
      <c r="H49" s="25" t="str">
        <f t="shared" si="0"/>
        <v/>
      </c>
    </row>
    <row r="50" spans="2:9">
      <c r="B50" s="48"/>
      <c r="C50" s="14"/>
      <c r="D50" s="22"/>
      <c r="E50" s="22"/>
      <c r="F50" s="22"/>
      <c r="G50" s="37"/>
      <c r="H50" s="25" t="str">
        <f t="shared" si="0"/>
        <v/>
      </c>
      <c r="I50" s="40"/>
    </row>
    <row r="51" spans="2:9">
      <c r="B51" s="48"/>
      <c r="C51" s="14"/>
      <c r="D51" s="36"/>
      <c r="E51" s="36"/>
      <c r="F51" s="36"/>
      <c r="G51" s="37"/>
      <c r="H51" s="25" t="str">
        <f t="shared" si="0"/>
        <v/>
      </c>
      <c r="I51" s="47"/>
    </row>
    <row r="52" spans="2:9">
      <c r="B52" s="48"/>
      <c r="C52" s="100"/>
      <c r="D52" s="36"/>
      <c r="E52" s="36"/>
      <c r="F52" s="36"/>
      <c r="G52" s="37"/>
      <c r="H52" s="25" t="str">
        <f t="shared" si="0"/>
        <v/>
      </c>
    </row>
    <row r="53" spans="2:9">
      <c r="B53" s="48"/>
      <c r="C53" s="14"/>
      <c r="D53" s="22"/>
      <c r="E53" s="22"/>
      <c r="F53" s="22"/>
      <c r="G53" s="37"/>
      <c r="H53" s="25" t="str">
        <f t="shared" si="0"/>
        <v/>
      </c>
      <c r="I53" s="40"/>
    </row>
    <row r="54" spans="2:9">
      <c r="B54" s="48"/>
      <c r="C54" s="14"/>
      <c r="D54" s="22"/>
      <c r="E54" s="22"/>
      <c r="F54" s="22"/>
      <c r="G54" s="37"/>
      <c r="H54" s="25" t="str">
        <f t="shared" si="0"/>
        <v/>
      </c>
      <c r="I54" s="40"/>
    </row>
    <row r="55" spans="2:9">
      <c r="B55" s="48"/>
      <c r="C55" s="14"/>
      <c r="D55" s="22"/>
      <c r="E55" s="22"/>
      <c r="F55" s="22"/>
      <c r="G55" s="37"/>
      <c r="H55" s="25" t="str">
        <f t="shared" si="0"/>
        <v/>
      </c>
      <c r="I55" s="40"/>
    </row>
    <row r="56" spans="2:9">
      <c r="B56" s="48"/>
      <c r="C56" s="14"/>
      <c r="D56" s="22"/>
      <c r="E56" s="22"/>
      <c r="F56" s="22"/>
      <c r="G56" s="37"/>
      <c r="H56" s="25" t="str">
        <f t="shared" si="0"/>
        <v/>
      </c>
      <c r="I56" s="40"/>
    </row>
    <row r="57" spans="2:9">
      <c r="B57" s="48"/>
      <c r="C57" s="14"/>
      <c r="D57" s="22"/>
      <c r="E57" s="22"/>
      <c r="F57" s="22"/>
      <c r="G57" s="37"/>
      <c r="H57" s="25" t="str">
        <f t="shared" si="0"/>
        <v/>
      </c>
      <c r="I57" s="40"/>
    </row>
    <row r="58" spans="2:9">
      <c r="B58" s="48"/>
      <c r="C58" s="14"/>
      <c r="D58" s="22"/>
      <c r="E58" s="22"/>
      <c r="F58" s="22"/>
      <c r="G58" s="37"/>
      <c r="H58" s="25" t="str">
        <f t="shared" si="0"/>
        <v/>
      </c>
      <c r="I58" s="40"/>
    </row>
    <row r="59" spans="2:9">
      <c r="B59" s="48"/>
      <c r="C59" s="14"/>
      <c r="D59" s="22"/>
      <c r="E59" s="22"/>
      <c r="F59" s="22"/>
      <c r="G59" s="37"/>
      <c r="H59" s="25" t="str">
        <f t="shared" ref="H59:H60" si="3">IF(D59="","",F59*G59)</f>
        <v/>
      </c>
      <c r="I59" s="40"/>
    </row>
    <row r="60" spans="2:9">
      <c r="B60" s="48"/>
      <c r="C60" s="14"/>
      <c r="D60" s="22"/>
      <c r="E60" s="22"/>
      <c r="F60" s="22"/>
      <c r="G60" s="37"/>
      <c r="H60" s="25" t="str">
        <f t="shared" si="3"/>
        <v/>
      </c>
      <c r="I60" s="40"/>
    </row>
    <row r="61" spans="2:9" s="28" customFormat="1" ht="24.75" customHeight="1">
      <c r="B61" s="82" t="str">
        <f>$B$10</f>
        <v>C9.1</v>
      </c>
      <c r="C61" s="29" t="s">
        <v>125</v>
      </c>
      <c r="D61" s="30"/>
      <c r="E61" s="30"/>
      <c r="F61" s="31"/>
      <c r="G61" s="30"/>
      <c r="H61" s="32">
        <f>SUM(H9:H60)</f>
        <v>0</v>
      </c>
      <c r="I61" s="33"/>
    </row>
    <row r="62" spans="2:9">
      <c r="B62" s="8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32E2-C290-4E1B-8AC9-B26AE26F11F6}">
  <sheetPr codeName="Sheet53">
    <tabColor rgb="FF00B0F0"/>
  </sheetPr>
  <dimension ref="B1:AA119"/>
  <sheetViews>
    <sheetView view="pageBreakPreview" topLeftCell="A82" zoomScaleNormal="100" zoomScaleSheetLayoutView="100" workbookViewId="0">
      <selection activeCell="AN112" sqref="AN112"/>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29" style="399" customWidth="1"/>
    <col min="9" max="9" width="40.7109375" style="4" hidden="1" customWidth="1"/>
    <col min="10" max="12" width="6.85546875" style="3" hidden="1" customWidth="1"/>
    <col min="13" max="13" width="22.85546875" style="3" hidden="1" customWidth="1"/>
    <col min="14" max="14" width="6.85546875" style="3" hidden="1" customWidth="1"/>
    <col min="15" max="15" width="14.7109375" style="3" hidden="1" customWidth="1"/>
    <col min="16" max="16" width="16.7109375" style="3" hidden="1" customWidth="1"/>
    <col min="17" max="17" width="6.85546875" style="3" hidden="1" customWidth="1"/>
    <col min="18" max="20" width="19" style="3" hidden="1" customWidth="1"/>
    <col min="21" max="21" width="18.140625" style="3" hidden="1" customWidth="1"/>
    <col min="22" max="22" width="21.85546875" style="3" hidden="1" customWidth="1"/>
    <col min="23" max="23" width="0" style="3" hidden="1" customWidth="1"/>
    <col min="24" max="24" width="12.5703125" style="3" hidden="1" customWidth="1"/>
    <col min="25" max="25" width="0" style="3" hidden="1" customWidth="1"/>
    <col min="26" max="26" width="14" style="3" hidden="1" customWidth="1"/>
    <col min="27" max="27" width="8.28515625" style="3" hidden="1" customWidth="1"/>
    <col min="28" max="36" width="0" style="3" hidden="1" customWidth="1"/>
    <col min="37" max="16384" width="6.85546875" style="3"/>
  </cols>
  <sheetData>
    <row r="1" spans="2:22" ht="17.25" customHeight="1">
      <c r="B1" s="2" t="s">
        <v>1</v>
      </c>
      <c r="F1" s="676" t="s">
        <v>1183</v>
      </c>
      <c r="G1" s="676"/>
      <c r="H1" s="676"/>
    </row>
    <row r="2" spans="2:22">
      <c r="B2" s="2" t="s">
        <v>3</v>
      </c>
    </row>
    <row r="3" spans="2:22">
      <c r="B3" s="71"/>
      <c r="C3" s="71"/>
      <c r="D3" s="71"/>
      <c r="E3" s="71"/>
      <c r="F3" s="72"/>
      <c r="G3" s="400"/>
      <c r="H3" s="401"/>
    </row>
    <row r="4" spans="2:22">
      <c r="B4" s="695" t="s">
        <v>366</v>
      </c>
      <c r="C4" s="696"/>
      <c r="D4" s="696"/>
      <c r="E4" s="696"/>
      <c r="F4" s="696"/>
      <c r="G4" s="696"/>
      <c r="H4" s="684" t="str">
        <f>"CHAPTER "&amp;B10</f>
        <v>CHAPTER C9.1</v>
      </c>
      <c r="I4" s="9"/>
      <c r="V4" s="3" t="s">
        <v>1266</v>
      </c>
    </row>
    <row r="5" spans="2:22" ht="7.5" customHeight="1">
      <c r="B5" s="690" t="s">
        <v>354</v>
      </c>
      <c r="C5" s="691"/>
      <c r="D5" s="691"/>
      <c r="E5" s="691"/>
      <c r="F5" s="691"/>
      <c r="G5" s="691"/>
      <c r="H5" s="694"/>
      <c r="I5" s="452"/>
    </row>
    <row r="6" spans="2:22" ht="22.5" customHeight="1">
      <c r="B6" s="690"/>
      <c r="C6" s="691"/>
      <c r="D6" s="691"/>
      <c r="E6" s="691"/>
      <c r="F6" s="691"/>
      <c r="G6" s="691"/>
      <c r="H6" s="694"/>
      <c r="I6" s="452"/>
    </row>
    <row r="7" spans="2:22" ht="7.5" customHeight="1">
      <c r="B7" s="692"/>
      <c r="C7" s="693"/>
      <c r="D7" s="693"/>
      <c r="E7" s="693"/>
      <c r="F7" s="693"/>
      <c r="G7" s="693"/>
      <c r="H7" s="686"/>
      <c r="I7" s="452"/>
    </row>
    <row r="8" spans="2:22" s="2" customFormat="1" ht="24.95" customHeight="1">
      <c r="B8" s="282" t="s">
        <v>11</v>
      </c>
      <c r="C8" s="280" t="s">
        <v>12</v>
      </c>
      <c r="D8" s="280" t="s">
        <v>13</v>
      </c>
      <c r="E8" s="280" t="s">
        <v>14</v>
      </c>
      <c r="F8" s="11" t="s">
        <v>15</v>
      </c>
      <c r="G8" s="409" t="s">
        <v>16</v>
      </c>
      <c r="H8" s="364" t="s">
        <v>17</v>
      </c>
      <c r="I8" s="12"/>
      <c r="U8" s="2" t="s">
        <v>16</v>
      </c>
      <c r="V8" s="2" t="s">
        <v>17</v>
      </c>
    </row>
    <row r="9" spans="2:22">
      <c r="B9" s="13"/>
      <c r="C9" s="14"/>
      <c r="D9" s="14"/>
      <c r="E9" s="14"/>
      <c r="F9" s="22"/>
      <c r="G9" s="410"/>
      <c r="H9" s="363" t="str">
        <f>IF(D9="","",F9*G9)</f>
        <v/>
      </c>
      <c r="I9" s="331"/>
      <c r="V9" s="3" t="s">
        <v>128</v>
      </c>
    </row>
    <row r="10" spans="2:22">
      <c r="B10" s="19" t="s">
        <v>1237</v>
      </c>
      <c r="C10" s="20" t="s">
        <v>1238</v>
      </c>
      <c r="D10" s="14"/>
      <c r="E10" s="14"/>
      <c r="F10" s="22"/>
      <c r="G10" s="410"/>
      <c r="H10" s="363" t="str">
        <f t="shared" ref="H10:H43" si="0">IF(D10="","",F10*G10)</f>
        <v/>
      </c>
      <c r="I10" s="331"/>
      <c r="V10" s="3" t="s">
        <v>128</v>
      </c>
    </row>
    <row r="11" spans="2:22">
      <c r="B11" s="13"/>
      <c r="C11" s="14"/>
      <c r="D11" s="14"/>
      <c r="E11" s="14"/>
      <c r="F11" s="22"/>
      <c r="G11" s="410"/>
      <c r="H11" s="363" t="str">
        <f t="shared" si="0"/>
        <v/>
      </c>
      <c r="I11" s="331"/>
      <c r="V11" s="3" t="s">
        <v>128</v>
      </c>
    </row>
    <row r="12" spans="2:22">
      <c r="B12" s="19" t="s">
        <v>1239</v>
      </c>
      <c r="C12" s="20" t="s">
        <v>1240</v>
      </c>
      <c r="D12" s="14"/>
      <c r="E12" s="14"/>
      <c r="F12" s="22"/>
      <c r="G12" s="410"/>
      <c r="H12" s="363" t="str">
        <f t="shared" si="0"/>
        <v/>
      </c>
      <c r="I12" s="331"/>
      <c r="V12" s="3" t="s">
        <v>128</v>
      </c>
    </row>
    <row r="13" spans="2:22">
      <c r="B13" s="13"/>
      <c r="C13" s="14"/>
      <c r="D13" s="14"/>
      <c r="E13" s="50"/>
      <c r="F13" s="240"/>
      <c r="G13" s="431"/>
      <c r="H13" s="363"/>
    </row>
    <row r="14" spans="2:22">
      <c r="B14" s="13" t="s">
        <v>1242</v>
      </c>
      <c r="C14" s="14" t="s">
        <v>1243</v>
      </c>
      <c r="D14" s="14"/>
      <c r="E14" s="50"/>
      <c r="F14" s="240"/>
      <c r="G14" s="431"/>
      <c r="H14" s="363" t="str">
        <f t="shared" si="0"/>
        <v/>
      </c>
      <c r="V14" s="3" t="s">
        <v>128</v>
      </c>
    </row>
    <row r="15" spans="2:22">
      <c r="B15" s="13"/>
      <c r="C15" s="14"/>
      <c r="D15" s="14"/>
      <c r="E15" s="50"/>
      <c r="F15" s="240"/>
      <c r="G15" s="431"/>
      <c r="H15" s="363" t="str">
        <f t="shared" si="0"/>
        <v/>
      </c>
      <c r="V15" s="3" t="s">
        <v>128</v>
      </c>
    </row>
    <row r="16" spans="2:22" ht="38.25">
      <c r="B16" s="13" t="s">
        <v>1267</v>
      </c>
      <c r="C16" s="14" t="s">
        <v>1268</v>
      </c>
      <c r="D16" s="14" t="s">
        <v>33</v>
      </c>
      <c r="E16" s="50"/>
      <c r="F16" s="240">
        <v>1</v>
      </c>
      <c r="G16" s="587"/>
      <c r="H16" s="363">
        <f t="shared" si="0"/>
        <v>0</v>
      </c>
      <c r="M16" s="3" t="s">
        <v>1269</v>
      </c>
      <c r="U16" s="3">
        <v>175000</v>
      </c>
      <c r="V16" s="3">
        <v>175000</v>
      </c>
    </row>
    <row r="17" spans="2:24">
      <c r="B17" s="13"/>
      <c r="C17" s="14"/>
      <c r="D17" s="14"/>
      <c r="E17" s="50"/>
      <c r="F17" s="240"/>
      <c r="G17" s="587"/>
      <c r="H17" s="363"/>
    </row>
    <row r="18" spans="2:24" ht="30.75" customHeight="1">
      <c r="B18" s="13" t="s">
        <v>1270</v>
      </c>
      <c r="C18" s="14" t="s">
        <v>1271</v>
      </c>
      <c r="D18" s="14" t="s">
        <v>33</v>
      </c>
      <c r="E18" s="50"/>
      <c r="F18" s="240">
        <v>1</v>
      </c>
      <c r="G18" s="587"/>
      <c r="H18" s="363">
        <f t="shared" ref="H18" si="1">IF(D18="","",F18*G18)</f>
        <v>0</v>
      </c>
      <c r="M18" s="3" t="s">
        <v>1272</v>
      </c>
      <c r="U18" s="3">
        <v>175000</v>
      </c>
      <c r="V18" s="3">
        <v>175000</v>
      </c>
    </row>
    <row r="19" spans="2:24">
      <c r="B19" s="13"/>
      <c r="C19" s="14"/>
      <c r="D19" s="14"/>
      <c r="E19" s="50"/>
      <c r="F19" s="240"/>
      <c r="G19" s="587"/>
      <c r="H19" s="363"/>
      <c r="U19" s="3">
        <v>0</v>
      </c>
    </row>
    <row r="20" spans="2:24" ht="38.25">
      <c r="B20" s="13" t="s">
        <v>236</v>
      </c>
      <c r="C20" s="14" t="s">
        <v>1273</v>
      </c>
      <c r="D20" s="14" t="s">
        <v>67</v>
      </c>
      <c r="E20" s="50"/>
      <c r="F20" s="240">
        <v>1</v>
      </c>
      <c r="G20" s="587"/>
      <c r="H20" s="363">
        <f>G20*F20</f>
        <v>0</v>
      </c>
      <c r="U20" s="3">
        <v>175000</v>
      </c>
      <c r="V20" s="3">
        <v>175000</v>
      </c>
    </row>
    <row r="21" spans="2:24">
      <c r="B21" s="13"/>
      <c r="C21" s="14"/>
      <c r="D21" s="14"/>
      <c r="E21" s="14"/>
      <c r="F21" s="240"/>
      <c r="G21" s="586"/>
      <c r="H21" s="363" t="str">
        <f t="shared" si="0"/>
        <v/>
      </c>
      <c r="I21" s="331"/>
      <c r="V21" s="3" t="s">
        <v>128</v>
      </c>
    </row>
    <row r="22" spans="2:24">
      <c r="B22" s="13" t="s">
        <v>1245</v>
      </c>
      <c r="C22" s="14" t="s">
        <v>1246</v>
      </c>
      <c r="D22" s="14"/>
      <c r="E22" s="14"/>
      <c r="F22" s="240"/>
      <c r="G22" s="586"/>
      <c r="H22" s="363" t="str">
        <f t="shared" si="0"/>
        <v/>
      </c>
      <c r="I22" s="331"/>
      <c r="V22" s="3" t="s">
        <v>128</v>
      </c>
    </row>
    <row r="23" spans="2:24">
      <c r="B23" s="13"/>
      <c r="C23" s="14"/>
      <c r="D23" s="14"/>
      <c r="E23" s="14"/>
      <c r="F23" s="240"/>
      <c r="G23" s="587"/>
      <c r="H23" s="363" t="str">
        <f t="shared" si="0"/>
        <v/>
      </c>
      <c r="I23" s="332"/>
      <c r="V23" s="3" t="s">
        <v>128</v>
      </c>
    </row>
    <row r="24" spans="2:24" ht="25.5">
      <c r="B24" s="13" t="s">
        <v>1274</v>
      </c>
      <c r="C24" s="14" t="s">
        <v>1275</v>
      </c>
      <c r="D24" s="14" t="s">
        <v>124</v>
      </c>
      <c r="E24" s="14"/>
      <c r="F24" s="240">
        <v>500</v>
      </c>
      <c r="G24" s="587"/>
      <c r="H24" s="363">
        <f t="shared" si="0"/>
        <v>0</v>
      </c>
      <c r="I24" s="332" t="s">
        <v>338</v>
      </c>
      <c r="K24" s="3" t="s">
        <v>1276</v>
      </c>
      <c r="M24" s="3">
        <v>100</v>
      </c>
      <c r="N24" s="3">
        <f>M24/2.45</f>
        <v>40.816326530612244</v>
      </c>
      <c r="O24" s="3">
        <f>N24/0.12</f>
        <v>340.13605442176873</v>
      </c>
      <c r="Q24" s="3">
        <f>N24/0.07</f>
        <v>583.09037900874625</v>
      </c>
      <c r="U24" s="3">
        <v>170</v>
      </c>
      <c r="V24" s="3">
        <v>85000</v>
      </c>
    </row>
    <row r="25" spans="2:24">
      <c r="B25" s="13"/>
      <c r="C25" s="14"/>
      <c r="D25" s="14"/>
      <c r="E25" s="14"/>
      <c r="F25" s="240"/>
      <c r="G25" s="587"/>
      <c r="H25" s="363"/>
      <c r="I25" s="332"/>
      <c r="N25" s="3">
        <f>N24/0.05</f>
        <v>816.32653061224482</v>
      </c>
    </row>
    <row r="26" spans="2:24" ht="38.25">
      <c r="B26" s="13" t="s">
        <v>1277</v>
      </c>
      <c r="C26" s="14" t="s">
        <v>1278</v>
      </c>
      <c r="D26" s="14" t="s">
        <v>124</v>
      </c>
      <c r="E26" s="14"/>
      <c r="F26" s="240">
        <v>590</v>
      </c>
      <c r="G26" s="587"/>
      <c r="H26" s="363">
        <f t="shared" ref="H26" si="2">IF(D26="","",F26*G26)</f>
        <v>0</v>
      </c>
      <c r="I26" s="332" t="s">
        <v>338</v>
      </c>
      <c r="K26" s="3" t="s">
        <v>1279</v>
      </c>
      <c r="Q26" s="3">
        <f>100/2.45/0.07</f>
        <v>583.09037900874625</v>
      </c>
      <c r="U26" s="3">
        <v>170</v>
      </c>
      <c r="V26" s="3">
        <v>100300</v>
      </c>
    </row>
    <row r="27" spans="2:24">
      <c r="B27" s="13"/>
      <c r="C27" s="14"/>
      <c r="D27" s="14"/>
      <c r="E27" s="14"/>
      <c r="F27" s="240"/>
      <c r="G27" s="587"/>
      <c r="H27" s="363"/>
      <c r="I27" s="332"/>
    </row>
    <row r="28" spans="2:24" ht="38.25">
      <c r="B28" s="13" t="s">
        <v>1280</v>
      </c>
      <c r="C28" s="14" t="s">
        <v>1281</v>
      </c>
      <c r="D28" s="14" t="s">
        <v>124</v>
      </c>
      <c r="E28" s="14"/>
      <c r="F28" s="240">
        <v>453</v>
      </c>
      <c r="G28" s="587"/>
      <c r="H28" s="363">
        <f t="shared" ref="H28" si="3">IF(D28="","",F28*G28)</f>
        <v>0</v>
      </c>
      <c r="I28" s="332" t="s">
        <v>338</v>
      </c>
      <c r="U28" s="3">
        <v>170</v>
      </c>
      <c r="V28" s="3">
        <v>77010</v>
      </c>
      <c r="X28" s="3">
        <f>100/2.45/0.09</f>
        <v>453.51473922902494</v>
      </c>
    </row>
    <row r="29" spans="2:24">
      <c r="B29" s="13"/>
      <c r="C29" s="14"/>
      <c r="D29" s="14"/>
      <c r="E29" s="14"/>
      <c r="F29" s="240"/>
      <c r="G29" s="587"/>
      <c r="H29" s="363"/>
      <c r="I29" s="332"/>
    </row>
    <row r="30" spans="2:24" ht="25.5">
      <c r="B30" s="13" t="s">
        <v>1282</v>
      </c>
      <c r="C30" s="14" t="s">
        <v>1283</v>
      </c>
      <c r="D30" s="14" t="s">
        <v>124</v>
      </c>
      <c r="E30" s="14"/>
      <c r="F30" s="240">
        <v>820</v>
      </c>
      <c r="G30" s="587"/>
      <c r="H30" s="363">
        <f t="shared" ref="H30" si="4">IF(D30="","",F30*G30)</f>
        <v>0</v>
      </c>
      <c r="I30" s="332" t="s">
        <v>338</v>
      </c>
      <c r="K30" s="3" t="s">
        <v>1284</v>
      </c>
      <c r="O30" s="3">
        <f>100/2.45/0.18</f>
        <v>226.75736961451247</v>
      </c>
      <c r="U30" s="3">
        <v>170</v>
      </c>
      <c r="V30" s="3">
        <v>139400</v>
      </c>
    </row>
    <row r="31" spans="2:24">
      <c r="B31" s="13"/>
      <c r="C31" s="14"/>
      <c r="D31" s="14"/>
      <c r="E31" s="14"/>
      <c r="F31" s="240"/>
      <c r="G31" s="587"/>
      <c r="H31" s="363"/>
      <c r="I31" s="332"/>
    </row>
    <row r="32" spans="2:24" ht="25.5">
      <c r="B32" s="13" t="s">
        <v>1249</v>
      </c>
      <c r="C32" s="14" t="s">
        <v>1250</v>
      </c>
      <c r="D32" s="14" t="s">
        <v>124</v>
      </c>
      <c r="E32" s="14"/>
      <c r="F32" s="240">
        <f>F24+F26+F30+F28</f>
        <v>2363</v>
      </c>
      <c r="G32" s="587"/>
      <c r="H32" s="363">
        <f t="shared" si="0"/>
        <v>0</v>
      </c>
      <c r="I32" s="332" t="s">
        <v>338</v>
      </c>
      <c r="U32" s="3">
        <v>75</v>
      </c>
      <c r="V32" s="3">
        <v>177225</v>
      </c>
    </row>
    <row r="33" spans="2:22">
      <c r="B33" s="13"/>
      <c r="C33" s="50"/>
      <c r="D33" s="14"/>
      <c r="E33" s="14"/>
      <c r="F33" s="240"/>
      <c r="G33" s="586"/>
      <c r="H33" s="363" t="str">
        <f t="shared" si="0"/>
        <v/>
      </c>
      <c r="I33" s="331"/>
      <c r="V33" s="3" t="s">
        <v>128</v>
      </c>
    </row>
    <row r="34" spans="2:22">
      <c r="B34" s="13" t="s">
        <v>1285</v>
      </c>
      <c r="C34" s="14" t="s">
        <v>1286</v>
      </c>
      <c r="D34" s="14"/>
      <c r="E34" s="14"/>
      <c r="F34" s="240"/>
      <c r="G34" s="585"/>
      <c r="H34" s="363" t="str">
        <f t="shared" si="0"/>
        <v/>
      </c>
      <c r="I34" s="331"/>
      <c r="V34" s="3" t="s">
        <v>128</v>
      </c>
    </row>
    <row r="35" spans="2:22">
      <c r="B35" s="13"/>
      <c r="C35" s="14"/>
      <c r="D35" s="14"/>
      <c r="E35" s="14"/>
      <c r="F35" s="240"/>
      <c r="G35" s="587"/>
      <c r="H35" s="363" t="str">
        <f t="shared" si="0"/>
        <v/>
      </c>
      <c r="I35" s="331"/>
      <c r="V35" s="3" t="s">
        <v>128</v>
      </c>
    </row>
    <row r="36" spans="2:22" ht="25.5">
      <c r="B36" s="13" t="s">
        <v>1287</v>
      </c>
      <c r="C36" s="14" t="s">
        <v>1288</v>
      </c>
      <c r="D36" s="14" t="s">
        <v>898</v>
      </c>
      <c r="E36" s="14"/>
      <c r="F36" s="240">
        <v>129257</v>
      </c>
      <c r="G36" s="587"/>
      <c r="H36" s="363">
        <f t="shared" si="0"/>
        <v>0</v>
      </c>
      <c r="I36" s="332" t="s">
        <v>338</v>
      </c>
      <c r="L36" s="3" t="s">
        <v>1289</v>
      </c>
      <c r="O36" s="3">
        <f>32823*2</f>
        <v>65646</v>
      </c>
      <c r="R36" s="414"/>
      <c r="S36" s="414"/>
      <c r="T36" s="414"/>
      <c r="U36" s="3">
        <v>15</v>
      </c>
      <c r="V36" s="3">
        <v>1938855</v>
      </c>
    </row>
    <row r="37" spans="2:22">
      <c r="B37" s="13"/>
      <c r="C37" s="14"/>
      <c r="D37" s="14"/>
      <c r="E37" s="14"/>
      <c r="F37" s="22"/>
      <c r="G37" s="587"/>
      <c r="H37" s="363" t="str">
        <f t="shared" si="0"/>
        <v/>
      </c>
      <c r="I37" s="331"/>
      <c r="O37" s="3">
        <v>36613</v>
      </c>
      <c r="V37" s="3" t="s">
        <v>128</v>
      </c>
    </row>
    <row r="38" spans="2:22" ht="51">
      <c r="B38" s="13" t="s">
        <v>1290</v>
      </c>
      <c r="C38" s="14" t="s">
        <v>1291</v>
      </c>
      <c r="D38" s="14" t="s">
        <v>898</v>
      </c>
      <c r="E38" s="14"/>
      <c r="F38" s="22">
        <v>60300</v>
      </c>
      <c r="G38" s="587"/>
      <c r="H38" s="363">
        <f>G38*F38</f>
        <v>0</v>
      </c>
      <c r="I38" s="331" t="s">
        <v>725</v>
      </c>
      <c r="U38" s="3">
        <v>20</v>
      </c>
      <c r="V38" s="3">
        <v>1206000</v>
      </c>
    </row>
    <row r="39" spans="2:22">
      <c r="B39" s="13"/>
      <c r="C39" s="14"/>
      <c r="D39" s="14"/>
      <c r="E39" s="14"/>
      <c r="F39" s="22"/>
      <c r="G39" s="587"/>
      <c r="H39" s="363"/>
      <c r="I39" s="331"/>
    </row>
    <row r="40" spans="2:22" ht="25.5">
      <c r="B40" s="13" t="s">
        <v>1292</v>
      </c>
      <c r="C40" s="14" t="s">
        <v>1293</v>
      </c>
      <c r="D40" s="14" t="s">
        <v>898</v>
      </c>
      <c r="E40" s="14" t="s">
        <v>14</v>
      </c>
      <c r="F40" s="22">
        <v>10000</v>
      </c>
      <c r="G40" s="587"/>
      <c r="H40" s="363">
        <f t="shared" si="0"/>
        <v>0</v>
      </c>
      <c r="I40" s="331"/>
      <c r="O40" s="3">
        <f>O37+O36</f>
        <v>102259</v>
      </c>
      <c r="U40" s="3">
        <v>15</v>
      </c>
      <c r="V40" s="3">
        <v>150000</v>
      </c>
    </row>
    <row r="41" spans="2:22">
      <c r="B41" s="13"/>
      <c r="C41" s="14"/>
      <c r="D41" s="14"/>
      <c r="E41" s="14"/>
      <c r="F41" s="22"/>
      <c r="G41" s="587"/>
      <c r="H41" s="363"/>
      <c r="I41" s="331"/>
    </row>
    <row r="42" spans="2:22" ht="25.5">
      <c r="B42" s="13" t="s">
        <v>1294</v>
      </c>
      <c r="C42" s="14" t="s">
        <v>1295</v>
      </c>
      <c r="D42" s="14" t="s">
        <v>898</v>
      </c>
      <c r="E42" s="14" t="s">
        <v>14</v>
      </c>
      <c r="F42" s="22">
        <v>15000</v>
      </c>
      <c r="G42" s="587"/>
      <c r="H42" s="363">
        <f t="shared" si="0"/>
        <v>0</v>
      </c>
      <c r="I42" s="331"/>
      <c r="O42" s="3">
        <f>O40*0.7</f>
        <v>71581.299999999988</v>
      </c>
      <c r="U42" s="3">
        <v>15</v>
      </c>
      <c r="V42" s="3">
        <v>225000</v>
      </c>
    </row>
    <row r="43" spans="2:22">
      <c r="B43" s="13"/>
      <c r="C43" s="14"/>
      <c r="D43" s="14"/>
      <c r="E43" s="14"/>
      <c r="F43" s="22"/>
      <c r="G43" s="351"/>
      <c r="H43" s="363" t="str">
        <f t="shared" si="0"/>
        <v/>
      </c>
      <c r="I43" s="331"/>
      <c r="V43" s="3" t="s">
        <v>128</v>
      </c>
    </row>
    <row r="44" spans="2:22" hidden="1">
      <c r="B44" s="13"/>
      <c r="C44" s="14"/>
      <c r="D44" s="14"/>
      <c r="E44" s="14"/>
      <c r="F44" s="22"/>
      <c r="G44" s="351"/>
      <c r="H44" s="363"/>
      <c r="I44" s="331"/>
    </row>
    <row r="45" spans="2:22" s="2" customFormat="1" ht="19.5" hidden="1" customHeight="1">
      <c r="B45" s="411" t="str">
        <f>$B$10</f>
        <v>C9.1</v>
      </c>
      <c r="C45" s="276" t="s">
        <v>99</v>
      </c>
      <c r="D45" s="287"/>
      <c r="E45" s="287"/>
      <c r="F45" s="31"/>
      <c r="G45" s="412"/>
      <c r="H45" s="364">
        <f>SUM(H9:H44)</f>
        <v>0</v>
      </c>
      <c r="I45" s="333"/>
      <c r="V45" s="2">
        <v>4623790</v>
      </c>
    </row>
    <row r="46" spans="2:22" hidden="1">
      <c r="B46" s="697" t="s">
        <v>1</v>
      </c>
      <c r="C46" s="697"/>
      <c r="D46" s="697"/>
      <c r="E46" s="697"/>
      <c r="F46" s="676" t="s">
        <v>1183</v>
      </c>
      <c r="G46" s="676"/>
      <c r="H46" s="676"/>
    </row>
    <row r="47" spans="2:22" hidden="1">
      <c r="B47" s="697" t="s">
        <v>3</v>
      </c>
      <c r="C47" s="697"/>
      <c r="D47" s="697"/>
      <c r="E47" s="697"/>
      <c r="F47" s="676"/>
      <c r="G47" s="676"/>
      <c r="H47" s="676"/>
    </row>
    <row r="48" spans="2:22" hidden="1">
      <c r="B48" s="700"/>
      <c r="C48" s="700"/>
      <c r="D48" s="700"/>
      <c r="E48" s="700"/>
      <c r="F48" s="677"/>
      <c r="G48" s="677"/>
      <c r="H48" s="677"/>
    </row>
    <row r="49" spans="2:26" hidden="1">
      <c r="B49" s="695" t="s">
        <v>366</v>
      </c>
      <c r="C49" s="696"/>
      <c r="D49" s="696"/>
      <c r="E49" s="696"/>
      <c r="F49" s="696"/>
      <c r="G49" s="696"/>
      <c r="H49" s="684" t="str">
        <f>$H$4</f>
        <v>CHAPTER C9.1</v>
      </c>
      <c r="I49" s="676" t="s">
        <v>100</v>
      </c>
      <c r="V49" s="3" t="s">
        <v>1266</v>
      </c>
    </row>
    <row r="50" spans="2:26" hidden="1">
      <c r="B50" s="690" t="s">
        <v>354</v>
      </c>
      <c r="C50" s="691"/>
      <c r="D50" s="691"/>
      <c r="E50" s="691"/>
      <c r="F50" s="691"/>
      <c r="G50" s="691"/>
      <c r="H50" s="694"/>
      <c r="I50" s="676"/>
    </row>
    <row r="51" spans="2:26" ht="17.25" hidden="1" customHeight="1">
      <c r="B51" s="690"/>
      <c r="C51" s="691"/>
      <c r="D51" s="691"/>
      <c r="E51" s="691"/>
      <c r="F51" s="691"/>
      <c r="G51" s="691"/>
      <c r="H51" s="694"/>
      <c r="I51" s="676"/>
    </row>
    <row r="52" spans="2:26" hidden="1">
      <c r="B52" s="692"/>
      <c r="C52" s="693"/>
      <c r="D52" s="693"/>
      <c r="E52" s="693"/>
      <c r="F52" s="693"/>
      <c r="G52" s="693"/>
      <c r="H52" s="686"/>
      <c r="I52" s="676"/>
    </row>
    <row r="53" spans="2:26" s="2" customFormat="1" ht="24.95" hidden="1" customHeight="1">
      <c r="B53" s="282" t="s">
        <v>11</v>
      </c>
      <c r="C53" s="280" t="s">
        <v>12</v>
      </c>
      <c r="D53" s="280" t="s">
        <v>13</v>
      </c>
      <c r="E53" s="280" t="s">
        <v>14</v>
      </c>
      <c r="F53" s="11" t="s">
        <v>15</v>
      </c>
      <c r="G53" s="409" t="s">
        <v>16</v>
      </c>
      <c r="H53" s="364" t="s">
        <v>17</v>
      </c>
      <c r="I53" s="676"/>
      <c r="U53" s="2" t="s">
        <v>16</v>
      </c>
      <c r="V53" s="2" t="s">
        <v>17</v>
      </c>
    </row>
    <row r="54" spans="2:26" s="2" customFormat="1" ht="19.5" hidden="1" customHeight="1">
      <c r="B54" s="411"/>
      <c r="C54" s="276" t="s">
        <v>140</v>
      </c>
      <c r="D54" s="287"/>
      <c r="E54" s="287"/>
      <c r="F54" s="31"/>
      <c r="G54" s="412"/>
      <c r="H54" s="364">
        <f>H45</f>
        <v>0</v>
      </c>
      <c r="I54" s="333"/>
      <c r="V54" s="2">
        <v>4623790</v>
      </c>
    </row>
    <row r="55" spans="2:26" hidden="1">
      <c r="B55" s="13"/>
      <c r="C55" s="14"/>
      <c r="D55" s="14"/>
      <c r="E55" s="14"/>
      <c r="F55" s="22"/>
      <c r="G55" s="351"/>
      <c r="H55" s="363"/>
      <c r="I55" s="331"/>
    </row>
    <row r="56" spans="2:26">
      <c r="B56" s="48" t="s">
        <v>1296</v>
      </c>
      <c r="C56" s="14" t="s">
        <v>1297</v>
      </c>
      <c r="D56" s="14"/>
      <c r="E56" s="14"/>
      <c r="F56" s="22"/>
      <c r="G56" s="351"/>
      <c r="H56" s="363" t="str">
        <f>IF(D56="","",F56*G56)</f>
        <v/>
      </c>
      <c r="I56" s="331"/>
      <c r="V56" s="3" t="s">
        <v>128</v>
      </c>
    </row>
    <row r="57" spans="2:26">
      <c r="B57" s="13"/>
      <c r="C57" s="14"/>
      <c r="D57" s="14"/>
      <c r="E57" s="14"/>
      <c r="F57" s="22"/>
      <c r="G57" s="351"/>
      <c r="H57" s="363" t="str">
        <f>IF(D57="","",F57*G57)</f>
        <v/>
      </c>
      <c r="I57" s="331"/>
      <c r="V57" s="3" t="s">
        <v>128</v>
      </c>
    </row>
    <row r="58" spans="2:26">
      <c r="B58" s="48" t="s">
        <v>1298</v>
      </c>
      <c r="C58" s="14" t="s">
        <v>1299</v>
      </c>
      <c r="D58" s="22"/>
      <c r="E58" s="22"/>
      <c r="F58" s="22"/>
      <c r="G58" s="351"/>
      <c r="H58" s="363" t="str">
        <f t="shared" ref="H58" si="5">IF(D58="","",F58*G58)</f>
        <v/>
      </c>
      <c r="I58" s="331"/>
      <c r="V58" s="3" t="s">
        <v>128</v>
      </c>
    </row>
    <row r="59" spans="2:26">
      <c r="B59" s="13"/>
      <c r="C59" s="14"/>
      <c r="D59" s="14"/>
      <c r="E59" s="14"/>
      <c r="F59" s="22"/>
      <c r="G59" s="351"/>
      <c r="H59" s="363"/>
      <c r="I59" s="331"/>
    </row>
    <row r="60" spans="2:26" ht="51">
      <c r="B60" s="48" t="s">
        <v>1300</v>
      </c>
      <c r="C60" s="14" t="s">
        <v>1301</v>
      </c>
      <c r="D60" s="36" t="s">
        <v>903</v>
      </c>
      <c r="E60" s="36"/>
      <c r="F60" s="36">
        <v>5785</v>
      </c>
      <c r="G60" s="587"/>
      <c r="H60" s="363">
        <f t="shared" ref="H60" si="6">IF(D60="","",F60*G60)</f>
        <v>0</v>
      </c>
      <c r="I60" s="331" t="s">
        <v>1302</v>
      </c>
      <c r="M60" s="3" t="e">
        <f>#REF!+[12]Sheet1!$F$144</f>
        <v>#REF!</v>
      </c>
      <c r="R60" s="3">
        <f>F60*1.05</f>
        <v>6074.25</v>
      </c>
      <c r="S60" s="3">
        <v>12621600</v>
      </c>
      <c r="T60" s="418">
        <f>H60-S60</f>
        <v>-12621600</v>
      </c>
      <c r="U60" s="3">
        <v>2550</v>
      </c>
      <c r="V60" s="3">
        <v>13410450</v>
      </c>
      <c r="X60" s="3" t="s">
        <v>1303</v>
      </c>
      <c r="Z60" s="514"/>
    </row>
    <row r="61" spans="2:26">
      <c r="B61" s="13"/>
      <c r="C61" s="14"/>
      <c r="D61" s="14"/>
      <c r="E61" s="14"/>
      <c r="F61" s="22"/>
      <c r="G61" s="587"/>
      <c r="H61" s="363"/>
      <c r="I61" s="331"/>
      <c r="R61" s="3">
        <f t="shared" ref="R61:R72" si="7">F61*1.05</f>
        <v>0</v>
      </c>
      <c r="T61" s="418">
        <f t="shared" ref="T61:T72" si="8">H61-S61</f>
        <v>0</v>
      </c>
    </row>
    <row r="62" spans="2:26" ht="51">
      <c r="B62" s="48" t="s">
        <v>1304</v>
      </c>
      <c r="C62" s="14" t="s">
        <v>1305</v>
      </c>
      <c r="D62" s="36" t="s">
        <v>903</v>
      </c>
      <c r="E62" s="36"/>
      <c r="F62" s="36">
        <v>1722</v>
      </c>
      <c r="G62" s="587"/>
      <c r="H62" s="363">
        <f t="shared" ref="H62" si="9">IF(D62="","",F62*G62)</f>
        <v>0</v>
      </c>
      <c r="I62" s="331" t="s">
        <v>1302</v>
      </c>
      <c r="R62" s="3">
        <f t="shared" si="7"/>
        <v>1808.1000000000001</v>
      </c>
      <c r="S62" s="3">
        <v>3758400</v>
      </c>
      <c r="T62" s="418">
        <f t="shared" si="8"/>
        <v>-3758400</v>
      </c>
      <c r="U62" s="3">
        <v>2550</v>
      </c>
      <c r="V62" s="3">
        <v>3993300</v>
      </c>
      <c r="X62" s="3" t="s">
        <v>1306</v>
      </c>
    </row>
    <row r="63" spans="2:26">
      <c r="B63" s="13"/>
      <c r="C63" s="14"/>
      <c r="D63" s="14"/>
      <c r="E63" s="14"/>
      <c r="F63" s="22"/>
      <c r="G63" s="587"/>
      <c r="H63" s="363" t="str">
        <f>IF(D63="","",F63*G63)</f>
        <v/>
      </c>
      <c r="I63" s="331"/>
      <c r="P63" s="414" t="e">
        <f>#REF!*1.15</f>
        <v>#REF!</v>
      </c>
      <c r="R63" s="3">
        <f t="shared" si="7"/>
        <v>0</v>
      </c>
      <c r="S63" s="3" t="s">
        <v>128</v>
      </c>
      <c r="T63" s="418" t="e">
        <f t="shared" si="8"/>
        <v>#VALUE!</v>
      </c>
      <c r="V63" s="3" t="s">
        <v>128</v>
      </c>
    </row>
    <row r="64" spans="2:26" ht="51">
      <c r="B64" s="48" t="s">
        <v>117</v>
      </c>
      <c r="C64" s="14" t="s">
        <v>1307</v>
      </c>
      <c r="D64" s="22" t="s">
        <v>903</v>
      </c>
      <c r="E64" s="22"/>
      <c r="F64" s="22">
        <v>11880</v>
      </c>
      <c r="G64" s="587"/>
      <c r="H64" s="363">
        <f t="shared" ref="H64" si="10">IF(D64="","",F64*G64)</f>
        <v>0</v>
      </c>
      <c r="I64" s="331" t="s">
        <v>1302</v>
      </c>
      <c r="P64" s="414" t="e">
        <f>#REF!*1.05</f>
        <v>#REF!</v>
      </c>
      <c r="R64" s="3">
        <f t="shared" si="7"/>
        <v>12474</v>
      </c>
      <c r="S64" s="3">
        <v>24840000</v>
      </c>
      <c r="T64" s="418">
        <f t="shared" si="8"/>
        <v>-24840000</v>
      </c>
      <c r="U64" s="3">
        <v>2350</v>
      </c>
      <c r="V64" s="3">
        <v>25380000</v>
      </c>
      <c r="X64" s="3" t="s">
        <v>1308</v>
      </c>
    </row>
    <row r="65" spans="2:27">
      <c r="B65" s="13"/>
      <c r="C65" s="14"/>
      <c r="D65" s="50"/>
      <c r="E65" s="50"/>
      <c r="F65" s="36"/>
      <c r="G65" s="587"/>
      <c r="H65" s="363"/>
      <c r="P65" s="414"/>
      <c r="R65" s="3">
        <f t="shared" si="7"/>
        <v>0</v>
      </c>
      <c r="T65" s="418">
        <f t="shared" si="8"/>
        <v>0</v>
      </c>
      <c r="Z65" s="3">
        <f>Z70/500</f>
        <v>72</v>
      </c>
      <c r="AA65" s="3">
        <f>Z65*40000</f>
        <v>2880000</v>
      </c>
    </row>
    <row r="66" spans="2:27">
      <c r="B66" s="48" t="s">
        <v>1251</v>
      </c>
      <c r="C66" s="14" t="s">
        <v>1252</v>
      </c>
      <c r="D66" s="50"/>
      <c r="E66" s="50"/>
      <c r="F66" s="36"/>
      <c r="G66" s="587"/>
      <c r="H66" s="363"/>
      <c r="P66" s="414"/>
      <c r="R66" s="3">
        <f t="shared" si="7"/>
        <v>0</v>
      </c>
      <c r="T66" s="418">
        <f t="shared" si="8"/>
        <v>0</v>
      </c>
    </row>
    <row r="67" spans="2:27">
      <c r="B67" s="13"/>
      <c r="C67" s="14"/>
      <c r="D67" s="50"/>
      <c r="E67" s="50"/>
      <c r="F67" s="36"/>
      <c r="G67" s="587"/>
      <c r="H67" s="363"/>
      <c r="P67" s="414"/>
      <c r="R67" s="3">
        <f t="shared" si="7"/>
        <v>0</v>
      </c>
      <c r="T67" s="418">
        <f t="shared" si="8"/>
        <v>0</v>
      </c>
    </row>
    <row r="68" spans="2:27">
      <c r="B68" s="48" t="s">
        <v>1309</v>
      </c>
      <c r="C68" s="14" t="s">
        <v>1299</v>
      </c>
      <c r="D68" s="50"/>
      <c r="E68" s="50"/>
      <c r="F68" s="36"/>
      <c r="G68" s="587"/>
      <c r="H68" s="363"/>
      <c r="P68" s="414"/>
      <c r="R68" s="3">
        <f t="shared" si="7"/>
        <v>0</v>
      </c>
      <c r="T68" s="418">
        <f t="shared" si="8"/>
        <v>0</v>
      </c>
    </row>
    <row r="69" spans="2:27">
      <c r="B69" s="13"/>
      <c r="C69" s="14"/>
      <c r="D69" s="50"/>
      <c r="E69" s="50"/>
      <c r="F69" s="36"/>
      <c r="G69" s="587"/>
      <c r="H69" s="363"/>
      <c r="P69" s="414"/>
      <c r="R69" s="3">
        <f t="shared" si="7"/>
        <v>0</v>
      </c>
      <c r="T69" s="418">
        <f t="shared" si="8"/>
        <v>0</v>
      </c>
    </row>
    <row r="70" spans="2:27" ht="51">
      <c r="B70" s="48" t="s">
        <v>1310</v>
      </c>
      <c r="C70" s="14" t="s">
        <v>1311</v>
      </c>
      <c r="D70" s="22" t="s">
        <v>903</v>
      </c>
      <c r="E70" s="22"/>
      <c r="F70" s="22">
        <v>17419</v>
      </c>
      <c r="G70" s="587"/>
      <c r="H70" s="363">
        <f t="shared" ref="H70" si="11">IF(D70="","",F70*G70)</f>
        <v>0</v>
      </c>
      <c r="I70" s="331" t="s">
        <v>1302</v>
      </c>
      <c r="M70" s="3">
        <f>[12]Sheet1!$F$144</f>
        <v>10909.627809559659</v>
      </c>
      <c r="O70" s="3">
        <v>4465.216875000001</v>
      </c>
      <c r="P70" s="414">
        <f>O70+M70</f>
        <v>15374.844684559659</v>
      </c>
      <c r="R70" s="3">
        <f t="shared" si="7"/>
        <v>18289.95</v>
      </c>
      <c r="S70" s="3">
        <v>36816375</v>
      </c>
      <c r="T70" s="418">
        <f t="shared" si="8"/>
        <v>-36816375</v>
      </c>
      <c r="U70" s="3">
        <v>2550</v>
      </c>
      <c r="V70" s="3">
        <v>40379250</v>
      </c>
      <c r="Z70" s="3">
        <v>36000</v>
      </c>
    </row>
    <row r="71" spans="2:27">
      <c r="B71" s="48"/>
      <c r="C71" s="14"/>
      <c r="D71" s="22"/>
      <c r="E71" s="22"/>
      <c r="F71" s="22"/>
      <c r="G71" s="587"/>
      <c r="H71" s="363"/>
      <c r="P71" s="414"/>
      <c r="R71" s="3">
        <f t="shared" si="7"/>
        <v>0</v>
      </c>
      <c r="T71" s="418">
        <f t="shared" si="8"/>
        <v>0</v>
      </c>
    </row>
    <row r="72" spans="2:27" ht="51">
      <c r="B72" s="48" t="s">
        <v>1312</v>
      </c>
      <c r="C72" s="14" t="s">
        <v>1313</v>
      </c>
      <c r="D72" s="22" t="s">
        <v>903</v>
      </c>
      <c r="E72" s="22"/>
      <c r="F72" s="22">
        <v>440</v>
      </c>
      <c r="G72" s="587"/>
      <c r="H72" s="363">
        <f t="shared" ref="H72" si="12">IF(D72="","",F72*G72)</f>
        <v>0</v>
      </c>
      <c r="I72" s="331" t="s">
        <v>1302</v>
      </c>
      <c r="P72" s="414"/>
      <c r="R72" s="3">
        <f t="shared" si="7"/>
        <v>462</v>
      </c>
      <c r="S72" s="3">
        <v>930000</v>
      </c>
      <c r="T72" s="418">
        <f t="shared" si="8"/>
        <v>-930000</v>
      </c>
      <c r="U72" s="3">
        <v>2550</v>
      </c>
      <c r="V72" s="3">
        <v>1020000</v>
      </c>
    </row>
    <row r="73" spans="2:27">
      <c r="B73" s="48"/>
      <c r="C73" s="14"/>
      <c r="D73" s="22"/>
      <c r="E73" s="22"/>
      <c r="F73" s="22"/>
      <c r="G73" s="351"/>
      <c r="H73" s="363"/>
      <c r="P73" s="414"/>
      <c r="R73" s="3">
        <f t="shared" ref="R73" si="13">F73*1.025</f>
        <v>0</v>
      </c>
    </row>
    <row r="74" spans="2:27" ht="18" customHeight="1">
      <c r="B74" s="13" t="s">
        <v>1256</v>
      </c>
      <c r="C74" s="14" t="s">
        <v>1257</v>
      </c>
      <c r="D74" s="14"/>
      <c r="E74" s="14"/>
      <c r="F74" s="22"/>
      <c r="G74" s="351"/>
      <c r="H74" s="363" t="str">
        <f t="shared" ref="H74:H76" si="14">IF(D74="","",F74*G74)</f>
        <v/>
      </c>
      <c r="U74" s="414">
        <f>H60+H62+H64+H70+H72</f>
        <v>0</v>
      </c>
      <c r="V74" s="3" t="s">
        <v>128</v>
      </c>
    </row>
    <row r="75" spans="2:27">
      <c r="B75" s="13"/>
      <c r="C75" s="14"/>
      <c r="D75" s="14"/>
      <c r="E75" s="14"/>
      <c r="F75" s="22"/>
      <c r="G75" s="351"/>
      <c r="H75" s="363" t="str">
        <f t="shared" si="14"/>
        <v/>
      </c>
      <c r="V75" s="3" t="s">
        <v>128</v>
      </c>
    </row>
    <row r="76" spans="2:27" ht="63.75">
      <c r="B76" s="48" t="s">
        <v>1314</v>
      </c>
      <c r="C76" s="14" t="s">
        <v>1315</v>
      </c>
      <c r="D76" s="22" t="s">
        <v>124</v>
      </c>
      <c r="E76" s="22"/>
      <c r="F76" s="22">
        <v>2000</v>
      </c>
      <c r="G76" s="587"/>
      <c r="H76" s="363">
        <f t="shared" si="14"/>
        <v>0</v>
      </c>
      <c r="I76" s="4" t="s">
        <v>1316</v>
      </c>
      <c r="U76" s="3">
        <v>75</v>
      </c>
      <c r="V76" s="3">
        <v>187500</v>
      </c>
    </row>
    <row r="77" spans="2:27">
      <c r="B77" s="13"/>
      <c r="C77" s="14"/>
      <c r="D77" s="14"/>
      <c r="E77" s="14"/>
      <c r="F77" s="22"/>
      <c r="G77" s="587"/>
      <c r="H77" s="363"/>
    </row>
    <row r="78" spans="2:27" ht="63.75">
      <c r="B78" s="48" t="s">
        <v>1317</v>
      </c>
      <c r="C78" s="14" t="s">
        <v>1318</v>
      </c>
      <c r="D78" s="22" t="s">
        <v>124</v>
      </c>
      <c r="E78" s="22"/>
      <c r="F78" s="22">
        <v>2000</v>
      </c>
      <c r="G78" s="587"/>
      <c r="H78" s="363">
        <f t="shared" ref="H78" si="15">IF(D78="","",F78*G78)</f>
        <v>0</v>
      </c>
      <c r="I78" s="4" t="s">
        <v>1316</v>
      </c>
      <c r="U78" s="3">
        <v>75</v>
      </c>
      <c r="V78" s="3">
        <v>187500</v>
      </c>
    </row>
    <row r="79" spans="2:27">
      <c r="B79" s="48"/>
      <c r="C79" s="14"/>
      <c r="D79" s="22"/>
      <c r="E79" s="22"/>
      <c r="F79" s="22"/>
      <c r="G79" s="587"/>
      <c r="H79" s="363"/>
    </row>
    <row r="80" spans="2:27" ht="63.75">
      <c r="B80" s="48" t="s">
        <v>1317</v>
      </c>
      <c r="C80" s="14" t="s">
        <v>1319</v>
      </c>
      <c r="D80" s="22" t="s">
        <v>124</v>
      </c>
      <c r="E80" s="22"/>
      <c r="F80" s="22">
        <v>500</v>
      </c>
      <c r="G80" s="587"/>
      <c r="H80" s="363">
        <f t="shared" ref="H80" si="16">IF(D80="","",F80*G80)</f>
        <v>0</v>
      </c>
      <c r="I80" s="4" t="s">
        <v>1316</v>
      </c>
      <c r="U80" s="3">
        <v>75</v>
      </c>
      <c r="V80" s="3">
        <v>56250</v>
      </c>
    </row>
    <row r="81" spans="2:22">
      <c r="B81" s="13"/>
      <c r="C81" s="14"/>
      <c r="D81" s="14"/>
      <c r="E81" s="14"/>
      <c r="F81" s="22"/>
      <c r="G81" s="587"/>
      <c r="H81" s="363"/>
    </row>
    <row r="82" spans="2:22" ht="63.75">
      <c r="B82" s="48" t="s">
        <v>1320</v>
      </c>
      <c r="C82" s="14" t="s">
        <v>1321</v>
      </c>
      <c r="D82" s="22" t="s">
        <v>124</v>
      </c>
      <c r="E82" s="22"/>
      <c r="F82" s="22">
        <v>1750</v>
      </c>
      <c r="G82" s="587"/>
      <c r="H82" s="363">
        <f t="shared" ref="H82" si="17">IF(D82="","",F82*G82)</f>
        <v>0</v>
      </c>
      <c r="I82" s="4" t="s">
        <v>1316</v>
      </c>
      <c r="U82" s="3">
        <v>75</v>
      </c>
      <c r="V82" s="3">
        <v>187500</v>
      </c>
    </row>
    <row r="83" spans="2:22">
      <c r="B83" s="48"/>
      <c r="C83" s="14"/>
      <c r="D83" s="22"/>
      <c r="E83" s="22"/>
      <c r="F83" s="22"/>
      <c r="G83" s="587"/>
      <c r="H83" s="363"/>
    </row>
    <row r="84" spans="2:22" ht="63.75">
      <c r="B84" s="48" t="s">
        <v>1320</v>
      </c>
      <c r="C84" s="14" t="s">
        <v>1322</v>
      </c>
      <c r="D84" s="22" t="s">
        <v>124</v>
      </c>
      <c r="E84" s="22"/>
      <c r="F84" s="22">
        <v>250</v>
      </c>
      <c r="G84" s="587"/>
      <c r="H84" s="363">
        <f t="shared" ref="H84" si="18">IF(D84="","",F84*G84)</f>
        <v>0</v>
      </c>
      <c r="I84" s="4" t="s">
        <v>1316</v>
      </c>
      <c r="U84" s="3">
        <v>75</v>
      </c>
      <c r="V84" s="3">
        <v>37500</v>
      </c>
    </row>
    <row r="85" spans="2:22">
      <c r="B85" s="13"/>
      <c r="C85" s="14"/>
      <c r="D85" s="14"/>
      <c r="E85" s="14"/>
      <c r="F85" s="22"/>
      <c r="G85" s="351"/>
      <c r="H85" s="363"/>
    </row>
    <row r="86" spans="2:22">
      <c r="B86" s="48" t="s">
        <v>1323</v>
      </c>
      <c r="C86" s="14" t="s">
        <v>1324</v>
      </c>
      <c r="D86" s="22"/>
      <c r="E86" s="22"/>
      <c r="F86" s="22"/>
      <c r="G86" s="351"/>
      <c r="H86" s="363"/>
    </row>
    <row r="87" spans="2:22">
      <c r="B87" s="48"/>
      <c r="C87" s="14"/>
      <c r="D87" s="22"/>
      <c r="E87" s="22"/>
      <c r="F87" s="22"/>
      <c r="G87" s="351"/>
      <c r="H87" s="363"/>
    </row>
    <row r="88" spans="2:22">
      <c r="B88" s="48" t="s">
        <v>1325</v>
      </c>
      <c r="C88" s="14" t="s">
        <v>1326</v>
      </c>
      <c r="D88" s="22" t="s">
        <v>903</v>
      </c>
      <c r="E88" s="22"/>
      <c r="F88" s="22">
        <v>5</v>
      </c>
      <c r="G88" s="587"/>
      <c r="H88" s="363">
        <f t="shared" ref="H88" si="19">IF(D88="","",F88*G88)</f>
        <v>0</v>
      </c>
      <c r="U88" s="3">
        <v>16500</v>
      </c>
      <c r="V88" s="3">
        <v>82500</v>
      </c>
    </row>
    <row r="89" spans="2:22">
      <c r="B89" s="48"/>
      <c r="C89" s="14"/>
      <c r="D89" s="22"/>
      <c r="E89" s="22"/>
      <c r="F89" s="22"/>
      <c r="G89" s="587"/>
      <c r="H89" s="363"/>
    </row>
    <row r="90" spans="2:22">
      <c r="B90" s="48" t="s">
        <v>1327</v>
      </c>
      <c r="C90" s="14" t="s">
        <v>1328</v>
      </c>
      <c r="D90" s="22" t="s">
        <v>903</v>
      </c>
      <c r="E90" s="22"/>
      <c r="F90" s="22">
        <v>5</v>
      </c>
      <c r="G90" s="587"/>
      <c r="H90" s="363">
        <f t="shared" ref="H90" si="20">IF(D90="","",F90*G90)</f>
        <v>0</v>
      </c>
      <c r="U90" s="3">
        <v>16500</v>
      </c>
      <c r="V90" s="3">
        <v>82500</v>
      </c>
    </row>
    <row r="91" spans="2:22">
      <c r="B91" s="13"/>
      <c r="C91" s="14"/>
      <c r="D91" s="14"/>
      <c r="E91" s="14"/>
      <c r="F91" s="22"/>
      <c r="G91" s="587"/>
      <c r="H91" s="363"/>
    </row>
    <row r="92" spans="2:22">
      <c r="B92" s="48" t="s">
        <v>1327</v>
      </c>
      <c r="C92" s="14" t="s">
        <v>1329</v>
      </c>
      <c r="D92" s="22" t="s">
        <v>903</v>
      </c>
      <c r="E92" s="22"/>
      <c r="F92" s="22">
        <v>5</v>
      </c>
      <c r="G92" s="587"/>
      <c r="H92" s="363">
        <f t="shared" ref="H92" si="21">IF(D92="","",F92*G92)</f>
        <v>0</v>
      </c>
      <c r="U92" s="3">
        <v>16500</v>
      </c>
      <c r="V92" s="3">
        <v>82500</v>
      </c>
    </row>
    <row r="93" spans="2:22">
      <c r="B93" s="13"/>
      <c r="C93" s="14"/>
      <c r="D93" s="14"/>
      <c r="E93" s="14"/>
      <c r="F93" s="22"/>
      <c r="G93" s="587"/>
      <c r="H93" s="363"/>
    </row>
    <row r="94" spans="2:22">
      <c r="B94" s="13" t="s">
        <v>1260</v>
      </c>
      <c r="C94" s="14" t="s">
        <v>1261</v>
      </c>
      <c r="D94" s="14"/>
      <c r="E94" s="14"/>
      <c r="F94" s="22"/>
      <c r="G94" s="587"/>
      <c r="H94" s="363" t="str">
        <f t="shared" ref="H94:H98" si="22">IF(D94="","",F94*G94)</f>
        <v/>
      </c>
      <c r="V94" s="3" t="s">
        <v>128</v>
      </c>
    </row>
    <row r="95" spans="2:22">
      <c r="B95" s="13"/>
      <c r="C95" s="14"/>
      <c r="D95" s="14"/>
      <c r="E95" s="14"/>
      <c r="F95" s="22"/>
      <c r="G95" s="587"/>
      <c r="H95" s="363" t="str">
        <f t="shared" si="22"/>
        <v/>
      </c>
      <c r="V95" s="3" t="s">
        <v>128</v>
      </c>
    </row>
    <row r="96" spans="2:22">
      <c r="B96" s="13" t="s">
        <v>1262</v>
      </c>
      <c r="C96" s="14" t="s">
        <v>1263</v>
      </c>
      <c r="D96" s="14" t="s">
        <v>85</v>
      </c>
      <c r="E96" s="14" t="s">
        <v>14</v>
      </c>
      <c r="F96" s="22">
        <v>800</v>
      </c>
      <c r="G96" s="587"/>
      <c r="H96" s="363">
        <f t="shared" si="22"/>
        <v>0</v>
      </c>
      <c r="U96" s="3">
        <v>200</v>
      </c>
      <c r="V96" s="3">
        <v>160000</v>
      </c>
    </row>
    <row r="97" spans="2:23">
      <c r="B97" s="13"/>
      <c r="C97" s="14"/>
      <c r="D97" s="14"/>
      <c r="E97" s="14"/>
      <c r="F97" s="22"/>
      <c r="G97" s="587"/>
      <c r="H97" s="363" t="str">
        <f t="shared" si="22"/>
        <v/>
      </c>
      <c r="V97" s="3" t="s">
        <v>128</v>
      </c>
    </row>
    <row r="98" spans="2:23">
      <c r="B98" s="13" t="s">
        <v>1330</v>
      </c>
      <c r="C98" s="14" t="s">
        <v>1331</v>
      </c>
      <c r="D98" s="14" t="s">
        <v>85</v>
      </c>
      <c r="E98" s="14" t="s">
        <v>14</v>
      </c>
      <c r="F98" s="22">
        <v>200</v>
      </c>
      <c r="G98" s="587"/>
      <c r="H98" s="363">
        <f t="shared" si="22"/>
        <v>0</v>
      </c>
      <c r="U98" s="3">
        <v>150</v>
      </c>
      <c r="V98" s="3">
        <v>30000</v>
      </c>
    </row>
    <row r="99" spans="2:23">
      <c r="B99" s="13"/>
      <c r="C99" s="14"/>
      <c r="D99" s="14"/>
      <c r="E99" s="14"/>
      <c r="F99" s="22"/>
      <c r="G99" s="587"/>
      <c r="H99" s="363"/>
    </row>
    <row r="100" spans="2:23" ht="25.5">
      <c r="B100" s="13" t="s">
        <v>1332</v>
      </c>
      <c r="C100" s="14" t="s">
        <v>1333</v>
      </c>
      <c r="D100" s="14" t="s">
        <v>85</v>
      </c>
      <c r="E100" s="14" t="s">
        <v>14</v>
      </c>
      <c r="F100" s="22">
        <v>120</v>
      </c>
      <c r="G100" s="587"/>
      <c r="H100" s="363">
        <f>G100*F100</f>
        <v>0</v>
      </c>
      <c r="I100" s="4" t="s">
        <v>725</v>
      </c>
      <c r="U100" s="3">
        <v>250</v>
      </c>
      <c r="V100" s="3">
        <v>30000</v>
      </c>
    </row>
    <row r="101" spans="2:23">
      <c r="B101" s="13"/>
      <c r="C101" s="14"/>
      <c r="D101" s="14"/>
      <c r="E101" s="14"/>
      <c r="F101" s="22"/>
      <c r="G101" s="587"/>
      <c r="H101" s="363"/>
    </row>
    <row r="102" spans="2:23" ht="25.5">
      <c r="B102" s="13" t="s">
        <v>1334</v>
      </c>
      <c r="C102" s="14" t="s">
        <v>1335</v>
      </c>
      <c r="D102" s="22"/>
      <c r="E102" s="22"/>
      <c r="F102" s="22"/>
      <c r="G102" s="587"/>
      <c r="H102" s="363" t="str">
        <f t="shared" ref="H102:H106" si="23">IF(D102="","",F102*G102)</f>
        <v/>
      </c>
      <c r="V102" s="3" t="s">
        <v>128</v>
      </c>
    </row>
    <row r="103" spans="2:23">
      <c r="B103" s="13"/>
      <c r="C103" s="14"/>
      <c r="D103" s="22"/>
      <c r="E103" s="22"/>
      <c r="F103" s="22"/>
      <c r="G103" s="587"/>
      <c r="H103" s="363" t="str">
        <f t="shared" si="23"/>
        <v/>
      </c>
      <c r="V103" s="3" t="s">
        <v>128</v>
      </c>
    </row>
    <row r="104" spans="2:23" ht="25.5">
      <c r="B104" s="13" t="s">
        <v>1336</v>
      </c>
      <c r="C104" s="39" t="s">
        <v>1337</v>
      </c>
      <c r="D104" s="22" t="s">
        <v>85</v>
      </c>
      <c r="E104" s="22"/>
      <c r="F104" s="22">
        <v>1</v>
      </c>
      <c r="G104" s="587"/>
      <c r="H104" s="363">
        <f t="shared" si="23"/>
        <v>0</v>
      </c>
      <c r="I104" s="4" t="s">
        <v>725</v>
      </c>
      <c r="U104" s="3">
        <v>50000</v>
      </c>
      <c r="V104" s="3">
        <v>50000</v>
      </c>
    </row>
    <row r="105" spans="2:23">
      <c r="B105" s="13"/>
      <c r="C105" s="14"/>
      <c r="D105" s="22"/>
      <c r="E105" s="22"/>
      <c r="F105" s="22"/>
      <c r="G105" s="587"/>
      <c r="H105" s="363" t="str">
        <f t="shared" si="23"/>
        <v/>
      </c>
      <c r="V105" s="3" t="s">
        <v>128</v>
      </c>
    </row>
    <row r="106" spans="2:23" ht="25.5">
      <c r="B106" s="13" t="s">
        <v>1338</v>
      </c>
      <c r="C106" s="14" t="s">
        <v>1339</v>
      </c>
      <c r="D106" s="22" t="s">
        <v>242</v>
      </c>
      <c r="E106" s="22"/>
      <c r="F106" s="22">
        <v>44</v>
      </c>
      <c r="G106" s="587"/>
      <c r="H106" s="363">
        <f t="shared" si="23"/>
        <v>0</v>
      </c>
      <c r="I106" s="4" t="s">
        <v>725</v>
      </c>
      <c r="U106" s="3">
        <v>10500</v>
      </c>
      <c r="V106" s="3">
        <v>462000</v>
      </c>
      <c r="W106" s="3" t="s">
        <v>1340</v>
      </c>
    </row>
    <row r="107" spans="2:23">
      <c r="B107" s="13"/>
      <c r="C107" s="14"/>
      <c r="D107" s="14"/>
      <c r="E107" s="14"/>
      <c r="F107" s="22"/>
      <c r="G107" s="351"/>
      <c r="H107" s="363"/>
      <c r="W107" s="3" t="s">
        <v>1341</v>
      </c>
    </row>
    <row r="108" spans="2:23" s="2" customFormat="1" ht="19.5" customHeight="1">
      <c r="B108" s="411" t="str">
        <f>$B$10</f>
        <v>C9.1</v>
      </c>
      <c r="C108" s="276" t="s">
        <v>99</v>
      </c>
      <c r="D108" s="287"/>
      <c r="E108" s="287"/>
      <c r="F108" s="31"/>
      <c r="G108" s="412"/>
      <c r="H108" s="364">
        <f>SUM(H54:H107)</f>
        <v>0</v>
      </c>
      <c r="I108" s="333"/>
      <c r="V108" s="2">
        <v>90442540</v>
      </c>
      <c r="W108" s="2" t="s">
        <v>1342</v>
      </c>
    </row>
    <row r="111" spans="2:23">
      <c r="V111" s="414">
        <f>V108-H108</f>
        <v>90442540</v>
      </c>
    </row>
    <row r="114" spans="6:9">
      <c r="I114" s="338"/>
    </row>
    <row r="119" spans="6:9">
      <c r="F119" s="338"/>
    </row>
  </sheetData>
  <sheetProtection algorithmName="SHA-512" hashValue="5vNWn5yYUyj6hjeFxmG3T0O4E4eMoC/dhgt62tzsCxGgRlKBgAFLUXTUOJWzwsqFsvIzu7wy//wZeoocGReV5Q==" saltValue="Ov+LKZc/+uPGUtWLwcatDQ==" spinCount="100000" sheet="1" objects="1" scenarios="1"/>
  <mergeCells count="12">
    <mergeCell ref="I49:I53"/>
    <mergeCell ref="B49:G49"/>
    <mergeCell ref="H49:H52"/>
    <mergeCell ref="B50:G52"/>
    <mergeCell ref="F1:H1"/>
    <mergeCell ref="B4:G4"/>
    <mergeCell ref="H4:H7"/>
    <mergeCell ref="B5:G7"/>
    <mergeCell ref="B46:E46"/>
    <mergeCell ref="F46:H48"/>
    <mergeCell ref="B47:E47"/>
    <mergeCell ref="B48:E48"/>
  </mergeCells>
  <pageMargins left="0.43307086614173229" right="0.31496062992125984" top="0.43307086614173229" bottom="0.62992125984251968" header="0.35433070866141736" footer="0.31496062992125984"/>
  <pageSetup paperSize="9" scale="55" firstPageNumber="31" orientation="portrait" cellComments="asDisplayed" useFirstPageNumber="1" r:id="rId1"/>
  <headerFooter>
    <oddHeader xml:space="preserve">&amp;CPREPARED BY NANKHOO CONSULTING ENGINEERS&amp;R&amp;"Arial,Bold Italic"
</oddHeader>
    <oddFooter>&amp;C&amp;F</oddFooter>
  </headerFooter>
  <rowBreaks count="2" manualBreakCount="2">
    <brk id="45" max="8" man="1"/>
    <brk id="85" max="8"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81">
    <tabColor rgb="FF92D050"/>
  </sheetPr>
  <dimension ref="B1:I123"/>
  <sheetViews>
    <sheetView workbookViewId="0"/>
  </sheetViews>
  <sheetFormatPr defaultColWidth="8.85546875" defaultRowHeight="12.75"/>
  <cols>
    <col min="1" max="1" width="0.85546875" style="179" customWidth="1"/>
    <col min="2" max="2" width="11.7109375" style="209" customWidth="1"/>
    <col min="3" max="3" width="45.7109375" style="176" customWidth="1"/>
    <col min="4" max="4" width="13.7109375" style="200" customWidth="1"/>
    <col min="5" max="5" width="5.7109375" style="200" customWidth="1"/>
    <col min="6" max="7" width="15.7109375" style="200" customWidth="1"/>
    <col min="8" max="8" width="15.7109375" style="178" customWidth="1"/>
    <col min="9" max="9" width="0.85546875" style="178" customWidth="1"/>
    <col min="10" max="16384" width="8.85546875" style="179"/>
  </cols>
  <sheetData>
    <row r="1" spans="2:9">
      <c r="B1" s="232" t="str">
        <f>Client1</f>
        <v>AIRPORTS COMPANY - SOUTH AFRICA</v>
      </c>
      <c r="F1" s="746" t="str">
        <f>"Contract No. "&amp;ContractNo</f>
        <v>Contract No. KSIA7806/2025/RFP</v>
      </c>
      <c r="G1" s="746"/>
      <c r="H1" s="746"/>
    </row>
    <row r="2" spans="2:9">
      <c r="B2" s="232" t="str">
        <f>Client2</f>
        <v>ACSA</v>
      </c>
    </row>
    <row r="3" spans="2:9">
      <c r="B3" s="200"/>
    </row>
    <row r="4" spans="2:9" ht="12.75" customHeight="1">
      <c r="B4" s="749" t="s">
        <v>456</v>
      </c>
      <c r="C4" s="750"/>
      <c r="D4" s="750"/>
      <c r="E4" s="750"/>
      <c r="F4" s="750"/>
      <c r="G4" s="750"/>
      <c r="H4" s="779" t="str">
        <f>"CHAPTER "&amp;B10</f>
        <v>CHAPTER C11.1</v>
      </c>
      <c r="I4" s="234"/>
    </row>
    <row r="5" spans="2:9"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80"/>
      <c r="I5" s="180"/>
    </row>
    <row r="6" spans="2:9" ht="12.75" customHeight="1">
      <c r="B6" s="752"/>
      <c r="C6" s="753"/>
      <c r="D6" s="753"/>
      <c r="E6" s="753"/>
      <c r="F6" s="753"/>
      <c r="G6" s="753"/>
      <c r="H6" s="780"/>
      <c r="I6" s="180"/>
    </row>
    <row r="7" spans="2:9" s="183" customFormat="1" ht="7.5" customHeight="1">
      <c r="B7" s="754"/>
      <c r="C7" s="755"/>
      <c r="D7" s="755"/>
      <c r="E7" s="755"/>
      <c r="F7" s="755"/>
      <c r="G7" s="755"/>
      <c r="H7" s="781"/>
      <c r="I7" s="182"/>
    </row>
    <row r="8" spans="2:9" s="183" customFormat="1" ht="24.95" customHeight="1">
      <c r="B8" s="203" t="s">
        <v>11</v>
      </c>
      <c r="C8" s="181" t="s">
        <v>12</v>
      </c>
      <c r="D8" s="181" t="s">
        <v>13</v>
      </c>
      <c r="E8" s="181" t="s">
        <v>14</v>
      </c>
      <c r="F8" s="181" t="s">
        <v>15</v>
      </c>
      <c r="G8" s="181" t="s">
        <v>16</v>
      </c>
      <c r="H8" s="181" t="s">
        <v>17</v>
      </c>
      <c r="I8" s="182"/>
    </row>
    <row r="9" spans="2:9">
      <c r="B9" s="207"/>
      <c r="C9" s="175"/>
      <c r="D9" s="186"/>
      <c r="E9" s="186"/>
      <c r="F9" s="186"/>
      <c r="G9" s="186"/>
      <c r="H9" s="184" t="str">
        <f t="shared" ref="H9:H15" si="0">IF(D9="","",F9*G9)</f>
        <v/>
      </c>
      <c r="I9" s="187"/>
    </row>
    <row r="10" spans="2:9" ht="25.5">
      <c r="B10" s="218" t="s">
        <v>1343</v>
      </c>
      <c r="C10" s="185" t="s">
        <v>1344</v>
      </c>
      <c r="D10" s="186"/>
      <c r="E10" s="186"/>
      <c r="F10" s="186"/>
      <c r="G10" s="186"/>
      <c r="H10" s="184" t="str">
        <f t="shared" si="0"/>
        <v/>
      </c>
      <c r="I10" s="187"/>
    </row>
    <row r="11" spans="2:9">
      <c r="B11" s="207"/>
      <c r="C11" s="175"/>
      <c r="D11" s="186"/>
      <c r="E11" s="186"/>
      <c r="F11" s="186"/>
      <c r="G11" s="186"/>
      <c r="H11" s="184" t="str">
        <f t="shared" si="0"/>
        <v/>
      </c>
      <c r="I11" s="187"/>
    </row>
    <row r="12" spans="2:9">
      <c r="B12" s="207" t="s">
        <v>1345</v>
      </c>
      <c r="C12" s="191" t="s">
        <v>1346</v>
      </c>
      <c r="D12" s="186"/>
      <c r="E12" s="192"/>
      <c r="F12" s="188"/>
      <c r="G12" s="192"/>
      <c r="H12" s="184" t="str">
        <f t="shared" si="0"/>
        <v/>
      </c>
    </row>
    <row r="13" spans="2:9">
      <c r="B13" s="207"/>
      <c r="C13" s="345"/>
      <c r="D13" s="192"/>
      <c r="E13" s="192"/>
      <c r="F13" s="188"/>
      <c r="G13" s="192"/>
      <c r="H13" s="184" t="str">
        <f t="shared" si="0"/>
        <v/>
      </c>
    </row>
    <row r="14" spans="2:9">
      <c r="B14" s="207" t="s">
        <v>1347</v>
      </c>
      <c r="C14" s="175" t="s">
        <v>1348</v>
      </c>
      <c r="D14" s="186" t="s">
        <v>145</v>
      </c>
      <c r="E14" s="186" t="s">
        <v>14</v>
      </c>
      <c r="F14" s="188">
        <v>0</v>
      </c>
      <c r="G14" s="192">
        <v>450</v>
      </c>
      <c r="H14" s="184">
        <f t="shared" si="0"/>
        <v>0</v>
      </c>
      <c r="I14" s="190"/>
    </row>
    <row r="15" spans="2:9">
      <c r="B15" s="207"/>
      <c r="C15" s="175"/>
      <c r="D15" s="186"/>
      <c r="E15" s="186"/>
      <c r="F15" s="188"/>
      <c r="G15" s="189"/>
      <c r="H15" s="184" t="str">
        <f t="shared" si="0"/>
        <v/>
      </c>
      <c r="I15" s="187"/>
    </row>
    <row r="16" spans="2:9">
      <c r="B16" s="207"/>
      <c r="C16" s="175"/>
      <c r="D16" s="186"/>
      <c r="E16" s="186"/>
      <c r="F16" s="188"/>
      <c r="G16" s="186"/>
      <c r="H16" s="184"/>
    </row>
    <row r="17" spans="2:9">
      <c r="B17" s="207"/>
      <c r="C17" s="175"/>
      <c r="D17" s="186"/>
      <c r="E17" s="186"/>
      <c r="F17" s="188"/>
      <c r="G17" s="186"/>
      <c r="H17" s="184"/>
    </row>
    <row r="18" spans="2:9">
      <c r="B18" s="207"/>
      <c r="C18" s="175"/>
      <c r="D18" s="186"/>
      <c r="E18" s="186"/>
      <c r="F18" s="188"/>
      <c r="G18" s="186"/>
      <c r="H18" s="184"/>
    </row>
    <row r="19" spans="2:9">
      <c r="B19" s="207"/>
      <c r="C19" s="175"/>
      <c r="D19" s="186"/>
      <c r="E19" s="186"/>
      <c r="F19" s="188"/>
      <c r="G19" s="186"/>
      <c r="H19" s="184"/>
    </row>
    <row r="20" spans="2:9">
      <c r="B20" s="207"/>
      <c r="C20" s="175"/>
      <c r="D20" s="186"/>
      <c r="E20" s="186"/>
      <c r="F20" s="188"/>
      <c r="G20" s="186"/>
      <c r="H20" s="184"/>
    </row>
    <row r="21" spans="2:9">
      <c r="B21" s="207"/>
      <c r="C21" s="175"/>
      <c r="D21" s="186"/>
      <c r="E21" s="186"/>
      <c r="F21" s="188"/>
      <c r="G21" s="186"/>
      <c r="H21" s="184"/>
    </row>
    <row r="22" spans="2:9" s="199" customFormat="1" ht="24.75" customHeight="1">
      <c r="B22" s="228" t="str">
        <f>$B$10</f>
        <v>C11.1</v>
      </c>
      <c r="C22" s="194" t="s">
        <v>125</v>
      </c>
      <c r="D22" s="195"/>
      <c r="E22" s="195"/>
      <c r="F22" s="196"/>
      <c r="G22" s="196"/>
      <c r="H22" s="197">
        <f>SUM(H10:H21)</f>
        <v>0</v>
      </c>
      <c r="I22" s="198"/>
    </row>
    <row r="39" spans="7:7">
      <c r="G39" s="204"/>
    </row>
    <row r="40" spans="7:7">
      <c r="G40" s="204"/>
    </row>
    <row r="41" spans="7:7">
      <c r="G41" s="204"/>
    </row>
    <row r="42" spans="7:7">
      <c r="G42" s="204"/>
    </row>
    <row r="43" spans="7:7">
      <c r="G43" s="204"/>
    </row>
    <row r="44" spans="7:7">
      <c r="G44" s="204"/>
    </row>
    <row r="45" spans="7:7">
      <c r="G45" s="204"/>
    </row>
    <row r="46" spans="7:7">
      <c r="G46" s="204"/>
    </row>
    <row r="47" spans="7:7">
      <c r="G47" s="204"/>
    </row>
    <row r="48" spans="7:7">
      <c r="G48" s="204"/>
    </row>
    <row r="49" spans="7:7">
      <c r="G49" s="204"/>
    </row>
    <row r="50" spans="7:7">
      <c r="G50" s="204"/>
    </row>
    <row r="51" spans="7:7">
      <c r="G51" s="204"/>
    </row>
    <row r="52" spans="7:7">
      <c r="G52" s="204"/>
    </row>
    <row r="53" spans="7:7">
      <c r="G53" s="204"/>
    </row>
    <row r="54" spans="7:7">
      <c r="G54" s="204"/>
    </row>
    <row r="55" spans="7:7">
      <c r="G55" s="204"/>
    </row>
    <row r="56" spans="7:7">
      <c r="G56" s="204"/>
    </row>
    <row r="57" spans="7:7">
      <c r="G57" s="204"/>
    </row>
    <row r="58" spans="7:7">
      <c r="G58" s="204"/>
    </row>
    <row r="59" spans="7:7">
      <c r="G59" s="204"/>
    </row>
    <row r="60" spans="7:7">
      <c r="G60" s="204"/>
    </row>
    <row r="61" spans="7:7">
      <c r="G61" s="204"/>
    </row>
    <row r="62" spans="7:7">
      <c r="G62" s="204"/>
    </row>
    <row r="63" spans="7:7">
      <c r="G63" s="204"/>
    </row>
    <row r="64" spans="7:7">
      <c r="G64" s="204"/>
    </row>
    <row r="65" spans="7:7">
      <c r="G65" s="204"/>
    </row>
    <row r="66" spans="7:7">
      <c r="G66" s="204"/>
    </row>
    <row r="67" spans="7:7">
      <c r="G67" s="204"/>
    </row>
    <row r="68" spans="7:7">
      <c r="G68" s="204"/>
    </row>
    <row r="89" spans="3:3">
      <c r="C89" s="176" t="s">
        <v>99</v>
      </c>
    </row>
    <row r="114" spans="6:6">
      <c r="F114" s="230"/>
    </row>
    <row r="115" spans="6:6">
      <c r="F115" s="230"/>
    </row>
    <row r="116" spans="6:6">
      <c r="F116" s="230"/>
    </row>
    <row r="117" spans="6:6">
      <c r="F117" s="230"/>
    </row>
    <row r="118" spans="6:6">
      <c r="F118" s="230"/>
    </row>
    <row r="119" spans="6:6">
      <c r="F119" s="230"/>
    </row>
    <row r="120" spans="6:6">
      <c r="F120" s="230"/>
    </row>
    <row r="121" spans="6:6">
      <c r="F121" s="230"/>
    </row>
    <row r="122" spans="6:6">
      <c r="F122" s="230"/>
    </row>
    <row r="123" spans="6:6">
      <c r="F123" s="230"/>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83">
    <tabColor rgb="FF92D050"/>
  </sheetPr>
  <dimension ref="B1:I117"/>
  <sheetViews>
    <sheetView workbookViewId="0"/>
  </sheetViews>
  <sheetFormatPr defaultColWidth="8.85546875" defaultRowHeight="12.75"/>
  <cols>
    <col min="1" max="1" width="0.85546875" style="179" customWidth="1"/>
    <col min="2" max="2" width="11.7109375" style="209" customWidth="1"/>
    <col min="3" max="3" width="45.7109375" style="176" customWidth="1"/>
    <col min="4" max="4" width="13.7109375" style="200" customWidth="1"/>
    <col min="5" max="5" width="5.7109375" style="200" customWidth="1"/>
    <col min="6" max="7" width="15.7109375" style="200" customWidth="1"/>
    <col min="8" max="8" width="15.7109375" style="178" customWidth="1"/>
    <col min="9" max="9" width="0.85546875" style="178" customWidth="1"/>
    <col min="10" max="16384" width="8.85546875" style="179"/>
  </cols>
  <sheetData>
    <row r="1" spans="2:9">
      <c r="B1" s="232" t="str">
        <f>Client1</f>
        <v>AIRPORTS COMPANY - SOUTH AFRICA</v>
      </c>
      <c r="F1" s="746" t="str">
        <f>"Contract No. "&amp;ContractNo</f>
        <v>Contract No. KSIA7806/2025/RFP</v>
      </c>
      <c r="G1" s="746"/>
      <c r="H1" s="746"/>
    </row>
    <row r="2" spans="2:9">
      <c r="B2" s="232" t="str">
        <f>Client2</f>
        <v>ACSA</v>
      </c>
    </row>
    <row r="3" spans="2:9">
      <c r="B3" s="200"/>
    </row>
    <row r="4" spans="2:9" ht="12.75" customHeight="1">
      <c r="B4" s="749" t="s">
        <v>456</v>
      </c>
      <c r="C4" s="750"/>
      <c r="D4" s="750"/>
      <c r="E4" s="750"/>
      <c r="F4" s="750"/>
      <c r="G4" s="750"/>
      <c r="H4" s="779" t="str">
        <f>"CHAPTER "&amp;B10</f>
        <v>CHAPTER C11.3</v>
      </c>
      <c r="I4" s="234"/>
    </row>
    <row r="5" spans="2:9"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80"/>
      <c r="I5" s="180"/>
    </row>
    <row r="6" spans="2:9" ht="12.75" customHeight="1">
      <c r="B6" s="752"/>
      <c r="C6" s="753"/>
      <c r="D6" s="753"/>
      <c r="E6" s="753"/>
      <c r="F6" s="753"/>
      <c r="G6" s="753"/>
      <c r="H6" s="780"/>
      <c r="I6" s="180"/>
    </row>
    <row r="7" spans="2:9" s="183" customFormat="1" ht="7.5" customHeight="1">
      <c r="B7" s="754"/>
      <c r="C7" s="755"/>
      <c r="D7" s="755"/>
      <c r="E7" s="755"/>
      <c r="F7" s="755"/>
      <c r="G7" s="755"/>
      <c r="H7" s="781"/>
      <c r="I7" s="182"/>
    </row>
    <row r="8" spans="2:9" s="183" customFormat="1" ht="24.95" customHeight="1">
      <c r="B8" s="203" t="s">
        <v>11</v>
      </c>
      <c r="C8" s="181" t="s">
        <v>12</v>
      </c>
      <c r="D8" s="181" t="s">
        <v>13</v>
      </c>
      <c r="E8" s="181" t="s">
        <v>14</v>
      </c>
      <c r="F8" s="181" t="s">
        <v>15</v>
      </c>
      <c r="G8" s="181" t="s">
        <v>16</v>
      </c>
      <c r="H8" s="181" t="s">
        <v>17</v>
      </c>
      <c r="I8" s="182"/>
    </row>
    <row r="9" spans="2:9">
      <c r="B9" s="207"/>
      <c r="C9" s="175"/>
      <c r="D9" s="186"/>
      <c r="E9" s="186"/>
      <c r="F9" s="186"/>
      <c r="G9" s="186"/>
      <c r="H9" s="184" t="str">
        <f t="shared" ref="H9:H13" si="0">IF(D9="","",F9*G9)</f>
        <v/>
      </c>
      <c r="I9" s="187"/>
    </row>
    <row r="10" spans="2:9">
      <c r="B10" s="218" t="s">
        <v>1349</v>
      </c>
      <c r="C10" s="185" t="s">
        <v>1350</v>
      </c>
      <c r="D10" s="186"/>
      <c r="E10" s="186"/>
      <c r="F10" s="186"/>
      <c r="G10" s="186"/>
      <c r="H10" s="184" t="str">
        <f t="shared" si="0"/>
        <v/>
      </c>
      <c r="I10" s="187"/>
    </row>
    <row r="11" spans="2:9">
      <c r="B11" s="207"/>
      <c r="C11" s="175"/>
      <c r="D11" s="186"/>
      <c r="E11" s="186"/>
      <c r="F11" s="186"/>
      <c r="G11" s="186"/>
      <c r="H11" s="184" t="str">
        <f t="shared" si="0"/>
        <v/>
      </c>
      <c r="I11" s="187"/>
    </row>
    <row r="12" spans="2:9">
      <c r="B12" s="207" t="s">
        <v>1351</v>
      </c>
      <c r="C12" s="175" t="s">
        <v>1352</v>
      </c>
      <c r="D12" s="186" t="s">
        <v>85</v>
      </c>
      <c r="E12" s="186" t="s">
        <v>14</v>
      </c>
      <c r="F12" s="186"/>
      <c r="G12" s="186">
        <v>640.48</v>
      </c>
      <c r="H12" s="184">
        <f t="shared" si="0"/>
        <v>0</v>
      </c>
      <c r="I12" s="187"/>
    </row>
    <row r="13" spans="2:9">
      <c r="B13" s="207"/>
      <c r="C13" s="175"/>
      <c r="D13" s="186"/>
      <c r="E13" s="186"/>
      <c r="F13" s="186"/>
      <c r="G13" s="186"/>
      <c r="H13" s="184" t="str">
        <f t="shared" si="0"/>
        <v/>
      </c>
      <c r="I13" s="187"/>
    </row>
    <row r="14" spans="2:9">
      <c r="B14" s="207"/>
      <c r="C14" s="175"/>
      <c r="D14" s="186"/>
      <c r="E14" s="186"/>
      <c r="F14" s="188"/>
      <c r="G14" s="189"/>
      <c r="H14" s="184"/>
      <c r="I14" s="187"/>
    </row>
    <row r="15" spans="2:9">
      <c r="B15" s="207"/>
      <c r="C15" s="175"/>
      <c r="D15" s="186"/>
      <c r="E15" s="186"/>
      <c r="F15" s="188"/>
      <c r="G15" s="189"/>
      <c r="H15" s="184"/>
      <c r="I15" s="187"/>
    </row>
    <row r="16" spans="2:9">
      <c r="B16" s="207"/>
      <c r="C16" s="175"/>
      <c r="D16" s="186"/>
      <c r="E16" s="186"/>
      <c r="F16" s="188"/>
      <c r="G16" s="189"/>
      <c r="H16" s="184"/>
      <c r="I16" s="187"/>
    </row>
    <row r="17" spans="2:9">
      <c r="B17" s="207"/>
      <c r="C17" s="175"/>
      <c r="D17" s="186"/>
      <c r="E17" s="186"/>
      <c r="F17" s="188"/>
      <c r="G17" s="189"/>
      <c r="H17" s="184"/>
      <c r="I17" s="187"/>
    </row>
    <row r="18" spans="2:9">
      <c r="B18" s="207"/>
      <c r="C18" s="175"/>
      <c r="D18" s="186"/>
      <c r="E18" s="186"/>
      <c r="F18" s="188"/>
      <c r="G18" s="189"/>
      <c r="H18" s="184"/>
      <c r="I18" s="187"/>
    </row>
    <row r="19" spans="2:9">
      <c r="B19" s="207"/>
      <c r="C19" s="175"/>
      <c r="D19" s="186"/>
      <c r="E19" s="186"/>
      <c r="F19" s="188"/>
      <c r="G19" s="189"/>
      <c r="H19" s="184"/>
      <c r="I19" s="187"/>
    </row>
    <row r="20" spans="2:9">
      <c r="B20" s="207"/>
      <c r="C20" s="175"/>
      <c r="D20" s="186"/>
      <c r="E20" s="186"/>
      <c r="F20" s="188"/>
      <c r="G20" s="189"/>
      <c r="H20" s="184"/>
      <c r="I20" s="187"/>
    </row>
    <row r="21" spans="2:9">
      <c r="B21" s="207"/>
      <c r="C21" s="175"/>
      <c r="D21" s="186"/>
      <c r="E21" s="186"/>
      <c r="F21" s="188"/>
      <c r="G21" s="189"/>
      <c r="H21" s="184"/>
      <c r="I21" s="187"/>
    </row>
    <row r="22" spans="2:9">
      <c r="B22" s="207"/>
      <c r="C22" s="175"/>
      <c r="D22" s="186"/>
      <c r="E22" s="186"/>
      <c r="F22" s="188"/>
      <c r="G22" s="189"/>
      <c r="H22" s="184"/>
      <c r="I22" s="187"/>
    </row>
    <row r="23" spans="2:9">
      <c r="B23" s="207"/>
      <c r="C23" s="175"/>
      <c r="D23" s="186"/>
      <c r="E23" s="186"/>
      <c r="F23" s="188"/>
      <c r="G23" s="189"/>
      <c r="H23" s="184"/>
      <c r="I23" s="187"/>
    </row>
    <row r="24" spans="2:9">
      <c r="B24" s="207"/>
      <c r="C24" s="175"/>
      <c r="D24" s="186"/>
      <c r="E24" s="186"/>
      <c r="F24" s="188"/>
      <c r="G24" s="189"/>
      <c r="H24" s="184"/>
      <c r="I24" s="187"/>
    </row>
    <row r="25" spans="2:9">
      <c r="B25" s="207"/>
      <c r="C25" s="175"/>
      <c r="D25" s="186"/>
      <c r="E25" s="186"/>
      <c r="F25" s="188"/>
      <c r="G25" s="189"/>
      <c r="H25" s="184"/>
      <c r="I25" s="187"/>
    </row>
    <row r="26" spans="2:9">
      <c r="B26" s="207"/>
      <c r="C26" s="175"/>
      <c r="D26" s="186"/>
      <c r="E26" s="186"/>
      <c r="F26" s="188"/>
      <c r="G26" s="189"/>
      <c r="H26" s="184"/>
      <c r="I26" s="187"/>
    </row>
    <row r="27" spans="2:9">
      <c r="B27" s="207"/>
      <c r="C27" s="175"/>
      <c r="D27" s="186"/>
      <c r="E27" s="186"/>
      <c r="F27" s="188"/>
      <c r="G27" s="189"/>
      <c r="H27" s="184"/>
      <c r="I27" s="187"/>
    </row>
    <row r="28" spans="2:9">
      <c r="B28" s="207"/>
      <c r="C28" s="175"/>
      <c r="D28" s="186"/>
      <c r="E28" s="186"/>
      <c r="F28" s="188"/>
      <c r="G28" s="189"/>
      <c r="H28" s="184"/>
      <c r="I28" s="187"/>
    </row>
    <row r="29" spans="2:9">
      <c r="B29" s="207"/>
      <c r="C29" s="175"/>
      <c r="D29" s="186"/>
      <c r="E29" s="186"/>
      <c r="F29" s="188"/>
      <c r="G29" s="189"/>
      <c r="H29" s="184"/>
      <c r="I29" s="187"/>
    </row>
    <row r="30" spans="2:9">
      <c r="B30" s="207"/>
      <c r="C30" s="175"/>
      <c r="D30" s="186"/>
      <c r="E30" s="186"/>
      <c r="F30" s="188"/>
      <c r="G30" s="189"/>
      <c r="H30" s="184"/>
      <c r="I30" s="187"/>
    </row>
    <row r="31" spans="2:9">
      <c r="B31" s="207"/>
      <c r="C31" s="175"/>
      <c r="D31" s="186"/>
      <c r="E31" s="186"/>
      <c r="F31" s="188"/>
      <c r="G31" s="189"/>
      <c r="H31" s="184"/>
      <c r="I31" s="187"/>
    </row>
    <row r="32" spans="2:9">
      <c r="B32" s="207"/>
      <c r="C32" s="175"/>
      <c r="D32" s="186"/>
      <c r="E32" s="186"/>
      <c r="F32" s="188"/>
      <c r="G32" s="189"/>
      <c r="H32" s="184"/>
      <c r="I32" s="187"/>
    </row>
    <row r="33" spans="2:9">
      <c r="B33" s="207"/>
      <c r="C33" s="175"/>
      <c r="D33" s="186"/>
      <c r="E33" s="186"/>
      <c r="F33" s="188"/>
      <c r="G33" s="206"/>
      <c r="H33" s="184"/>
      <c r="I33" s="187"/>
    </row>
    <row r="34" spans="2:9">
      <c r="B34" s="207"/>
      <c r="C34" s="175"/>
      <c r="D34" s="186"/>
      <c r="E34" s="186"/>
      <c r="F34" s="188"/>
      <c r="G34" s="206"/>
      <c r="H34" s="184"/>
      <c r="I34" s="187"/>
    </row>
    <row r="35" spans="2:9">
      <c r="B35" s="207"/>
      <c r="C35" s="175"/>
      <c r="D35" s="186"/>
      <c r="E35" s="186"/>
      <c r="F35" s="188"/>
      <c r="G35" s="206"/>
      <c r="H35" s="184"/>
      <c r="I35" s="187"/>
    </row>
    <row r="36" spans="2:9">
      <c r="B36" s="207"/>
      <c r="C36" s="175"/>
      <c r="D36" s="186"/>
      <c r="E36" s="186"/>
      <c r="F36" s="188"/>
      <c r="G36" s="206"/>
      <c r="H36" s="184"/>
      <c r="I36" s="187"/>
    </row>
    <row r="37" spans="2:9">
      <c r="B37" s="207"/>
      <c r="C37" s="175"/>
      <c r="D37" s="186"/>
      <c r="E37" s="186"/>
      <c r="F37" s="188"/>
      <c r="G37" s="206"/>
      <c r="H37" s="184"/>
      <c r="I37" s="187"/>
    </row>
    <row r="38" spans="2:9">
      <c r="B38" s="207"/>
      <c r="C38" s="175"/>
      <c r="D38" s="186"/>
      <c r="E38" s="186"/>
      <c r="F38" s="188"/>
      <c r="G38" s="206"/>
      <c r="H38" s="184"/>
      <c r="I38" s="187"/>
    </row>
    <row r="39" spans="2:9">
      <c r="B39" s="207"/>
      <c r="C39" s="175"/>
      <c r="D39" s="186"/>
      <c r="E39" s="186"/>
      <c r="F39" s="188"/>
      <c r="G39" s="206"/>
      <c r="H39" s="184"/>
      <c r="I39" s="187"/>
    </row>
    <row r="40" spans="2:9">
      <c r="B40" s="207"/>
      <c r="C40" s="175"/>
      <c r="D40" s="186"/>
      <c r="E40" s="186"/>
      <c r="F40" s="188"/>
      <c r="G40" s="206"/>
      <c r="H40" s="184"/>
      <c r="I40" s="187"/>
    </row>
    <row r="41" spans="2:9">
      <c r="B41" s="207"/>
      <c r="C41" s="175"/>
      <c r="D41" s="186"/>
      <c r="E41" s="186"/>
      <c r="F41" s="188"/>
      <c r="G41" s="206"/>
      <c r="H41" s="184"/>
      <c r="I41" s="187"/>
    </row>
    <row r="42" spans="2:9">
      <c r="B42" s="207"/>
      <c r="C42" s="175"/>
      <c r="D42" s="186"/>
      <c r="E42" s="186"/>
      <c r="F42" s="188"/>
      <c r="G42" s="206"/>
      <c r="H42" s="184"/>
      <c r="I42" s="187"/>
    </row>
    <row r="43" spans="2:9">
      <c r="B43" s="207"/>
      <c r="C43" s="175"/>
      <c r="D43" s="186"/>
      <c r="E43" s="186"/>
      <c r="F43" s="188"/>
      <c r="G43" s="206"/>
      <c r="H43" s="184"/>
      <c r="I43" s="187"/>
    </row>
    <row r="44" spans="2:9">
      <c r="B44" s="207"/>
      <c r="C44" s="175"/>
      <c r="D44" s="186"/>
      <c r="E44" s="186"/>
      <c r="F44" s="188"/>
      <c r="G44" s="206"/>
      <c r="H44" s="184"/>
      <c r="I44" s="187"/>
    </row>
    <row r="45" spans="2:9">
      <c r="B45" s="207"/>
      <c r="C45" s="175"/>
      <c r="D45" s="186"/>
      <c r="E45" s="186"/>
      <c r="F45" s="188">
        <v>350000</v>
      </c>
      <c r="G45" s="206"/>
      <c r="H45" s="184"/>
      <c r="I45" s="187"/>
    </row>
    <row r="46" spans="2:9">
      <c r="B46" s="207"/>
      <c r="C46" s="175"/>
      <c r="D46" s="186"/>
      <c r="E46" s="186"/>
      <c r="F46" s="188"/>
      <c r="G46" s="206"/>
      <c r="H46" s="184"/>
      <c r="I46" s="187"/>
    </row>
    <row r="47" spans="2:9">
      <c r="B47" s="207"/>
      <c r="C47" s="175"/>
      <c r="D47" s="186"/>
      <c r="E47" s="186"/>
      <c r="F47" s="188"/>
      <c r="G47" s="206"/>
      <c r="H47" s="184"/>
      <c r="I47" s="187"/>
    </row>
    <row r="48" spans="2:9">
      <c r="B48" s="207"/>
      <c r="C48" s="175"/>
      <c r="D48" s="186"/>
      <c r="E48" s="186"/>
      <c r="F48" s="188"/>
      <c r="G48" s="206"/>
      <c r="H48" s="184"/>
      <c r="I48" s="187"/>
    </row>
    <row r="49" spans="2:9">
      <c r="B49" s="207"/>
      <c r="C49" s="175"/>
      <c r="D49" s="186"/>
      <c r="E49" s="186"/>
      <c r="F49" s="188"/>
      <c r="G49" s="206"/>
      <c r="H49" s="184"/>
      <c r="I49" s="187"/>
    </row>
    <row r="50" spans="2:9">
      <c r="B50" s="207"/>
      <c r="C50" s="175"/>
      <c r="D50" s="186"/>
      <c r="E50" s="186"/>
      <c r="F50" s="186"/>
      <c r="G50" s="220"/>
      <c r="H50" s="184"/>
      <c r="I50" s="187"/>
    </row>
    <row r="51" spans="2:9" s="199" customFormat="1" ht="24.75" customHeight="1">
      <c r="B51" s="228" t="str">
        <f>$B$10</f>
        <v>C11.3</v>
      </c>
      <c r="C51" s="194" t="s">
        <v>125</v>
      </c>
      <c r="D51" s="195"/>
      <c r="E51" s="195"/>
      <c r="F51" s="196" t="s">
        <v>1353</v>
      </c>
      <c r="G51" s="208"/>
      <c r="H51" s="197">
        <f>SUM(H9:H50)</f>
        <v>0</v>
      </c>
      <c r="I51" s="198"/>
    </row>
    <row r="52" spans="2:9">
      <c r="G52" s="204"/>
    </row>
    <row r="53" spans="2:9">
      <c r="G53" s="204"/>
    </row>
    <row r="54" spans="2:9">
      <c r="G54" s="204"/>
    </row>
    <row r="55" spans="2:9">
      <c r="G55" s="204"/>
    </row>
    <row r="56" spans="2:9">
      <c r="G56" s="204"/>
    </row>
    <row r="57" spans="2:9">
      <c r="F57" s="200">
        <v>350000</v>
      </c>
      <c r="G57" s="204"/>
    </row>
    <row r="58" spans="2:9">
      <c r="G58" s="204"/>
    </row>
    <row r="59" spans="2:9">
      <c r="G59" s="204"/>
    </row>
    <row r="60" spans="2:9">
      <c r="G60" s="204"/>
    </row>
    <row r="61" spans="2:9">
      <c r="G61" s="204"/>
    </row>
    <row r="62" spans="2:9">
      <c r="G62" s="204"/>
    </row>
    <row r="83" spans="3:3">
      <c r="C83" s="176" t="s">
        <v>99</v>
      </c>
    </row>
    <row r="108" spans="6:6">
      <c r="F108" s="230"/>
    </row>
    <row r="109" spans="6:6">
      <c r="F109" s="230"/>
    </row>
    <row r="110" spans="6:6">
      <c r="F110" s="230"/>
    </row>
    <row r="111" spans="6:6">
      <c r="F111" s="230"/>
    </row>
    <row r="112" spans="6:6">
      <c r="F112" s="230"/>
    </row>
    <row r="113" spans="6:6">
      <c r="F113" s="230"/>
    </row>
    <row r="114" spans="6:6">
      <c r="F114" s="230"/>
    </row>
    <row r="115" spans="6:6">
      <c r="F115" s="230"/>
    </row>
    <row r="116" spans="6:6">
      <c r="F116" s="230"/>
    </row>
    <row r="117" spans="6:6">
      <c r="F117" s="230"/>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2">
    <tabColor rgb="FF92D050"/>
  </sheetPr>
  <dimension ref="B1:O123"/>
  <sheetViews>
    <sheetView workbookViewId="0"/>
  </sheetViews>
  <sheetFormatPr defaultColWidth="8.85546875" defaultRowHeight="12.75"/>
  <cols>
    <col min="1" max="1" width="0.85546875" style="179" customWidth="1"/>
    <col min="2" max="2" width="11.7109375" style="209" customWidth="1"/>
    <col min="3" max="3" width="45.7109375" style="176" customWidth="1"/>
    <col min="4" max="4" width="13.7109375" style="200" customWidth="1"/>
    <col min="5" max="5" width="5.7109375" style="200" customWidth="1"/>
    <col min="6" max="7" width="15.7109375" style="200" customWidth="1"/>
    <col min="8" max="8" width="15.7109375" style="178" customWidth="1"/>
    <col min="9" max="9" width="0.85546875" style="178" customWidth="1"/>
    <col min="10" max="16384" width="8.85546875" style="179"/>
  </cols>
  <sheetData>
    <row r="1" spans="2:15">
      <c r="B1" s="232" t="str">
        <f>Client1</f>
        <v>AIRPORTS COMPANY - SOUTH AFRICA</v>
      </c>
      <c r="F1" s="746" t="str">
        <f>"Contract No. "&amp;ContractNo</f>
        <v>Contract No. KSIA7806/2025/RFP</v>
      </c>
      <c r="G1" s="746"/>
      <c r="H1" s="746"/>
    </row>
    <row r="2" spans="2:15">
      <c r="B2" s="232" t="str">
        <f>Client2</f>
        <v>ACSA</v>
      </c>
    </row>
    <row r="3" spans="2:15">
      <c r="B3" s="200"/>
    </row>
    <row r="4" spans="2:15" ht="12.75" customHeight="1">
      <c r="B4" s="749" t="s">
        <v>456</v>
      </c>
      <c r="C4" s="750"/>
      <c r="D4" s="750"/>
      <c r="E4" s="750"/>
      <c r="F4" s="750"/>
      <c r="G4" s="750"/>
      <c r="H4" s="779" t="str">
        <f>"CHAPTER "&amp;B10</f>
        <v>CHAPTER C11.2</v>
      </c>
      <c r="I4" s="234"/>
    </row>
    <row r="5" spans="2:15"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80"/>
      <c r="I5" s="180"/>
    </row>
    <row r="6" spans="2:15" ht="12.75" customHeight="1">
      <c r="B6" s="752"/>
      <c r="C6" s="753"/>
      <c r="D6" s="753"/>
      <c r="E6" s="753"/>
      <c r="F6" s="753"/>
      <c r="G6" s="753"/>
      <c r="H6" s="780"/>
      <c r="I6" s="180"/>
    </row>
    <row r="7" spans="2:15" s="183" customFormat="1" ht="7.5" customHeight="1">
      <c r="B7" s="754"/>
      <c r="C7" s="755"/>
      <c r="D7" s="755"/>
      <c r="E7" s="755"/>
      <c r="F7" s="755"/>
      <c r="G7" s="755"/>
      <c r="H7" s="781"/>
      <c r="I7" s="182"/>
    </row>
    <row r="8" spans="2:15" s="183" customFormat="1" ht="24.95" customHeight="1">
      <c r="B8" s="203" t="s">
        <v>11</v>
      </c>
      <c r="C8" s="181" t="s">
        <v>12</v>
      </c>
      <c r="D8" s="181" t="s">
        <v>13</v>
      </c>
      <c r="E8" s="181" t="s">
        <v>14</v>
      </c>
      <c r="F8" s="181" t="s">
        <v>15</v>
      </c>
      <c r="G8" s="181" t="s">
        <v>16</v>
      </c>
      <c r="H8" s="181" t="s">
        <v>17</v>
      </c>
      <c r="I8" s="182"/>
    </row>
    <row r="9" spans="2:15">
      <c r="B9" s="207"/>
      <c r="C9" s="175"/>
      <c r="D9" s="186"/>
      <c r="E9" s="186"/>
      <c r="F9" s="186"/>
      <c r="G9" s="186"/>
      <c r="H9" s="184" t="str">
        <f t="shared" ref="H9:H52" si="0">IF(D9="","",F9*G9)</f>
        <v/>
      </c>
      <c r="I9" s="187"/>
    </row>
    <row r="10" spans="2:15">
      <c r="B10" s="218" t="s">
        <v>1354</v>
      </c>
      <c r="C10" s="185" t="s">
        <v>1355</v>
      </c>
      <c r="D10" s="186"/>
      <c r="E10" s="186"/>
      <c r="F10" s="186"/>
      <c r="G10" s="186"/>
      <c r="H10" s="184" t="str">
        <f t="shared" si="0"/>
        <v/>
      </c>
      <c r="I10" s="187"/>
      <c r="M10" s="179">
        <v>750</v>
      </c>
      <c r="O10" s="179">
        <f>M10*2*0.75</f>
        <v>1125</v>
      </c>
    </row>
    <row r="11" spans="2:15">
      <c r="B11" s="207"/>
      <c r="C11" s="175"/>
      <c r="D11" s="186"/>
      <c r="E11" s="186"/>
      <c r="F11" s="186"/>
      <c r="G11" s="186"/>
      <c r="H11" s="184" t="str">
        <f t="shared" si="0"/>
        <v/>
      </c>
      <c r="I11" s="187"/>
    </row>
    <row r="12" spans="2:15">
      <c r="B12" s="207" t="s">
        <v>1356</v>
      </c>
      <c r="C12" s="175" t="s">
        <v>1357</v>
      </c>
      <c r="D12" s="186"/>
      <c r="E12" s="186"/>
      <c r="F12" s="186"/>
      <c r="G12" s="186"/>
      <c r="H12" s="184" t="str">
        <f t="shared" si="0"/>
        <v/>
      </c>
      <c r="I12" s="187"/>
    </row>
    <row r="13" spans="2:15">
      <c r="B13" s="207"/>
      <c r="C13" s="175"/>
      <c r="D13" s="186"/>
      <c r="E13" s="186"/>
      <c r="F13" s="186"/>
      <c r="G13" s="186"/>
      <c r="H13" s="184" t="str">
        <f t="shared" si="0"/>
        <v/>
      </c>
      <c r="I13" s="187"/>
    </row>
    <row r="14" spans="2:15" ht="25.5">
      <c r="B14" s="207" t="s">
        <v>1358</v>
      </c>
      <c r="C14" s="175" t="s">
        <v>1359</v>
      </c>
      <c r="D14" s="186"/>
      <c r="E14" s="186"/>
      <c r="F14" s="186"/>
      <c r="G14" s="186"/>
      <c r="H14" s="184" t="str">
        <f t="shared" si="0"/>
        <v/>
      </c>
      <c r="I14" s="187"/>
    </row>
    <row r="15" spans="2:15">
      <c r="B15" s="207"/>
      <c r="C15" s="175"/>
      <c r="D15" s="186"/>
      <c r="E15" s="186"/>
      <c r="F15" s="186"/>
      <c r="G15" s="186"/>
      <c r="H15" s="184" t="str">
        <f t="shared" si="0"/>
        <v/>
      </c>
      <c r="I15" s="187"/>
    </row>
    <row r="16" spans="2:15">
      <c r="B16" s="207" t="s">
        <v>83</v>
      </c>
      <c r="C16" s="191" t="s">
        <v>1360</v>
      </c>
      <c r="D16" s="186" t="s">
        <v>337</v>
      </c>
      <c r="E16" s="192"/>
      <c r="F16" s="188"/>
      <c r="G16" s="192">
        <v>75</v>
      </c>
      <c r="H16" s="184">
        <f t="shared" ref="H16" si="1">IF(D16="","",F16*G16)</f>
        <v>0</v>
      </c>
      <c r="I16" s="187"/>
    </row>
    <row r="17" spans="2:9">
      <c r="B17" s="207"/>
      <c r="C17" s="191"/>
      <c r="D17" s="186"/>
      <c r="E17" s="186"/>
      <c r="F17" s="186"/>
      <c r="G17" s="186"/>
      <c r="H17" s="184"/>
      <c r="I17" s="187"/>
    </row>
    <row r="18" spans="2:9">
      <c r="B18" s="207" t="s">
        <v>86</v>
      </c>
      <c r="C18" s="191" t="s">
        <v>1361</v>
      </c>
      <c r="D18" s="186" t="s">
        <v>337</v>
      </c>
      <c r="E18" s="192"/>
      <c r="F18" s="188"/>
      <c r="G18" s="192">
        <v>125</v>
      </c>
      <c r="H18" s="184">
        <f t="shared" si="0"/>
        <v>0</v>
      </c>
    </row>
    <row r="19" spans="2:9">
      <c r="B19" s="207"/>
      <c r="C19" s="345"/>
      <c r="D19" s="192"/>
      <c r="E19" s="192"/>
      <c r="F19" s="188"/>
      <c r="G19" s="192"/>
      <c r="H19" s="184" t="str">
        <f t="shared" si="0"/>
        <v/>
      </c>
    </row>
    <row r="20" spans="2:9" ht="25.5">
      <c r="B20" s="207" t="s">
        <v>1362</v>
      </c>
      <c r="C20" s="175" t="s">
        <v>1363</v>
      </c>
      <c r="D20" s="186" t="s">
        <v>337</v>
      </c>
      <c r="E20" s="192"/>
      <c r="F20" s="188"/>
      <c r="G20" s="221">
        <v>300</v>
      </c>
      <c r="H20" s="184">
        <f t="shared" si="0"/>
        <v>0</v>
      </c>
    </row>
    <row r="21" spans="2:9">
      <c r="B21" s="207"/>
      <c r="C21" s="175"/>
      <c r="D21" s="186"/>
      <c r="E21" s="192"/>
      <c r="F21" s="188"/>
      <c r="G21" s="192"/>
      <c r="H21" s="184" t="str">
        <f t="shared" si="0"/>
        <v/>
      </c>
    </row>
    <row r="22" spans="2:9" ht="25.5">
      <c r="B22" s="207" t="s">
        <v>1364</v>
      </c>
      <c r="C22" s="175" t="s">
        <v>1365</v>
      </c>
      <c r="D22" s="186" t="s">
        <v>145</v>
      </c>
      <c r="E22" s="186" t="s">
        <v>14</v>
      </c>
      <c r="F22" s="188"/>
      <c r="G22" s="221">
        <v>33.14</v>
      </c>
      <c r="H22" s="184">
        <f t="shared" si="0"/>
        <v>0</v>
      </c>
      <c r="I22" s="187"/>
    </row>
    <row r="23" spans="2:9">
      <c r="B23" s="207"/>
      <c r="C23" s="175"/>
      <c r="D23" s="186"/>
      <c r="E23" s="186"/>
      <c r="F23" s="188"/>
      <c r="G23" s="220"/>
      <c r="H23" s="184" t="str">
        <f t="shared" si="0"/>
        <v/>
      </c>
      <c r="I23" s="187"/>
    </row>
    <row r="24" spans="2:9">
      <c r="B24" s="207" t="s">
        <v>1366</v>
      </c>
      <c r="C24" s="175" t="s">
        <v>1367</v>
      </c>
      <c r="D24" s="186"/>
      <c r="E24" s="186"/>
      <c r="F24" s="188"/>
      <c r="G24" s="220"/>
      <c r="H24" s="184" t="str">
        <f t="shared" si="0"/>
        <v/>
      </c>
      <c r="I24" s="187"/>
    </row>
    <row r="25" spans="2:9">
      <c r="B25" s="207"/>
      <c r="C25" s="175"/>
      <c r="D25" s="186"/>
      <c r="E25" s="186"/>
      <c r="F25" s="188"/>
      <c r="G25" s="220"/>
      <c r="H25" s="184" t="str">
        <f t="shared" si="0"/>
        <v/>
      </c>
      <c r="I25" s="187"/>
    </row>
    <row r="26" spans="2:9">
      <c r="B26" s="207" t="s">
        <v>1368</v>
      </c>
      <c r="C26" s="191" t="s">
        <v>1369</v>
      </c>
      <c r="D26" s="186" t="s">
        <v>337</v>
      </c>
      <c r="E26" s="186" t="s">
        <v>14</v>
      </c>
      <c r="F26" s="188"/>
      <c r="G26" s="206">
        <v>2200</v>
      </c>
      <c r="H26" s="184">
        <f t="shared" si="0"/>
        <v>0</v>
      </c>
      <c r="I26" s="190"/>
    </row>
    <row r="27" spans="2:9">
      <c r="B27" s="207"/>
      <c r="C27" s="175"/>
      <c r="D27" s="186"/>
      <c r="E27" s="186"/>
      <c r="F27" s="188"/>
      <c r="G27" s="220"/>
      <c r="H27" s="184" t="str">
        <f t="shared" si="0"/>
        <v/>
      </c>
      <c r="I27" s="187"/>
    </row>
    <row r="28" spans="2:9" ht="25.5">
      <c r="B28" s="207" t="s">
        <v>1370</v>
      </c>
      <c r="C28" s="175" t="s">
        <v>1371</v>
      </c>
      <c r="D28" s="186" t="s">
        <v>337</v>
      </c>
      <c r="E28" s="186" t="s">
        <v>14</v>
      </c>
      <c r="F28" s="186"/>
      <c r="G28" s="206">
        <v>2589.11</v>
      </c>
      <c r="H28" s="184">
        <f t="shared" si="0"/>
        <v>0</v>
      </c>
      <c r="I28" s="187"/>
    </row>
    <row r="29" spans="2:9">
      <c r="B29" s="207"/>
      <c r="C29" s="175"/>
      <c r="D29" s="186"/>
      <c r="E29" s="186"/>
      <c r="F29" s="186"/>
      <c r="G29" s="206"/>
      <c r="H29" s="184" t="str">
        <f t="shared" si="0"/>
        <v/>
      </c>
      <c r="I29" s="187"/>
    </row>
    <row r="30" spans="2:9">
      <c r="B30" s="207" t="s">
        <v>1372</v>
      </c>
      <c r="C30" s="175" t="s">
        <v>1373</v>
      </c>
      <c r="D30" s="186" t="s">
        <v>145</v>
      </c>
      <c r="E30" s="186" t="s">
        <v>14</v>
      </c>
      <c r="F30" s="186"/>
      <c r="G30" s="206">
        <v>19.649999999999999</v>
      </c>
      <c r="H30" s="184">
        <f t="shared" si="0"/>
        <v>0</v>
      </c>
      <c r="I30" s="187"/>
    </row>
    <row r="31" spans="2:9">
      <c r="B31" s="207"/>
      <c r="C31" s="175"/>
      <c r="D31" s="186"/>
      <c r="E31" s="186"/>
      <c r="F31" s="186"/>
      <c r="G31" s="206"/>
      <c r="H31" s="184" t="str">
        <f t="shared" si="0"/>
        <v/>
      </c>
      <c r="I31" s="187"/>
    </row>
    <row r="32" spans="2:9">
      <c r="B32" s="207"/>
      <c r="C32" s="175"/>
      <c r="D32" s="186"/>
      <c r="E32" s="186"/>
      <c r="F32" s="186"/>
      <c r="G32" s="206"/>
      <c r="H32" s="184" t="str">
        <f t="shared" si="0"/>
        <v/>
      </c>
      <c r="I32" s="187"/>
    </row>
    <row r="33" spans="2:9">
      <c r="B33" s="207"/>
      <c r="C33" s="175"/>
      <c r="D33" s="186"/>
      <c r="E33" s="186"/>
      <c r="F33" s="186"/>
      <c r="G33" s="189"/>
      <c r="H33" s="184" t="str">
        <f t="shared" si="0"/>
        <v/>
      </c>
      <c r="I33" s="187"/>
    </row>
    <row r="34" spans="2:9">
      <c r="B34" s="207"/>
      <c r="C34" s="175"/>
      <c r="D34" s="186"/>
      <c r="E34" s="186"/>
      <c r="F34" s="186"/>
      <c r="G34" s="189"/>
      <c r="H34" s="184" t="str">
        <f t="shared" si="0"/>
        <v/>
      </c>
      <c r="I34" s="187"/>
    </row>
    <row r="35" spans="2:9">
      <c r="B35" s="207"/>
      <c r="C35" s="175"/>
      <c r="D35" s="186"/>
      <c r="E35" s="186"/>
      <c r="F35" s="186"/>
      <c r="G35" s="189"/>
      <c r="H35" s="184" t="str">
        <f t="shared" si="0"/>
        <v/>
      </c>
      <c r="I35" s="187"/>
    </row>
    <row r="36" spans="2:9">
      <c r="B36" s="207"/>
      <c r="C36" s="175"/>
      <c r="D36" s="186"/>
      <c r="E36" s="186"/>
      <c r="F36" s="186"/>
      <c r="G36" s="189"/>
      <c r="H36" s="184" t="str">
        <f t="shared" si="0"/>
        <v/>
      </c>
      <c r="I36" s="187"/>
    </row>
    <row r="37" spans="2:9">
      <c r="B37" s="207"/>
      <c r="C37" s="175"/>
      <c r="D37" s="186"/>
      <c r="E37" s="186"/>
      <c r="F37" s="186"/>
      <c r="G37" s="189"/>
      <c r="H37" s="184" t="str">
        <f t="shared" si="0"/>
        <v/>
      </c>
      <c r="I37" s="187"/>
    </row>
    <row r="38" spans="2:9">
      <c r="B38" s="207"/>
      <c r="C38" s="175"/>
      <c r="D38" s="186"/>
      <c r="E38" s="186"/>
      <c r="F38" s="186"/>
      <c r="G38" s="189"/>
      <c r="H38" s="184" t="str">
        <f t="shared" si="0"/>
        <v/>
      </c>
      <c r="I38" s="187"/>
    </row>
    <row r="39" spans="2:9">
      <c r="B39" s="207"/>
      <c r="C39" s="175"/>
      <c r="D39" s="186"/>
      <c r="E39" s="186"/>
      <c r="F39" s="186"/>
      <c r="G39" s="206"/>
      <c r="H39" s="184" t="str">
        <f t="shared" si="0"/>
        <v/>
      </c>
      <c r="I39" s="187"/>
    </row>
    <row r="40" spans="2:9">
      <c r="B40" s="207"/>
      <c r="C40" s="175"/>
      <c r="D40" s="186"/>
      <c r="E40" s="186"/>
      <c r="F40" s="186"/>
      <c r="G40" s="206"/>
      <c r="H40" s="184" t="str">
        <f t="shared" si="0"/>
        <v/>
      </c>
      <c r="I40" s="187"/>
    </row>
    <row r="41" spans="2:9">
      <c r="B41" s="207"/>
      <c r="C41" s="175"/>
      <c r="D41" s="186"/>
      <c r="E41" s="186"/>
      <c r="F41" s="186"/>
      <c r="G41" s="206"/>
      <c r="H41" s="184" t="str">
        <f t="shared" si="0"/>
        <v/>
      </c>
      <c r="I41" s="187"/>
    </row>
    <row r="42" spans="2:9">
      <c r="B42" s="207"/>
      <c r="C42" s="175"/>
      <c r="D42" s="186"/>
      <c r="E42" s="186"/>
      <c r="F42" s="186"/>
      <c r="G42" s="206"/>
      <c r="H42" s="184" t="str">
        <f t="shared" si="0"/>
        <v/>
      </c>
      <c r="I42" s="187"/>
    </row>
    <row r="43" spans="2:9">
      <c r="B43" s="207"/>
      <c r="C43" s="175"/>
      <c r="D43" s="186"/>
      <c r="E43" s="186"/>
      <c r="F43" s="186"/>
      <c r="G43" s="206"/>
      <c r="H43" s="184" t="str">
        <f t="shared" si="0"/>
        <v/>
      </c>
      <c r="I43" s="187"/>
    </row>
    <row r="44" spans="2:9">
      <c r="B44" s="207"/>
      <c r="C44" s="175"/>
      <c r="D44" s="186"/>
      <c r="E44" s="186"/>
      <c r="F44" s="186"/>
      <c r="G44" s="206"/>
      <c r="H44" s="184" t="str">
        <f t="shared" si="0"/>
        <v/>
      </c>
      <c r="I44" s="187"/>
    </row>
    <row r="45" spans="2:9">
      <c r="B45" s="207"/>
      <c r="C45" s="175"/>
      <c r="D45" s="186"/>
      <c r="E45" s="186"/>
      <c r="F45" s="186">
        <v>350000</v>
      </c>
      <c r="G45" s="206"/>
      <c r="H45" s="184" t="str">
        <f t="shared" si="0"/>
        <v/>
      </c>
      <c r="I45" s="187"/>
    </row>
    <row r="46" spans="2:9">
      <c r="B46" s="207"/>
      <c r="C46" s="175"/>
      <c r="D46" s="186"/>
      <c r="E46" s="186"/>
      <c r="F46" s="186"/>
      <c r="G46" s="206"/>
      <c r="H46" s="184" t="str">
        <f t="shared" si="0"/>
        <v/>
      </c>
      <c r="I46" s="187"/>
    </row>
    <row r="47" spans="2:9">
      <c r="B47" s="207"/>
      <c r="C47" s="175"/>
      <c r="D47" s="186"/>
      <c r="E47" s="186"/>
      <c r="F47" s="186"/>
      <c r="G47" s="206"/>
      <c r="H47" s="184" t="str">
        <f t="shared" si="0"/>
        <v/>
      </c>
      <c r="I47" s="187"/>
    </row>
    <row r="48" spans="2:9">
      <c r="B48" s="207"/>
      <c r="C48" s="175"/>
      <c r="D48" s="186"/>
      <c r="E48" s="186"/>
      <c r="F48" s="186"/>
      <c r="G48" s="206"/>
      <c r="H48" s="184" t="str">
        <f t="shared" si="0"/>
        <v/>
      </c>
      <c r="I48" s="187"/>
    </row>
    <row r="49" spans="2:9">
      <c r="B49" s="207"/>
      <c r="C49" s="175"/>
      <c r="D49" s="186"/>
      <c r="E49" s="186"/>
      <c r="F49" s="186"/>
      <c r="G49" s="206"/>
      <c r="H49" s="184" t="str">
        <f t="shared" si="0"/>
        <v/>
      </c>
      <c r="I49" s="187"/>
    </row>
    <row r="50" spans="2:9">
      <c r="B50" s="207"/>
      <c r="C50" s="175"/>
      <c r="D50" s="186"/>
      <c r="E50" s="186"/>
      <c r="F50" s="186"/>
      <c r="G50" s="206"/>
      <c r="H50" s="184" t="str">
        <f t="shared" si="0"/>
        <v/>
      </c>
      <c r="I50" s="187"/>
    </row>
    <row r="51" spans="2:9">
      <c r="B51" s="207"/>
      <c r="C51" s="175"/>
      <c r="D51" s="186"/>
      <c r="E51" s="186"/>
      <c r="F51" s="186">
        <v>350000</v>
      </c>
      <c r="G51" s="206"/>
      <c r="H51" s="184" t="str">
        <f t="shared" si="0"/>
        <v/>
      </c>
      <c r="I51" s="187"/>
    </row>
    <row r="52" spans="2:9">
      <c r="B52" s="207"/>
      <c r="C52" s="175"/>
      <c r="D52" s="186"/>
      <c r="E52" s="186"/>
      <c r="F52" s="186"/>
      <c r="G52" s="206"/>
      <c r="H52" s="184" t="str">
        <f t="shared" si="0"/>
        <v/>
      </c>
      <c r="I52" s="187"/>
    </row>
    <row r="53" spans="2:9">
      <c r="B53" s="207"/>
      <c r="C53" s="175"/>
      <c r="D53" s="186"/>
      <c r="E53" s="186"/>
      <c r="F53" s="186"/>
      <c r="G53" s="206"/>
      <c r="H53" s="184"/>
      <c r="I53" s="187"/>
    </row>
    <row r="54" spans="2:9">
      <c r="B54" s="207"/>
      <c r="C54" s="175"/>
      <c r="D54" s="186"/>
      <c r="E54" s="186"/>
      <c r="F54" s="186"/>
      <c r="G54" s="206"/>
      <c r="H54" s="184"/>
      <c r="I54" s="187"/>
    </row>
    <row r="55" spans="2:9">
      <c r="B55" s="207"/>
      <c r="C55" s="175"/>
      <c r="D55" s="186"/>
      <c r="E55" s="186"/>
      <c r="F55" s="186"/>
      <c r="G55" s="206"/>
      <c r="H55" s="184"/>
      <c r="I55" s="187"/>
    </row>
    <row r="56" spans="2:9" s="199" customFormat="1" ht="24.75" customHeight="1">
      <c r="B56" s="228" t="str">
        <f>$B$10</f>
        <v>C11.2</v>
      </c>
      <c r="C56" s="194" t="s">
        <v>125</v>
      </c>
      <c r="D56" s="195"/>
      <c r="E56" s="195"/>
      <c r="F56" s="196"/>
      <c r="G56" s="208"/>
      <c r="H56" s="197">
        <f>SUM(H9:H55)</f>
        <v>0</v>
      </c>
      <c r="I56" s="198"/>
    </row>
    <row r="57" spans="2:9">
      <c r="F57" s="200">
        <v>350000</v>
      </c>
      <c r="G57" s="204"/>
    </row>
    <row r="58" spans="2:9">
      <c r="G58" s="204"/>
    </row>
    <row r="59" spans="2:9">
      <c r="G59" s="204"/>
    </row>
    <row r="60" spans="2:9">
      <c r="G60" s="204"/>
    </row>
    <row r="61" spans="2:9">
      <c r="G61" s="204"/>
    </row>
    <row r="62" spans="2:9">
      <c r="G62" s="204"/>
    </row>
    <row r="63" spans="2:9">
      <c r="G63" s="204"/>
    </row>
    <row r="64" spans="2:9">
      <c r="G64" s="204"/>
    </row>
    <row r="65" spans="7:7">
      <c r="G65" s="204"/>
    </row>
    <row r="66" spans="7:7">
      <c r="G66" s="204"/>
    </row>
    <row r="67" spans="7:7">
      <c r="G67" s="204"/>
    </row>
    <row r="68" spans="7:7">
      <c r="G68" s="204"/>
    </row>
    <row r="89" spans="3:3">
      <c r="C89" s="176" t="s">
        <v>99</v>
      </c>
    </row>
    <row r="114" spans="6:6">
      <c r="F114" s="230"/>
    </row>
    <row r="115" spans="6:6">
      <c r="F115" s="230"/>
    </row>
    <row r="116" spans="6:6">
      <c r="F116" s="230"/>
    </row>
    <row r="117" spans="6:6">
      <c r="F117" s="230"/>
    </row>
    <row r="118" spans="6:6">
      <c r="F118" s="230"/>
    </row>
    <row r="119" spans="6:6">
      <c r="F119" s="230"/>
    </row>
    <row r="120" spans="6:6">
      <c r="F120" s="230"/>
    </row>
    <row r="121" spans="6:6">
      <c r="F121" s="230"/>
    </row>
    <row r="122" spans="6:6">
      <c r="F122" s="230"/>
    </row>
    <row r="123" spans="6:6">
      <c r="F123" s="230"/>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84">
    <tabColor rgb="FF92D050"/>
  </sheetPr>
  <dimension ref="A1:N120"/>
  <sheetViews>
    <sheetView workbookViewId="0"/>
  </sheetViews>
  <sheetFormatPr defaultColWidth="8.85546875" defaultRowHeight="12.75"/>
  <cols>
    <col min="1" max="1" width="0.85546875" style="179" customWidth="1"/>
    <col min="2" max="2" width="11.7109375" style="209" customWidth="1"/>
    <col min="3" max="3" width="45.7109375" style="176" customWidth="1"/>
    <col min="4" max="4" width="13.7109375" style="200" customWidth="1"/>
    <col min="5" max="5" width="5.7109375" style="200" customWidth="1"/>
    <col min="6" max="7" width="15.7109375" style="200" customWidth="1"/>
    <col min="8" max="8" width="15.7109375" style="178" customWidth="1"/>
    <col min="9" max="9" width="0.85546875" style="178" customWidth="1"/>
    <col min="10" max="16384" width="8.85546875" style="179"/>
  </cols>
  <sheetData>
    <row r="1" spans="2:9">
      <c r="B1" s="232" t="str">
        <f>Client1</f>
        <v>AIRPORTS COMPANY - SOUTH AFRICA</v>
      </c>
      <c r="F1" s="746" t="str">
        <f>"Contract No. "&amp;ContractNo</f>
        <v>Contract No. KSIA7806/2025/RFP</v>
      </c>
      <c r="G1" s="746"/>
      <c r="H1" s="746"/>
    </row>
    <row r="2" spans="2:9">
      <c r="B2" s="232" t="str">
        <f>Client2</f>
        <v>ACSA</v>
      </c>
    </row>
    <row r="3" spans="2:9">
      <c r="B3" s="200"/>
    </row>
    <row r="4" spans="2:9" ht="12.75" customHeight="1">
      <c r="B4" s="749" t="s">
        <v>456</v>
      </c>
      <c r="C4" s="750"/>
      <c r="D4" s="750"/>
      <c r="E4" s="750"/>
      <c r="F4" s="750"/>
      <c r="G4" s="750"/>
      <c r="H4" s="779" t="str">
        <f>"CHAPTER "&amp;B10</f>
        <v>CHAPTER C11.4</v>
      </c>
      <c r="I4" s="234"/>
    </row>
    <row r="5" spans="2:9" ht="7.5" customHeight="1">
      <c r="B5" s="782" t="str">
        <f>ContractDescription</f>
        <v>PROCUREMENT OF A CIDB GRADE 9 CE CONTRACTOR THE COMPLETION OF BRAVO TAXIWAY EXTENSION AT KING SHAKA INTERNATIONAL AIRPORT FOR A PERIOD OF 12 MONTHS AT KING SHAKA INTERNATIONAL AIRPORT</v>
      </c>
      <c r="C5" s="745"/>
      <c r="D5" s="745"/>
      <c r="E5" s="745"/>
      <c r="F5" s="745"/>
      <c r="G5" s="745"/>
      <c r="H5" s="780"/>
      <c r="I5" s="180"/>
    </row>
    <row r="6" spans="2:9" ht="12.75" customHeight="1">
      <c r="B6" s="782"/>
      <c r="C6" s="745"/>
      <c r="D6" s="745"/>
      <c r="E6" s="745"/>
      <c r="F6" s="745"/>
      <c r="G6" s="745"/>
      <c r="H6" s="780"/>
      <c r="I6" s="180"/>
    </row>
    <row r="7" spans="2:9" s="183" customFormat="1" ht="7.5" customHeight="1">
      <c r="B7" s="783"/>
      <c r="C7" s="784"/>
      <c r="D7" s="784"/>
      <c r="E7" s="784"/>
      <c r="F7" s="784"/>
      <c r="G7" s="784"/>
      <c r="H7" s="781"/>
      <c r="I7" s="182"/>
    </row>
    <row r="8" spans="2:9" s="183" customFormat="1" ht="24.95" customHeight="1">
      <c r="B8" s="203" t="s">
        <v>11</v>
      </c>
      <c r="C8" s="181" t="s">
        <v>12</v>
      </c>
      <c r="D8" s="181" t="s">
        <v>13</v>
      </c>
      <c r="E8" s="181" t="s">
        <v>14</v>
      </c>
      <c r="F8" s="181" t="s">
        <v>15</v>
      </c>
      <c r="G8" s="181" t="s">
        <v>16</v>
      </c>
      <c r="H8" s="181" t="s">
        <v>17</v>
      </c>
      <c r="I8" s="182"/>
    </row>
    <row r="9" spans="2:9">
      <c r="B9" s="207"/>
      <c r="C9" s="175"/>
      <c r="D9" s="186"/>
      <c r="E9" s="186"/>
      <c r="F9" s="186"/>
      <c r="G9" s="186"/>
      <c r="H9" s="184" t="str">
        <f t="shared" ref="H9:H17" si="0">IF(D9="","",F9*G9)</f>
        <v/>
      </c>
      <c r="I9" s="187"/>
    </row>
    <row r="10" spans="2:9">
      <c r="B10" s="218" t="s">
        <v>1374</v>
      </c>
      <c r="C10" s="185" t="s">
        <v>1375</v>
      </c>
      <c r="D10" s="186"/>
      <c r="E10" s="186"/>
      <c r="F10" s="186"/>
      <c r="G10" s="186"/>
      <c r="H10" s="184"/>
      <c r="I10" s="187"/>
    </row>
    <row r="11" spans="2:9">
      <c r="B11" s="207"/>
      <c r="C11" s="175"/>
      <c r="D11" s="186"/>
      <c r="E11" s="186"/>
      <c r="F11" s="186"/>
      <c r="G11" s="186"/>
      <c r="H11" s="184"/>
      <c r="I11" s="187"/>
    </row>
    <row r="12" spans="2:9">
      <c r="B12" s="207" t="s">
        <v>1376</v>
      </c>
      <c r="C12" s="175" t="s">
        <v>1377</v>
      </c>
      <c r="D12" s="186"/>
      <c r="E12" s="186"/>
      <c r="F12" s="186"/>
      <c r="G12" s="186"/>
      <c r="H12" s="184" t="str">
        <f t="shared" si="0"/>
        <v/>
      </c>
      <c r="I12" s="187"/>
    </row>
    <row r="13" spans="2:9">
      <c r="B13" s="207"/>
      <c r="C13" s="175"/>
      <c r="D13" s="186"/>
      <c r="E13" s="186"/>
      <c r="F13" s="186"/>
      <c r="G13" s="186"/>
      <c r="H13" s="184" t="str">
        <f t="shared" si="0"/>
        <v/>
      </c>
      <c r="I13" s="187"/>
    </row>
    <row r="14" spans="2:9" ht="18" customHeight="1">
      <c r="B14" s="207" t="s">
        <v>1378</v>
      </c>
      <c r="C14" s="242" t="s">
        <v>1379</v>
      </c>
      <c r="D14" s="186"/>
      <c r="E14" s="186"/>
      <c r="F14" s="186"/>
      <c r="G14" s="220"/>
      <c r="H14" s="184" t="str">
        <f t="shared" si="0"/>
        <v/>
      </c>
      <c r="I14" s="187"/>
    </row>
    <row r="15" spans="2:9">
      <c r="B15" s="207"/>
      <c r="C15" s="175"/>
      <c r="D15" s="186"/>
      <c r="E15" s="186"/>
      <c r="F15" s="186"/>
      <c r="G15" s="220"/>
      <c r="H15" s="184" t="str">
        <f t="shared" si="0"/>
        <v/>
      </c>
      <c r="I15" s="187"/>
    </row>
    <row r="16" spans="2:9">
      <c r="B16" s="207" t="s">
        <v>83</v>
      </c>
      <c r="C16" s="175" t="s">
        <v>1380</v>
      </c>
      <c r="D16" s="186" t="s">
        <v>347</v>
      </c>
      <c r="E16" s="186" t="s">
        <v>14</v>
      </c>
      <c r="F16" s="188"/>
      <c r="G16" s="206">
        <v>600</v>
      </c>
      <c r="H16" s="184">
        <f t="shared" si="0"/>
        <v>0</v>
      </c>
      <c r="I16" s="190"/>
    </row>
    <row r="17" spans="2:9">
      <c r="B17" s="207"/>
      <c r="C17" s="175"/>
      <c r="D17" s="186"/>
      <c r="E17" s="186"/>
      <c r="F17" s="188"/>
      <c r="G17" s="220"/>
      <c r="H17" s="184" t="str">
        <f t="shared" si="0"/>
        <v/>
      </c>
      <c r="I17" s="187"/>
    </row>
    <row r="18" spans="2:9">
      <c r="B18" s="207" t="s">
        <v>1381</v>
      </c>
      <c r="C18" s="345" t="s">
        <v>1382</v>
      </c>
      <c r="D18" s="186"/>
      <c r="E18" s="192"/>
      <c r="F18" s="188"/>
      <c r="G18" s="206"/>
      <c r="H18" s="184"/>
    </row>
    <row r="19" spans="2:9">
      <c r="B19" s="207"/>
      <c r="C19" s="345"/>
      <c r="D19" s="192"/>
      <c r="E19" s="192"/>
      <c r="F19" s="188"/>
      <c r="G19" s="222"/>
      <c r="H19" s="184" t="str">
        <f t="shared" ref="H19:H23" si="1">IF(D19="","",F19*G19)</f>
        <v/>
      </c>
    </row>
    <row r="20" spans="2:9">
      <c r="B20" s="207" t="s">
        <v>83</v>
      </c>
      <c r="C20" s="175" t="s">
        <v>1383</v>
      </c>
      <c r="D20" s="186" t="s">
        <v>85</v>
      </c>
      <c r="E20" s="192" t="s">
        <v>14</v>
      </c>
      <c r="F20" s="188"/>
      <c r="G20" s="221">
        <v>745</v>
      </c>
      <c r="H20" s="184">
        <f t="shared" si="1"/>
        <v>0</v>
      </c>
    </row>
    <row r="21" spans="2:9">
      <c r="B21" s="207"/>
      <c r="C21" s="175"/>
      <c r="D21" s="186"/>
      <c r="E21" s="192"/>
      <c r="F21" s="188"/>
      <c r="G21" s="222"/>
      <c r="H21" s="184" t="str">
        <f t="shared" si="1"/>
        <v/>
      </c>
    </row>
    <row r="22" spans="2:9">
      <c r="B22" s="207" t="s">
        <v>86</v>
      </c>
      <c r="C22" s="191" t="s">
        <v>1384</v>
      </c>
      <c r="D22" s="186" t="s">
        <v>85</v>
      </c>
      <c r="E22" s="186" t="s">
        <v>14</v>
      </c>
      <c r="F22" s="188"/>
      <c r="G22" s="220">
        <v>950</v>
      </c>
      <c r="H22" s="184">
        <f t="shared" si="1"/>
        <v>0</v>
      </c>
      <c r="I22" s="187"/>
    </row>
    <row r="23" spans="2:9">
      <c r="B23" s="207"/>
      <c r="C23" s="175"/>
      <c r="D23" s="186"/>
      <c r="E23" s="186"/>
      <c r="F23" s="188"/>
      <c r="G23" s="220"/>
      <c r="H23" s="184" t="str">
        <f t="shared" si="1"/>
        <v/>
      </c>
      <c r="I23" s="187"/>
    </row>
    <row r="24" spans="2:9" hidden="1">
      <c r="B24" s="207"/>
      <c r="C24" s="175"/>
      <c r="D24" s="186"/>
      <c r="E24" s="186"/>
      <c r="F24" s="186"/>
      <c r="G24" s="186"/>
      <c r="H24" s="184" t="str">
        <f t="shared" ref="H24" si="2">IF(D24="","",F24*G24)</f>
        <v/>
      </c>
      <c r="I24" s="187"/>
    </row>
    <row r="25" spans="2:9" s="199" customFormat="1" ht="19.5" hidden="1" customHeight="1">
      <c r="B25" s="227" t="str">
        <f>$B$10</f>
        <v>C11.4</v>
      </c>
      <c r="C25" s="194" t="s">
        <v>99</v>
      </c>
      <c r="D25" s="195"/>
      <c r="E25" s="195"/>
      <c r="F25" s="196"/>
      <c r="G25" s="196"/>
      <c r="H25" s="197">
        <f>SUM(H9:H24)</f>
        <v>0</v>
      </c>
      <c r="I25" s="198"/>
    </row>
    <row r="26" spans="2:9" hidden="1">
      <c r="B26" s="745" t="str">
        <f>Client1</f>
        <v>AIRPORTS COMPANY - SOUTH AFRICA</v>
      </c>
      <c r="C26" s="745"/>
      <c r="D26" s="745"/>
      <c r="E26" s="745"/>
      <c r="F26" s="746" t="str">
        <f>"Contract No. "&amp;ContractNo</f>
        <v>Contract No. KSIA7806/2025/RFP</v>
      </c>
      <c r="G26" s="746"/>
      <c r="H26" s="746"/>
    </row>
    <row r="27" spans="2:9" hidden="1">
      <c r="B27" s="745" t="str">
        <f>Client2</f>
        <v>ACSA</v>
      </c>
      <c r="C27" s="745"/>
      <c r="D27" s="745"/>
      <c r="E27" s="745"/>
      <c r="F27" s="746"/>
      <c r="G27" s="746"/>
      <c r="H27" s="746"/>
    </row>
    <row r="28" spans="2:9" hidden="1">
      <c r="B28" s="748"/>
      <c r="C28" s="748"/>
      <c r="D28" s="748"/>
      <c r="E28" s="748"/>
      <c r="F28" s="747"/>
      <c r="G28" s="747"/>
      <c r="H28" s="747"/>
    </row>
    <row r="29" spans="2:9" hidden="1">
      <c r="B29" s="749" t="s">
        <v>456</v>
      </c>
      <c r="C29" s="750"/>
      <c r="D29" s="750"/>
      <c r="E29" s="750"/>
      <c r="F29" s="750"/>
      <c r="G29" s="750"/>
      <c r="H29" s="751" t="str">
        <f>$H$4</f>
        <v>CHAPTER C11.4</v>
      </c>
      <c r="I29" s="234"/>
    </row>
    <row r="30" spans="2:9" hidden="1">
      <c r="B30" s="752" t="str">
        <f>ContractDescription</f>
        <v>PROCUREMENT OF A CIDB GRADE 9 CE CONTRACTOR THE COMPLETION OF BRAVO TAXIWAY EXTENSION AT KING SHAKA INTERNATIONAL AIRPORT FOR A PERIOD OF 12 MONTHS AT KING SHAKA INTERNATIONAL AIRPORT</v>
      </c>
      <c r="C30" s="753"/>
      <c r="D30" s="753"/>
      <c r="E30" s="753"/>
      <c r="F30" s="753"/>
      <c r="G30" s="753"/>
      <c r="H30" s="746"/>
      <c r="I30" s="180"/>
    </row>
    <row r="31" spans="2:9" hidden="1">
      <c r="B31" s="752"/>
      <c r="C31" s="753"/>
      <c r="D31" s="753"/>
      <c r="E31" s="753"/>
      <c r="F31" s="753"/>
      <c r="G31" s="753"/>
      <c r="H31" s="746"/>
      <c r="I31" s="180"/>
    </row>
    <row r="32" spans="2:9" hidden="1">
      <c r="B32" s="754"/>
      <c r="C32" s="755"/>
      <c r="D32" s="755"/>
      <c r="E32" s="755"/>
      <c r="F32" s="755"/>
      <c r="G32" s="755"/>
      <c r="H32" s="747"/>
      <c r="I32" s="180"/>
    </row>
    <row r="33" spans="2:14" s="183" customFormat="1" ht="24.95" hidden="1" customHeight="1">
      <c r="B33" s="203" t="s">
        <v>11</v>
      </c>
      <c r="C33" s="181" t="s">
        <v>12</v>
      </c>
      <c r="D33" s="181" t="s">
        <v>13</v>
      </c>
      <c r="E33" s="181" t="s">
        <v>14</v>
      </c>
      <c r="F33" s="181" t="s">
        <v>15</v>
      </c>
      <c r="G33" s="181" t="s">
        <v>16</v>
      </c>
      <c r="H33" s="181" t="s">
        <v>17</v>
      </c>
      <c r="I33" s="182"/>
    </row>
    <row r="34" spans="2:14" s="199" customFormat="1" ht="19.5" hidden="1" customHeight="1">
      <c r="B34" s="227"/>
      <c r="C34" s="194" t="s">
        <v>140</v>
      </c>
      <c r="D34" s="195"/>
      <c r="E34" s="195"/>
      <c r="F34" s="196"/>
      <c r="G34" s="196"/>
      <c r="H34" s="197">
        <f>H25</f>
        <v>0</v>
      </c>
      <c r="I34" s="198"/>
    </row>
    <row r="35" spans="2:14" hidden="1">
      <c r="B35" s="207"/>
      <c r="C35" s="175"/>
      <c r="D35" s="186"/>
      <c r="E35" s="186"/>
      <c r="F35" s="186"/>
      <c r="G35" s="186"/>
      <c r="H35" s="184"/>
      <c r="I35" s="187"/>
    </row>
    <row r="36" spans="2:14">
      <c r="B36" s="207"/>
      <c r="C36" s="345"/>
      <c r="D36" s="192"/>
      <c r="E36" s="192"/>
      <c r="F36" s="188"/>
      <c r="G36" s="222"/>
      <c r="H36" s="184" t="str">
        <f t="shared" ref="H36:H42" si="3">IF(D36="","",F36*G36)</f>
        <v/>
      </c>
    </row>
    <row r="37" spans="2:14">
      <c r="B37" s="207" t="s">
        <v>1385</v>
      </c>
      <c r="C37" s="191" t="s">
        <v>1386</v>
      </c>
      <c r="D37" s="186"/>
      <c r="E37" s="186"/>
      <c r="F37" s="188"/>
      <c r="G37" s="220"/>
      <c r="H37" s="184" t="str">
        <f t="shared" si="3"/>
        <v/>
      </c>
      <c r="I37" s="187"/>
    </row>
    <row r="38" spans="2:14">
      <c r="B38" s="207"/>
      <c r="C38" s="175"/>
      <c r="D38" s="186"/>
      <c r="E38" s="186"/>
      <c r="F38" s="188"/>
      <c r="G38" s="220"/>
      <c r="H38" s="184" t="str">
        <f t="shared" si="3"/>
        <v/>
      </c>
      <c r="I38" s="187"/>
    </row>
    <row r="39" spans="2:14">
      <c r="B39" s="207" t="s">
        <v>1387</v>
      </c>
      <c r="C39" s="175" t="s">
        <v>1388</v>
      </c>
      <c r="D39" s="186" t="s">
        <v>85</v>
      </c>
      <c r="E39" s="186"/>
      <c r="F39" s="188"/>
      <c r="G39" s="206">
        <v>400</v>
      </c>
      <c r="H39" s="184">
        <f t="shared" si="3"/>
        <v>0</v>
      </c>
      <c r="I39" s="190"/>
    </row>
    <row r="40" spans="2:14">
      <c r="B40" s="207"/>
      <c r="C40" s="175"/>
      <c r="D40" s="186"/>
      <c r="E40" s="186"/>
      <c r="F40" s="188"/>
      <c r="G40" s="206"/>
      <c r="H40" s="184" t="str">
        <f t="shared" si="3"/>
        <v/>
      </c>
      <c r="I40" s="187"/>
    </row>
    <row r="41" spans="2:14">
      <c r="B41" s="207" t="s">
        <v>1389</v>
      </c>
      <c r="C41" s="191" t="s">
        <v>1390</v>
      </c>
      <c r="D41" s="186" t="s">
        <v>85</v>
      </c>
      <c r="E41" s="186"/>
      <c r="F41" s="188"/>
      <c r="G41" s="206">
        <v>30</v>
      </c>
      <c r="H41" s="184">
        <f t="shared" si="3"/>
        <v>0</v>
      </c>
      <c r="I41" s="190"/>
      <c r="L41" s="179">
        <v>3.7</v>
      </c>
      <c r="M41" s="179">
        <v>8000</v>
      </c>
      <c r="N41" s="179">
        <f>M41/L41</f>
        <v>2162.1621621621621</v>
      </c>
    </row>
    <row r="42" spans="2:14">
      <c r="B42" s="207"/>
      <c r="C42" s="175"/>
      <c r="D42" s="186"/>
      <c r="E42" s="186"/>
      <c r="F42" s="188"/>
      <c r="G42" s="220"/>
      <c r="H42" s="184" t="str">
        <f t="shared" si="3"/>
        <v/>
      </c>
      <c r="I42" s="187"/>
    </row>
    <row r="43" spans="2:14" hidden="1">
      <c r="B43" s="207"/>
      <c r="C43" s="191"/>
      <c r="D43" s="186"/>
      <c r="E43" s="186"/>
      <c r="F43" s="186"/>
      <c r="G43" s="206"/>
      <c r="H43" s="184"/>
      <c r="I43" s="187"/>
    </row>
    <row r="44" spans="2:14" s="199" customFormat="1" ht="19.5" hidden="1" customHeight="1">
      <c r="B44" s="227" t="str">
        <f>$B$10</f>
        <v>C11.4</v>
      </c>
      <c r="C44" s="194" t="s">
        <v>99</v>
      </c>
      <c r="D44" s="195"/>
      <c r="E44" s="195"/>
      <c r="F44" s="196"/>
      <c r="G44" s="208"/>
      <c r="H44" s="197">
        <f>SUM(H34:H43)</f>
        <v>0</v>
      </c>
      <c r="I44" s="198"/>
    </row>
    <row r="45" spans="2:14" hidden="1">
      <c r="B45" s="745" t="str">
        <f>Client1</f>
        <v>AIRPORTS COMPANY - SOUTH AFRICA</v>
      </c>
      <c r="C45" s="745"/>
      <c r="D45" s="745"/>
      <c r="E45" s="745"/>
      <c r="F45" s="746">
        <v>350000</v>
      </c>
      <c r="G45" s="765"/>
      <c r="H45" s="746"/>
    </row>
    <row r="46" spans="2:14" hidden="1">
      <c r="B46" s="745" t="str">
        <f>Client2</f>
        <v>ACSA</v>
      </c>
      <c r="C46" s="745"/>
      <c r="D46" s="745"/>
      <c r="E46" s="745"/>
      <c r="F46" s="746"/>
      <c r="G46" s="765"/>
      <c r="H46" s="746"/>
    </row>
    <row r="47" spans="2:14" hidden="1">
      <c r="B47" s="748"/>
      <c r="C47" s="748"/>
      <c r="D47" s="748"/>
      <c r="E47" s="748"/>
      <c r="F47" s="747"/>
      <c r="G47" s="766"/>
      <c r="H47" s="747"/>
    </row>
    <row r="48" spans="2:14" hidden="1">
      <c r="B48" s="749" t="s">
        <v>456</v>
      </c>
      <c r="C48" s="750"/>
      <c r="D48" s="750"/>
      <c r="E48" s="750"/>
      <c r="F48" s="750"/>
      <c r="G48" s="762"/>
      <c r="H48" s="751" t="str">
        <f>$H$4</f>
        <v>CHAPTER C11.4</v>
      </c>
      <c r="I48" s="234"/>
    </row>
    <row r="49" spans="2:14" hidden="1">
      <c r="B49" s="752" t="str">
        <f>ContractDescription</f>
        <v>PROCUREMENT OF A CIDB GRADE 9 CE CONTRACTOR THE COMPLETION OF BRAVO TAXIWAY EXTENSION AT KING SHAKA INTERNATIONAL AIRPORT FOR A PERIOD OF 12 MONTHS AT KING SHAKA INTERNATIONAL AIRPORT</v>
      </c>
      <c r="C49" s="753"/>
      <c r="D49" s="753"/>
      <c r="E49" s="753"/>
      <c r="F49" s="753"/>
      <c r="G49" s="763"/>
      <c r="H49" s="746"/>
      <c r="I49" s="180"/>
    </row>
    <row r="50" spans="2:14" hidden="1">
      <c r="B50" s="752"/>
      <c r="C50" s="753"/>
      <c r="D50" s="753"/>
      <c r="E50" s="753"/>
      <c r="F50" s="753"/>
      <c r="G50" s="763"/>
      <c r="H50" s="746"/>
      <c r="I50" s="180"/>
    </row>
    <row r="51" spans="2:14" hidden="1">
      <c r="B51" s="754"/>
      <c r="C51" s="755"/>
      <c r="D51" s="755"/>
      <c r="E51" s="755"/>
      <c r="F51" s="755"/>
      <c r="G51" s="764"/>
      <c r="H51" s="747"/>
      <c r="I51" s="180"/>
    </row>
    <row r="52" spans="2:14" s="183" customFormat="1" ht="24.95" hidden="1" customHeight="1">
      <c r="B52" s="203" t="s">
        <v>11</v>
      </c>
      <c r="C52" s="181" t="s">
        <v>12</v>
      </c>
      <c r="D52" s="181" t="s">
        <v>13</v>
      </c>
      <c r="E52" s="181" t="s">
        <v>14</v>
      </c>
      <c r="F52" s="181" t="s">
        <v>15</v>
      </c>
      <c r="G52" s="205" t="s">
        <v>16</v>
      </c>
      <c r="H52" s="181" t="s">
        <v>17</v>
      </c>
      <c r="I52" s="182"/>
    </row>
    <row r="53" spans="2:14" s="199" customFormat="1" ht="19.5" hidden="1" customHeight="1">
      <c r="B53" s="227"/>
      <c r="C53" s="194" t="s">
        <v>140</v>
      </c>
      <c r="D53" s="195"/>
      <c r="E53" s="195"/>
      <c r="F53" s="196"/>
      <c r="G53" s="208"/>
      <c r="H53" s="197">
        <f>H44</f>
        <v>0</v>
      </c>
      <c r="I53" s="198"/>
    </row>
    <row r="54" spans="2:14" hidden="1">
      <c r="B54" s="207"/>
      <c r="C54" s="191"/>
      <c r="D54" s="186"/>
      <c r="E54" s="186"/>
      <c r="F54" s="186"/>
      <c r="G54" s="206"/>
      <c r="H54" s="184"/>
      <c r="I54" s="187"/>
    </row>
    <row r="55" spans="2:14" hidden="1">
      <c r="B55" s="207"/>
      <c r="C55" s="175"/>
      <c r="D55" s="186"/>
      <c r="E55" s="186"/>
      <c r="F55" s="186"/>
      <c r="G55" s="206"/>
      <c r="H55" s="184"/>
      <c r="I55" s="187"/>
    </row>
    <row r="56" spans="2:14">
      <c r="B56" s="207" t="s">
        <v>1391</v>
      </c>
      <c r="C56" s="175" t="s">
        <v>1392</v>
      </c>
      <c r="D56" s="186" t="s">
        <v>85</v>
      </c>
      <c r="E56" s="192" t="s">
        <v>14</v>
      </c>
      <c r="F56" s="192"/>
      <c r="G56" s="206">
        <v>20</v>
      </c>
      <c r="H56" s="184">
        <f>IF(D56="","",F56*G56)</f>
        <v>0</v>
      </c>
      <c r="I56" s="187"/>
      <c r="L56" s="179">
        <v>8000</v>
      </c>
      <c r="M56" s="179">
        <v>3.81</v>
      </c>
      <c r="N56" s="179">
        <f>L56/M56</f>
        <v>2099.737532808399</v>
      </c>
    </row>
    <row r="57" spans="2:14">
      <c r="B57" s="207"/>
      <c r="C57" s="175"/>
      <c r="D57" s="186"/>
      <c r="E57" s="186"/>
      <c r="F57" s="186"/>
      <c r="G57" s="206"/>
      <c r="H57" s="184" t="str">
        <f>IF(D57="","",F57*G57)</f>
        <v/>
      </c>
      <c r="I57" s="187"/>
    </row>
    <row r="58" spans="2:14">
      <c r="B58" s="207"/>
      <c r="C58" s="175"/>
      <c r="D58" s="186"/>
      <c r="E58" s="186"/>
      <c r="F58" s="188"/>
      <c r="G58" s="220"/>
      <c r="H58" s="184"/>
      <c r="I58" s="187"/>
    </row>
    <row r="59" spans="2:14">
      <c r="B59" s="218"/>
      <c r="C59" s="185"/>
      <c r="D59" s="219"/>
      <c r="E59" s="219"/>
      <c r="F59" s="188"/>
      <c r="G59" s="221"/>
      <c r="H59" s="184"/>
      <c r="I59" s="187"/>
    </row>
    <row r="60" spans="2:14" s="199" customFormat="1" ht="24.75" customHeight="1">
      <c r="B60" s="228" t="str">
        <f>$B$10</f>
        <v>C11.4</v>
      </c>
      <c r="C60" s="194" t="s">
        <v>125</v>
      </c>
      <c r="D60" s="195"/>
      <c r="E60" s="195"/>
      <c r="F60" s="196"/>
      <c r="G60" s="208"/>
      <c r="H60" s="197">
        <f>SUM(H53:H59)</f>
        <v>0</v>
      </c>
      <c r="I60" s="198"/>
    </row>
    <row r="61" spans="2:14">
      <c r="B61" s="218"/>
      <c r="C61" s="185"/>
      <c r="D61" s="186"/>
      <c r="E61" s="192"/>
      <c r="F61" s="188"/>
      <c r="G61" s="206"/>
      <c r="H61" s="184"/>
    </row>
    <row r="62" spans="2:14">
      <c r="B62" s="207"/>
      <c r="C62" s="191"/>
      <c r="D62" s="186"/>
      <c r="E62" s="192"/>
      <c r="F62" s="188"/>
      <c r="G62" s="206"/>
      <c r="H62" s="184"/>
    </row>
    <row r="63" spans="2:14">
      <c r="B63" s="207"/>
      <c r="C63" s="191"/>
      <c r="D63" s="186"/>
      <c r="E63" s="192"/>
      <c r="F63" s="188"/>
      <c r="G63" s="206"/>
      <c r="H63" s="184"/>
    </row>
    <row r="64" spans="2:14">
      <c r="B64" s="207"/>
      <c r="C64" s="345"/>
      <c r="D64" s="192"/>
      <c r="E64" s="192"/>
      <c r="F64" s="188"/>
      <c r="G64" s="222"/>
      <c r="H64" s="184"/>
    </row>
    <row r="65" spans="2:9">
      <c r="B65" s="207"/>
      <c r="C65" s="175"/>
      <c r="D65" s="186"/>
      <c r="E65" s="192"/>
      <c r="F65" s="188"/>
      <c r="G65" s="221"/>
      <c r="H65" s="184"/>
    </row>
    <row r="66" spans="2:9">
      <c r="B66" s="207"/>
      <c r="C66" s="175"/>
      <c r="D66" s="186"/>
      <c r="E66" s="192"/>
      <c r="F66" s="188"/>
      <c r="G66" s="192"/>
      <c r="H66" s="184"/>
    </row>
    <row r="67" spans="2:9">
      <c r="B67" s="218"/>
      <c r="C67" s="346"/>
      <c r="D67" s="186"/>
      <c r="E67" s="186"/>
      <c r="F67" s="188"/>
      <c r="G67" s="186"/>
      <c r="H67" s="184"/>
      <c r="I67" s="187"/>
    </row>
    <row r="68" spans="2:9">
      <c r="B68" s="207"/>
      <c r="C68" s="175"/>
      <c r="D68" s="186"/>
      <c r="E68" s="186"/>
      <c r="F68" s="188"/>
      <c r="G68" s="186"/>
      <c r="H68" s="184"/>
      <c r="I68" s="187"/>
    </row>
    <row r="69" spans="2:9">
      <c r="B69" s="207"/>
      <c r="C69" s="175"/>
      <c r="D69" s="186"/>
      <c r="E69" s="186"/>
      <c r="F69" s="188"/>
      <c r="G69" s="189"/>
      <c r="H69" s="184"/>
      <c r="I69" s="190"/>
    </row>
    <row r="70" spans="2:9">
      <c r="B70" s="207"/>
      <c r="C70" s="175"/>
      <c r="D70" s="186"/>
      <c r="E70" s="186"/>
      <c r="F70" s="188"/>
      <c r="G70" s="189"/>
      <c r="H70" s="184"/>
      <c r="I70" s="187"/>
    </row>
    <row r="71" spans="2:9">
      <c r="B71" s="207"/>
      <c r="C71" s="175"/>
      <c r="D71" s="186"/>
      <c r="E71" s="186"/>
      <c r="F71" s="188"/>
      <c r="G71" s="225"/>
      <c r="H71" s="184"/>
      <c r="I71" s="187"/>
    </row>
    <row r="72" spans="2:9">
      <c r="B72" s="207"/>
      <c r="C72" s="175"/>
      <c r="D72" s="186"/>
      <c r="E72" s="186"/>
      <c r="F72" s="188"/>
      <c r="G72" s="223"/>
      <c r="H72" s="184"/>
      <c r="I72" s="187"/>
    </row>
    <row r="73" spans="2:9">
      <c r="B73" s="218"/>
      <c r="C73" s="185"/>
      <c r="D73" s="186"/>
      <c r="E73" s="186"/>
      <c r="F73" s="188"/>
      <c r="G73" s="223"/>
      <c r="H73" s="184"/>
      <c r="I73" s="187"/>
    </row>
    <row r="74" spans="2:9">
      <c r="B74" s="207"/>
      <c r="C74" s="175"/>
      <c r="D74" s="186"/>
      <c r="E74" s="186"/>
      <c r="F74" s="188"/>
      <c r="G74" s="223"/>
      <c r="H74" s="184"/>
      <c r="I74" s="187"/>
    </row>
    <row r="75" spans="2:9">
      <c r="B75" s="207"/>
      <c r="C75" s="191"/>
      <c r="D75" s="186"/>
      <c r="E75" s="186"/>
      <c r="F75" s="188"/>
      <c r="G75" s="189"/>
      <c r="H75" s="184"/>
      <c r="I75" s="190"/>
    </row>
    <row r="76" spans="2:9">
      <c r="B76" s="207"/>
      <c r="C76" s="175"/>
      <c r="D76" s="186"/>
      <c r="E76" s="186"/>
      <c r="F76" s="188"/>
      <c r="G76" s="223"/>
      <c r="H76" s="184"/>
      <c r="I76" s="187"/>
    </row>
    <row r="77" spans="2:9">
      <c r="B77" s="207"/>
      <c r="C77" s="175"/>
      <c r="D77" s="186"/>
      <c r="E77" s="186"/>
      <c r="F77" s="188"/>
      <c r="G77" s="225"/>
      <c r="H77" s="184"/>
      <c r="I77" s="187"/>
    </row>
    <row r="78" spans="2:9">
      <c r="B78" s="207"/>
      <c r="C78" s="243"/>
      <c r="D78" s="186"/>
      <c r="E78" s="186"/>
      <c r="F78" s="186"/>
      <c r="G78" s="186"/>
      <c r="H78" s="184"/>
      <c r="I78" s="187"/>
    </row>
    <row r="79" spans="2:9">
      <c r="B79" s="218"/>
      <c r="C79" s="185"/>
      <c r="D79" s="219"/>
      <c r="E79" s="186"/>
      <c r="F79" s="186"/>
      <c r="G79" s="189"/>
      <c r="H79" s="184"/>
      <c r="I79" s="187"/>
    </row>
    <row r="80" spans="2:9">
      <c r="B80" s="207"/>
      <c r="C80" s="175"/>
      <c r="D80" s="186"/>
      <c r="E80" s="186"/>
      <c r="F80" s="186"/>
      <c r="G80" s="189"/>
      <c r="H80" s="184"/>
      <c r="I80" s="187"/>
    </row>
    <row r="81" spans="1:9">
      <c r="B81" s="244"/>
      <c r="C81" s="346"/>
      <c r="D81" s="186"/>
      <c r="E81" s="186"/>
      <c r="F81" s="186"/>
      <c r="G81" s="189"/>
      <c r="H81" s="184"/>
      <c r="I81" s="187"/>
    </row>
    <row r="82" spans="1:9">
      <c r="B82" s="207"/>
      <c r="C82" s="175"/>
      <c r="D82" s="186"/>
      <c r="E82" s="186"/>
      <c r="F82" s="186"/>
      <c r="G82" s="189"/>
      <c r="H82" s="184"/>
      <c r="I82" s="187"/>
    </row>
    <row r="83" spans="1:9">
      <c r="B83" s="207"/>
      <c r="C83" s="175"/>
      <c r="D83" s="186"/>
      <c r="E83" s="186"/>
      <c r="F83" s="186"/>
      <c r="G83" s="189"/>
      <c r="H83" s="184"/>
      <c r="I83" s="187"/>
    </row>
    <row r="84" spans="1:9">
      <c r="B84" s="207"/>
      <c r="C84" s="175"/>
      <c r="D84" s="186"/>
      <c r="E84" s="186"/>
      <c r="F84" s="186"/>
      <c r="G84" s="189"/>
      <c r="H84" s="184"/>
      <c r="I84" s="187"/>
    </row>
    <row r="85" spans="1:9">
      <c r="B85" s="218"/>
      <c r="C85" s="185"/>
      <c r="D85" s="186"/>
      <c r="E85" s="192"/>
      <c r="F85" s="192"/>
      <c r="G85" s="189"/>
      <c r="H85" s="184"/>
      <c r="I85" s="187"/>
    </row>
    <row r="86" spans="1:9">
      <c r="B86" s="207"/>
      <c r="C86" s="175"/>
      <c r="D86" s="186"/>
      <c r="E86" s="186"/>
      <c r="F86" s="186"/>
      <c r="G86" s="189"/>
      <c r="H86" s="184"/>
      <c r="I86" s="187"/>
    </row>
    <row r="87" spans="1:9">
      <c r="B87" s="207"/>
      <c r="C87" s="191"/>
      <c r="D87" s="186"/>
      <c r="E87" s="192"/>
      <c r="F87" s="192"/>
      <c r="G87" s="189"/>
      <c r="H87" s="184"/>
      <c r="I87" s="187"/>
    </row>
    <row r="88" spans="1:9">
      <c r="B88" s="207"/>
      <c r="C88" s="175"/>
      <c r="D88" s="186"/>
      <c r="E88" s="186"/>
      <c r="F88" s="186"/>
      <c r="G88" s="189"/>
      <c r="H88" s="184"/>
      <c r="I88" s="187"/>
    </row>
    <row r="89" spans="1:9">
      <c r="B89" s="207"/>
      <c r="C89" s="175"/>
      <c r="D89" s="186"/>
      <c r="E89" s="192"/>
      <c r="F89" s="192"/>
      <c r="G89" s="189"/>
      <c r="H89" s="184"/>
    </row>
    <row r="90" spans="1:9">
      <c r="B90" s="207"/>
      <c r="C90" s="175"/>
      <c r="D90" s="186"/>
      <c r="E90" s="186"/>
      <c r="F90" s="186"/>
      <c r="G90" s="189"/>
      <c r="H90" s="184"/>
      <c r="I90" s="187"/>
    </row>
    <row r="91" spans="1:9">
      <c r="B91" s="207"/>
      <c r="C91" s="191"/>
      <c r="D91" s="186"/>
      <c r="E91" s="186"/>
      <c r="F91" s="186"/>
      <c r="G91" s="189"/>
      <c r="H91" s="184"/>
      <c r="I91" s="187"/>
    </row>
    <row r="92" spans="1:9">
      <c r="B92" s="207"/>
      <c r="C92" s="191"/>
      <c r="D92" s="186"/>
      <c r="E92" s="186"/>
      <c r="F92" s="186"/>
      <c r="G92" s="189"/>
      <c r="H92" s="184"/>
      <c r="I92" s="187"/>
    </row>
    <row r="93" spans="1:9">
      <c r="B93" s="218"/>
      <c r="C93" s="346"/>
      <c r="D93" s="186"/>
      <c r="E93" s="186"/>
      <c r="F93" s="186"/>
      <c r="G93" s="189"/>
      <c r="H93" s="184"/>
      <c r="I93" s="187"/>
    </row>
    <row r="94" spans="1:9">
      <c r="B94" s="218"/>
      <c r="C94" s="346"/>
      <c r="D94" s="186"/>
      <c r="E94" s="186"/>
      <c r="F94" s="186"/>
      <c r="G94" s="189"/>
      <c r="H94" s="184"/>
      <c r="I94" s="187"/>
    </row>
    <row r="95" spans="1:9">
      <c r="B95" s="207"/>
      <c r="C95" s="191"/>
      <c r="D95" s="186"/>
      <c r="E95" s="192"/>
      <c r="F95" s="192"/>
      <c r="G95" s="189"/>
      <c r="H95" s="184"/>
      <c r="I95" s="210"/>
    </row>
    <row r="96" spans="1:9">
      <c r="A96" s="178"/>
      <c r="B96" s="228"/>
      <c r="C96" s="194"/>
      <c r="D96" s="195"/>
      <c r="E96" s="195"/>
      <c r="F96" s="196"/>
      <c r="G96" s="196"/>
      <c r="H96" s="197"/>
    </row>
    <row r="111" spans="6:6">
      <c r="F111" s="230"/>
    </row>
    <row r="112" spans="6:6">
      <c r="F112" s="230"/>
    </row>
    <row r="113" spans="6:6">
      <c r="F113" s="230"/>
    </row>
    <row r="114" spans="6:6">
      <c r="F114" s="230"/>
    </row>
    <row r="115" spans="6:6">
      <c r="F115" s="230"/>
    </row>
    <row r="116" spans="6:6">
      <c r="F116" s="230"/>
    </row>
    <row r="117" spans="6:6">
      <c r="F117" s="230"/>
    </row>
    <row r="118" spans="6:6">
      <c r="F118" s="230"/>
    </row>
    <row r="119" spans="6:6">
      <c r="F119" s="230"/>
    </row>
    <row r="120" spans="6:6">
      <c r="F120" s="230"/>
    </row>
  </sheetData>
  <mergeCells count="18">
    <mergeCell ref="F1:H1"/>
    <mergeCell ref="H4:H7"/>
    <mergeCell ref="B4:G4"/>
    <mergeCell ref="B5:G7"/>
    <mergeCell ref="B26:E26"/>
    <mergeCell ref="F26:H28"/>
    <mergeCell ref="B27:E27"/>
    <mergeCell ref="B28:E28"/>
    <mergeCell ref="B48:G48"/>
    <mergeCell ref="H48:H51"/>
    <mergeCell ref="B49:G51"/>
    <mergeCell ref="B29:G29"/>
    <mergeCell ref="H29:H32"/>
    <mergeCell ref="B30:G32"/>
    <mergeCell ref="B45:E45"/>
    <mergeCell ref="F45:H47"/>
    <mergeCell ref="B46:E46"/>
    <mergeCell ref="B47:E4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85"/>
  <dimension ref="B1:I144"/>
  <sheetViews>
    <sheetView workbookViewId="0"/>
  </sheetViews>
  <sheetFormatPr defaultColWidth="8.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8.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3"/>
    </row>
    <row r="4" spans="2:9" ht="12.75" customHeight="1">
      <c r="B4" s="695" t="s">
        <v>456</v>
      </c>
      <c r="C4" s="696"/>
      <c r="D4" s="696"/>
      <c r="E4" s="696"/>
      <c r="F4" s="696"/>
      <c r="G4" s="696"/>
      <c r="H4" s="773" t="str">
        <f>"CHAPTER "&amp;B10</f>
        <v>CHAPTER C11.5</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4"/>
      <c r="I5" s="8"/>
    </row>
    <row r="6" spans="2:9" ht="12.75" customHeight="1">
      <c r="B6" s="690"/>
      <c r="C6" s="691"/>
      <c r="D6" s="691"/>
      <c r="E6" s="691"/>
      <c r="F6" s="691"/>
      <c r="G6" s="691"/>
      <c r="H6" s="774"/>
      <c r="I6" s="8"/>
    </row>
    <row r="7" spans="2:9" s="9" customFormat="1" ht="7.5" customHeight="1">
      <c r="B7" s="692"/>
      <c r="C7" s="693"/>
      <c r="D7" s="693"/>
      <c r="E7" s="693"/>
      <c r="F7" s="693"/>
      <c r="G7" s="693"/>
      <c r="H7" s="775"/>
      <c r="I7" s="12"/>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 t="shared" ref="H9:H26" si="0">IF(D9="","",F9*G9)</f>
        <v/>
      </c>
      <c r="I9" s="18"/>
    </row>
    <row r="10" spans="2:9">
      <c r="B10" s="69" t="s">
        <v>1393</v>
      </c>
      <c r="C10" s="20" t="s">
        <v>1394</v>
      </c>
      <c r="D10" s="15"/>
      <c r="E10" s="15"/>
      <c r="F10" s="15"/>
      <c r="G10" s="16"/>
      <c r="H10" s="17"/>
      <c r="I10" s="18"/>
    </row>
    <row r="11" spans="2:9">
      <c r="B11" s="48"/>
      <c r="C11" s="14"/>
      <c r="D11" s="15"/>
      <c r="E11" s="15"/>
      <c r="F11" s="15"/>
      <c r="G11" s="16"/>
      <c r="H11" s="17"/>
      <c r="I11" s="18"/>
    </row>
    <row r="12" spans="2:9" ht="38.25">
      <c r="B12" s="48" t="s">
        <v>1395</v>
      </c>
      <c r="C12" s="14" t="s">
        <v>1396</v>
      </c>
      <c r="D12" s="15"/>
      <c r="E12" s="15"/>
      <c r="F12" s="15"/>
      <c r="G12" s="16"/>
      <c r="H12" s="17" t="str">
        <f t="shared" si="0"/>
        <v/>
      </c>
      <c r="I12" s="18"/>
    </row>
    <row r="13" spans="2:9">
      <c r="B13" s="48"/>
      <c r="C13" s="14"/>
      <c r="D13" s="15"/>
      <c r="E13" s="15"/>
      <c r="F13" s="15"/>
      <c r="G13" s="16"/>
      <c r="H13" s="17" t="str">
        <f t="shared" si="0"/>
        <v/>
      </c>
      <c r="I13" s="18"/>
    </row>
    <row r="14" spans="2:9">
      <c r="B14" s="48" t="s">
        <v>1397</v>
      </c>
      <c r="C14" s="14" t="s">
        <v>1398</v>
      </c>
      <c r="D14" s="15" t="s">
        <v>242</v>
      </c>
      <c r="E14" s="15"/>
      <c r="F14" s="15"/>
      <c r="G14" s="16"/>
      <c r="H14" s="17">
        <f t="shared" si="0"/>
        <v>0</v>
      </c>
      <c r="I14" s="18"/>
    </row>
    <row r="15" spans="2:9">
      <c r="B15" s="59"/>
      <c r="C15" s="14"/>
      <c r="D15" s="15"/>
      <c r="E15" s="15"/>
      <c r="F15" s="15"/>
      <c r="G15" s="16"/>
      <c r="H15" s="17" t="str">
        <f t="shared" si="0"/>
        <v/>
      </c>
      <c r="I15" s="18"/>
    </row>
    <row r="16" spans="2:9">
      <c r="B16" s="48" t="s">
        <v>1399</v>
      </c>
      <c r="C16" s="14" t="s">
        <v>1400</v>
      </c>
      <c r="D16" s="22" t="s">
        <v>242</v>
      </c>
      <c r="E16" s="22"/>
      <c r="F16" s="23"/>
      <c r="G16" s="24"/>
      <c r="H16" s="25">
        <f t="shared" si="0"/>
        <v>0</v>
      </c>
      <c r="I16" s="58"/>
    </row>
    <row r="17" spans="2:9">
      <c r="B17" s="59"/>
      <c r="C17" s="14"/>
      <c r="D17" s="15"/>
      <c r="E17" s="15"/>
      <c r="F17" s="26"/>
      <c r="G17" s="16"/>
      <c r="H17" s="25" t="str">
        <f t="shared" si="0"/>
        <v/>
      </c>
      <c r="I17" s="18"/>
    </row>
    <row r="18" spans="2:9">
      <c r="B18" s="48" t="s">
        <v>1401</v>
      </c>
      <c r="C18" s="14" t="s">
        <v>1402</v>
      </c>
      <c r="D18" s="22" t="s">
        <v>1403</v>
      </c>
      <c r="E18" s="15"/>
      <c r="F18" s="26"/>
      <c r="G18" s="60"/>
      <c r="H18" s="25">
        <f t="shared" si="0"/>
        <v>0</v>
      </c>
      <c r="I18" s="18"/>
    </row>
    <row r="19" spans="2:9">
      <c r="B19" s="59"/>
      <c r="C19" s="14"/>
      <c r="D19" s="15"/>
      <c r="E19" s="15"/>
      <c r="F19" s="26"/>
      <c r="G19" s="16"/>
      <c r="H19" s="25" t="str">
        <f t="shared" si="0"/>
        <v/>
      </c>
      <c r="I19" s="61"/>
    </row>
    <row r="20" spans="2:9">
      <c r="B20" s="48" t="s">
        <v>1404</v>
      </c>
      <c r="C20" s="100" t="s">
        <v>1405</v>
      </c>
      <c r="D20" s="22" t="s">
        <v>1403</v>
      </c>
      <c r="E20" s="62"/>
      <c r="F20" s="26"/>
      <c r="G20" s="63"/>
      <c r="H20" s="25">
        <f t="shared" si="0"/>
        <v>0</v>
      </c>
      <c r="I20" s="64"/>
    </row>
    <row r="21" spans="2:9">
      <c r="B21" s="59"/>
      <c r="C21" s="252"/>
      <c r="D21" s="62"/>
      <c r="E21" s="62"/>
      <c r="F21" s="26"/>
      <c r="G21" s="63"/>
      <c r="H21" s="25" t="str">
        <f t="shared" si="0"/>
        <v/>
      </c>
      <c r="I21" s="64"/>
    </row>
    <row r="22" spans="2:9">
      <c r="B22" s="48" t="s">
        <v>1406</v>
      </c>
      <c r="C22" s="50" t="s">
        <v>1407</v>
      </c>
      <c r="D22" s="22" t="s">
        <v>242</v>
      </c>
      <c r="E22" s="62"/>
      <c r="F22" s="26"/>
      <c r="G22" s="65"/>
      <c r="H22" s="25">
        <f t="shared" si="0"/>
        <v>0</v>
      </c>
      <c r="I22" s="64"/>
    </row>
    <row r="23" spans="2:9">
      <c r="B23" s="59"/>
      <c r="C23" s="252"/>
      <c r="D23" s="62"/>
      <c r="E23" s="62"/>
      <c r="F23" s="26"/>
      <c r="G23" s="63"/>
      <c r="H23" s="25" t="str">
        <f t="shared" si="0"/>
        <v/>
      </c>
      <c r="I23" s="64"/>
    </row>
    <row r="24" spans="2:9">
      <c r="B24" s="48" t="s">
        <v>1408</v>
      </c>
      <c r="C24" s="14" t="s">
        <v>1409</v>
      </c>
      <c r="D24" s="22" t="s">
        <v>1403</v>
      </c>
      <c r="E24" s="62"/>
      <c r="F24" s="26"/>
      <c r="G24" s="60"/>
      <c r="H24" s="25">
        <f t="shared" si="0"/>
        <v>0</v>
      </c>
      <c r="I24" s="64"/>
    </row>
    <row r="25" spans="2:9">
      <c r="B25" s="59"/>
      <c r="C25" s="14"/>
      <c r="D25" s="15"/>
      <c r="E25" s="62"/>
      <c r="F25" s="26"/>
      <c r="G25" s="63"/>
      <c r="H25" s="25" t="str">
        <f t="shared" si="0"/>
        <v/>
      </c>
      <c r="I25" s="64"/>
    </row>
    <row r="26" spans="2:9" ht="25.5">
      <c r="B26" s="48" t="s">
        <v>1410</v>
      </c>
      <c r="C26" s="100" t="s">
        <v>1411</v>
      </c>
      <c r="D26" s="22" t="s">
        <v>85</v>
      </c>
      <c r="E26" s="15"/>
      <c r="F26" s="26"/>
      <c r="G26" s="16"/>
      <c r="H26" s="25">
        <f t="shared" si="0"/>
        <v>0</v>
      </c>
      <c r="I26" s="18"/>
    </row>
    <row r="27" spans="2:9">
      <c r="B27" s="48"/>
      <c r="C27" s="100"/>
      <c r="D27" s="22"/>
      <c r="E27" s="15"/>
      <c r="F27" s="26"/>
      <c r="G27" s="16"/>
      <c r="H27" s="25"/>
      <c r="I27" s="18"/>
    </row>
    <row r="28" spans="2:9" ht="25.5">
      <c r="B28" s="48" t="s">
        <v>1412</v>
      </c>
      <c r="C28" s="100" t="s">
        <v>1413</v>
      </c>
      <c r="D28" s="22" t="s">
        <v>85</v>
      </c>
      <c r="E28" s="15"/>
      <c r="F28" s="26"/>
      <c r="G28" s="16"/>
      <c r="H28" s="25"/>
      <c r="I28" s="18"/>
    </row>
    <row r="29" spans="2:9">
      <c r="B29" s="59"/>
      <c r="C29" s="14"/>
      <c r="D29" s="15"/>
      <c r="E29" s="15"/>
      <c r="F29" s="26"/>
      <c r="G29" s="16"/>
      <c r="H29" s="25" t="str">
        <f t="shared" ref="H29:H56" si="1">IF(D29="","",F29*G29)</f>
        <v/>
      </c>
      <c r="I29" s="18"/>
    </row>
    <row r="30" spans="2:9">
      <c r="B30" s="48" t="s">
        <v>1414</v>
      </c>
      <c r="C30" s="14" t="s">
        <v>1415</v>
      </c>
      <c r="D30" s="22"/>
      <c r="E30" s="15"/>
      <c r="F30" s="26"/>
      <c r="G30" s="65"/>
      <c r="H30" s="25" t="str">
        <f t="shared" si="1"/>
        <v/>
      </c>
      <c r="I30" s="58"/>
    </row>
    <row r="31" spans="2:9">
      <c r="B31" s="59"/>
      <c r="C31" s="14"/>
      <c r="D31" s="15"/>
      <c r="E31" s="15"/>
      <c r="F31" s="26"/>
      <c r="G31" s="65"/>
      <c r="H31" s="25" t="str">
        <f t="shared" si="1"/>
        <v/>
      </c>
      <c r="I31" s="18"/>
    </row>
    <row r="32" spans="2:9">
      <c r="B32" s="48" t="s">
        <v>83</v>
      </c>
      <c r="C32" s="14" t="s">
        <v>1416</v>
      </c>
      <c r="D32" s="22"/>
      <c r="E32" s="15"/>
      <c r="F32" s="26"/>
      <c r="G32" s="60"/>
      <c r="H32" s="25" t="str">
        <f t="shared" si="1"/>
        <v/>
      </c>
      <c r="I32" s="18"/>
    </row>
    <row r="33" spans="2:9">
      <c r="B33" s="59"/>
      <c r="C33" s="14"/>
      <c r="D33" s="15"/>
      <c r="E33" s="15"/>
      <c r="F33" s="26"/>
      <c r="G33" s="27"/>
      <c r="H33" s="25" t="str">
        <f t="shared" si="1"/>
        <v/>
      </c>
      <c r="I33" s="18"/>
    </row>
    <row r="34" spans="2:9" ht="25.5">
      <c r="B34" s="48" t="s">
        <v>271</v>
      </c>
      <c r="C34" s="14" t="s">
        <v>1417</v>
      </c>
      <c r="D34" s="22" t="s">
        <v>85</v>
      </c>
      <c r="E34" s="15"/>
      <c r="F34" s="26"/>
      <c r="G34" s="27"/>
      <c r="H34" s="25">
        <f t="shared" si="1"/>
        <v>0</v>
      </c>
      <c r="I34" s="18"/>
    </row>
    <row r="35" spans="2:9">
      <c r="B35" s="59"/>
      <c r="C35" s="14"/>
      <c r="D35" s="15"/>
      <c r="E35" s="15"/>
      <c r="F35" s="26"/>
      <c r="G35" s="27"/>
      <c r="H35" s="25" t="str">
        <f t="shared" si="1"/>
        <v/>
      </c>
      <c r="I35" s="18"/>
    </row>
    <row r="36" spans="2:9" ht="25.5">
      <c r="B36" s="48" t="s">
        <v>273</v>
      </c>
      <c r="C36" s="100" t="s">
        <v>1418</v>
      </c>
      <c r="D36" s="22" t="s">
        <v>85</v>
      </c>
      <c r="E36" s="15"/>
      <c r="F36" s="26"/>
      <c r="G36" s="65"/>
      <c r="H36" s="25">
        <f t="shared" si="1"/>
        <v>0</v>
      </c>
      <c r="I36" s="58"/>
    </row>
    <row r="37" spans="2:9">
      <c r="B37" s="59"/>
      <c r="C37" s="14"/>
      <c r="D37" s="15"/>
      <c r="E37" s="15"/>
      <c r="F37" s="26"/>
      <c r="G37" s="27"/>
      <c r="H37" s="25" t="str">
        <f t="shared" si="1"/>
        <v/>
      </c>
      <c r="I37" s="18"/>
    </row>
    <row r="38" spans="2:9">
      <c r="B38" s="48" t="s">
        <v>86</v>
      </c>
      <c r="C38" s="14" t="s">
        <v>1419</v>
      </c>
      <c r="D38" s="22"/>
      <c r="E38" s="15"/>
      <c r="F38" s="26"/>
      <c r="G38" s="60"/>
      <c r="H38" s="25" t="str">
        <f t="shared" si="1"/>
        <v/>
      </c>
      <c r="I38" s="18"/>
    </row>
    <row r="39" spans="2:9">
      <c r="B39" s="59"/>
      <c r="C39" s="14"/>
      <c r="D39" s="15"/>
      <c r="E39" s="15"/>
      <c r="F39" s="15"/>
      <c r="G39" s="16"/>
      <c r="H39" s="25" t="str">
        <f t="shared" si="1"/>
        <v/>
      </c>
      <c r="I39" s="18"/>
    </row>
    <row r="40" spans="2:9" ht="25.5">
      <c r="B40" s="48" t="s">
        <v>271</v>
      </c>
      <c r="C40" s="14" t="s">
        <v>1420</v>
      </c>
      <c r="D40" s="22" t="s">
        <v>85</v>
      </c>
      <c r="E40" s="15"/>
      <c r="F40" s="15"/>
      <c r="G40" s="65"/>
      <c r="H40" s="25">
        <f t="shared" si="1"/>
        <v>0</v>
      </c>
      <c r="I40" s="18"/>
    </row>
    <row r="41" spans="2:9">
      <c r="B41" s="59"/>
      <c r="C41" s="14"/>
      <c r="D41" s="15"/>
      <c r="E41" s="15"/>
      <c r="F41" s="15"/>
      <c r="G41" s="65"/>
      <c r="H41" s="25" t="str">
        <f t="shared" si="1"/>
        <v/>
      </c>
      <c r="I41" s="18"/>
    </row>
    <row r="42" spans="2:9" ht="25.5">
      <c r="B42" s="48" t="s">
        <v>273</v>
      </c>
      <c r="C42" s="100" t="s">
        <v>1421</v>
      </c>
      <c r="D42" s="22" t="s">
        <v>85</v>
      </c>
      <c r="E42" s="15"/>
      <c r="F42" s="15"/>
      <c r="G42" s="65"/>
      <c r="H42" s="25">
        <f t="shared" si="1"/>
        <v>0</v>
      </c>
      <c r="I42" s="18"/>
    </row>
    <row r="43" spans="2:9">
      <c r="B43" s="59"/>
      <c r="C43" s="14"/>
      <c r="D43" s="15"/>
      <c r="E43" s="15"/>
      <c r="F43" s="15"/>
      <c r="G43" s="65"/>
      <c r="H43" s="25" t="str">
        <f t="shared" si="1"/>
        <v/>
      </c>
      <c r="I43" s="18"/>
    </row>
    <row r="44" spans="2:9" ht="25.5">
      <c r="B44" s="48" t="s">
        <v>1422</v>
      </c>
      <c r="C44" s="100" t="s">
        <v>1423</v>
      </c>
      <c r="D44" s="22" t="s">
        <v>85</v>
      </c>
      <c r="E44" s="15"/>
      <c r="F44" s="15"/>
      <c r="G44" s="66"/>
      <c r="H44" s="25">
        <f t="shared" si="1"/>
        <v>0</v>
      </c>
      <c r="I44" s="18"/>
    </row>
    <row r="45" spans="2:9">
      <c r="B45" s="59"/>
      <c r="C45" s="14"/>
      <c r="D45" s="15"/>
      <c r="E45" s="15"/>
      <c r="F45" s="15"/>
      <c r="G45" s="65"/>
      <c r="H45" s="25" t="str">
        <f t="shared" si="1"/>
        <v/>
      </c>
      <c r="I45" s="18"/>
    </row>
    <row r="46" spans="2:9">
      <c r="B46" s="48" t="s">
        <v>117</v>
      </c>
      <c r="C46" s="14" t="s">
        <v>1424</v>
      </c>
      <c r="D46" s="22"/>
      <c r="E46" s="15"/>
      <c r="F46" s="15"/>
      <c r="G46" s="65"/>
      <c r="H46" s="25" t="str">
        <f t="shared" si="1"/>
        <v/>
      </c>
      <c r="I46" s="18"/>
    </row>
    <row r="47" spans="2:9">
      <c r="B47" s="59"/>
      <c r="C47" s="14"/>
      <c r="D47" s="15"/>
      <c r="E47" s="15"/>
      <c r="F47" s="15"/>
      <c r="G47" s="65"/>
      <c r="H47" s="25" t="str">
        <f t="shared" si="1"/>
        <v/>
      </c>
      <c r="I47" s="18"/>
    </row>
    <row r="48" spans="2:9" ht="25.5">
      <c r="B48" s="48" t="s">
        <v>271</v>
      </c>
      <c r="C48" s="14" t="s">
        <v>1420</v>
      </c>
      <c r="D48" s="22" t="s">
        <v>85</v>
      </c>
      <c r="E48" s="62"/>
      <c r="F48" s="62"/>
      <c r="G48" s="65"/>
      <c r="H48" s="25">
        <f t="shared" si="1"/>
        <v>0</v>
      </c>
      <c r="I48" s="64"/>
    </row>
    <row r="49" spans="2:9">
      <c r="B49" s="59"/>
      <c r="C49" s="14"/>
      <c r="D49" s="15"/>
      <c r="E49" s="15"/>
      <c r="F49" s="15"/>
      <c r="G49" s="65"/>
      <c r="H49" s="25" t="str">
        <f t="shared" si="1"/>
        <v/>
      </c>
      <c r="I49" s="18"/>
    </row>
    <row r="50" spans="2:9" ht="25.5">
      <c r="B50" s="48" t="s">
        <v>273</v>
      </c>
      <c r="C50" s="100" t="s">
        <v>1421</v>
      </c>
      <c r="D50" s="22" t="s">
        <v>85</v>
      </c>
      <c r="E50" s="62"/>
      <c r="F50" s="62"/>
      <c r="G50" s="65"/>
      <c r="H50" s="25">
        <f t="shared" si="1"/>
        <v>0</v>
      </c>
      <c r="I50" s="67"/>
    </row>
    <row r="51" spans="2:9">
      <c r="B51" s="59"/>
      <c r="C51" s="14"/>
      <c r="D51" s="15"/>
      <c r="E51" s="62"/>
      <c r="F51" s="62"/>
      <c r="G51" s="65"/>
      <c r="H51" s="25" t="str">
        <f t="shared" si="1"/>
        <v/>
      </c>
      <c r="I51" s="64"/>
    </row>
    <row r="52" spans="2:9" ht="25.5">
      <c r="B52" s="48" t="s">
        <v>1422</v>
      </c>
      <c r="C52" s="100" t="s">
        <v>1423</v>
      </c>
      <c r="D52" s="22" t="s">
        <v>85</v>
      </c>
      <c r="E52" s="15"/>
      <c r="F52" s="15"/>
      <c r="G52" s="65"/>
      <c r="H52" s="25">
        <f t="shared" si="1"/>
        <v>0</v>
      </c>
      <c r="I52" s="18"/>
    </row>
    <row r="53" spans="2:9">
      <c r="B53" s="59"/>
      <c r="C53" s="14"/>
      <c r="D53" s="15"/>
      <c r="E53" s="15"/>
      <c r="F53" s="15"/>
      <c r="G53" s="65"/>
      <c r="H53" s="25" t="str">
        <f t="shared" si="1"/>
        <v/>
      </c>
      <c r="I53" s="18"/>
    </row>
    <row r="54" spans="2:9" ht="25.5">
      <c r="B54" s="84" t="s">
        <v>1425</v>
      </c>
      <c r="C54" s="14" t="s">
        <v>1426</v>
      </c>
      <c r="D54" s="22" t="s">
        <v>347</v>
      </c>
      <c r="E54" s="15"/>
      <c r="F54" s="15"/>
      <c r="G54" s="65"/>
      <c r="H54" s="25">
        <f t="shared" si="1"/>
        <v>0</v>
      </c>
      <c r="I54" s="18"/>
    </row>
    <row r="55" spans="2:9">
      <c r="B55" s="59"/>
      <c r="C55" s="14"/>
      <c r="D55" s="15"/>
      <c r="E55" s="15"/>
      <c r="F55" s="15"/>
      <c r="G55" s="65"/>
      <c r="H55" s="25" t="str">
        <f t="shared" si="1"/>
        <v/>
      </c>
      <c r="I55" s="18"/>
    </row>
    <row r="56" spans="2:9" ht="25.5">
      <c r="B56" s="59" t="s">
        <v>1427</v>
      </c>
      <c r="C56" s="14" t="s">
        <v>1428</v>
      </c>
      <c r="D56" s="22" t="s">
        <v>347</v>
      </c>
      <c r="E56" s="15"/>
      <c r="F56" s="15"/>
      <c r="G56" s="16"/>
      <c r="H56" s="25">
        <f t="shared" si="1"/>
        <v>0</v>
      </c>
      <c r="I56" s="18"/>
    </row>
    <row r="57" spans="2:9">
      <c r="B57" s="48"/>
      <c r="C57" s="14"/>
      <c r="D57" s="15"/>
      <c r="E57" s="15"/>
      <c r="F57" s="15"/>
      <c r="G57" s="16"/>
      <c r="H57" s="17" t="str">
        <f t="shared" ref="H57:H80" si="2">IF(D57="","",F57*G57)</f>
        <v/>
      </c>
    </row>
    <row r="58" spans="2:9">
      <c r="B58" s="48" t="s">
        <v>1429</v>
      </c>
      <c r="C58" s="14" t="s">
        <v>1430</v>
      </c>
      <c r="D58" s="15" t="s">
        <v>85</v>
      </c>
      <c r="E58" s="15"/>
      <c r="F58" s="15"/>
      <c r="G58" s="16"/>
      <c r="H58" s="17"/>
    </row>
    <row r="59" spans="2:9">
      <c r="B59" s="59"/>
      <c r="C59" s="14"/>
      <c r="D59" s="15"/>
      <c r="E59" s="15"/>
      <c r="F59" s="15"/>
      <c r="G59" s="16"/>
      <c r="H59" s="17" t="str">
        <f t="shared" si="2"/>
        <v/>
      </c>
    </row>
    <row r="60" spans="2:9">
      <c r="B60" s="84" t="s">
        <v>1431</v>
      </c>
      <c r="C60" s="14" t="s">
        <v>1432</v>
      </c>
      <c r="D60" s="22"/>
      <c r="E60" s="22"/>
      <c r="F60" s="23"/>
      <c r="G60" s="24"/>
      <c r="H60" s="25" t="str">
        <f t="shared" si="2"/>
        <v/>
      </c>
    </row>
    <row r="61" spans="2:9">
      <c r="B61" s="84"/>
      <c r="C61" s="14"/>
      <c r="D61" s="22"/>
      <c r="E61" s="22"/>
      <c r="F61" s="23"/>
      <c r="G61" s="24"/>
      <c r="H61" s="25"/>
    </row>
    <row r="62" spans="2:9">
      <c r="B62" s="84"/>
      <c r="C62" s="14"/>
      <c r="D62" s="22"/>
      <c r="E62" s="22"/>
      <c r="F62" s="23"/>
      <c r="G62" s="24"/>
      <c r="H62" s="25"/>
    </row>
    <row r="63" spans="2:9">
      <c r="B63" s="84"/>
      <c r="C63" s="14"/>
      <c r="D63" s="22"/>
      <c r="E63" s="22"/>
      <c r="F63" s="23"/>
      <c r="G63" s="24"/>
      <c r="H63" s="25"/>
    </row>
    <row r="64" spans="2:9">
      <c r="B64" s="59"/>
      <c r="C64" s="14"/>
      <c r="D64" s="15"/>
      <c r="E64" s="15"/>
      <c r="F64" s="26"/>
      <c r="G64" s="16"/>
      <c r="H64" s="25" t="str">
        <f t="shared" si="2"/>
        <v/>
      </c>
    </row>
    <row r="65" spans="2:9" s="28" customFormat="1" ht="19.5" customHeight="1">
      <c r="B65" s="101" t="str">
        <f>$B$10</f>
        <v>C11.5</v>
      </c>
      <c r="C65" s="29" t="s">
        <v>99</v>
      </c>
      <c r="D65" s="30"/>
      <c r="E65" s="30"/>
      <c r="F65" s="31"/>
      <c r="G65" s="30"/>
      <c r="H65" s="32">
        <f>SUM(H9:H64)</f>
        <v>0</v>
      </c>
      <c r="I65" s="33"/>
    </row>
    <row r="66" spans="2:9">
      <c r="B66" s="736" t="str">
        <f>Client1</f>
        <v>AIRPORTS COMPANY - SOUTH AFRICA</v>
      </c>
      <c r="C66" s="736"/>
      <c r="D66" s="736"/>
      <c r="E66" s="736"/>
      <c r="F66" s="737" t="str">
        <f>"Contract No. "&amp;ContractNo</f>
        <v>Contract No. KSIA7806/2025/RFP</v>
      </c>
      <c r="G66" s="737"/>
      <c r="H66" s="737"/>
    </row>
    <row r="67" spans="2:9">
      <c r="B67" s="736" t="str">
        <f>Client2</f>
        <v>ACSA</v>
      </c>
      <c r="C67" s="736"/>
      <c r="D67" s="736"/>
      <c r="E67" s="736"/>
      <c r="F67" s="737"/>
      <c r="G67" s="737"/>
      <c r="H67" s="737"/>
    </row>
    <row r="68" spans="2:9">
      <c r="B68" s="739"/>
      <c r="C68" s="739"/>
      <c r="D68" s="739"/>
      <c r="E68" s="739"/>
      <c r="F68" s="738"/>
      <c r="G68" s="738"/>
      <c r="H68" s="738"/>
    </row>
    <row r="69" spans="2:9">
      <c r="B69" s="695" t="s">
        <v>456</v>
      </c>
      <c r="C69" s="696"/>
      <c r="D69" s="696"/>
      <c r="E69" s="696"/>
      <c r="F69" s="696"/>
      <c r="G69" s="696"/>
      <c r="H69" s="740" t="str">
        <f>$H$4</f>
        <v>CHAPTER C11.5</v>
      </c>
      <c r="I69" s="6"/>
    </row>
    <row r="70" spans="2:9">
      <c r="B70" s="690" t="str">
        <f>ContractDescription</f>
        <v>PROCUREMENT OF A CIDB GRADE 9 CE CONTRACTOR THE COMPLETION OF BRAVO TAXIWAY EXTENSION AT KING SHAKA INTERNATIONAL AIRPORT FOR A PERIOD OF 12 MONTHS AT KING SHAKA INTERNATIONAL AIRPORT</v>
      </c>
      <c r="C70" s="691"/>
      <c r="D70" s="691"/>
      <c r="E70" s="691"/>
      <c r="F70" s="691"/>
      <c r="G70" s="691"/>
      <c r="H70" s="737"/>
      <c r="I70" s="8"/>
    </row>
    <row r="71" spans="2:9">
      <c r="B71" s="690"/>
      <c r="C71" s="691"/>
      <c r="D71" s="691"/>
      <c r="E71" s="691"/>
      <c r="F71" s="691"/>
      <c r="G71" s="691"/>
      <c r="H71" s="737"/>
      <c r="I71" s="8"/>
    </row>
    <row r="72" spans="2:9">
      <c r="B72" s="692"/>
      <c r="C72" s="693"/>
      <c r="D72" s="693"/>
      <c r="E72" s="693"/>
      <c r="F72" s="693"/>
      <c r="G72" s="693"/>
      <c r="H72" s="738"/>
      <c r="I72" s="8"/>
    </row>
    <row r="73" spans="2:9" s="9" customFormat="1" ht="24.95" customHeight="1">
      <c r="B73" s="70" t="s">
        <v>11</v>
      </c>
      <c r="C73" s="11" t="s">
        <v>12</v>
      </c>
      <c r="D73" s="11" t="s">
        <v>13</v>
      </c>
      <c r="E73" s="11" t="s">
        <v>14</v>
      </c>
      <c r="F73" s="11" t="s">
        <v>15</v>
      </c>
      <c r="G73" s="11" t="s">
        <v>16</v>
      </c>
      <c r="H73" s="11" t="s">
        <v>17</v>
      </c>
      <c r="I73" s="12"/>
    </row>
    <row r="74" spans="2:9" s="28" customFormat="1" ht="19.5" customHeight="1">
      <c r="B74" s="74"/>
      <c r="C74" s="29" t="s">
        <v>140</v>
      </c>
      <c r="D74" s="30"/>
      <c r="E74" s="30"/>
      <c r="F74" s="31"/>
      <c r="G74" s="30"/>
      <c r="H74" s="32">
        <f>H65</f>
        <v>0</v>
      </c>
      <c r="I74" s="33"/>
    </row>
    <row r="75" spans="2:9" ht="12" customHeight="1">
      <c r="B75" s="59"/>
      <c r="C75" s="14"/>
      <c r="D75" s="15"/>
      <c r="E75" s="15"/>
      <c r="F75" s="26"/>
      <c r="G75" s="16"/>
      <c r="H75" s="25"/>
    </row>
    <row r="76" spans="2:9">
      <c r="B76" s="59" t="s">
        <v>1433</v>
      </c>
      <c r="C76" s="14" t="s">
        <v>1434</v>
      </c>
      <c r="D76" s="22" t="s">
        <v>478</v>
      </c>
      <c r="E76" s="15"/>
      <c r="F76" s="26"/>
      <c r="G76" s="60"/>
      <c r="H76" s="25">
        <f t="shared" si="2"/>
        <v>0</v>
      </c>
    </row>
    <row r="77" spans="2:9" ht="12" customHeight="1">
      <c r="B77" s="59"/>
      <c r="C77" s="14"/>
      <c r="D77" s="15"/>
      <c r="E77" s="15"/>
      <c r="F77" s="26"/>
      <c r="G77" s="16"/>
      <c r="H77" s="25" t="str">
        <f t="shared" si="2"/>
        <v/>
      </c>
    </row>
    <row r="78" spans="2:9">
      <c r="B78" s="48" t="s">
        <v>83</v>
      </c>
      <c r="C78" s="100" t="s">
        <v>1435</v>
      </c>
      <c r="D78" s="22" t="s">
        <v>242</v>
      </c>
      <c r="E78" s="62"/>
      <c r="F78" s="26"/>
      <c r="G78" s="63"/>
      <c r="H78" s="25">
        <f t="shared" si="2"/>
        <v>0</v>
      </c>
    </row>
    <row r="79" spans="2:9" ht="12" customHeight="1">
      <c r="B79" s="48"/>
      <c r="C79" s="14"/>
      <c r="D79" s="15"/>
      <c r="E79" s="62"/>
      <c r="F79" s="26"/>
      <c r="G79" s="63"/>
      <c r="H79" s="25" t="str">
        <f t="shared" si="2"/>
        <v/>
      </c>
    </row>
    <row r="80" spans="2:9" s="5" customFormat="1">
      <c r="B80" s="59" t="s">
        <v>86</v>
      </c>
      <c r="C80" s="14" t="s">
        <v>1436</v>
      </c>
      <c r="D80" s="22" t="s">
        <v>242</v>
      </c>
      <c r="E80" s="62"/>
      <c r="F80" s="26"/>
      <c r="G80" s="65"/>
      <c r="H80" s="25">
        <f t="shared" si="2"/>
        <v>0</v>
      </c>
    </row>
    <row r="81" spans="2:8" s="5" customFormat="1" ht="12" customHeight="1">
      <c r="B81" s="59"/>
      <c r="C81" s="14"/>
      <c r="D81" s="22"/>
      <c r="E81" s="62"/>
      <c r="F81" s="26"/>
      <c r="G81" s="65"/>
      <c r="H81" s="25"/>
    </row>
    <row r="82" spans="2:8" s="5" customFormat="1">
      <c r="B82" s="59" t="s">
        <v>117</v>
      </c>
      <c r="C82" s="14" t="s">
        <v>1437</v>
      </c>
      <c r="D82" s="22"/>
      <c r="E82" s="62"/>
      <c r="F82" s="26"/>
      <c r="G82" s="65"/>
      <c r="H82" s="25"/>
    </row>
    <row r="83" spans="2:8" s="5" customFormat="1" ht="12" customHeight="1">
      <c r="B83" s="59"/>
      <c r="C83" s="14"/>
      <c r="D83" s="15"/>
      <c r="E83" s="62"/>
      <c r="F83" s="26"/>
      <c r="G83" s="63"/>
      <c r="H83" s="25" t="str">
        <f>IF(D83="","",F83*G83)</f>
        <v/>
      </c>
    </row>
    <row r="84" spans="2:8" s="5" customFormat="1">
      <c r="B84" s="59" t="s">
        <v>119</v>
      </c>
      <c r="C84" s="14" t="s">
        <v>1438</v>
      </c>
      <c r="D84" s="22" t="s">
        <v>242</v>
      </c>
      <c r="E84" s="62"/>
      <c r="F84" s="26"/>
      <c r="G84" s="60"/>
      <c r="H84" s="25">
        <f>IF(D84="","",F84*G84)</f>
        <v>0</v>
      </c>
    </row>
    <row r="85" spans="2:8" s="5" customFormat="1" ht="12" customHeight="1">
      <c r="B85" s="48"/>
      <c r="C85" s="14"/>
      <c r="D85" s="22"/>
      <c r="E85" s="62"/>
      <c r="F85" s="26"/>
      <c r="G85" s="60"/>
      <c r="H85" s="25"/>
    </row>
    <row r="86" spans="2:8" s="5" customFormat="1">
      <c r="B86" s="59" t="s">
        <v>306</v>
      </c>
      <c r="C86" s="14" t="s">
        <v>1439</v>
      </c>
      <c r="D86" s="22" t="s">
        <v>242</v>
      </c>
      <c r="E86" s="15"/>
      <c r="F86" s="26"/>
      <c r="G86" s="16"/>
      <c r="H86" s="25">
        <f t="shared" ref="H86:H126" si="3">IF(D86="","",F86*G86)</f>
        <v>0</v>
      </c>
    </row>
    <row r="87" spans="2:8" s="5" customFormat="1" ht="12" customHeight="1">
      <c r="B87" s="59"/>
      <c r="C87" s="14"/>
      <c r="D87" s="15"/>
      <c r="E87" s="15"/>
      <c r="F87" s="26"/>
      <c r="G87" s="16"/>
      <c r="H87" s="25" t="str">
        <f t="shared" si="3"/>
        <v/>
      </c>
    </row>
    <row r="88" spans="2:8" s="5" customFormat="1">
      <c r="B88" s="48" t="s">
        <v>1440</v>
      </c>
      <c r="C88" s="14" t="s">
        <v>1441</v>
      </c>
      <c r="D88" s="22" t="s">
        <v>85</v>
      </c>
      <c r="E88" s="15"/>
      <c r="F88" s="26"/>
      <c r="G88" s="65"/>
      <c r="H88" s="25">
        <f t="shared" si="3"/>
        <v>0</v>
      </c>
    </row>
    <row r="89" spans="2:8" s="5" customFormat="1" ht="12" customHeight="1">
      <c r="B89" s="59"/>
      <c r="C89" s="14"/>
      <c r="D89" s="15"/>
      <c r="E89" s="15"/>
      <c r="F89" s="26"/>
      <c r="G89" s="65"/>
      <c r="H89" s="25" t="str">
        <f t="shared" si="3"/>
        <v/>
      </c>
    </row>
    <row r="90" spans="2:8" s="5" customFormat="1">
      <c r="B90" s="48" t="s">
        <v>1442</v>
      </c>
      <c r="C90" s="14" t="s">
        <v>1443</v>
      </c>
      <c r="D90" s="22"/>
      <c r="E90" s="15"/>
      <c r="F90" s="26"/>
      <c r="G90" s="60"/>
      <c r="H90" s="25" t="str">
        <f t="shared" si="3"/>
        <v/>
      </c>
    </row>
    <row r="91" spans="2:8" s="5" customFormat="1" ht="12" customHeight="1">
      <c r="B91" s="59"/>
      <c r="C91" s="14"/>
      <c r="D91" s="15"/>
      <c r="E91" s="15"/>
      <c r="F91" s="26"/>
      <c r="G91" s="27"/>
      <c r="H91" s="25" t="str">
        <f t="shared" si="3"/>
        <v/>
      </c>
    </row>
    <row r="92" spans="2:8" s="5" customFormat="1">
      <c r="B92" s="48" t="s">
        <v>1444</v>
      </c>
      <c r="C92" s="14" t="s">
        <v>1434</v>
      </c>
      <c r="D92" s="22" t="s">
        <v>478</v>
      </c>
      <c r="E92" s="15"/>
      <c r="F92" s="26"/>
      <c r="G92" s="27"/>
      <c r="H92" s="25">
        <f t="shared" si="3"/>
        <v>0</v>
      </c>
    </row>
    <row r="93" spans="2:8" s="5" customFormat="1" ht="12" customHeight="1">
      <c r="B93" s="59"/>
      <c r="C93" s="14"/>
      <c r="D93" s="15"/>
      <c r="E93" s="15"/>
      <c r="F93" s="26"/>
      <c r="G93" s="27"/>
      <c r="H93" s="25" t="str">
        <f t="shared" si="3"/>
        <v/>
      </c>
    </row>
    <row r="94" spans="2:8" s="5" customFormat="1">
      <c r="B94" s="48" t="s">
        <v>83</v>
      </c>
      <c r="C94" s="100" t="s">
        <v>1435</v>
      </c>
      <c r="D94" s="22" t="s">
        <v>242</v>
      </c>
      <c r="E94" s="15"/>
      <c r="F94" s="26"/>
      <c r="G94" s="65"/>
      <c r="H94" s="25">
        <f t="shared" si="3"/>
        <v>0</v>
      </c>
    </row>
    <row r="95" spans="2:8" s="5" customFormat="1" ht="12" customHeight="1">
      <c r="B95" s="48"/>
      <c r="C95" s="14"/>
      <c r="D95" s="15"/>
      <c r="E95" s="15"/>
      <c r="F95" s="26"/>
      <c r="G95" s="27"/>
      <c r="H95" s="25" t="str">
        <f t="shared" si="3"/>
        <v/>
      </c>
    </row>
    <row r="96" spans="2:8" s="5" customFormat="1">
      <c r="B96" s="59" t="s">
        <v>86</v>
      </c>
      <c r="C96" s="14" t="s">
        <v>1436</v>
      </c>
      <c r="D96" s="22" t="s">
        <v>242</v>
      </c>
      <c r="E96" s="15"/>
      <c r="F96" s="26"/>
      <c r="G96" s="60"/>
      <c r="H96" s="25">
        <f t="shared" si="3"/>
        <v>0</v>
      </c>
    </row>
    <row r="97" spans="2:8" s="5" customFormat="1" ht="12" customHeight="1">
      <c r="B97" s="59"/>
      <c r="C97" s="14"/>
      <c r="D97" s="22"/>
      <c r="E97" s="15"/>
      <c r="F97" s="15"/>
      <c r="G97" s="16"/>
      <c r="H97" s="25" t="str">
        <f t="shared" si="3"/>
        <v/>
      </c>
    </row>
    <row r="98" spans="2:8" s="5" customFormat="1">
      <c r="B98" s="59" t="s">
        <v>117</v>
      </c>
      <c r="C98" s="14" t="s">
        <v>1437</v>
      </c>
      <c r="D98" s="22"/>
      <c r="E98" s="15"/>
      <c r="F98" s="15"/>
      <c r="G98" s="65"/>
      <c r="H98" s="25" t="str">
        <f t="shared" si="3"/>
        <v/>
      </c>
    </row>
    <row r="99" spans="2:8" s="5" customFormat="1" ht="12" customHeight="1">
      <c r="B99" s="59"/>
      <c r="C99" s="14"/>
      <c r="D99" s="15"/>
      <c r="E99" s="15"/>
      <c r="F99" s="15"/>
      <c r="G99" s="65"/>
      <c r="H99" s="25" t="str">
        <f t="shared" si="3"/>
        <v/>
      </c>
    </row>
    <row r="100" spans="2:8" s="5" customFormat="1">
      <c r="B100" s="59" t="s">
        <v>119</v>
      </c>
      <c r="C100" s="14" t="s">
        <v>1438</v>
      </c>
      <c r="D100" s="22" t="s">
        <v>242</v>
      </c>
      <c r="E100" s="15"/>
      <c r="F100" s="15"/>
      <c r="G100" s="65"/>
      <c r="H100" s="25">
        <f t="shared" si="3"/>
        <v>0</v>
      </c>
    </row>
    <row r="101" spans="2:8" s="5" customFormat="1" ht="12" customHeight="1">
      <c r="B101" s="48"/>
      <c r="C101" s="14"/>
      <c r="D101" s="22"/>
      <c r="E101" s="15"/>
      <c r="F101" s="15"/>
      <c r="G101" s="65"/>
      <c r="H101" s="25" t="str">
        <f t="shared" si="3"/>
        <v/>
      </c>
    </row>
    <row r="102" spans="2:8" s="5" customFormat="1">
      <c r="B102" s="59" t="s">
        <v>306</v>
      </c>
      <c r="C102" s="14" t="s">
        <v>1439</v>
      </c>
      <c r="D102" s="22" t="s">
        <v>242</v>
      </c>
      <c r="E102" s="15"/>
      <c r="F102" s="15"/>
      <c r="G102" s="66"/>
      <c r="H102" s="25">
        <f t="shared" si="3"/>
        <v>0</v>
      </c>
    </row>
    <row r="103" spans="2:8" s="5" customFormat="1" ht="12" customHeight="1">
      <c r="B103" s="59"/>
      <c r="C103" s="14"/>
      <c r="D103" s="15"/>
      <c r="E103" s="15"/>
      <c r="F103" s="15"/>
      <c r="G103" s="65"/>
      <c r="H103" s="25" t="str">
        <f t="shared" si="3"/>
        <v/>
      </c>
    </row>
    <row r="104" spans="2:8" s="5" customFormat="1">
      <c r="B104" s="48" t="s">
        <v>1445</v>
      </c>
      <c r="C104" s="14" t="s">
        <v>1446</v>
      </c>
      <c r="D104" s="22" t="s">
        <v>85</v>
      </c>
      <c r="E104" s="15"/>
      <c r="F104" s="15"/>
      <c r="G104" s="65"/>
      <c r="H104" s="25">
        <f t="shared" si="3"/>
        <v>0</v>
      </c>
    </row>
    <row r="105" spans="2:8" s="5" customFormat="1" ht="12" customHeight="1">
      <c r="B105" s="59"/>
      <c r="C105" s="252"/>
      <c r="D105" s="62"/>
      <c r="E105" s="15"/>
      <c r="F105" s="15"/>
      <c r="G105" s="65"/>
      <c r="H105" s="25" t="str">
        <f t="shared" si="3"/>
        <v/>
      </c>
    </row>
    <row r="106" spans="2:8" s="5" customFormat="1">
      <c r="B106" s="59" t="s">
        <v>1447</v>
      </c>
      <c r="C106" s="14" t="s">
        <v>1448</v>
      </c>
      <c r="D106" s="22" t="s">
        <v>85</v>
      </c>
      <c r="E106" s="62"/>
      <c r="F106" s="62"/>
      <c r="G106" s="65"/>
      <c r="H106" s="25">
        <f t="shared" si="3"/>
        <v>0</v>
      </c>
    </row>
    <row r="107" spans="2:8" s="5" customFormat="1" ht="12" customHeight="1">
      <c r="B107" s="59"/>
      <c r="C107" s="14"/>
      <c r="D107" s="15"/>
      <c r="E107" s="15"/>
      <c r="F107" s="15"/>
      <c r="G107" s="65"/>
      <c r="H107" s="25" t="str">
        <f t="shared" si="3"/>
        <v/>
      </c>
    </row>
    <row r="108" spans="2:8" s="5" customFormat="1">
      <c r="B108" s="84" t="s">
        <v>1449</v>
      </c>
      <c r="C108" s="14" t="s">
        <v>1450</v>
      </c>
      <c r="D108" s="22" t="s">
        <v>242</v>
      </c>
      <c r="E108" s="62"/>
      <c r="F108" s="62"/>
      <c r="G108" s="65"/>
      <c r="H108" s="25">
        <f t="shared" si="3"/>
        <v>0</v>
      </c>
    </row>
    <row r="109" spans="2:8" s="5" customFormat="1" ht="12" customHeight="1">
      <c r="B109" s="59"/>
      <c r="C109" s="252"/>
      <c r="D109" s="62"/>
      <c r="E109" s="62"/>
      <c r="F109" s="62"/>
      <c r="G109" s="65"/>
      <c r="H109" s="25" t="str">
        <f t="shared" si="3"/>
        <v/>
      </c>
    </row>
    <row r="110" spans="2:8" s="5" customFormat="1">
      <c r="B110" s="48" t="s">
        <v>1451</v>
      </c>
      <c r="C110" s="100" t="s">
        <v>1452</v>
      </c>
      <c r="D110" s="62" t="s">
        <v>242</v>
      </c>
      <c r="E110" s="15"/>
      <c r="F110" s="15"/>
      <c r="G110" s="65"/>
      <c r="H110" s="25">
        <f t="shared" si="3"/>
        <v>0</v>
      </c>
    </row>
    <row r="111" spans="2:8" s="5" customFormat="1" ht="12" customHeight="1">
      <c r="B111" s="59"/>
      <c r="C111" s="252"/>
      <c r="D111" s="62"/>
      <c r="E111" s="15"/>
      <c r="F111" s="15"/>
      <c r="G111" s="65"/>
      <c r="H111" s="25" t="str">
        <f t="shared" si="3"/>
        <v/>
      </c>
    </row>
    <row r="112" spans="2:8" s="5" customFormat="1">
      <c r="B112" s="59" t="s">
        <v>1453</v>
      </c>
      <c r="C112" s="14" t="s">
        <v>1454</v>
      </c>
      <c r="D112" s="22" t="s">
        <v>242</v>
      </c>
      <c r="E112" s="15"/>
      <c r="F112" s="15"/>
      <c r="G112" s="65"/>
      <c r="H112" s="25">
        <f t="shared" si="3"/>
        <v>0</v>
      </c>
    </row>
    <row r="113" spans="2:8" s="5" customFormat="1" ht="12" customHeight="1">
      <c r="B113" s="59"/>
      <c r="C113" s="14"/>
      <c r="D113" s="15"/>
      <c r="E113" s="15"/>
      <c r="F113" s="15"/>
      <c r="G113" s="65"/>
      <c r="H113" s="25" t="str">
        <f t="shared" si="3"/>
        <v/>
      </c>
    </row>
    <row r="114" spans="2:8" s="5" customFormat="1">
      <c r="B114" s="84" t="s">
        <v>1455</v>
      </c>
      <c r="C114" s="14" t="s">
        <v>1439</v>
      </c>
      <c r="D114" s="22" t="s">
        <v>242</v>
      </c>
      <c r="E114" s="15"/>
      <c r="F114" s="15"/>
      <c r="G114" s="16"/>
      <c r="H114" s="25">
        <f t="shared" si="3"/>
        <v>0</v>
      </c>
    </row>
    <row r="115" spans="2:8" s="5" customFormat="1" ht="12" customHeight="1">
      <c r="B115" s="48"/>
      <c r="C115" s="14"/>
      <c r="D115" s="15"/>
      <c r="E115" s="15"/>
      <c r="F115" s="15"/>
      <c r="G115" s="16"/>
      <c r="H115" s="17" t="str">
        <f t="shared" si="3"/>
        <v/>
      </c>
    </row>
    <row r="116" spans="2:8" s="5" customFormat="1">
      <c r="B116" s="48" t="s">
        <v>1456</v>
      </c>
      <c r="C116" s="100" t="s">
        <v>1457</v>
      </c>
      <c r="D116" s="15" t="s">
        <v>1458</v>
      </c>
      <c r="E116" s="15"/>
      <c r="F116" s="15"/>
      <c r="G116" s="16"/>
      <c r="H116" s="17">
        <f t="shared" si="3"/>
        <v>0</v>
      </c>
    </row>
    <row r="117" spans="2:8" s="5" customFormat="1" ht="12" customHeight="1">
      <c r="B117" s="48"/>
      <c r="C117" s="14"/>
      <c r="D117" s="15"/>
      <c r="E117" s="15"/>
      <c r="F117" s="15"/>
      <c r="G117" s="16"/>
      <c r="H117" s="17" t="str">
        <f t="shared" si="3"/>
        <v/>
      </c>
    </row>
    <row r="118" spans="2:8" s="5" customFormat="1">
      <c r="B118" s="59" t="s">
        <v>1459</v>
      </c>
      <c r="C118" s="14" t="s">
        <v>1460</v>
      </c>
      <c r="D118" s="22" t="s">
        <v>85</v>
      </c>
      <c r="E118" s="15"/>
      <c r="F118" s="15"/>
      <c r="G118" s="16"/>
      <c r="H118" s="17">
        <f t="shared" si="3"/>
        <v>0</v>
      </c>
    </row>
    <row r="119" spans="2:8" s="5" customFormat="1" ht="12" customHeight="1">
      <c r="B119" s="59"/>
      <c r="C119" s="14"/>
      <c r="D119" s="15"/>
      <c r="E119" s="15"/>
      <c r="F119" s="15"/>
      <c r="G119" s="16"/>
      <c r="H119" s="17" t="str">
        <f t="shared" si="3"/>
        <v/>
      </c>
    </row>
    <row r="120" spans="2:8" s="5" customFormat="1">
      <c r="B120" s="84" t="s">
        <v>1461</v>
      </c>
      <c r="C120" s="14" t="s">
        <v>1462</v>
      </c>
      <c r="D120" s="22" t="s">
        <v>85</v>
      </c>
      <c r="E120" s="22"/>
      <c r="F120" s="23"/>
      <c r="G120" s="24"/>
      <c r="H120" s="25">
        <f t="shared" si="3"/>
        <v>0</v>
      </c>
    </row>
    <row r="121" spans="2:8" s="5" customFormat="1" ht="12" customHeight="1">
      <c r="B121" s="59"/>
      <c r="C121" s="14"/>
      <c r="D121" s="15"/>
      <c r="E121" s="15"/>
      <c r="F121" s="26"/>
      <c r="G121" s="16"/>
      <c r="H121" s="25" t="str">
        <f t="shared" si="3"/>
        <v/>
      </c>
    </row>
    <row r="122" spans="2:8" s="5" customFormat="1" ht="25.5">
      <c r="B122" s="48" t="s">
        <v>1463</v>
      </c>
      <c r="C122" s="14" t="s">
        <v>1464</v>
      </c>
      <c r="D122" s="22"/>
      <c r="E122" s="15"/>
      <c r="F122" s="26"/>
      <c r="G122" s="60"/>
      <c r="H122" s="25" t="str">
        <f t="shared" si="3"/>
        <v/>
      </c>
    </row>
    <row r="123" spans="2:8" s="5" customFormat="1" ht="12" customHeight="1">
      <c r="B123" s="59"/>
      <c r="C123" s="14"/>
      <c r="D123" s="15"/>
      <c r="E123" s="15"/>
      <c r="F123" s="26"/>
      <c r="G123" s="16"/>
      <c r="H123" s="25" t="str">
        <f t="shared" si="3"/>
        <v/>
      </c>
    </row>
    <row r="124" spans="2:8" s="5" customFormat="1">
      <c r="B124" s="48" t="s">
        <v>1465</v>
      </c>
      <c r="C124" s="252" t="s">
        <v>1466</v>
      </c>
      <c r="D124" s="22" t="s">
        <v>347</v>
      </c>
      <c r="E124" s="62"/>
      <c r="F124" s="26"/>
      <c r="G124" s="63"/>
      <c r="H124" s="25">
        <f t="shared" si="3"/>
        <v>0</v>
      </c>
    </row>
    <row r="125" spans="2:8" s="5" customFormat="1" ht="12" customHeight="1">
      <c r="B125" s="48"/>
      <c r="C125" s="14"/>
      <c r="D125" s="15"/>
      <c r="E125" s="62"/>
      <c r="F125" s="26"/>
      <c r="G125" s="63"/>
      <c r="H125" s="25" t="str">
        <f t="shared" si="3"/>
        <v/>
      </c>
    </row>
    <row r="126" spans="2:8" s="5" customFormat="1" ht="25.5">
      <c r="B126" s="48" t="s">
        <v>1467</v>
      </c>
      <c r="C126" s="100" t="s">
        <v>1468</v>
      </c>
      <c r="D126" s="22" t="s">
        <v>347</v>
      </c>
      <c r="E126" s="62"/>
      <c r="F126" s="26"/>
      <c r="G126" s="65"/>
      <c r="H126" s="25">
        <f t="shared" si="3"/>
        <v>0</v>
      </c>
    </row>
    <row r="127" spans="2:8" s="5" customFormat="1" ht="12" customHeight="1">
      <c r="B127" s="48"/>
      <c r="C127" s="100"/>
      <c r="D127" s="22"/>
      <c r="E127" s="62"/>
      <c r="F127" s="26"/>
      <c r="G127" s="65"/>
      <c r="H127" s="25"/>
    </row>
    <row r="128" spans="2:8" s="5" customFormat="1">
      <c r="B128" s="48" t="s">
        <v>1469</v>
      </c>
      <c r="C128" s="100" t="s">
        <v>1470</v>
      </c>
      <c r="D128" s="22" t="s">
        <v>242</v>
      </c>
      <c r="E128" s="62"/>
      <c r="F128" s="26"/>
      <c r="G128" s="65"/>
      <c r="H128" s="25"/>
    </row>
    <row r="129" spans="2:9" s="5" customFormat="1" ht="12" customHeight="1">
      <c r="B129" s="59"/>
      <c r="C129" s="14"/>
      <c r="D129" s="15"/>
      <c r="E129" s="62"/>
      <c r="F129" s="26"/>
      <c r="G129" s="63"/>
      <c r="H129" s="25" t="str">
        <f t="shared" ref="H129:H143" si="4">IF(D129="","",F129*G129)</f>
        <v/>
      </c>
    </row>
    <row r="130" spans="2:9" s="5" customFormat="1">
      <c r="B130" s="48" t="s">
        <v>1471</v>
      </c>
      <c r="C130" s="14" t="s">
        <v>1472</v>
      </c>
      <c r="D130" s="22"/>
      <c r="E130" s="62"/>
      <c r="F130" s="26"/>
      <c r="G130" s="60"/>
      <c r="H130" s="25" t="str">
        <f t="shared" si="4"/>
        <v/>
      </c>
    </row>
    <row r="131" spans="2:9" s="5" customFormat="1" ht="12" customHeight="1">
      <c r="B131" s="59"/>
      <c r="C131" s="14"/>
      <c r="D131" s="15"/>
      <c r="E131" s="62"/>
      <c r="F131" s="26"/>
      <c r="G131" s="63"/>
      <c r="H131" s="25" t="str">
        <f t="shared" si="4"/>
        <v/>
      </c>
    </row>
    <row r="132" spans="2:9" s="5" customFormat="1">
      <c r="B132" s="48" t="s">
        <v>1473</v>
      </c>
      <c r="C132" s="14" t="s">
        <v>1474</v>
      </c>
      <c r="D132" s="22" t="s">
        <v>242</v>
      </c>
      <c r="E132" s="15"/>
      <c r="F132" s="26"/>
      <c r="G132" s="16"/>
      <c r="H132" s="25">
        <f t="shared" si="4"/>
        <v>0</v>
      </c>
    </row>
    <row r="133" spans="2:9" s="5" customFormat="1" ht="12" customHeight="1">
      <c r="B133" s="59"/>
      <c r="C133" s="14"/>
      <c r="D133" s="15"/>
      <c r="E133" s="15"/>
      <c r="F133" s="26"/>
      <c r="G133" s="16"/>
      <c r="H133" s="25" t="str">
        <f t="shared" si="4"/>
        <v/>
      </c>
    </row>
    <row r="134" spans="2:9" s="5" customFormat="1">
      <c r="B134" s="48" t="s">
        <v>1475</v>
      </c>
      <c r="C134" s="14" t="s">
        <v>1476</v>
      </c>
      <c r="D134" s="22" t="s">
        <v>242</v>
      </c>
      <c r="E134" s="15"/>
      <c r="F134" s="26"/>
      <c r="G134" s="65"/>
      <c r="H134" s="25">
        <f t="shared" si="4"/>
        <v>0</v>
      </c>
    </row>
    <row r="135" spans="2:9" s="5" customFormat="1" ht="12" customHeight="1">
      <c r="B135" s="59"/>
      <c r="C135" s="14"/>
      <c r="D135" s="15"/>
      <c r="E135" s="15"/>
      <c r="F135" s="26"/>
      <c r="G135" s="65"/>
      <c r="H135" s="25" t="str">
        <f t="shared" si="4"/>
        <v/>
      </c>
    </row>
    <row r="136" spans="2:9" s="5" customFormat="1">
      <c r="B136" s="48" t="s">
        <v>1477</v>
      </c>
      <c r="C136" s="14" t="s">
        <v>1476</v>
      </c>
      <c r="D136" s="22" t="s">
        <v>242</v>
      </c>
      <c r="E136" s="15"/>
      <c r="F136" s="26"/>
      <c r="G136" s="60"/>
      <c r="H136" s="25">
        <f t="shared" si="4"/>
        <v>0</v>
      </c>
    </row>
    <row r="137" spans="2:9" s="5" customFormat="1" ht="12" customHeight="1">
      <c r="B137" s="59"/>
      <c r="C137" s="14"/>
      <c r="D137" s="15"/>
      <c r="E137" s="15"/>
      <c r="F137" s="26"/>
      <c r="G137" s="27"/>
      <c r="H137" s="25" t="str">
        <f t="shared" si="4"/>
        <v/>
      </c>
    </row>
    <row r="138" spans="2:9" s="5" customFormat="1">
      <c r="B138" s="48" t="s">
        <v>1478</v>
      </c>
      <c r="C138" s="14" t="s">
        <v>1476</v>
      </c>
      <c r="D138" s="22" t="s">
        <v>242</v>
      </c>
      <c r="E138" s="15"/>
      <c r="F138" s="26"/>
      <c r="G138" s="27"/>
      <c r="H138" s="25">
        <f t="shared" si="4"/>
        <v>0</v>
      </c>
    </row>
    <row r="139" spans="2:9" s="5" customFormat="1" ht="12" customHeight="1">
      <c r="B139" s="59"/>
      <c r="C139" s="14"/>
      <c r="D139" s="15"/>
      <c r="E139" s="15"/>
      <c r="F139" s="26"/>
      <c r="G139" s="27"/>
      <c r="H139" s="25" t="str">
        <f t="shared" si="4"/>
        <v/>
      </c>
    </row>
    <row r="140" spans="2:9" s="5" customFormat="1">
      <c r="B140" s="48" t="s">
        <v>1479</v>
      </c>
      <c r="C140" s="14" t="s">
        <v>1476</v>
      </c>
      <c r="D140" s="22" t="s">
        <v>242</v>
      </c>
      <c r="E140" s="15"/>
      <c r="F140" s="26"/>
      <c r="G140" s="65"/>
      <c r="H140" s="25">
        <f t="shared" si="4"/>
        <v>0</v>
      </c>
    </row>
    <row r="141" spans="2:9" s="5" customFormat="1" ht="12" customHeight="1">
      <c r="B141" s="59"/>
      <c r="C141" s="14"/>
      <c r="D141" s="15"/>
      <c r="E141" s="15"/>
      <c r="F141" s="26"/>
      <c r="G141" s="27"/>
      <c r="H141" s="25" t="str">
        <f t="shared" si="4"/>
        <v/>
      </c>
    </row>
    <row r="142" spans="2:9" s="5" customFormat="1">
      <c r="B142" s="48" t="s">
        <v>1480</v>
      </c>
      <c r="C142" s="14" t="s">
        <v>1481</v>
      </c>
      <c r="D142" s="22" t="s">
        <v>85</v>
      </c>
      <c r="E142" s="15"/>
      <c r="F142" s="26"/>
      <c r="G142" s="60"/>
      <c r="H142" s="25">
        <f t="shared" si="4"/>
        <v>0</v>
      </c>
    </row>
    <row r="143" spans="2:9" s="5" customFormat="1" ht="12" customHeight="1">
      <c r="B143" s="59"/>
      <c r="C143" s="14"/>
      <c r="D143" s="15"/>
      <c r="E143" s="15"/>
      <c r="F143" s="15"/>
      <c r="G143" s="16"/>
      <c r="H143" s="25" t="str">
        <f t="shared" si="4"/>
        <v/>
      </c>
    </row>
    <row r="144" spans="2:9" s="28" customFormat="1" ht="24.75" customHeight="1">
      <c r="B144" s="82" t="str">
        <f>$B$10</f>
        <v>C11.5</v>
      </c>
      <c r="C144" s="29" t="s">
        <v>125</v>
      </c>
      <c r="D144" s="30"/>
      <c r="E144" s="30"/>
      <c r="F144" s="31"/>
      <c r="G144" s="30"/>
      <c r="H144" s="32">
        <f>SUM(H74:H143)</f>
        <v>0</v>
      </c>
      <c r="I144" s="33"/>
    </row>
  </sheetData>
  <mergeCells count="11">
    <mergeCell ref="B69:G69"/>
    <mergeCell ref="H69:H72"/>
    <mergeCell ref="B70:G72"/>
    <mergeCell ref="F1:H1"/>
    <mergeCell ref="H4:H7"/>
    <mergeCell ref="B4:G4"/>
    <mergeCell ref="B5:G7"/>
    <mergeCell ref="B66:E66"/>
    <mergeCell ref="F66:H68"/>
    <mergeCell ref="B67:E67"/>
    <mergeCell ref="B68:E68"/>
  </mergeCells>
  <pageMargins left="0.43307086614173229" right="0.31496062992125984" top="0.43307086614173229" bottom="0.62992125984251968" header="0.35433070866141736" footer="0.31496062992125984"/>
  <pageSetup paperSize="9" scale="70"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rowBreaks count="1" manualBreakCount="1">
    <brk id="6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sheetPr>
  <dimension ref="B1:K128"/>
  <sheetViews>
    <sheetView view="pageBreakPreview" topLeftCell="A50" zoomScaleNormal="100" zoomScaleSheetLayoutView="100" workbookViewId="0">
      <selection activeCell="AL103" sqref="AL103"/>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7" width="15.7109375" style="398" customWidth="1"/>
    <col min="8" max="8" width="18.7109375" style="399" customWidth="1"/>
    <col min="9" max="9" width="0" style="3" hidden="1" customWidth="1"/>
    <col min="10" max="10" width="11.140625" style="3" hidden="1" customWidth="1"/>
    <col min="11" max="11" width="25.5703125" style="3" hidden="1" customWidth="1"/>
    <col min="12" max="36" width="0" style="3" hidden="1" customWidth="1"/>
    <col min="37" max="16384" width="6.85546875" style="3"/>
  </cols>
  <sheetData>
    <row r="1" spans="2:8" ht="19.5" customHeight="1">
      <c r="B1" s="2" t="str">
        <f>Client1</f>
        <v>AIRPORTS COMPANY - SOUTH AFRICA</v>
      </c>
      <c r="F1" s="676" t="str">
        <f>"Contract No. "&amp;ContractNo</f>
        <v>Contract No. KSIA7806/2025/RFP</v>
      </c>
      <c r="G1" s="676"/>
      <c r="H1" s="676"/>
    </row>
    <row r="2" spans="2:8">
      <c r="B2" s="2" t="str">
        <f>Client2</f>
        <v>ACSA</v>
      </c>
    </row>
    <row r="3" spans="2:8">
      <c r="B3" s="71"/>
      <c r="C3" s="71"/>
      <c r="D3" s="71"/>
      <c r="E3" s="71"/>
      <c r="F3" s="400"/>
      <c r="G3" s="400"/>
      <c r="H3" s="401"/>
    </row>
    <row r="4" spans="2:8">
      <c r="B4" s="695" t="s">
        <v>10</v>
      </c>
      <c r="C4" s="696"/>
      <c r="D4" s="696"/>
      <c r="E4" s="696"/>
      <c r="F4" s="696"/>
      <c r="G4" s="696"/>
      <c r="H4" s="684" t="str">
        <f>"CHAPTER "&amp;B10</f>
        <v>CHAPTER C1.4</v>
      </c>
    </row>
    <row r="5" spans="2:8"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row>
    <row r="6" spans="2:8" ht="20.25" customHeight="1">
      <c r="B6" s="690"/>
      <c r="C6" s="691"/>
      <c r="D6" s="691"/>
      <c r="E6" s="691"/>
      <c r="F6" s="691"/>
      <c r="G6" s="691"/>
      <c r="H6" s="694"/>
    </row>
    <row r="7" spans="2:8" ht="7.5" customHeight="1">
      <c r="B7" s="692"/>
      <c r="C7" s="693"/>
      <c r="D7" s="693"/>
      <c r="E7" s="693"/>
      <c r="F7" s="693"/>
      <c r="G7" s="693"/>
      <c r="H7" s="686"/>
    </row>
    <row r="8" spans="2:8" s="2" customFormat="1" ht="24.95" customHeight="1">
      <c r="B8" s="282" t="s">
        <v>11</v>
      </c>
      <c r="C8" s="280" t="s">
        <v>12</v>
      </c>
      <c r="D8" s="280" t="s">
        <v>13</v>
      </c>
      <c r="E8" s="280" t="s">
        <v>14</v>
      </c>
      <c r="F8" s="409" t="s">
        <v>15</v>
      </c>
      <c r="G8" s="409" t="s">
        <v>16</v>
      </c>
      <c r="H8" s="364" t="s">
        <v>17</v>
      </c>
    </row>
    <row r="9" spans="2:8">
      <c r="B9" s="13"/>
      <c r="C9" s="14"/>
      <c r="D9" s="14"/>
      <c r="E9" s="14"/>
      <c r="F9" s="410"/>
      <c r="G9" s="410"/>
      <c r="H9" s="363" t="str">
        <f t="shared" ref="H9" si="0">IF(D9="","",F9*G9)</f>
        <v/>
      </c>
    </row>
    <row r="10" spans="2:8">
      <c r="B10" s="19" t="s">
        <v>126</v>
      </c>
      <c r="C10" s="20" t="s">
        <v>127</v>
      </c>
      <c r="D10" s="14"/>
      <c r="E10" s="14"/>
      <c r="F10" s="410"/>
      <c r="G10" s="410"/>
      <c r="H10" s="363" t="s">
        <v>128</v>
      </c>
    </row>
    <row r="11" spans="2:8">
      <c r="B11" s="19"/>
      <c r="C11" s="20"/>
      <c r="D11" s="14"/>
      <c r="E11" s="14"/>
      <c r="F11" s="410"/>
      <c r="G11" s="410"/>
      <c r="H11" s="363"/>
    </row>
    <row r="12" spans="2:8" ht="51">
      <c r="B12" s="19"/>
      <c r="C12" s="20" t="s">
        <v>20</v>
      </c>
      <c r="D12" s="14"/>
      <c r="E12" s="14"/>
      <c r="F12" s="410"/>
      <c r="G12" s="410"/>
      <c r="H12" s="363"/>
    </row>
    <row r="13" spans="2:8">
      <c r="B13" s="19"/>
      <c r="C13" s="20"/>
      <c r="D13" s="14"/>
      <c r="E13" s="14"/>
      <c r="F13" s="410"/>
      <c r="G13" s="410"/>
      <c r="H13" s="363"/>
    </row>
    <row r="14" spans="2:8">
      <c r="B14" s="13"/>
      <c r="C14" s="14"/>
      <c r="D14" s="14"/>
      <c r="E14" s="14"/>
      <c r="F14" s="410"/>
      <c r="G14" s="410"/>
      <c r="H14" s="363" t="s">
        <v>128</v>
      </c>
    </row>
    <row r="15" spans="2:8">
      <c r="B15" s="13" t="s">
        <v>129</v>
      </c>
      <c r="C15" s="14" t="s">
        <v>130</v>
      </c>
      <c r="D15" s="14"/>
      <c r="E15" s="14"/>
      <c r="F15" s="410"/>
      <c r="G15" s="586"/>
      <c r="H15" s="363" t="s">
        <v>128</v>
      </c>
    </row>
    <row r="16" spans="2:8">
      <c r="B16" s="13"/>
      <c r="C16" s="14"/>
      <c r="D16" s="14"/>
      <c r="E16" s="14"/>
      <c r="F16" s="410"/>
      <c r="G16" s="586"/>
      <c r="H16" s="363" t="s">
        <v>128</v>
      </c>
    </row>
    <row r="17" spans="2:11" ht="14.25">
      <c r="B17" s="13" t="s">
        <v>131</v>
      </c>
      <c r="C17" s="14" t="s">
        <v>132</v>
      </c>
      <c r="D17" s="14" t="s">
        <v>124</v>
      </c>
      <c r="E17" s="14"/>
      <c r="F17" s="410">
        <v>125</v>
      </c>
      <c r="G17" s="588"/>
      <c r="H17" s="363">
        <f t="shared" ref="H17" si="1">IF(D17="","",F17*G17)</f>
        <v>0</v>
      </c>
      <c r="K17" s="3" t="s">
        <v>133</v>
      </c>
    </row>
    <row r="18" spans="2:11">
      <c r="B18" s="13"/>
      <c r="C18" s="14"/>
      <c r="D18" s="14"/>
      <c r="E18" s="14"/>
      <c r="F18" s="410"/>
      <c r="G18" s="589"/>
      <c r="H18" s="363" t="str">
        <f>IF(D18="","",#REF!*#REF!)</f>
        <v/>
      </c>
    </row>
    <row r="19" spans="2:11">
      <c r="B19" s="13" t="s">
        <v>134</v>
      </c>
      <c r="C19" s="14" t="s">
        <v>135</v>
      </c>
      <c r="D19" s="14" t="s">
        <v>85</v>
      </c>
      <c r="E19" s="14"/>
      <c r="F19" s="410">
        <v>3</v>
      </c>
      <c r="G19" s="589"/>
      <c r="H19" s="363">
        <f>G19*F19</f>
        <v>0</v>
      </c>
    </row>
    <row r="20" spans="2:11">
      <c r="B20" s="13"/>
      <c r="C20" s="14"/>
      <c r="D20" s="14"/>
      <c r="E20" s="14"/>
      <c r="F20" s="410"/>
      <c r="G20" s="589"/>
      <c r="H20" s="363"/>
    </row>
    <row r="21" spans="2:11">
      <c r="B21" s="13" t="s">
        <v>136</v>
      </c>
      <c r="C21" s="14" t="s">
        <v>137</v>
      </c>
      <c r="D21" s="14" t="s">
        <v>85</v>
      </c>
      <c r="E21" s="14"/>
      <c r="F21" s="410">
        <v>3</v>
      </c>
      <c r="G21" s="590"/>
      <c r="H21" s="363">
        <f>IF(D21="","",F21*G21)</f>
        <v>0</v>
      </c>
    </row>
    <row r="22" spans="2:11">
      <c r="B22" s="13"/>
      <c r="C22" s="14"/>
      <c r="D22" s="14"/>
      <c r="E22" s="14"/>
      <c r="F22" s="410"/>
      <c r="G22" s="590"/>
      <c r="H22" s="363"/>
    </row>
    <row r="23" spans="2:11">
      <c r="B23" s="13" t="s">
        <v>138</v>
      </c>
      <c r="C23" s="14" t="s">
        <v>139</v>
      </c>
      <c r="D23" s="14" t="s">
        <v>85</v>
      </c>
      <c r="E23" s="14"/>
      <c r="F23" s="410">
        <v>1</v>
      </c>
      <c r="G23" s="590"/>
      <c r="H23" s="363">
        <f>G23*F23</f>
        <v>0</v>
      </c>
    </row>
    <row r="24" spans="2:11" s="2" customFormat="1" ht="20.100000000000001" hidden="1" customHeight="1">
      <c r="B24" s="411" t="str">
        <f>$B$10</f>
        <v>C1.4</v>
      </c>
      <c r="C24" s="276" t="s">
        <v>99</v>
      </c>
      <c r="D24" s="287"/>
      <c r="E24" s="287"/>
      <c r="F24" s="412"/>
      <c r="G24" s="412"/>
      <c r="H24" s="364">
        <f>SUM(H9:H23)</f>
        <v>0</v>
      </c>
    </row>
    <row r="25" spans="2:11" s="2" customFormat="1" ht="11.25" hidden="1" customHeight="1">
      <c r="B25" s="118"/>
      <c r="D25" s="118"/>
      <c r="E25" s="118"/>
      <c r="F25" s="413"/>
      <c r="G25" s="413"/>
      <c r="H25" s="374"/>
    </row>
    <row r="26" spans="2:11" hidden="1">
      <c r="B26" s="697" t="str">
        <f>Client1</f>
        <v>AIRPORTS COMPANY - SOUTH AFRICA</v>
      </c>
      <c r="C26" s="697"/>
      <c r="D26" s="697"/>
      <c r="E26" s="697"/>
      <c r="F26" s="676" t="str">
        <f>"Contract No. "&amp;ContractNo</f>
        <v>Contract No. KSIA7806/2025/RFP</v>
      </c>
      <c r="G26" s="698"/>
      <c r="H26" s="676"/>
    </row>
    <row r="27" spans="2:11" hidden="1">
      <c r="B27" s="697" t="str">
        <f>Client2</f>
        <v>ACSA</v>
      </c>
      <c r="C27" s="697"/>
      <c r="D27" s="697"/>
      <c r="E27" s="697"/>
      <c r="F27" s="676"/>
      <c r="G27" s="698"/>
      <c r="H27" s="676"/>
    </row>
    <row r="28" spans="2:11" hidden="1">
      <c r="B28" s="700"/>
      <c r="C28" s="700"/>
      <c r="D28" s="700"/>
      <c r="E28" s="700"/>
      <c r="F28" s="677"/>
      <c r="G28" s="699"/>
      <c r="H28" s="677"/>
    </row>
    <row r="29" spans="2:11" hidden="1">
      <c r="B29" s="695" t="s">
        <v>10</v>
      </c>
      <c r="C29" s="696"/>
      <c r="D29" s="696"/>
      <c r="E29" s="696"/>
      <c r="F29" s="696"/>
      <c r="G29" s="703"/>
      <c r="H29" s="684" t="str">
        <f>H4</f>
        <v>CHAPTER C1.4</v>
      </c>
    </row>
    <row r="30" spans="2:11" hidden="1">
      <c r="B30" s="690" t="str">
        <f>ContractDescription</f>
        <v>PROCUREMENT OF A CIDB GRADE 9 CE CONTRACTOR THE COMPLETION OF BRAVO TAXIWAY EXTENSION AT KING SHAKA INTERNATIONAL AIRPORT FOR A PERIOD OF 12 MONTHS AT KING SHAKA INTERNATIONAL AIRPORT</v>
      </c>
      <c r="C30" s="691"/>
      <c r="D30" s="691"/>
      <c r="E30" s="691"/>
      <c r="F30" s="691"/>
      <c r="G30" s="704"/>
      <c r="H30" s="694"/>
    </row>
    <row r="31" spans="2:11" hidden="1">
      <c r="B31" s="690"/>
      <c r="C31" s="691"/>
      <c r="D31" s="691"/>
      <c r="E31" s="691"/>
      <c r="F31" s="691"/>
      <c r="G31" s="704"/>
      <c r="H31" s="694"/>
    </row>
    <row r="32" spans="2:11" hidden="1">
      <c r="B32" s="692"/>
      <c r="C32" s="693"/>
      <c r="D32" s="693"/>
      <c r="E32" s="693"/>
      <c r="F32" s="693"/>
      <c r="G32" s="705"/>
      <c r="H32" s="686"/>
    </row>
    <row r="33" spans="2:8" s="2" customFormat="1" ht="24.95" hidden="1" customHeight="1">
      <c r="B33" s="282" t="s">
        <v>11</v>
      </c>
      <c r="C33" s="280" t="s">
        <v>12</v>
      </c>
      <c r="D33" s="280" t="s">
        <v>13</v>
      </c>
      <c r="E33" s="280" t="s">
        <v>14</v>
      </c>
      <c r="F33" s="409" t="s">
        <v>15</v>
      </c>
      <c r="G33" s="409" t="s">
        <v>16</v>
      </c>
      <c r="H33" s="364" t="s">
        <v>17</v>
      </c>
    </row>
    <row r="34" spans="2:8" s="2" customFormat="1" ht="20.100000000000001" hidden="1" customHeight="1">
      <c r="B34" s="411"/>
      <c r="C34" s="276" t="s">
        <v>140</v>
      </c>
      <c r="D34" s="287"/>
      <c r="E34" s="287"/>
      <c r="F34" s="412"/>
      <c r="G34" s="412"/>
      <c r="H34" s="364">
        <f>H24</f>
        <v>0</v>
      </c>
    </row>
    <row r="35" spans="2:8" s="2" customFormat="1">
      <c r="B35" s="584"/>
      <c r="D35" s="118"/>
      <c r="E35" s="118"/>
      <c r="F35" s="413"/>
      <c r="G35" s="413"/>
      <c r="H35" s="368"/>
    </row>
    <row r="36" spans="2:8">
      <c r="B36" s="13" t="s">
        <v>141</v>
      </c>
      <c r="C36" s="14" t="s">
        <v>142</v>
      </c>
      <c r="D36" s="14"/>
      <c r="E36" s="14"/>
      <c r="F36" s="410"/>
      <c r="G36" s="351"/>
      <c r="H36" s="363"/>
    </row>
    <row r="37" spans="2:8" ht="9.75" customHeight="1">
      <c r="B37" s="13"/>
      <c r="C37" s="14"/>
      <c r="D37" s="14"/>
      <c r="E37" s="14"/>
      <c r="F37" s="410"/>
      <c r="G37" s="351"/>
      <c r="H37" s="363"/>
    </row>
    <row r="38" spans="2:8">
      <c r="B38" s="13" t="s">
        <v>143</v>
      </c>
      <c r="C38" s="14" t="s">
        <v>144</v>
      </c>
      <c r="D38" s="14" t="s">
        <v>145</v>
      </c>
      <c r="E38" s="14"/>
      <c r="F38" s="410">
        <v>6</v>
      </c>
      <c r="G38" s="587"/>
      <c r="H38" s="363">
        <f>G38*F38</f>
        <v>0</v>
      </c>
    </row>
    <row r="39" spans="2:8" ht="7.5" customHeight="1">
      <c r="B39" s="13"/>
      <c r="C39" s="14"/>
      <c r="D39" s="14"/>
      <c r="E39" s="14"/>
      <c r="F39" s="410"/>
      <c r="G39" s="587"/>
      <c r="H39" s="363"/>
    </row>
    <row r="40" spans="2:8">
      <c r="B40" s="13" t="s">
        <v>146</v>
      </c>
      <c r="C40" s="14" t="s">
        <v>147</v>
      </c>
      <c r="D40" s="14" t="s">
        <v>145</v>
      </c>
      <c r="E40" s="14"/>
      <c r="F40" s="410">
        <v>3</v>
      </c>
      <c r="G40" s="587"/>
      <c r="H40" s="363">
        <f>G40*F40</f>
        <v>0</v>
      </c>
    </row>
    <row r="41" spans="2:8" ht="7.5" customHeight="1">
      <c r="B41" s="13"/>
      <c r="C41" s="14"/>
      <c r="D41" s="14"/>
      <c r="E41" s="14"/>
      <c r="F41" s="410"/>
      <c r="G41" s="587"/>
      <c r="H41" s="363"/>
    </row>
    <row r="42" spans="2:8">
      <c r="B42" s="13" t="s">
        <v>148</v>
      </c>
      <c r="C42" s="14" t="s">
        <v>149</v>
      </c>
      <c r="D42" s="14"/>
      <c r="E42" s="14"/>
      <c r="F42" s="410"/>
      <c r="G42" s="588"/>
      <c r="H42" s="363" t="s">
        <v>128</v>
      </c>
    </row>
    <row r="43" spans="2:8" ht="9" customHeight="1">
      <c r="B43" s="13"/>
      <c r="C43" s="14"/>
      <c r="D43" s="14"/>
      <c r="E43" s="14"/>
      <c r="F43" s="410"/>
      <c r="G43" s="588"/>
      <c r="H43" s="363" t="s">
        <v>128</v>
      </c>
    </row>
    <row r="44" spans="2:8">
      <c r="B44" s="13" t="s">
        <v>150</v>
      </c>
      <c r="C44" s="14" t="s">
        <v>151</v>
      </c>
      <c r="D44" s="14" t="s">
        <v>85</v>
      </c>
      <c r="E44" s="14"/>
      <c r="F44" s="410">
        <v>4</v>
      </c>
      <c r="G44" s="588"/>
      <c r="H44" s="363">
        <f t="shared" ref="H44:H68" si="2">IF(D44="","",F44*G44)</f>
        <v>0</v>
      </c>
    </row>
    <row r="45" spans="2:8" ht="9" customHeight="1">
      <c r="B45" s="13"/>
      <c r="C45" s="14"/>
      <c r="D45" s="14"/>
      <c r="E45" s="14"/>
      <c r="F45" s="410"/>
      <c r="G45" s="588"/>
      <c r="H45" s="363" t="str">
        <f t="shared" si="2"/>
        <v/>
      </c>
    </row>
    <row r="46" spans="2:8">
      <c r="B46" s="13" t="s">
        <v>152</v>
      </c>
      <c r="C46" s="14" t="s">
        <v>153</v>
      </c>
      <c r="D46" s="14" t="s">
        <v>85</v>
      </c>
      <c r="E46" s="14"/>
      <c r="F46" s="410">
        <v>15</v>
      </c>
      <c r="G46" s="588"/>
      <c r="H46" s="363">
        <f t="shared" si="2"/>
        <v>0</v>
      </c>
    </row>
    <row r="47" spans="2:8" ht="8.25" customHeight="1">
      <c r="B47" s="13"/>
      <c r="C47" s="14"/>
      <c r="D47" s="14"/>
      <c r="E47" s="14"/>
      <c r="F47" s="410"/>
      <c r="G47" s="588"/>
      <c r="H47" s="363" t="str">
        <f t="shared" si="2"/>
        <v/>
      </c>
    </row>
    <row r="48" spans="2:8" ht="25.5">
      <c r="B48" s="13" t="s">
        <v>154</v>
      </c>
      <c r="C48" s="14" t="s">
        <v>155</v>
      </c>
      <c r="D48" s="14" t="s">
        <v>85</v>
      </c>
      <c r="E48" s="14"/>
      <c r="F48" s="410">
        <v>4</v>
      </c>
      <c r="G48" s="587"/>
      <c r="H48" s="363">
        <f t="shared" si="2"/>
        <v>0</v>
      </c>
    </row>
    <row r="49" spans="2:8" ht="8.25" customHeight="1">
      <c r="B49" s="13"/>
      <c r="C49" s="14"/>
      <c r="D49" s="14"/>
      <c r="E49" s="14"/>
      <c r="F49" s="410"/>
      <c r="G49" s="587"/>
      <c r="H49" s="363" t="str">
        <f t="shared" si="2"/>
        <v/>
      </c>
    </row>
    <row r="50" spans="2:8">
      <c r="B50" s="13" t="s">
        <v>156</v>
      </c>
      <c r="C50" s="14" t="s">
        <v>157</v>
      </c>
      <c r="D50" s="14" t="s">
        <v>85</v>
      </c>
      <c r="E50" s="14"/>
      <c r="F50" s="410">
        <v>2</v>
      </c>
      <c r="G50" s="587"/>
      <c r="H50" s="363">
        <f t="shared" si="2"/>
        <v>0</v>
      </c>
    </row>
    <row r="51" spans="2:8" ht="8.25" customHeight="1">
      <c r="B51" s="13"/>
      <c r="C51" s="50"/>
      <c r="D51" s="14"/>
      <c r="E51" s="14"/>
      <c r="F51" s="410"/>
      <c r="G51" s="588"/>
      <c r="H51" s="363" t="str">
        <f t="shared" si="2"/>
        <v/>
      </c>
    </row>
    <row r="52" spans="2:8">
      <c r="B52" s="13" t="s">
        <v>158</v>
      </c>
      <c r="C52" s="14" t="s">
        <v>159</v>
      </c>
      <c r="D52" s="14" t="s">
        <v>85</v>
      </c>
      <c r="E52" s="14"/>
      <c r="F52" s="410">
        <v>1</v>
      </c>
      <c r="G52" s="588"/>
      <c r="H52" s="363">
        <f t="shared" si="2"/>
        <v>0</v>
      </c>
    </row>
    <row r="53" spans="2:8" ht="8.25" customHeight="1">
      <c r="B53" s="13"/>
      <c r="C53" s="14"/>
      <c r="D53" s="14"/>
      <c r="E53" s="14"/>
      <c r="F53" s="410"/>
      <c r="G53" s="588"/>
      <c r="H53" s="363" t="str">
        <f t="shared" si="2"/>
        <v/>
      </c>
    </row>
    <row r="54" spans="2:8">
      <c r="B54" s="13" t="s">
        <v>160</v>
      </c>
      <c r="C54" s="14" t="s">
        <v>161</v>
      </c>
      <c r="D54" s="14" t="s">
        <v>85</v>
      </c>
      <c r="E54" s="14"/>
      <c r="F54" s="410">
        <v>1</v>
      </c>
      <c r="G54" s="588"/>
      <c r="H54" s="363">
        <f>G54*F54</f>
        <v>0</v>
      </c>
    </row>
    <row r="55" spans="2:8" ht="9.75" customHeight="1">
      <c r="B55" s="13"/>
      <c r="C55" s="14"/>
      <c r="D55" s="14"/>
      <c r="E55" s="14"/>
      <c r="F55" s="410"/>
      <c r="G55" s="588"/>
      <c r="H55" s="363"/>
    </row>
    <row r="56" spans="2:8">
      <c r="B56" s="13" t="s">
        <v>162</v>
      </c>
      <c r="C56" s="14" t="s">
        <v>163</v>
      </c>
      <c r="D56" s="14" t="s">
        <v>85</v>
      </c>
      <c r="E56" s="14"/>
      <c r="F56" s="410">
        <v>2</v>
      </c>
      <c r="G56" s="588"/>
      <c r="H56" s="363">
        <f>G56*F56</f>
        <v>0</v>
      </c>
    </row>
    <row r="57" spans="2:8" ht="9" customHeight="1">
      <c r="B57" s="13"/>
      <c r="C57" s="14"/>
      <c r="D57" s="14"/>
      <c r="E57" s="14"/>
      <c r="F57" s="410"/>
      <c r="G57" s="588"/>
      <c r="H57" s="363"/>
    </row>
    <row r="58" spans="2:8">
      <c r="B58" s="13" t="s">
        <v>164</v>
      </c>
      <c r="C58" s="14" t="s">
        <v>165</v>
      </c>
      <c r="D58" s="14" t="s">
        <v>85</v>
      </c>
      <c r="E58" s="14"/>
      <c r="F58" s="410">
        <v>10</v>
      </c>
      <c r="G58" s="588"/>
      <c r="H58" s="363">
        <f t="shared" si="2"/>
        <v>0</v>
      </c>
    </row>
    <row r="59" spans="2:8" ht="7.5" customHeight="1">
      <c r="B59" s="13"/>
      <c r="C59" s="100"/>
      <c r="D59" s="14"/>
      <c r="E59" s="14"/>
      <c r="F59" s="410"/>
      <c r="G59" s="588"/>
      <c r="H59" s="363" t="str">
        <f t="shared" si="2"/>
        <v/>
      </c>
    </row>
    <row r="60" spans="2:8">
      <c r="B60" s="13" t="s">
        <v>166</v>
      </c>
      <c r="C60" s="252" t="s">
        <v>167</v>
      </c>
      <c r="D60" s="14" t="s">
        <v>85</v>
      </c>
      <c r="E60" s="14"/>
      <c r="F60" s="431">
        <v>10</v>
      </c>
      <c r="G60" s="588"/>
      <c r="H60" s="363">
        <f t="shared" si="2"/>
        <v>0</v>
      </c>
    </row>
    <row r="61" spans="2:8">
      <c r="B61" s="13"/>
      <c r="C61" s="252"/>
      <c r="D61" s="14"/>
      <c r="E61" s="14"/>
      <c r="F61" s="431"/>
      <c r="G61" s="588"/>
      <c r="H61" s="363" t="str">
        <f t="shared" si="2"/>
        <v/>
      </c>
    </row>
    <row r="62" spans="2:8">
      <c r="B62" s="13" t="s">
        <v>168</v>
      </c>
      <c r="C62" s="14" t="s">
        <v>169</v>
      </c>
      <c r="D62" s="14" t="s">
        <v>85</v>
      </c>
      <c r="E62" s="14"/>
      <c r="F62" s="410">
        <v>4</v>
      </c>
      <c r="G62" s="588"/>
      <c r="H62" s="363">
        <f t="shared" si="2"/>
        <v>0</v>
      </c>
    </row>
    <row r="63" spans="2:8">
      <c r="B63" s="13"/>
      <c r="C63" s="14"/>
      <c r="D63" s="14"/>
      <c r="E63" s="14"/>
      <c r="F63" s="410"/>
      <c r="G63" s="588"/>
      <c r="H63" s="363"/>
    </row>
    <row r="64" spans="2:8">
      <c r="B64" s="13" t="s">
        <v>170</v>
      </c>
      <c r="C64" s="14" t="s">
        <v>171</v>
      </c>
      <c r="D64" s="14" t="s">
        <v>85</v>
      </c>
      <c r="E64" s="14"/>
      <c r="F64" s="410">
        <v>2</v>
      </c>
      <c r="G64" s="588"/>
      <c r="H64" s="363">
        <f>G64*F64</f>
        <v>0</v>
      </c>
    </row>
    <row r="65" spans="2:8">
      <c r="B65" s="13"/>
      <c r="C65" s="14"/>
      <c r="D65" s="14"/>
      <c r="E65" s="14"/>
      <c r="F65" s="410"/>
      <c r="G65" s="588"/>
      <c r="H65" s="363"/>
    </row>
    <row r="66" spans="2:8">
      <c r="B66" s="13" t="s">
        <v>172</v>
      </c>
      <c r="C66" s="14" t="s">
        <v>173</v>
      </c>
      <c r="D66" s="14" t="s">
        <v>85</v>
      </c>
      <c r="E66" s="14"/>
      <c r="F66" s="410">
        <v>2</v>
      </c>
      <c r="G66" s="588"/>
      <c r="H66" s="363">
        <f>G66*F66</f>
        <v>0</v>
      </c>
    </row>
    <row r="67" spans="2:8">
      <c r="B67" s="13"/>
      <c r="C67" s="14"/>
      <c r="D67" s="14"/>
      <c r="E67" s="14"/>
      <c r="F67" s="410"/>
      <c r="G67" s="588"/>
      <c r="H67" s="363" t="str">
        <f t="shared" si="2"/>
        <v/>
      </c>
    </row>
    <row r="68" spans="2:8">
      <c r="B68" s="13" t="s">
        <v>174</v>
      </c>
      <c r="C68" s="14" t="s">
        <v>175</v>
      </c>
      <c r="D68" s="14" t="s">
        <v>85</v>
      </c>
      <c r="E68" s="14"/>
      <c r="F68" s="410">
        <v>1</v>
      </c>
      <c r="G68" s="588"/>
      <c r="H68" s="363">
        <f t="shared" si="2"/>
        <v>0</v>
      </c>
    </row>
    <row r="69" spans="2:8">
      <c r="B69" s="13"/>
      <c r="C69" s="14"/>
      <c r="D69" s="14"/>
      <c r="E69" s="14"/>
      <c r="F69" s="410"/>
      <c r="G69" s="588"/>
      <c r="H69" s="363"/>
    </row>
    <row r="70" spans="2:8">
      <c r="B70" s="13" t="s">
        <v>176</v>
      </c>
      <c r="C70" s="14" t="s">
        <v>177</v>
      </c>
      <c r="D70" s="14" t="s">
        <v>85</v>
      </c>
      <c r="E70" s="14"/>
      <c r="F70" s="410">
        <v>1</v>
      </c>
      <c r="G70" s="588"/>
      <c r="H70" s="363">
        <f>G70*F70</f>
        <v>0</v>
      </c>
    </row>
    <row r="71" spans="2:8">
      <c r="B71" s="13"/>
      <c r="C71" s="14"/>
      <c r="D71" s="14"/>
      <c r="E71" s="14"/>
      <c r="F71" s="410"/>
      <c r="G71" s="588"/>
      <c r="H71" s="363"/>
    </row>
    <row r="72" spans="2:8" ht="25.5">
      <c r="B72" s="13" t="s">
        <v>178</v>
      </c>
      <c r="C72" s="14" t="s">
        <v>179</v>
      </c>
      <c r="D72" s="14" t="s">
        <v>85</v>
      </c>
      <c r="E72" s="13"/>
      <c r="F72" s="410">
        <v>1</v>
      </c>
      <c r="G72" s="588"/>
      <c r="H72" s="363">
        <f>G72*F72</f>
        <v>0</v>
      </c>
    </row>
    <row r="73" spans="2:8">
      <c r="B73" s="13"/>
      <c r="C73" s="14"/>
      <c r="D73" s="14"/>
      <c r="E73" s="14"/>
      <c r="F73" s="410"/>
      <c r="G73" s="588"/>
      <c r="H73" s="363"/>
    </row>
    <row r="74" spans="2:8">
      <c r="B74" s="13" t="s">
        <v>180</v>
      </c>
      <c r="C74" s="14" t="s">
        <v>181</v>
      </c>
      <c r="D74" s="14" t="s">
        <v>85</v>
      </c>
      <c r="E74" s="13"/>
      <c r="F74" s="410">
        <v>3</v>
      </c>
      <c r="G74" s="588"/>
      <c r="H74" s="363">
        <f>G74*F74</f>
        <v>0</v>
      </c>
    </row>
    <row r="75" spans="2:8">
      <c r="B75" s="13"/>
      <c r="C75" s="14"/>
      <c r="D75" s="14"/>
      <c r="E75" s="13"/>
      <c r="F75" s="410"/>
      <c r="G75" s="588"/>
      <c r="H75" s="363"/>
    </row>
    <row r="76" spans="2:8" ht="25.5">
      <c r="B76" s="13" t="s">
        <v>182</v>
      </c>
      <c r="C76" s="14" t="s">
        <v>183</v>
      </c>
      <c r="D76" s="14" t="s">
        <v>85</v>
      </c>
      <c r="E76" s="13"/>
      <c r="F76" s="410">
        <v>12</v>
      </c>
      <c r="G76" s="588"/>
      <c r="H76" s="363">
        <f t="shared" ref="H76:H79" si="3">IF(D76="","",F76*G76)</f>
        <v>0</v>
      </c>
    </row>
    <row r="77" spans="2:8">
      <c r="B77" s="13"/>
      <c r="C77" s="14"/>
      <c r="D77" s="14"/>
      <c r="E77" s="13"/>
      <c r="F77" s="410"/>
      <c r="G77" s="588"/>
      <c r="H77" s="363" t="str">
        <f t="shared" si="3"/>
        <v/>
      </c>
    </row>
    <row r="78" spans="2:8">
      <c r="B78" s="13" t="s">
        <v>184</v>
      </c>
      <c r="C78" s="14" t="s">
        <v>185</v>
      </c>
      <c r="D78" s="14" t="s">
        <v>85</v>
      </c>
      <c r="E78" s="13"/>
      <c r="F78" s="410">
        <v>8</v>
      </c>
      <c r="G78" s="588"/>
      <c r="H78" s="363">
        <f t="shared" si="3"/>
        <v>0</v>
      </c>
    </row>
    <row r="79" spans="2:8">
      <c r="B79" s="13"/>
      <c r="C79" s="14"/>
      <c r="D79" s="14"/>
      <c r="E79" s="13"/>
      <c r="F79" s="410"/>
      <c r="G79" s="588"/>
      <c r="H79" s="363" t="str">
        <f t="shared" si="3"/>
        <v/>
      </c>
    </row>
    <row r="80" spans="2:8" ht="51">
      <c r="B80" s="13" t="s">
        <v>186</v>
      </c>
      <c r="C80" s="14" t="s">
        <v>187</v>
      </c>
      <c r="D80" s="14" t="s">
        <v>85</v>
      </c>
      <c r="E80" s="14"/>
      <c r="F80" s="351">
        <v>10</v>
      </c>
      <c r="G80" s="587"/>
      <c r="H80" s="363">
        <f t="shared" ref="H80" si="4">IF(D80="","",F80*G80)</f>
        <v>0</v>
      </c>
    </row>
    <row r="81" spans="2:8">
      <c r="B81" s="13"/>
      <c r="C81" s="14"/>
      <c r="D81" s="14"/>
      <c r="E81" s="14"/>
      <c r="F81" s="351"/>
      <c r="G81" s="587"/>
      <c r="H81" s="363"/>
    </row>
    <row r="82" spans="2:8" ht="25.5">
      <c r="B82" s="13" t="s">
        <v>188</v>
      </c>
      <c r="C82" s="14" t="s">
        <v>189</v>
      </c>
      <c r="D82" s="14" t="s">
        <v>85</v>
      </c>
      <c r="E82" s="14"/>
      <c r="F82" s="351">
        <v>6</v>
      </c>
      <c r="G82" s="587"/>
      <c r="H82" s="363">
        <f>G82*F82</f>
        <v>0</v>
      </c>
    </row>
    <row r="83" spans="2:8">
      <c r="B83" s="13"/>
      <c r="C83" s="14"/>
      <c r="D83" s="14"/>
      <c r="E83" s="14"/>
      <c r="F83" s="351"/>
      <c r="G83" s="351"/>
      <c r="H83" s="363"/>
    </row>
    <row r="84" spans="2:8" s="2" customFormat="1" ht="20.100000000000001" hidden="1" customHeight="1">
      <c r="B84" s="411" t="str">
        <f>$B$10</f>
        <v>C1.4</v>
      </c>
      <c r="C84" s="276" t="s">
        <v>99</v>
      </c>
      <c r="D84" s="287"/>
      <c r="E84" s="287"/>
      <c r="F84" s="360"/>
      <c r="G84" s="412"/>
      <c r="H84" s="364">
        <f>SUM(H34:H80)</f>
        <v>0</v>
      </c>
    </row>
    <row r="85" spans="2:8" s="2" customFormat="1" ht="20.100000000000001" hidden="1" customHeight="1">
      <c r="B85" s="118"/>
      <c r="D85" s="118"/>
      <c r="E85" s="118"/>
      <c r="F85" s="361"/>
      <c r="G85" s="413"/>
      <c r="H85" s="374"/>
    </row>
    <row r="86" spans="2:8" hidden="1">
      <c r="B86" s="697" t="str">
        <f>Client1</f>
        <v>AIRPORTS COMPANY - SOUTH AFRICA</v>
      </c>
      <c r="C86" s="697"/>
      <c r="D86" s="697"/>
      <c r="E86" s="697"/>
      <c r="F86" s="706" t="str">
        <f>"Contract No. "&amp;ContractNo</f>
        <v>Contract No. KSIA7806/2025/RFP</v>
      </c>
      <c r="G86" s="676"/>
      <c r="H86" s="676"/>
    </row>
    <row r="87" spans="2:8" hidden="1">
      <c r="B87" s="697" t="str">
        <f>Client2</f>
        <v>ACSA</v>
      </c>
      <c r="C87" s="697"/>
      <c r="D87" s="697"/>
      <c r="E87" s="697"/>
      <c r="F87" s="706"/>
      <c r="G87" s="676"/>
      <c r="H87" s="676"/>
    </row>
    <row r="88" spans="2:8" hidden="1">
      <c r="B88" s="700"/>
      <c r="C88" s="700"/>
      <c r="D88" s="700"/>
      <c r="E88" s="700"/>
      <c r="F88" s="707"/>
      <c r="G88" s="677"/>
      <c r="H88" s="677"/>
    </row>
    <row r="89" spans="2:8" hidden="1">
      <c r="B89" s="695" t="s">
        <v>10</v>
      </c>
      <c r="C89" s="696"/>
      <c r="D89" s="696"/>
      <c r="E89" s="696"/>
      <c r="F89" s="701"/>
      <c r="G89" s="696"/>
      <c r="H89" s="684" t="str">
        <f>H33</f>
        <v>AMOUNT</v>
      </c>
    </row>
    <row r="90" spans="2:8" hidden="1">
      <c r="B90" s="690" t="str">
        <f>ContractDescription</f>
        <v>PROCUREMENT OF A CIDB GRADE 9 CE CONTRACTOR THE COMPLETION OF BRAVO TAXIWAY EXTENSION AT KING SHAKA INTERNATIONAL AIRPORT FOR A PERIOD OF 12 MONTHS AT KING SHAKA INTERNATIONAL AIRPORT</v>
      </c>
      <c r="C90" s="691"/>
      <c r="D90" s="691"/>
      <c r="E90" s="691"/>
      <c r="F90" s="702"/>
      <c r="G90" s="691"/>
      <c r="H90" s="694"/>
    </row>
    <row r="91" spans="2:8" hidden="1">
      <c r="B91" s="690"/>
      <c r="C91" s="691"/>
      <c r="D91" s="691"/>
      <c r="E91" s="691"/>
      <c r="F91" s="702"/>
      <c r="G91" s="691"/>
      <c r="H91" s="694"/>
    </row>
    <row r="92" spans="2:8" hidden="1">
      <c r="B92" s="692"/>
      <c r="C92" s="693"/>
      <c r="D92" s="693"/>
      <c r="E92" s="693"/>
      <c r="F92" s="693"/>
      <c r="G92" s="693"/>
      <c r="H92" s="686"/>
    </row>
    <row r="93" spans="2:8" s="2" customFormat="1" ht="24.95" hidden="1" customHeight="1">
      <c r="B93" s="282" t="s">
        <v>11</v>
      </c>
      <c r="C93" s="280" t="s">
        <v>12</v>
      </c>
      <c r="D93" s="280" t="s">
        <v>13</v>
      </c>
      <c r="E93" s="280" t="s">
        <v>14</v>
      </c>
      <c r="F93" s="409" t="s">
        <v>15</v>
      </c>
      <c r="G93" s="409" t="s">
        <v>16</v>
      </c>
      <c r="H93" s="364" t="s">
        <v>17</v>
      </c>
    </row>
    <row r="94" spans="2:8" s="2" customFormat="1" ht="20.100000000000001" hidden="1" customHeight="1">
      <c r="B94" s="411"/>
      <c r="C94" s="276" t="s">
        <v>140</v>
      </c>
      <c r="D94" s="287"/>
      <c r="E94" s="287"/>
      <c r="F94" s="412"/>
      <c r="G94" s="412"/>
      <c r="H94" s="364">
        <f>H84</f>
        <v>0</v>
      </c>
    </row>
    <row r="95" spans="2:8" hidden="1">
      <c r="B95" s="13"/>
      <c r="C95" s="14"/>
      <c r="D95" s="14"/>
      <c r="E95" s="14"/>
      <c r="F95" s="410"/>
      <c r="G95" s="351"/>
      <c r="H95" s="363" t="str">
        <f t="shared" ref="H95:H109" si="5">IF(D95="","",F95*G95)</f>
        <v/>
      </c>
    </row>
    <row r="96" spans="2:8">
      <c r="B96" s="13" t="s">
        <v>190</v>
      </c>
      <c r="C96" s="14" t="s">
        <v>191</v>
      </c>
      <c r="D96" s="14"/>
      <c r="E96" s="14"/>
      <c r="F96" s="410"/>
      <c r="G96" s="350"/>
      <c r="H96" s="363" t="str">
        <f t="shared" si="5"/>
        <v/>
      </c>
    </row>
    <row r="97" spans="2:8">
      <c r="B97" s="13"/>
      <c r="C97" s="14"/>
      <c r="D97" s="14"/>
      <c r="E97" s="14"/>
      <c r="F97" s="410"/>
      <c r="G97" s="350"/>
      <c r="H97" s="363" t="str">
        <f t="shared" si="5"/>
        <v/>
      </c>
    </row>
    <row r="98" spans="2:8" ht="38.25">
      <c r="B98" s="13" t="s">
        <v>192</v>
      </c>
      <c r="C98" s="14" t="s">
        <v>193</v>
      </c>
      <c r="D98" s="14" t="s">
        <v>121</v>
      </c>
      <c r="E98" s="14"/>
      <c r="F98" s="410">
        <v>42000</v>
      </c>
      <c r="G98" s="410" t="s">
        <v>194</v>
      </c>
      <c r="H98" s="363">
        <f>G98*F98</f>
        <v>42000</v>
      </c>
    </row>
    <row r="99" spans="2:8">
      <c r="B99" s="13"/>
      <c r="C99" s="14"/>
      <c r="D99" s="14"/>
      <c r="E99" s="14"/>
      <c r="F99" s="410"/>
      <c r="G99" s="410"/>
      <c r="H99" s="363"/>
    </row>
    <row r="100" spans="2:8" ht="25.5">
      <c r="B100" s="13" t="s">
        <v>195</v>
      </c>
      <c r="C100" s="14" t="s">
        <v>196</v>
      </c>
      <c r="D100" s="14" t="s">
        <v>55</v>
      </c>
      <c r="E100" s="14"/>
      <c r="F100" s="410">
        <f>H98</f>
        <v>42000</v>
      </c>
      <c r="G100" s="586"/>
      <c r="H100" s="363">
        <f>G100*F100</f>
        <v>0</v>
      </c>
    </row>
    <row r="101" spans="2:8">
      <c r="B101" s="13"/>
      <c r="C101" s="14"/>
      <c r="D101" s="14"/>
      <c r="E101" s="14"/>
      <c r="F101" s="410"/>
      <c r="G101" s="410"/>
      <c r="H101" s="363"/>
    </row>
    <row r="102" spans="2:8" ht="25.5">
      <c r="B102" s="13" t="s">
        <v>197</v>
      </c>
      <c r="C102" s="14" t="s">
        <v>198</v>
      </c>
      <c r="D102" s="14" t="s">
        <v>121</v>
      </c>
      <c r="E102" s="14"/>
      <c r="F102" s="410">
        <v>12000</v>
      </c>
      <c r="G102" s="410" t="s">
        <v>194</v>
      </c>
      <c r="H102" s="363">
        <f>G102*F102</f>
        <v>12000</v>
      </c>
    </row>
    <row r="103" spans="2:8">
      <c r="B103" s="13"/>
      <c r="C103" s="14"/>
      <c r="D103" s="14"/>
      <c r="E103" s="14"/>
      <c r="F103" s="410"/>
      <c r="G103" s="410"/>
      <c r="H103" s="363"/>
    </row>
    <row r="104" spans="2:8" ht="25.5">
      <c r="B104" s="13" t="s">
        <v>199</v>
      </c>
      <c r="C104" s="14" t="s">
        <v>200</v>
      </c>
      <c r="D104" s="14" t="s">
        <v>55</v>
      </c>
      <c r="E104" s="14"/>
      <c r="F104" s="410">
        <f>H102</f>
        <v>12000</v>
      </c>
      <c r="G104" s="586"/>
      <c r="H104" s="363">
        <f>G104*F104</f>
        <v>0</v>
      </c>
    </row>
    <row r="105" spans="2:8">
      <c r="B105" s="13"/>
      <c r="C105" s="14"/>
      <c r="D105" s="14"/>
      <c r="E105" s="14"/>
      <c r="F105" s="410"/>
      <c r="G105" s="410"/>
      <c r="H105" s="363"/>
    </row>
    <row r="106" spans="2:8" ht="25.5">
      <c r="B106" s="13" t="s">
        <v>201</v>
      </c>
      <c r="C106" s="14" t="s">
        <v>202</v>
      </c>
      <c r="D106" s="14" t="s">
        <v>121</v>
      </c>
      <c r="E106" s="14"/>
      <c r="F106" s="410">
        <v>30000</v>
      </c>
      <c r="G106" s="350">
        <v>1</v>
      </c>
      <c r="H106" s="363">
        <f t="shared" si="5"/>
        <v>30000</v>
      </c>
    </row>
    <row r="107" spans="2:8">
      <c r="B107" s="13"/>
      <c r="C107" s="14"/>
      <c r="D107" s="14"/>
      <c r="E107" s="14"/>
      <c r="F107" s="410"/>
      <c r="G107" s="350"/>
      <c r="H107" s="363"/>
    </row>
    <row r="108" spans="2:8">
      <c r="B108" s="13" t="s">
        <v>203</v>
      </c>
      <c r="C108" s="14" t="s">
        <v>204</v>
      </c>
      <c r="D108" s="14" t="s">
        <v>55</v>
      </c>
      <c r="E108" s="14"/>
      <c r="F108" s="518">
        <f>H106</f>
        <v>30000</v>
      </c>
      <c r="G108" s="586"/>
      <c r="H108" s="489">
        <f>G108*F108</f>
        <v>0</v>
      </c>
    </row>
    <row r="109" spans="2:8">
      <c r="B109" s="13"/>
      <c r="C109" s="14"/>
      <c r="D109" s="14"/>
      <c r="E109" s="14"/>
      <c r="F109" s="410"/>
      <c r="G109" s="350"/>
      <c r="H109" s="363" t="str">
        <f t="shared" si="5"/>
        <v/>
      </c>
    </row>
    <row r="110" spans="2:8" ht="25.5">
      <c r="B110" s="13" t="s">
        <v>205</v>
      </c>
      <c r="C110" s="14" t="s">
        <v>206</v>
      </c>
      <c r="D110" s="14"/>
      <c r="E110" s="14"/>
      <c r="F110" s="410"/>
      <c r="G110" s="350"/>
      <c r="H110" s="363" t="s">
        <v>128</v>
      </c>
    </row>
    <row r="111" spans="2:8">
      <c r="B111" s="13"/>
      <c r="C111" s="14"/>
      <c r="D111" s="14"/>
      <c r="E111" s="14"/>
      <c r="F111" s="410"/>
      <c r="G111" s="588"/>
      <c r="H111" s="363" t="s">
        <v>128</v>
      </c>
    </row>
    <row r="112" spans="2:8">
      <c r="B112" s="13" t="s">
        <v>207</v>
      </c>
      <c r="C112" s="14" t="s">
        <v>208</v>
      </c>
      <c r="D112" s="14" t="s">
        <v>33</v>
      </c>
      <c r="E112" s="14"/>
      <c r="F112" s="410">
        <v>1</v>
      </c>
      <c r="G112" s="588"/>
      <c r="H112" s="363">
        <f t="shared" ref="H112:H113" si="6">IF(D112="","",F112*G112)</f>
        <v>0</v>
      </c>
    </row>
    <row r="113" spans="2:10">
      <c r="B113" s="13"/>
      <c r="C113" s="14"/>
      <c r="D113" s="14"/>
      <c r="E113" s="14"/>
      <c r="F113" s="410"/>
      <c r="G113" s="588"/>
      <c r="H113" s="363" t="str">
        <f t="shared" si="6"/>
        <v/>
      </c>
    </row>
    <row r="114" spans="2:10">
      <c r="B114" s="13" t="s">
        <v>209</v>
      </c>
      <c r="C114" s="14" t="s">
        <v>210</v>
      </c>
      <c r="D114" s="14" t="s">
        <v>25</v>
      </c>
      <c r="E114" s="14"/>
      <c r="F114" s="410">
        <v>12</v>
      </c>
      <c r="G114" s="588"/>
      <c r="H114" s="363">
        <f t="shared" ref="H114" si="7">IF(D114="","",F114*G114)</f>
        <v>0</v>
      </c>
    </row>
    <row r="115" spans="2:10">
      <c r="B115" s="13"/>
      <c r="C115" s="14"/>
      <c r="D115" s="14"/>
      <c r="E115" s="14"/>
      <c r="F115" s="410"/>
      <c r="G115" s="588"/>
      <c r="H115" s="363"/>
    </row>
    <row r="116" spans="2:10">
      <c r="B116" s="13" t="s">
        <v>211</v>
      </c>
      <c r="C116" s="14" t="s">
        <v>212</v>
      </c>
      <c r="D116" s="14"/>
      <c r="E116" s="14"/>
      <c r="F116" s="410"/>
      <c r="G116" s="588"/>
      <c r="H116" s="363"/>
    </row>
    <row r="117" spans="2:10">
      <c r="B117" s="13"/>
      <c r="C117" s="14"/>
      <c r="D117" s="14"/>
      <c r="E117" s="14"/>
      <c r="F117" s="410"/>
      <c r="G117" s="588"/>
      <c r="H117" s="363"/>
    </row>
    <row r="118" spans="2:10">
      <c r="B118" s="13" t="s">
        <v>213</v>
      </c>
      <c r="C118" s="14" t="s">
        <v>214</v>
      </c>
      <c r="D118" s="14" t="s">
        <v>28</v>
      </c>
      <c r="E118" s="14"/>
      <c r="F118" s="410">
        <v>12</v>
      </c>
      <c r="G118" s="588"/>
      <c r="H118" s="363">
        <f>G118*F118</f>
        <v>0</v>
      </c>
    </row>
    <row r="119" spans="2:10">
      <c r="B119" s="13"/>
      <c r="C119" s="14"/>
      <c r="D119" s="14"/>
      <c r="E119" s="14"/>
      <c r="F119" s="410"/>
      <c r="G119" s="588"/>
      <c r="H119" s="363"/>
    </row>
    <row r="120" spans="2:10">
      <c r="B120" s="13" t="s">
        <v>215</v>
      </c>
      <c r="C120" s="14" t="s">
        <v>216</v>
      </c>
      <c r="D120" s="14" t="s">
        <v>28</v>
      </c>
      <c r="E120" s="14"/>
      <c r="F120" s="410">
        <v>12</v>
      </c>
      <c r="G120" s="588"/>
      <c r="H120" s="363">
        <f>G120*F120</f>
        <v>0</v>
      </c>
    </row>
    <row r="121" spans="2:10">
      <c r="B121" s="13"/>
      <c r="C121" s="14"/>
      <c r="D121" s="14"/>
      <c r="E121" s="14"/>
      <c r="F121" s="410"/>
      <c r="G121" s="588"/>
      <c r="H121" s="363"/>
    </row>
    <row r="122" spans="2:10">
      <c r="B122" s="13"/>
      <c r="C122" s="14"/>
      <c r="D122" s="14"/>
      <c r="E122" s="14"/>
      <c r="F122" s="410"/>
      <c r="G122" s="588"/>
      <c r="H122" s="363"/>
    </row>
    <row r="123" spans="2:10">
      <c r="B123" s="13"/>
      <c r="C123" s="14"/>
      <c r="D123" s="14"/>
      <c r="E123" s="14"/>
      <c r="F123" s="410"/>
      <c r="G123" s="588"/>
      <c r="H123" s="363"/>
    </row>
    <row r="124" spans="2:10">
      <c r="B124" s="13"/>
      <c r="C124" s="14"/>
      <c r="D124" s="14"/>
      <c r="E124" s="14"/>
      <c r="F124" s="410"/>
      <c r="G124" s="350"/>
      <c r="H124" s="363"/>
    </row>
    <row r="125" spans="2:10">
      <c r="B125" s="13"/>
      <c r="C125" s="14"/>
      <c r="D125" s="14"/>
      <c r="E125" s="14"/>
      <c r="F125" s="410"/>
      <c r="G125" s="350"/>
      <c r="H125" s="363"/>
    </row>
    <row r="126" spans="2:10" s="2" customFormat="1" ht="24.95" customHeight="1">
      <c r="B126" s="290" t="str">
        <f>B10</f>
        <v>C1.4</v>
      </c>
      <c r="C126" s="276" t="s">
        <v>125</v>
      </c>
      <c r="D126" s="287"/>
      <c r="E126" s="287"/>
      <c r="F126" s="412"/>
      <c r="G126" s="412"/>
      <c r="H126" s="364">
        <f>SUM(H94:H125)</f>
        <v>84000</v>
      </c>
      <c r="J126" s="418">
        <v>411850</v>
      </c>
    </row>
    <row r="128" spans="2:10">
      <c r="J128" s="414">
        <f>J126-H126</f>
        <v>327850</v>
      </c>
    </row>
  </sheetData>
  <sheetProtection algorithmName="SHA-512" hashValue="qloaeEA5/+0dukakGxbaFUezf5nBoNXxFAeKcXi/rhAu5l96jy1hmpvEeiF0OyhIinTBCDXnWYut1Yn2BioZ/g==" saltValue="c1EdkpeHOGKH1EP5dc3YFQ==" spinCount="100000" sheet="1" objects="1" scenarios="1"/>
  <mergeCells count="18">
    <mergeCell ref="B89:G89"/>
    <mergeCell ref="H89:H92"/>
    <mergeCell ref="B90:G92"/>
    <mergeCell ref="B29:G29"/>
    <mergeCell ref="H29:H32"/>
    <mergeCell ref="B30:G32"/>
    <mergeCell ref="B86:E86"/>
    <mergeCell ref="F86:H88"/>
    <mergeCell ref="B87:E87"/>
    <mergeCell ref="B88:E88"/>
    <mergeCell ref="F1:H1"/>
    <mergeCell ref="B5:G7"/>
    <mergeCell ref="H4:H7"/>
    <mergeCell ref="B4:G4"/>
    <mergeCell ref="B26:E26"/>
    <mergeCell ref="F26:H28"/>
    <mergeCell ref="B27:E27"/>
    <mergeCell ref="B28:E28"/>
  </mergeCells>
  <phoneticPr fontId="17" type="noConversion"/>
  <pageMargins left="0.43307086614173229" right="0.31496062992125984" top="0.43307086614173229" bottom="0.62992125984251968" header="0.35433070866141736" footer="0.31496062992125984"/>
  <pageSetup paperSize="9" scale="56" firstPageNumber="31" orientation="portrait" cellComments="asDisplayed" useFirstPageNumber="1" r:id="rId1"/>
  <headerFooter>
    <oddHeader xml:space="preserve">&amp;CPREPARED BY NANKHOO CONSULTING ENGINEERS&amp;R&amp;"Arial,Bold Italic"
</oddHeader>
    <oddFooter>&amp;C&amp;F</oddFooter>
  </headerFooter>
  <rowBreaks count="1" manualBreakCount="1">
    <brk id="84" max="8" man="1"/>
  </rowBreak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86">
    <tabColor rgb="FF92D050"/>
    <pageSetUpPr fitToPage="1"/>
  </sheetPr>
  <dimension ref="B1:I114"/>
  <sheetViews>
    <sheetView workbookViewId="0"/>
  </sheetViews>
  <sheetFormatPr defaultColWidth="8.85546875" defaultRowHeight="12.75"/>
  <cols>
    <col min="1" max="1" width="0.85546875" style="179" customWidth="1"/>
    <col min="2" max="2" width="11.7109375" style="209" customWidth="1"/>
    <col min="3" max="3" width="45.7109375" style="176" customWidth="1"/>
    <col min="4" max="4" width="13.7109375" style="200" customWidth="1"/>
    <col min="5" max="5" width="5.7109375" style="200" customWidth="1"/>
    <col min="6" max="6" width="15.7109375" style="200" customWidth="1"/>
    <col min="7" max="7" width="15.7109375" style="268" customWidth="1"/>
    <col min="8" max="8" width="15.7109375" style="178" customWidth="1"/>
    <col min="9" max="9" width="0.85546875" style="178" customWidth="1"/>
    <col min="10" max="16384" width="8.85546875" style="179"/>
  </cols>
  <sheetData>
    <row r="1" spans="2:9">
      <c r="B1" s="232" t="str">
        <f>Client1</f>
        <v>AIRPORTS COMPANY - SOUTH AFRICA</v>
      </c>
      <c r="F1" s="746" t="str">
        <f>"Contract No. "&amp;ContractNo</f>
        <v>Contract No. KSIA7806/2025/RFP</v>
      </c>
      <c r="G1" s="746"/>
      <c r="H1" s="746"/>
    </row>
    <row r="2" spans="2:9">
      <c r="B2" s="232" t="str">
        <f>Client2</f>
        <v>ACSA</v>
      </c>
    </row>
    <row r="3" spans="2:9">
      <c r="B3" s="200"/>
    </row>
    <row r="4" spans="2:9" ht="12.75" customHeight="1">
      <c r="B4" s="749" t="s">
        <v>456</v>
      </c>
      <c r="C4" s="750"/>
      <c r="D4" s="750"/>
      <c r="E4" s="750"/>
      <c r="F4" s="750"/>
      <c r="G4" s="750"/>
      <c r="H4" s="785" t="str">
        <f>"CHAPTER "&amp;B11</f>
        <v xml:space="preserve">CHAPTER </v>
      </c>
      <c r="I4" s="234"/>
    </row>
    <row r="5" spans="2:9"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86"/>
      <c r="I5" s="180"/>
    </row>
    <row r="6" spans="2:9" ht="12.75" customHeight="1">
      <c r="B6" s="752"/>
      <c r="C6" s="753"/>
      <c r="D6" s="753"/>
      <c r="E6" s="753"/>
      <c r="F6" s="753"/>
      <c r="G6" s="753"/>
      <c r="H6" s="786"/>
      <c r="I6" s="180"/>
    </row>
    <row r="7" spans="2:9" s="183" customFormat="1" ht="7.5" customHeight="1">
      <c r="B7" s="754"/>
      <c r="C7" s="755"/>
      <c r="D7" s="755"/>
      <c r="E7" s="755"/>
      <c r="F7" s="755"/>
      <c r="G7" s="755"/>
      <c r="H7" s="787"/>
      <c r="I7" s="182"/>
    </row>
    <row r="8" spans="2:9" s="183" customFormat="1" ht="24.95" customHeight="1">
      <c r="B8" s="203" t="s">
        <v>11</v>
      </c>
      <c r="C8" s="181" t="s">
        <v>12</v>
      </c>
      <c r="D8" s="181" t="s">
        <v>13</v>
      </c>
      <c r="E8" s="181" t="s">
        <v>14</v>
      </c>
      <c r="F8" s="181" t="s">
        <v>15</v>
      </c>
      <c r="G8" s="269" t="s">
        <v>16</v>
      </c>
      <c r="H8" s="181" t="s">
        <v>17</v>
      </c>
      <c r="I8" s="182"/>
    </row>
    <row r="9" spans="2:9">
      <c r="B9" s="207"/>
      <c r="C9" s="175"/>
      <c r="D9" s="186"/>
      <c r="E9" s="186"/>
      <c r="F9" s="186"/>
      <c r="G9" s="189"/>
      <c r="H9" s="184" t="str">
        <f t="shared" ref="H9:H17" si="0">IF(D9="","",F9*G9)</f>
        <v/>
      </c>
      <c r="I9" s="187"/>
    </row>
    <row r="10" spans="2:9">
      <c r="B10" s="218" t="s">
        <v>1482</v>
      </c>
      <c r="C10" s="185" t="s">
        <v>1483</v>
      </c>
      <c r="D10" s="186"/>
      <c r="E10" s="186"/>
      <c r="F10" s="186"/>
      <c r="G10" s="189"/>
      <c r="H10" s="184" t="str">
        <f t="shared" si="0"/>
        <v/>
      </c>
      <c r="I10" s="187"/>
    </row>
    <row r="11" spans="2:9">
      <c r="B11" s="207"/>
      <c r="C11" s="175"/>
      <c r="D11" s="186"/>
      <c r="E11" s="186"/>
      <c r="F11" s="186"/>
      <c r="G11" s="189"/>
      <c r="H11" s="184" t="str">
        <f t="shared" si="0"/>
        <v/>
      </c>
      <c r="I11" s="187"/>
    </row>
    <row r="12" spans="2:9" ht="38.25">
      <c r="B12" s="207" t="s">
        <v>1484</v>
      </c>
      <c r="C12" s="175" t="s">
        <v>1485</v>
      </c>
      <c r="D12" s="186"/>
      <c r="E12" s="186"/>
      <c r="F12" s="186"/>
      <c r="G12" s="189"/>
      <c r="H12" s="184" t="str">
        <f t="shared" si="0"/>
        <v/>
      </c>
      <c r="I12" s="187"/>
    </row>
    <row r="13" spans="2:9">
      <c r="B13" s="207"/>
      <c r="C13" s="175"/>
      <c r="D13" s="186"/>
      <c r="E13" s="186"/>
      <c r="F13" s="186"/>
      <c r="G13" s="189"/>
      <c r="H13" s="184" t="str">
        <f t="shared" si="0"/>
        <v/>
      </c>
      <c r="I13" s="187"/>
    </row>
    <row r="14" spans="2:9">
      <c r="B14" s="207" t="s">
        <v>1486</v>
      </c>
      <c r="C14" s="175" t="s">
        <v>1487</v>
      </c>
      <c r="D14" s="186"/>
      <c r="E14" s="186"/>
      <c r="F14" s="188"/>
      <c r="G14" s="189"/>
      <c r="H14" s="184" t="str">
        <f t="shared" si="0"/>
        <v/>
      </c>
      <c r="I14" s="190"/>
    </row>
    <row r="15" spans="2:9">
      <c r="B15" s="207"/>
      <c r="C15" s="175"/>
      <c r="D15" s="186"/>
      <c r="E15" s="186"/>
      <c r="F15" s="188"/>
      <c r="G15" s="189"/>
      <c r="H15" s="184" t="str">
        <f t="shared" si="0"/>
        <v/>
      </c>
      <c r="I15" s="187"/>
    </row>
    <row r="16" spans="2:9">
      <c r="B16" s="207" t="s">
        <v>86</v>
      </c>
      <c r="C16" s="191" t="s">
        <v>1488</v>
      </c>
      <c r="D16" s="186" t="s">
        <v>145</v>
      </c>
      <c r="E16" s="192" t="s">
        <v>14</v>
      </c>
      <c r="F16" s="186"/>
      <c r="G16" s="270">
        <v>1000</v>
      </c>
      <c r="H16" s="184">
        <f t="shared" si="0"/>
        <v>0</v>
      </c>
    </row>
    <row r="17" spans="2:9">
      <c r="B17" s="207"/>
      <c r="C17" s="345"/>
      <c r="D17" s="192"/>
      <c r="E17" s="192"/>
      <c r="F17" s="188"/>
      <c r="G17" s="271"/>
      <c r="H17" s="184" t="str">
        <f t="shared" si="0"/>
        <v/>
      </c>
    </row>
    <row r="18" spans="2:9" s="178" customFormat="1" hidden="1">
      <c r="B18" s="207"/>
      <c r="C18" s="175" t="s">
        <v>1489</v>
      </c>
      <c r="D18" s="186"/>
      <c r="E18" s="186"/>
      <c r="F18" s="188"/>
      <c r="G18" s="189"/>
      <c r="H18" s="184" t="str">
        <f t="shared" ref="H18:H36" si="1">IF(D18="","",F18*G18)</f>
        <v/>
      </c>
    </row>
    <row r="19" spans="2:9" s="199" customFormat="1" ht="19.5" hidden="1" customHeight="1">
      <c r="B19" s="227" t="str">
        <f>$B$10</f>
        <v>C11.6</v>
      </c>
      <c r="C19" s="194" t="s">
        <v>99</v>
      </c>
      <c r="D19" s="195"/>
      <c r="E19" s="195"/>
      <c r="F19" s="196"/>
      <c r="G19" s="272"/>
      <c r="H19" s="197">
        <f>SUM(H9:H18)</f>
        <v>0</v>
      </c>
      <c r="I19" s="198"/>
    </row>
    <row r="20" spans="2:9" hidden="1">
      <c r="B20" s="745" t="str">
        <f>Client1</f>
        <v>AIRPORTS COMPANY - SOUTH AFRICA</v>
      </c>
      <c r="C20" s="745"/>
      <c r="D20" s="745"/>
      <c r="E20" s="745"/>
      <c r="F20" s="746" t="str">
        <f>"Contract No. "&amp;ContractNo</f>
        <v>Contract No. KSIA7806/2025/RFP</v>
      </c>
      <c r="G20" s="746"/>
      <c r="H20" s="746"/>
    </row>
    <row r="21" spans="2:9" hidden="1">
      <c r="B21" s="745" t="str">
        <f>Client2</f>
        <v>ACSA</v>
      </c>
      <c r="C21" s="745"/>
      <c r="D21" s="745"/>
      <c r="E21" s="745"/>
      <c r="F21" s="746"/>
      <c r="G21" s="746"/>
      <c r="H21" s="746"/>
    </row>
    <row r="22" spans="2:9" hidden="1">
      <c r="B22" s="748"/>
      <c r="C22" s="748"/>
      <c r="D22" s="748"/>
      <c r="E22" s="748"/>
      <c r="F22" s="747"/>
      <c r="G22" s="747"/>
      <c r="H22" s="747"/>
    </row>
    <row r="23" spans="2:9" hidden="1">
      <c r="B23" s="749" t="s">
        <v>456</v>
      </c>
      <c r="C23" s="750"/>
      <c r="D23" s="750"/>
      <c r="E23" s="750"/>
      <c r="F23" s="750"/>
      <c r="G23" s="750"/>
      <c r="H23" s="751" t="str">
        <f>$H$4</f>
        <v xml:space="preserve">CHAPTER </v>
      </c>
      <c r="I23" s="234"/>
    </row>
    <row r="24" spans="2:9" hidden="1">
      <c r="B24" s="752" t="str">
        <f>ContractDescription</f>
        <v>PROCUREMENT OF A CIDB GRADE 9 CE CONTRACTOR THE COMPLETION OF BRAVO TAXIWAY EXTENSION AT KING SHAKA INTERNATIONAL AIRPORT FOR A PERIOD OF 12 MONTHS AT KING SHAKA INTERNATIONAL AIRPORT</v>
      </c>
      <c r="C24" s="753"/>
      <c r="D24" s="753"/>
      <c r="E24" s="753"/>
      <c r="F24" s="753"/>
      <c r="G24" s="753"/>
      <c r="H24" s="746"/>
      <c r="I24" s="180"/>
    </row>
    <row r="25" spans="2:9" hidden="1">
      <c r="B25" s="752"/>
      <c r="C25" s="753"/>
      <c r="D25" s="753"/>
      <c r="E25" s="753"/>
      <c r="F25" s="753"/>
      <c r="G25" s="753"/>
      <c r="H25" s="746"/>
      <c r="I25" s="180"/>
    </row>
    <row r="26" spans="2:9" hidden="1">
      <c r="B26" s="754"/>
      <c r="C26" s="755"/>
      <c r="D26" s="755"/>
      <c r="E26" s="755"/>
      <c r="F26" s="755"/>
      <c r="G26" s="755"/>
      <c r="H26" s="747"/>
      <c r="I26" s="180"/>
    </row>
    <row r="27" spans="2:9" s="183" customFormat="1" ht="24.95" hidden="1" customHeight="1">
      <c r="B27" s="203" t="s">
        <v>11</v>
      </c>
      <c r="C27" s="181" t="s">
        <v>12</v>
      </c>
      <c r="D27" s="181" t="s">
        <v>13</v>
      </c>
      <c r="E27" s="181" t="s">
        <v>14</v>
      </c>
      <c r="F27" s="181" t="s">
        <v>15</v>
      </c>
      <c r="G27" s="269" t="s">
        <v>16</v>
      </c>
      <c r="H27" s="181" t="s">
        <v>17</v>
      </c>
      <c r="I27" s="182"/>
    </row>
    <row r="28" spans="2:9" s="199" customFormat="1" ht="19.5" hidden="1" customHeight="1">
      <c r="B28" s="227"/>
      <c r="C28" s="194" t="s">
        <v>140</v>
      </c>
      <c r="D28" s="195"/>
      <c r="E28" s="195"/>
      <c r="F28" s="196"/>
      <c r="G28" s="272"/>
      <c r="H28" s="197">
        <f>H19</f>
        <v>0</v>
      </c>
      <c r="I28" s="198"/>
    </row>
    <row r="29" spans="2:9" s="178" customFormat="1" hidden="1">
      <c r="B29" s="207"/>
      <c r="C29" s="175"/>
      <c r="D29" s="186"/>
      <c r="E29" s="186"/>
      <c r="F29" s="188"/>
      <c r="G29" s="189"/>
      <c r="H29" s="184"/>
    </row>
    <row r="30" spans="2:9" s="178" customFormat="1">
      <c r="B30" s="207"/>
      <c r="C30" s="175"/>
      <c r="D30" s="186"/>
      <c r="E30" s="186"/>
      <c r="F30" s="188"/>
      <c r="G30" s="189"/>
      <c r="H30" s="184" t="str">
        <f t="shared" si="1"/>
        <v/>
      </c>
    </row>
    <row r="31" spans="2:9" s="178" customFormat="1">
      <c r="B31" s="207" t="s">
        <v>317</v>
      </c>
      <c r="C31" s="175" t="s">
        <v>1490</v>
      </c>
      <c r="D31" s="186"/>
      <c r="E31" s="186"/>
      <c r="F31" s="188"/>
      <c r="G31" s="189"/>
      <c r="H31" s="184" t="str">
        <f t="shared" si="1"/>
        <v/>
      </c>
    </row>
    <row r="32" spans="2:9" s="178" customFormat="1">
      <c r="B32" s="207"/>
      <c r="C32" s="345"/>
      <c r="D32" s="192"/>
      <c r="E32" s="186"/>
      <c r="F32" s="186"/>
      <c r="G32" s="189"/>
      <c r="H32" s="184" t="str">
        <f t="shared" si="1"/>
        <v/>
      </c>
    </row>
    <row r="33" spans="2:8" s="178" customFormat="1" ht="32.450000000000003" customHeight="1">
      <c r="B33" s="207" t="s">
        <v>86</v>
      </c>
      <c r="C33" s="175" t="s">
        <v>1491</v>
      </c>
      <c r="D33" s="186" t="s">
        <v>85</v>
      </c>
      <c r="E33" s="186"/>
      <c r="F33" s="188"/>
      <c r="G33" s="270">
        <v>1000</v>
      </c>
      <c r="H33" s="184">
        <f t="shared" si="1"/>
        <v>0</v>
      </c>
    </row>
    <row r="34" spans="2:8" s="178" customFormat="1">
      <c r="B34" s="207"/>
      <c r="C34" s="175"/>
      <c r="D34" s="186"/>
      <c r="E34" s="186"/>
      <c r="F34" s="188"/>
      <c r="G34" s="189"/>
      <c r="H34" s="184" t="str">
        <f t="shared" si="1"/>
        <v/>
      </c>
    </row>
    <row r="35" spans="2:8" s="178" customFormat="1" ht="29.25" customHeight="1">
      <c r="B35" s="207" t="s">
        <v>117</v>
      </c>
      <c r="C35" s="175" t="s">
        <v>1492</v>
      </c>
      <c r="D35" s="186" t="s">
        <v>85</v>
      </c>
      <c r="E35" s="186"/>
      <c r="F35" s="188"/>
      <c r="G35" s="270">
        <v>1400</v>
      </c>
      <c r="H35" s="184">
        <f t="shared" si="1"/>
        <v>0</v>
      </c>
    </row>
    <row r="36" spans="2:8" s="178" customFormat="1">
      <c r="B36" s="207"/>
      <c r="C36" s="345"/>
      <c r="D36" s="192"/>
      <c r="E36" s="192"/>
      <c r="F36" s="192"/>
      <c r="G36" s="189"/>
      <c r="H36" s="184" t="str">
        <f t="shared" si="1"/>
        <v/>
      </c>
    </row>
    <row r="37" spans="2:8" s="178" customFormat="1">
      <c r="B37" s="207" t="s">
        <v>320</v>
      </c>
      <c r="C37" s="191" t="s">
        <v>1493</v>
      </c>
      <c r="D37" s="186"/>
      <c r="E37" s="186"/>
      <c r="F37" s="186"/>
      <c r="G37" s="189"/>
      <c r="H37" s="184" t="str">
        <f t="shared" ref="H37:H44" si="2">IF(D37="","",F37*G37)</f>
        <v/>
      </c>
    </row>
    <row r="38" spans="2:8" s="178" customFormat="1">
      <c r="B38" s="207"/>
      <c r="C38" s="175"/>
      <c r="D38" s="186"/>
      <c r="E38" s="186"/>
      <c r="F38" s="186"/>
      <c r="G38" s="189"/>
      <c r="H38" s="184" t="str">
        <f t="shared" si="2"/>
        <v/>
      </c>
    </row>
    <row r="39" spans="2:8" s="178" customFormat="1">
      <c r="B39" s="207" t="s">
        <v>83</v>
      </c>
      <c r="C39" s="175" t="s">
        <v>1494</v>
      </c>
      <c r="D39" s="186" t="s">
        <v>85</v>
      </c>
      <c r="E39" s="186"/>
      <c r="F39" s="188"/>
      <c r="G39" s="189">
        <v>850</v>
      </c>
      <c r="H39" s="184">
        <f t="shared" si="2"/>
        <v>0</v>
      </c>
    </row>
    <row r="40" spans="2:8" s="178" customFormat="1">
      <c r="B40" s="207"/>
      <c r="C40" s="175"/>
      <c r="D40" s="186"/>
      <c r="E40" s="186"/>
      <c r="F40" s="186"/>
      <c r="G40" s="189"/>
      <c r="H40" s="184" t="str">
        <f t="shared" si="2"/>
        <v/>
      </c>
    </row>
    <row r="41" spans="2:8" s="178" customFormat="1">
      <c r="B41" s="207" t="s">
        <v>86</v>
      </c>
      <c r="C41" s="175" t="s">
        <v>1495</v>
      </c>
      <c r="D41" s="186" t="s">
        <v>85</v>
      </c>
      <c r="E41" s="186"/>
      <c r="F41" s="188"/>
      <c r="G41" s="189">
        <v>1050</v>
      </c>
      <c r="H41" s="184">
        <f t="shared" si="2"/>
        <v>0</v>
      </c>
    </row>
    <row r="42" spans="2:8" s="178" customFormat="1">
      <c r="B42" s="207"/>
      <c r="C42" s="175"/>
      <c r="D42" s="186"/>
      <c r="E42" s="186"/>
      <c r="F42" s="188"/>
      <c r="G42" s="189"/>
      <c r="H42" s="184" t="str">
        <f t="shared" si="2"/>
        <v/>
      </c>
    </row>
    <row r="43" spans="2:8" s="178" customFormat="1">
      <c r="B43" s="207" t="s">
        <v>117</v>
      </c>
      <c r="C43" s="175" t="s">
        <v>1496</v>
      </c>
      <c r="D43" s="186" t="s">
        <v>85</v>
      </c>
      <c r="E43" s="186"/>
      <c r="F43" s="188"/>
      <c r="G43" s="189">
        <v>1400</v>
      </c>
      <c r="H43" s="184">
        <f t="shared" si="2"/>
        <v>0</v>
      </c>
    </row>
    <row r="44" spans="2:8" s="178" customFormat="1">
      <c r="B44" s="207"/>
      <c r="C44" s="175"/>
      <c r="D44" s="186"/>
      <c r="E44" s="186"/>
      <c r="F44" s="188"/>
      <c r="G44" s="189"/>
      <c r="H44" s="184" t="str">
        <f t="shared" si="2"/>
        <v/>
      </c>
    </row>
    <row r="45" spans="2:8" s="178" customFormat="1">
      <c r="B45" s="207"/>
      <c r="C45" s="191"/>
      <c r="D45" s="186"/>
      <c r="E45" s="192"/>
      <c r="F45" s="188"/>
      <c r="G45" s="189"/>
      <c r="H45" s="184"/>
    </row>
    <row r="46" spans="2:8" s="178" customFormat="1">
      <c r="B46" s="207"/>
      <c r="C46" s="175"/>
      <c r="D46" s="186"/>
      <c r="E46" s="192"/>
      <c r="F46" s="188"/>
      <c r="G46" s="271"/>
      <c r="H46" s="184" t="str">
        <f>IF(D46="","",F46*G46)</f>
        <v/>
      </c>
    </row>
    <row r="47" spans="2:8" s="178" customFormat="1">
      <c r="B47" s="207"/>
      <c r="C47" s="175"/>
      <c r="D47" s="186"/>
      <c r="E47" s="192"/>
      <c r="F47" s="188"/>
      <c r="G47" s="271"/>
      <c r="H47" s="184"/>
    </row>
    <row r="48" spans="2:8" s="178" customFormat="1">
      <c r="B48" s="207"/>
      <c r="C48" s="175"/>
      <c r="D48" s="186"/>
      <c r="E48" s="192"/>
      <c r="F48" s="188"/>
      <c r="G48" s="271"/>
      <c r="H48" s="184"/>
    </row>
    <row r="49" spans="2:9" s="199" customFormat="1" ht="19.5" customHeight="1">
      <c r="B49" s="227" t="str">
        <f>$B$10</f>
        <v>C11.6</v>
      </c>
      <c r="C49" s="194" t="s">
        <v>99</v>
      </c>
      <c r="D49" s="195"/>
      <c r="E49" s="195"/>
      <c r="F49" s="196"/>
      <c r="G49" s="272"/>
      <c r="H49" s="197">
        <f>SUM(H28:H48)</f>
        <v>0</v>
      </c>
      <c r="I49" s="198"/>
    </row>
    <row r="50" spans="2:9">
      <c r="B50" s="745" t="str">
        <f>Client1</f>
        <v>AIRPORTS COMPANY - SOUTH AFRICA</v>
      </c>
      <c r="C50" s="745"/>
      <c r="D50" s="745"/>
      <c r="E50" s="745"/>
      <c r="F50" s="746" t="str">
        <f>"Contract No. "&amp;ContractNo</f>
        <v>Contract No. KSIA7806/2025/RFP</v>
      </c>
      <c r="G50" s="765"/>
      <c r="H50" s="746"/>
    </row>
    <row r="51" spans="2:9">
      <c r="B51" s="745" t="str">
        <f>Client2</f>
        <v>ACSA</v>
      </c>
      <c r="C51" s="745"/>
      <c r="D51" s="745"/>
      <c r="E51" s="745"/>
      <c r="F51" s="746"/>
      <c r="G51" s="765"/>
      <c r="H51" s="746"/>
    </row>
    <row r="52" spans="2:9">
      <c r="B52" s="748"/>
      <c r="C52" s="748"/>
      <c r="D52" s="748"/>
      <c r="E52" s="748"/>
      <c r="F52" s="747"/>
      <c r="G52" s="766"/>
      <c r="H52" s="747"/>
    </row>
    <row r="53" spans="2:9">
      <c r="B53" s="749" t="s">
        <v>456</v>
      </c>
      <c r="C53" s="750"/>
      <c r="D53" s="750"/>
      <c r="E53" s="750"/>
      <c r="F53" s="750"/>
      <c r="G53" s="762"/>
      <c r="H53" s="751" t="str">
        <f>$H$4</f>
        <v xml:space="preserve">CHAPTER </v>
      </c>
      <c r="I53" s="234"/>
    </row>
    <row r="54" spans="2:9">
      <c r="B54" s="752" t="str">
        <f>ContractDescription</f>
        <v>PROCUREMENT OF A CIDB GRADE 9 CE CONTRACTOR THE COMPLETION OF BRAVO TAXIWAY EXTENSION AT KING SHAKA INTERNATIONAL AIRPORT FOR A PERIOD OF 12 MONTHS AT KING SHAKA INTERNATIONAL AIRPORT</v>
      </c>
      <c r="C54" s="753"/>
      <c r="D54" s="753"/>
      <c r="E54" s="753"/>
      <c r="F54" s="753"/>
      <c r="G54" s="763"/>
      <c r="H54" s="746"/>
      <c r="I54" s="180"/>
    </row>
    <row r="55" spans="2:9">
      <c r="B55" s="752"/>
      <c r="C55" s="753"/>
      <c r="D55" s="753"/>
      <c r="E55" s="753"/>
      <c r="F55" s="753"/>
      <c r="G55" s="763"/>
      <c r="H55" s="746"/>
      <c r="I55" s="180"/>
    </row>
    <row r="56" spans="2:9">
      <c r="B56" s="754"/>
      <c r="C56" s="755"/>
      <c r="D56" s="755"/>
      <c r="E56" s="755"/>
      <c r="F56" s="755"/>
      <c r="G56" s="764"/>
      <c r="H56" s="747"/>
      <c r="I56" s="180"/>
    </row>
    <row r="57" spans="2:9" s="183" customFormat="1" ht="24.95" customHeight="1">
      <c r="B57" s="203" t="s">
        <v>11</v>
      </c>
      <c r="C57" s="181" t="s">
        <v>12</v>
      </c>
      <c r="D57" s="181" t="s">
        <v>13</v>
      </c>
      <c r="E57" s="181" t="s">
        <v>14</v>
      </c>
      <c r="F57" s="181">
        <v>350000</v>
      </c>
      <c r="G57" s="269" t="s">
        <v>16</v>
      </c>
      <c r="H57" s="181" t="s">
        <v>17</v>
      </c>
      <c r="I57" s="182"/>
    </row>
    <row r="58" spans="2:9" s="199" customFormat="1" ht="19.5" customHeight="1">
      <c r="B58" s="227"/>
      <c r="C58" s="194" t="s">
        <v>140</v>
      </c>
      <c r="D58" s="195"/>
      <c r="E58" s="195"/>
      <c r="F58" s="196"/>
      <c r="G58" s="272"/>
      <c r="H58" s="197">
        <f>H49</f>
        <v>0</v>
      </c>
      <c r="I58" s="198"/>
    </row>
    <row r="59" spans="2:9" s="178" customFormat="1">
      <c r="B59" s="207"/>
      <c r="C59" s="175"/>
      <c r="D59" s="186"/>
      <c r="E59" s="192"/>
      <c r="F59" s="188"/>
      <c r="G59" s="271"/>
      <c r="H59" s="184"/>
    </row>
    <row r="60" spans="2:9" s="178" customFormat="1">
      <c r="B60" s="207" t="s">
        <v>1497</v>
      </c>
      <c r="C60" s="175" t="s">
        <v>1498</v>
      </c>
      <c r="D60" s="186"/>
      <c r="E60" s="192"/>
      <c r="F60" s="188"/>
      <c r="G60" s="189"/>
      <c r="H60" s="184" t="str">
        <f>IF(D60="","",F60*G60)</f>
        <v/>
      </c>
    </row>
    <row r="61" spans="2:9" s="178" customFormat="1">
      <c r="B61" s="207"/>
      <c r="C61" s="175"/>
      <c r="D61" s="186"/>
      <c r="E61" s="192"/>
      <c r="F61" s="188"/>
      <c r="G61" s="271"/>
      <c r="H61" s="184" t="str">
        <f>IF(D61="","",F61*G61)</f>
        <v/>
      </c>
    </row>
    <row r="62" spans="2:9" s="178" customFormat="1">
      <c r="B62" s="207" t="s">
        <v>1499</v>
      </c>
      <c r="C62" s="175" t="s">
        <v>1500</v>
      </c>
      <c r="D62" s="186"/>
      <c r="E62" s="192"/>
      <c r="F62" s="188"/>
      <c r="G62" s="271"/>
      <c r="H62" s="184"/>
    </row>
    <row r="63" spans="2:9" s="178" customFormat="1">
      <c r="B63" s="207" t="s">
        <v>83</v>
      </c>
      <c r="C63" s="175" t="s">
        <v>1501</v>
      </c>
      <c r="D63" s="186" t="s">
        <v>145</v>
      </c>
      <c r="E63" s="186"/>
      <c r="F63" s="188"/>
      <c r="G63" s="189">
        <v>350</v>
      </c>
      <c r="H63" s="184">
        <f t="shared" ref="H63:H78" si="3">IF(D63="","",F63*G63)</f>
        <v>0</v>
      </c>
    </row>
    <row r="64" spans="2:9" s="178" customFormat="1">
      <c r="B64" s="207"/>
      <c r="C64" s="175"/>
      <c r="D64" s="186"/>
      <c r="E64" s="186"/>
      <c r="F64" s="188"/>
      <c r="G64" s="189"/>
      <c r="H64" s="184" t="str">
        <f t="shared" si="3"/>
        <v/>
      </c>
    </row>
    <row r="65" spans="2:8" s="178" customFormat="1">
      <c r="B65" s="207" t="s">
        <v>86</v>
      </c>
      <c r="C65" s="175" t="s">
        <v>1502</v>
      </c>
      <c r="D65" s="186" t="s">
        <v>145</v>
      </c>
      <c r="E65" s="186"/>
      <c r="F65" s="188"/>
      <c r="G65" s="189">
        <v>500</v>
      </c>
      <c r="H65" s="184">
        <f t="shared" si="3"/>
        <v>0</v>
      </c>
    </row>
    <row r="66" spans="2:8" s="178" customFormat="1">
      <c r="B66" s="207"/>
      <c r="C66" s="175"/>
      <c r="D66" s="186"/>
      <c r="E66" s="186"/>
      <c r="F66" s="188"/>
      <c r="G66" s="189"/>
      <c r="H66" s="184" t="str">
        <f t="shared" si="3"/>
        <v/>
      </c>
    </row>
    <row r="67" spans="2:8" s="178" customFormat="1" ht="25.5">
      <c r="B67" s="207" t="s">
        <v>1503</v>
      </c>
      <c r="C67" s="175" t="s">
        <v>1504</v>
      </c>
      <c r="D67" s="186"/>
      <c r="E67" s="186"/>
      <c r="F67" s="188"/>
      <c r="G67" s="189"/>
      <c r="H67" s="184" t="str">
        <f t="shared" si="3"/>
        <v/>
      </c>
    </row>
    <row r="68" spans="2:8" s="178" customFormat="1">
      <c r="B68" s="207"/>
      <c r="C68" s="175"/>
      <c r="D68" s="186"/>
      <c r="E68" s="186"/>
      <c r="F68" s="188"/>
      <c r="G68" s="189"/>
      <c r="H68" s="184" t="str">
        <f t="shared" si="3"/>
        <v/>
      </c>
    </row>
    <row r="69" spans="2:8" s="178" customFormat="1">
      <c r="B69" s="207" t="s">
        <v>83</v>
      </c>
      <c r="C69" s="175" t="s">
        <v>1502</v>
      </c>
      <c r="D69" s="186" t="s">
        <v>145</v>
      </c>
      <c r="E69" s="186"/>
      <c r="F69" s="188"/>
      <c r="G69" s="189">
        <v>500</v>
      </c>
      <c r="H69" s="184">
        <f t="shared" si="3"/>
        <v>0</v>
      </c>
    </row>
    <row r="70" spans="2:8" s="178" customFormat="1">
      <c r="B70" s="207"/>
      <c r="C70" s="175"/>
      <c r="D70" s="186"/>
      <c r="E70" s="186"/>
      <c r="F70" s="188"/>
      <c r="G70" s="189"/>
      <c r="H70" s="184" t="str">
        <f t="shared" si="3"/>
        <v/>
      </c>
    </row>
    <row r="71" spans="2:8" s="178" customFormat="1">
      <c r="B71" s="207" t="s">
        <v>1505</v>
      </c>
      <c r="C71" s="175" t="s">
        <v>1506</v>
      </c>
      <c r="D71" s="186"/>
      <c r="E71" s="186"/>
      <c r="F71" s="186"/>
      <c r="G71" s="189"/>
      <c r="H71" s="184" t="str">
        <f t="shared" si="3"/>
        <v/>
      </c>
    </row>
    <row r="72" spans="2:8" s="178" customFormat="1">
      <c r="B72" s="207"/>
      <c r="C72" s="175"/>
      <c r="D72" s="186"/>
      <c r="E72" s="186"/>
      <c r="F72" s="186"/>
      <c r="G72" s="189"/>
      <c r="H72" s="184" t="str">
        <f t="shared" si="3"/>
        <v/>
      </c>
    </row>
    <row r="73" spans="2:8" s="178" customFormat="1">
      <c r="B73" s="207" t="s">
        <v>1507</v>
      </c>
      <c r="C73" s="175" t="s">
        <v>1508</v>
      </c>
      <c r="D73" s="186" t="s">
        <v>347</v>
      </c>
      <c r="E73" s="186" t="s">
        <v>14</v>
      </c>
      <c r="F73" s="186"/>
      <c r="G73" s="189">
        <v>250</v>
      </c>
      <c r="H73" s="184">
        <f t="shared" si="3"/>
        <v>0</v>
      </c>
    </row>
    <row r="74" spans="2:8" s="178" customFormat="1">
      <c r="B74" s="207"/>
      <c r="C74" s="175"/>
      <c r="D74" s="186"/>
      <c r="E74" s="186"/>
      <c r="F74" s="186"/>
      <c r="G74" s="189"/>
      <c r="H74" s="184" t="str">
        <f t="shared" si="3"/>
        <v/>
      </c>
    </row>
    <row r="75" spans="2:8" s="178" customFormat="1" ht="25.5">
      <c r="B75" s="207" t="s">
        <v>1509</v>
      </c>
      <c r="C75" s="191" t="s">
        <v>1510</v>
      </c>
      <c r="D75" s="192"/>
      <c r="E75" s="186"/>
      <c r="F75" s="186"/>
      <c r="G75" s="189"/>
      <c r="H75" s="184" t="str">
        <f t="shared" si="3"/>
        <v/>
      </c>
    </row>
    <row r="76" spans="2:8" s="178" customFormat="1">
      <c r="B76" s="207"/>
      <c r="C76" s="345"/>
      <c r="D76" s="192"/>
      <c r="E76" s="186"/>
      <c r="F76" s="186"/>
      <c r="G76" s="189"/>
      <c r="H76" s="184" t="str">
        <f t="shared" si="3"/>
        <v/>
      </c>
    </row>
    <row r="77" spans="2:8" s="178" customFormat="1">
      <c r="B77" s="207" t="s">
        <v>1511</v>
      </c>
      <c r="C77" s="175" t="s">
        <v>1512</v>
      </c>
      <c r="D77" s="186" t="s">
        <v>337</v>
      </c>
      <c r="E77" s="186" t="s">
        <v>14</v>
      </c>
      <c r="F77" s="186"/>
      <c r="G77" s="189">
        <v>450</v>
      </c>
      <c r="H77" s="184">
        <f t="shared" si="3"/>
        <v>0</v>
      </c>
    </row>
    <row r="78" spans="2:8" s="178" customFormat="1">
      <c r="B78" s="207"/>
      <c r="C78" s="175"/>
      <c r="D78" s="186"/>
      <c r="E78" s="186"/>
      <c r="F78" s="186"/>
      <c r="G78" s="189"/>
      <c r="H78" s="184" t="str">
        <f t="shared" si="3"/>
        <v/>
      </c>
    </row>
    <row r="79" spans="2:8" s="178" customFormat="1">
      <c r="B79" s="207" t="s">
        <v>1513</v>
      </c>
      <c r="C79" s="175" t="s">
        <v>1514</v>
      </c>
      <c r="D79" s="186" t="s">
        <v>337</v>
      </c>
      <c r="E79" s="186" t="s">
        <v>14</v>
      </c>
      <c r="F79" s="186"/>
      <c r="G79" s="189">
        <v>500</v>
      </c>
      <c r="H79" s="184">
        <f t="shared" ref="H79:H98" si="4">IF(D79="","",F79*G79)</f>
        <v>0</v>
      </c>
    </row>
    <row r="80" spans="2:8" s="178" customFormat="1">
      <c r="B80" s="207"/>
      <c r="C80" s="175"/>
      <c r="D80" s="186"/>
      <c r="E80" s="186"/>
      <c r="F80" s="186"/>
      <c r="G80" s="189"/>
      <c r="H80" s="184" t="str">
        <f t="shared" si="4"/>
        <v/>
      </c>
    </row>
    <row r="81" spans="2:9" s="178" customFormat="1" ht="31.15" customHeight="1">
      <c r="B81" s="207" t="s">
        <v>1515</v>
      </c>
      <c r="C81" s="175" t="s">
        <v>1516</v>
      </c>
      <c r="D81" s="186" t="s">
        <v>337</v>
      </c>
      <c r="E81" s="186"/>
      <c r="F81" s="186"/>
      <c r="G81" s="189">
        <v>450</v>
      </c>
      <c r="H81" s="184">
        <f t="shared" si="4"/>
        <v>0</v>
      </c>
    </row>
    <row r="82" spans="2:9" s="178" customFormat="1">
      <c r="B82" s="207"/>
      <c r="C82" s="175"/>
      <c r="D82" s="186"/>
      <c r="E82" s="186"/>
      <c r="F82" s="186"/>
      <c r="G82" s="189"/>
      <c r="H82" s="184" t="str">
        <f t="shared" si="4"/>
        <v/>
      </c>
    </row>
    <row r="83" spans="2:9" s="178" customFormat="1" hidden="1">
      <c r="B83" s="207"/>
      <c r="C83" s="175"/>
      <c r="D83" s="186"/>
      <c r="E83" s="186"/>
      <c r="F83" s="188"/>
      <c r="G83" s="189"/>
      <c r="H83" s="184" t="str">
        <f t="shared" si="4"/>
        <v/>
      </c>
    </row>
    <row r="84" spans="2:9" s="199" customFormat="1" ht="19.5" hidden="1" customHeight="1">
      <c r="B84" s="227" t="str">
        <f>$B$10</f>
        <v>C11.6</v>
      </c>
      <c r="C84" s="194" t="s">
        <v>99</v>
      </c>
      <c r="D84" s="195"/>
      <c r="E84" s="195"/>
      <c r="F84" s="196"/>
      <c r="G84" s="272"/>
      <c r="H84" s="197">
        <f>SUM(H58:H83)</f>
        <v>0</v>
      </c>
      <c r="I84" s="198"/>
    </row>
    <row r="85" spans="2:9" hidden="1">
      <c r="B85" s="745" t="str">
        <f>Client1</f>
        <v>AIRPORTS COMPANY - SOUTH AFRICA</v>
      </c>
      <c r="C85" s="745"/>
      <c r="D85" s="745"/>
      <c r="E85" s="745"/>
      <c r="F85" s="746" t="str">
        <f>"Contract No. "&amp;ContractNo</f>
        <v>Contract No. KSIA7806/2025/RFP</v>
      </c>
      <c r="G85" s="746"/>
      <c r="H85" s="746"/>
    </row>
    <row r="86" spans="2:9" hidden="1">
      <c r="B86" s="745" t="str">
        <f>Client2</f>
        <v>ACSA</v>
      </c>
      <c r="C86" s="745"/>
      <c r="D86" s="745"/>
      <c r="E86" s="745"/>
      <c r="F86" s="746"/>
      <c r="G86" s="746"/>
      <c r="H86" s="746"/>
    </row>
    <row r="87" spans="2:9" hidden="1">
      <c r="B87" s="748"/>
      <c r="C87" s="748"/>
      <c r="D87" s="748"/>
      <c r="E87" s="748"/>
      <c r="F87" s="747"/>
      <c r="G87" s="747"/>
      <c r="H87" s="747"/>
    </row>
    <row r="88" spans="2:9" hidden="1">
      <c r="B88" s="749" t="s">
        <v>456</v>
      </c>
      <c r="C88" s="750"/>
      <c r="D88" s="750"/>
      <c r="E88" s="750"/>
      <c r="F88" s="750"/>
      <c r="G88" s="750"/>
      <c r="H88" s="751" t="str">
        <f>$H$4</f>
        <v xml:space="preserve">CHAPTER </v>
      </c>
      <c r="I88" s="234"/>
    </row>
    <row r="89" spans="2:9" hidden="1">
      <c r="B89" s="752" t="str">
        <f>ContractDescription</f>
        <v>PROCUREMENT OF A CIDB GRADE 9 CE CONTRACTOR THE COMPLETION OF BRAVO TAXIWAY EXTENSION AT KING SHAKA INTERNATIONAL AIRPORT FOR A PERIOD OF 12 MONTHS AT KING SHAKA INTERNATIONAL AIRPORT</v>
      </c>
      <c r="C89" s="753"/>
      <c r="D89" s="753"/>
      <c r="E89" s="753"/>
      <c r="F89" s="753"/>
      <c r="G89" s="753"/>
      <c r="H89" s="746"/>
      <c r="I89" s="180"/>
    </row>
    <row r="90" spans="2:9" hidden="1">
      <c r="B90" s="752"/>
      <c r="C90" s="753"/>
      <c r="D90" s="753"/>
      <c r="E90" s="753"/>
      <c r="F90" s="753"/>
      <c r="G90" s="753"/>
      <c r="H90" s="746"/>
      <c r="I90" s="180"/>
    </row>
    <row r="91" spans="2:9" hidden="1">
      <c r="B91" s="754"/>
      <c r="C91" s="755"/>
      <c r="D91" s="755"/>
      <c r="E91" s="755"/>
      <c r="F91" s="755"/>
      <c r="G91" s="755"/>
      <c r="H91" s="747"/>
      <c r="I91" s="180"/>
    </row>
    <row r="92" spans="2:9" s="183" customFormat="1" ht="24.95" hidden="1" customHeight="1">
      <c r="B92" s="203" t="s">
        <v>11</v>
      </c>
      <c r="C92" s="181" t="s">
        <v>12</v>
      </c>
      <c r="D92" s="181" t="s">
        <v>13</v>
      </c>
      <c r="E92" s="181" t="s">
        <v>14</v>
      </c>
      <c r="F92" s="181" t="s">
        <v>15</v>
      </c>
      <c r="G92" s="269" t="s">
        <v>16</v>
      </c>
      <c r="H92" s="181" t="s">
        <v>17</v>
      </c>
      <c r="I92" s="182"/>
    </row>
    <row r="93" spans="2:9" s="199" customFormat="1" ht="20.45" hidden="1" customHeight="1">
      <c r="B93" s="227"/>
      <c r="C93" s="194" t="s">
        <v>140</v>
      </c>
      <c r="D93" s="195"/>
      <c r="E93" s="195"/>
      <c r="F93" s="196"/>
      <c r="G93" s="272"/>
      <c r="H93" s="197">
        <f>H84</f>
        <v>0</v>
      </c>
      <c r="I93" s="198"/>
    </row>
    <row r="94" spans="2:9" s="178" customFormat="1" hidden="1">
      <c r="B94" s="207"/>
      <c r="C94" s="175"/>
      <c r="D94" s="186"/>
      <c r="E94" s="186"/>
      <c r="F94" s="188"/>
      <c r="G94" s="189"/>
      <c r="H94" s="184"/>
    </row>
    <row r="95" spans="2:9" s="178" customFormat="1">
      <c r="B95" s="207" t="s">
        <v>1517</v>
      </c>
      <c r="C95" s="175" t="s">
        <v>1518</v>
      </c>
      <c r="D95" s="186"/>
      <c r="E95" s="192"/>
      <c r="F95" s="192"/>
      <c r="G95" s="189"/>
      <c r="H95" s="184" t="str">
        <f t="shared" si="4"/>
        <v/>
      </c>
    </row>
    <row r="96" spans="2:9" s="178" customFormat="1">
      <c r="B96" s="207"/>
      <c r="C96" s="345"/>
      <c r="D96" s="192"/>
      <c r="E96" s="192"/>
      <c r="F96" s="192"/>
      <c r="G96" s="189"/>
      <c r="H96" s="184" t="str">
        <f t="shared" si="4"/>
        <v/>
      </c>
    </row>
    <row r="97" spans="2:9" s="178" customFormat="1">
      <c r="B97" s="207" t="s">
        <v>1519</v>
      </c>
      <c r="C97" s="175" t="s">
        <v>1520</v>
      </c>
      <c r="D97" s="186" t="s">
        <v>85</v>
      </c>
      <c r="E97" s="186" t="s">
        <v>14</v>
      </c>
      <c r="F97" s="186"/>
      <c r="G97" s="189">
        <v>550</v>
      </c>
      <c r="H97" s="184">
        <f t="shared" si="4"/>
        <v>0</v>
      </c>
    </row>
    <row r="98" spans="2:9" s="178" customFormat="1">
      <c r="B98" s="207"/>
      <c r="C98" s="345"/>
      <c r="D98" s="192"/>
      <c r="E98" s="186"/>
      <c r="F98" s="186"/>
      <c r="G98" s="189"/>
      <c r="H98" s="184" t="str">
        <f t="shared" si="4"/>
        <v/>
      </c>
    </row>
    <row r="99" spans="2:9" s="178" customFormat="1">
      <c r="B99" s="207"/>
      <c r="C99" s="175"/>
      <c r="D99" s="186"/>
      <c r="E99" s="186"/>
      <c r="F99" s="188"/>
      <c r="G99" s="189"/>
      <c r="H99" s="184"/>
    </row>
    <row r="100" spans="2:9" s="178" customFormat="1">
      <c r="B100" s="207"/>
      <c r="C100" s="175"/>
      <c r="D100" s="186"/>
      <c r="E100" s="186"/>
      <c r="F100" s="188"/>
      <c r="G100" s="189"/>
      <c r="H100" s="184"/>
    </row>
    <row r="101" spans="2:9" s="178" customFormat="1">
      <c r="B101" s="207"/>
      <c r="C101" s="175"/>
      <c r="D101" s="186"/>
      <c r="E101" s="186"/>
      <c r="F101" s="188"/>
      <c r="G101" s="189"/>
      <c r="H101" s="184"/>
    </row>
    <row r="102" spans="2:9" s="178" customFormat="1">
      <c r="B102" s="207"/>
      <c r="C102" s="175"/>
      <c r="D102" s="186"/>
      <c r="E102" s="186"/>
      <c r="F102" s="188"/>
      <c r="G102" s="189"/>
      <c r="H102" s="184"/>
    </row>
    <row r="103" spans="2:9" s="178" customFormat="1">
      <c r="B103" s="207"/>
      <c r="C103" s="175"/>
      <c r="D103" s="186"/>
      <c r="E103" s="186"/>
      <c r="F103" s="188"/>
      <c r="G103" s="189"/>
      <c r="H103" s="184"/>
    </row>
    <row r="104" spans="2:9" s="199" customFormat="1" ht="24.75" customHeight="1">
      <c r="B104" s="228" t="str">
        <f>$B$10</f>
        <v>C11.6</v>
      </c>
      <c r="C104" s="194" t="s">
        <v>125</v>
      </c>
      <c r="D104" s="195"/>
      <c r="E104" s="195"/>
      <c r="F104" s="196"/>
      <c r="G104" s="272"/>
      <c r="H104" s="197">
        <f>SUM(H93:H103)</f>
        <v>0</v>
      </c>
      <c r="I104" s="198"/>
    </row>
    <row r="105" spans="2:9">
      <c r="F105" s="230"/>
    </row>
    <row r="106" spans="2:9">
      <c r="F106" s="230"/>
    </row>
    <row r="107" spans="2:9">
      <c r="F107" s="230"/>
    </row>
    <row r="108" spans="2:9">
      <c r="F108" s="230"/>
    </row>
    <row r="109" spans="2:9">
      <c r="F109" s="230"/>
    </row>
    <row r="110" spans="2:9">
      <c r="F110" s="230"/>
    </row>
    <row r="111" spans="2:9">
      <c r="F111" s="230"/>
    </row>
    <row r="112" spans="2:9">
      <c r="F112" s="230"/>
    </row>
    <row r="113" spans="6:6">
      <c r="F113" s="230"/>
    </row>
    <row r="114" spans="6:6">
      <c r="F114" s="230"/>
    </row>
  </sheetData>
  <mergeCells count="25">
    <mergeCell ref="F1:H1"/>
    <mergeCell ref="H4:H7"/>
    <mergeCell ref="B4:G4"/>
    <mergeCell ref="B5:G7"/>
    <mergeCell ref="B20:E20"/>
    <mergeCell ref="F20:H22"/>
    <mergeCell ref="B21:E21"/>
    <mergeCell ref="B22:E22"/>
    <mergeCell ref="B23:G23"/>
    <mergeCell ref="H23:H26"/>
    <mergeCell ref="B24:G26"/>
    <mergeCell ref="B50:E50"/>
    <mergeCell ref="F50:H52"/>
    <mergeCell ref="B51:E51"/>
    <mergeCell ref="B52:E52"/>
    <mergeCell ref="B88:G88"/>
    <mergeCell ref="H88:H91"/>
    <mergeCell ref="B89:G91"/>
    <mergeCell ref="B53:G53"/>
    <mergeCell ref="H53:H56"/>
    <mergeCell ref="B54:G56"/>
    <mergeCell ref="B85:E85"/>
    <mergeCell ref="F85:H87"/>
    <mergeCell ref="B86:E86"/>
    <mergeCell ref="B87:E87"/>
  </mergeCells>
  <pageMargins left="0.43307086614173229" right="0.31496062992125984" top="0.43307086614173229" bottom="0.62992125984251968" header="0.35433070866141736" footer="0.31496062992125984"/>
  <pageSetup paperSize="9" scale="77" firstPageNumber="31"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rowBreaks count="1" manualBreakCount="1">
    <brk id="49" max="8"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87">
    <tabColor rgb="FF00B0F0"/>
  </sheetPr>
  <dimension ref="B1:N62"/>
  <sheetViews>
    <sheetView view="pageBreakPreview" topLeftCell="A14" zoomScaleNormal="100" zoomScaleSheetLayoutView="100" workbookViewId="0">
      <selection activeCell="C27" sqref="C27"/>
    </sheetView>
  </sheetViews>
  <sheetFormatPr defaultColWidth="8.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24.7109375" style="399" customWidth="1"/>
    <col min="9" max="9" width="41.85546875" style="3" hidden="1" customWidth="1"/>
    <col min="10" max="11" width="0" style="3" hidden="1" customWidth="1"/>
    <col min="12" max="12" width="10.85546875" style="3" hidden="1" customWidth="1"/>
    <col min="13" max="13" width="12.7109375" style="3" hidden="1" customWidth="1"/>
    <col min="14" max="14" width="9" style="3" hidden="1" customWidth="1"/>
    <col min="15" max="36" width="0" style="3" hidden="1" customWidth="1"/>
    <col min="37" max="16384" width="8.85546875" style="3"/>
  </cols>
  <sheetData>
    <row r="1" spans="2:9" ht="21" customHeight="1">
      <c r="B1" s="2" t="str">
        <f>Client1</f>
        <v>AIRPORTS COMPANY - SOUTH AFRICA</v>
      </c>
      <c r="F1" s="676" t="str">
        <f>"Contract No. "&amp;ContractNo</f>
        <v>Contract No. KSIA7806/2025/RFP</v>
      </c>
      <c r="G1" s="676"/>
      <c r="H1" s="676"/>
    </row>
    <row r="2" spans="2:9">
      <c r="B2" s="2" t="str">
        <f>Client2</f>
        <v>ACSA</v>
      </c>
    </row>
    <row r="3" spans="2:9">
      <c r="B3" s="3"/>
    </row>
    <row r="4" spans="2:9" ht="12.75" customHeight="1">
      <c r="B4" s="695" t="s">
        <v>366</v>
      </c>
      <c r="C4" s="696"/>
      <c r="D4" s="696"/>
      <c r="E4" s="696"/>
      <c r="F4" s="696"/>
      <c r="G4" s="696"/>
      <c r="H4" s="708" t="str">
        <f>"CHAPTER "&amp;B10</f>
        <v>CHAPTER C11.7</v>
      </c>
      <c r="I4" s="676" t="s">
        <v>100</v>
      </c>
    </row>
    <row r="5" spans="2:9" ht="7.5" customHeight="1">
      <c r="B5" s="690" t="s">
        <v>354</v>
      </c>
      <c r="C5" s="691"/>
      <c r="D5" s="691"/>
      <c r="E5" s="691"/>
      <c r="F5" s="691"/>
      <c r="G5" s="691"/>
      <c r="H5" s="709"/>
      <c r="I5" s="676"/>
    </row>
    <row r="6" spans="2:9" ht="12.75" customHeight="1">
      <c r="B6" s="690"/>
      <c r="C6" s="691"/>
      <c r="D6" s="691"/>
      <c r="E6" s="691"/>
      <c r="F6" s="691"/>
      <c r="G6" s="691"/>
      <c r="H6" s="709"/>
      <c r="I6" s="676"/>
    </row>
    <row r="7" spans="2:9" s="2" customFormat="1" ht="17.25" customHeight="1">
      <c r="B7" s="692"/>
      <c r="C7" s="693"/>
      <c r="D7" s="693"/>
      <c r="E7" s="693"/>
      <c r="F7" s="693"/>
      <c r="G7" s="693"/>
      <c r="H7" s="710"/>
      <c r="I7" s="676"/>
    </row>
    <row r="8" spans="2:9" s="2" customFormat="1" ht="24.95" customHeight="1">
      <c r="B8" s="282" t="s">
        <v>11</v>
      </c>
      <c r="C8" s="280" t="s">
        <v>12</v>
      </c>
      <c r="D8" s="280" t="s">
        <v>13</v>
      </c>
      <c r="E8" s="280" t="s">
        <v>14</v>
      </c>
      <c r="F8" s="11" t="s">
        <v>15</v>
      </c>
      <c r="G8" s="409" t="s">
        <v>16</v>
      </c>
      <c r="H8" s="364" t="s">
        <v>17</v>
      </c>
      <c r="I8" s="676"/>
    </row>
    <row r="9" spans="2:9">
      <c r="B9" s="13"/>
      <c r="C9" s="14"/>
      <c r="D9" s="14"/>
      <c r="E9" s="14"/>
      <c r="F9" s="22"/>
      <c r="G9" s="410"/>
      <c r="H9" s="363" t="str">
        <f t="shared" ref="H9:H12" si="0">IF(D9="","",F9*G9)</f>
        <v/>
      </c>
      <c r="I9" s="284"/>
    </row>
    <row r="10" spans="2:9">
      <c r="B10" s="19" t="s">
        <v>1521</v>
      </c>
      <c r="C10" s="20" t="s">
        <v>1522</v>
      </c>
      <c r="D10" s="14"/>
      <c r="E10" s="14"/>
      <c r="F10" s="22"/>
      <c r="G10" s="410"/>
      <c r="H10" s="363" t="str">
        <f t="shared" si="0"/>
        <v/>
      </c>
      <c r="I10" s="284"/>
    </row>
    <row r="11" spans="2:9">
      <c r="B11" s="19"/>
      <c r="C11" s="20"/>
      <c r="D11" s="14"/>
      <c r="E11" s="14"/>
      <c r="F11" s="22"/>
      <c r="G11" s="410"/>
      <c r="H11" s="363"/>
      <c r="I11" s="284"/>
    </row>
    <row r="12" spans="2:9" ht="10.15" customHeight="1">
      <c r="B12" s="13"/>
      <c r="C12" s="185" t="s">
        <v>1523</v>
      </c>
      <c r="D12" s="14"/>
      <c r="E12" s="14"/>
      <c r="F12" s="22"/>
      <c r="G12" s="410"/>
      <c r="H12" s="363" t="str">
        <f t="shared" si="0"/>
        <v/>
      </c>
      <c r="I12" s="284"/>
    </row>
    <row r="13" spans="2:9" ht="10.15" customHeight="1">
      <c r="B13" s="13"/>
      <c r="C13" s="185"/>
      <c r="D13" s="14"/>
      <c r="E13" s="14"/>
      <c r="F13" s="22"/>
      <c r="G13" s="410"/>
      <c r="H13" s="363"/>
      <c r="I13" s="284"/>
    </row>
    <row r="14" spans="2:9">
      <c r="B14" s="98" t="s">
        <v>1524</v>
      </c>
      <c r="C14" s="445" t="s">
        <v>1525</v>
      </c>
      <c r="D14" s="446"/>
      <c r="E14" s="14"/>
      <c r="F14" s="22"/>
      <c r="G14" s="410"/>
      <c r="H14" s="363"/>
      <c r="I14" s="284"/>
    </row>
    <row r="15" spans="2:9">
      <c r="B15" s="98"/>
      <c r="C15" s="445"/>
      <c r="D15" s="447"/>
      <c r="E15" s="14"/>
      <c r="F15" s="22"/>
      <c r="G15" s="410"/>
      <c r="H15" s="363"/>
      <c r="I15" s="284"/>
    </row>
    <row r="16" spans="2:9" ht="24">
      <c r="B16" s="97" t="s">
        <v>1526</v>
      </c>
      <c r="C16" s="445" t="s">
        <v>1527</v>
      </c>
      <c r="D16" s="446" t="s">
        <v>242</v>
      </c>
      <c r="E16" s="14" t="s">
        <v>14</v>
      </c>
      <c r="F16" s="314">
        <v>3</v>
      </c>
      <c r="G16" s="601"/>
      <c r="H16" s="371">
        <f t="shared" ref="H16:H24" si="1">IF(D16="","",F16*G16)</f>
        <v>0</v>
      </c>
      <c r="I16" s="284"/>
    </row>
    <row r="17" spans="2:13">
      <c r="B17" s="98"/>
      <c r="C17" s="445"/>
      <c r="D17" s="447"/>
      <c r="E17" s="14"/>
      <c r="F17" s="314"/>
      <c r="G17" s="602"/>
      <c r="H17" s="371" t="str">
        <f t="shared" si="1"/>
        <v/>
      </c>
      <c r="I17" s="284"/>
    </row>
    <row r="18" spans="2:13" ht="24">
      <c r="B18" s="97" t="s">
        <v>1528</v>
      </c>
      <c r="C18" s="445" t="s">
        <v>1529</v>
      </c>
      <c r="D18" s="446" t="s">
        <v>242</v>
      </c>
      <c r="E18" s="14" t="s">
        <v>14</v>
      </c>
      <c r="F18" s="314">
        <v>7.5</v>
      </c>
      <c r="G18" s="601"/>
      <c r="H18" s="371">
        <f t="shared" si="1"/>
        <v>0</v>
      </c>
      <c r="I18" s="284"/>
    </row>
    <row r="19" spans="2:13">
      <c r="B19" s="98"/>
      <c r="C19" s="445"/>
      <c r="D19" s="447"/>
      <c r="E19" s="14"/>
      <c r="F19" s="314"/>
      <c r="G19" s="602"/>
      <c r="H19" s="371" t="str">
        <f t="shared" si="1"/>
        <v/>
      </c>
      <c r="I19" s="284"/>
    </row>
    <row r="20" spans="2:13" ht="24">
      <c r="B20" s="97" t="s">
        <v>1530</v>
      </c>
      <c r="C20" s="445" t="s">
        <v>1531</v>
      </c>
      <c r="D20" s="446" t="s">
        <v>242</v>
      </c>
      <c r="E20" s="14" t="s">
        <v>14</v>
      </c>
      <c r="F20" s="320">
        <v>0.2</v>
      </c>
      <c r="G20" s="601"/>
      <c r="H20" s="371">
        <f t="shared" si="1"/>
        <v>0</v>
      </c>
      <c r="I20" s="284"/>
    </row>
    <row r="21" spans="2:13">
      <c r="B21" s="98"/>
      <c r="C21" s="449"/>
      <c r="D21" s="447"/>
      <c r="E21" s="14"/>
      <c r="F21" s="314"/>
      <c r="G21" s="602"/>
      <c r="H21" s="371"/>
      <c r="I21" s="284"/>
    </row>
    <row r="22" spans="2:13">
      <c r="B22" s="97" t="s">
        <v>1532</v>
      </c>
      <c r="C22" s="450" t="s">
        <v>1533</v>
      </c>
      <c r="D22" s="446" t="s">
        <v>1534</v>
      </c>
      <c r="E22" s="14" t="s">
        <v>14</v>
      </c>
      <c r="F22" s="314">
        <v>400</v>
      </c>
      <c r="G22" s="601"/>
      <c r="H22" s="371">
        <f t="shared" si="1"/>
        <v>0</v>
      </c>
      <c r="I22" s="284"/>
    </row>
    <row r="23" spans="2:13">
      <c r="B23" s="98"/>
      <c r="C23" s="445"/>
      <c r="D23" s="447"/>
      <c r="E23" s="14"/>
      <c r="F23" s="314"/>
      <c r="G23" s="603"/>
      <c r="H23" s="371" t="str">
        <f t="shared" si="1"/>
        <v/>
      </c>
      <c r="I23" s="284"/>
    </row>
    <row r="24" spans="2:13" ht="24">
      <c r="B24" s="97" t="s">
        <v>1535</v>
      </c>
      <c r="C24" s="445" t="s">
        <v>1536</v>
      </c>
      <c r="D24" s="446" t="s">
        <v>1534</v>
      </c>
      <c r="E24" s="14" t="s">
        <v>14</v>
      </c>
      <c r="F24" s="314">
        <v>1400</v>
      </c>
      <c r="G24" s="601"/>
      <c r="H24" s="371">
        <f t="shared" si="1"/>
        <v>0</v>
      </c>
      <c r="I24" s="284"/>
    </row>
    <row r="25" spans="2:13">
      <c r="B25" s="97"/>
      <c r="C25" s="445"/>
      <c r="D25" s="446"/>
      <c r="E25" s="14"/>
      <c r="F25" s="314"/>
      <c r="G25" s="601"/>
      <c r="H25" s="371"/>
      <c r="I25" s="284"/>
    </row>
    <row r="26" spans="2:13" ht="24">
      <c r="B26" s="97" t="s">
        <v>1537</v>
      </c>
      <c r="C26" s="445" t="s">
        <v>1538</v>
      </c>
      <c r="D26" s="446" t="s">
        <v>1534</v>
      </c>
      <c r="E26" s="50" t="s">
        <v>14</v>
      </c>
      <c r="F26" s="314">
        <v>60</v>
      </c>
      <c r="G26" s="601"/>
      <c r="H26" s="371">
        <f t="shared" ref="H26:H28" si="2">IF(D26="","",F26*G26)</f>
        <v>0</v>
      </c>
      <c r="M26" s="513"/>
    </row>
    <row r="27" spans="2:13">
      <c r="B27" s="98"/>
      <c r="C27" s="445"/>
      <c r="D27" s="447"/>
      <c r="E27" s="50"/>
      <c r="F27" s="314"/>
      <c r="G27" s="602"/>
      <c r="H27" s="371" t="str">
        <f t="shared" si="2"/>
        <v/>
      </c>
    </row>
    <row r="28" spans="2:13" ht="24">
      <c r="B28" s="97" t="s">
        <v>1539</v>
      </c>
      <c r="C28" s="445" t="s">
        <v>1540</v>
      </c>
      <c r="D28" s="446" t="s">
        <v>1534</v>
      </c>
      <c r="E28" s="50" t="s">
        <v>14</v>
      </c>
      <c r="F28" s="314">
        <v>450</v>
      </c>
      <c r="G28" s="601"/>
      <c r="H28" s="371">
        <f t="shared" si="2"/>
        <v>0</v>
      </c>
    </row>
    <row r="29" spans="2:13">
      <c r="B29" s="13"/>
      <c r="C29" s="14"/>
      <c r="D29" s="14"/>
      <c r="E29" s="50"/>
      <c r="F29" s="240"/>
      <c r="G29" s="590"/>
      <c r="H29" s="363"/>
    </row>
    <row r="30" spans="2:13">
      <c r="B30" s="97" t="s">
        <v>1541</v>
      </c>
      <c r="C30" s="445" t="s">
        <v>1542</v>
      </c>
      <c r="D30" s="446"/>
      <c r="E30" s="447"/>
      <c r="F30" s="314"/>
      <c r="G30" s="601"/>
      <c r="H30" s="371" t="str">
        <f t="shared" ref="H30:H31" si="3">IF(D30="","",F30*G30)</f>
        <v/>
      </c>
    </row>
    <row r="31" spans="2:13">
      <c r="B31" s="98"/>
      <c r="C31" s="445"/>
      <c r="D31" s="447"/>
      <c r="E31" s="447"/>
      <c r="F31" s="314"/>
      <c r="G31" s="601"/>
      <c r="H31" s="371" t="str">
        <f t="shared" si="3"/>
        <v/>
      </c>
    </row>
    <row r="32" spans="2:13">
      <c r="B32" s="97" t="s">
        <v>1543</v>
      </c>
      <c r="C32" s="445" t="s">
        <v>1544</v>
      </c>
      <c r="D32" s="446" t="s">
        <v>1545</v>
      </c>
      <c r="E32" s="447"/>
      <c r="F32" s="314">
        <v>50</v>
      </c>
      <c r="G32" s="601"/>
      <c r="H32" s="371">
        <f>IF(D32="","",F32*G32)</f>
        <v>0</v>
      </c>
    </row>
    <row r="33" spans="2:9">
      <c r="B33" s="98"/>
      <c r="C33" s="445"/>
      <c r="D33" s="447"/>
      <c r="E33" s="447"/>
      <c r="F33" s="314"/>
      <c r="G33" s="601"/>
      <c r="H33" s="371" t="str">
        <f>IF(D33="","",F33*G33)</f>
        <v/>
      </c>
    </row>
    <row r="34" spans="2:9">
      <c r="B34" s="97" t="s">
        <v>1546</v>
      </c>
      <c r="C34" s="445" t="s">
        <v>1547</v>
      </c>
      <c r="D34" s="446" t="s">
        <v>1545</v>
      </c>
      <c r="E34" s="447"/>
      <c r="F34" s="314">
        <v>75</v>
      </c>
      <c r="G34" s="601"/>
      <c r="H34" s="371">
        <f>IF(D34="","",F34*G34)</f>
        <v>0</v>
      </c>
    </row>
    <row r="35" spans="2:9">
      <c r="B35" s="98"/>
      <c r="C35" s="445"/>
      <c r="D35" s="447"/>
      <c r="E35" s="447"/>
      <c r="F35" s="314"/>
      <c r="G35" s="601"/>
      <c r="H35" s="371" t="str">
        <f>IF(D35="","",F35*G35)</f>
        <v/>
      </c>
    </row>
    <row r="36" spans="2:9">
      <c r="B36" s="97" t="s">
        <v>1548</v>
      </c>
      <c r="C36" s="445" t="s">
        <v>1549</v>
      </c>
      <c r="D36" s="446" t="s">
        <v>764</v>
      </c>
      <c r="E36" s="447"/>
      <c r="F36" s="314">
        <v>200</v>
      </c>
      <c r="G36" s="601"/>
      <c r="H36" s="371">
        <f>IF(D36="","",F36*G36)</f>
        <v>0</v>
      </c>
    </row>
    <row r="37" spans="2:9">
      <c r="B37" s="13"/>
      <c r="C37" s="14"/>
      <c r="D37" s="14"/>
      <c r="E37" s="50"/>
      <c r="F37" s="314"/>
      <c r="G37" s="601"/>
      <c r="H37" s="371"/>
    </row>
    <row r="38" spans="2:9" ht="25.5">
      <c r="B38" s="13" t="s">
        <v>1550</v>
      </c>
      <c r="C38" s="14" t="s">
        <v>1551</v>
      </c>
      <c r="D38" s="14" t="s">
        <v>242</v>
      </c>
      <c r="E38" s="14" t="s">
        <v>14</v>
      </c>
      <c r="F38" s="314">
        <v>12</v>
      </c>
      <c r="G38" s="601"/>
      <c r="H38" s="371">
        <f>IF(D38="","",F38*G38)</f>
        <v>0</v>
      </c>
    </row>
    <row r="39" spans="2:9">
      <c r="B39" s="13"/>
      <c r="C39" s="14"/>
      <c r="D39" s="14"/>
      <c r="E39" s="14"/>
      <c r="F39" s="314"/>
      <c r="G39" s="601"/>
      <c r="H39" s="371" t="str">
        <f t="shared" ref="H39" si="4">IF(D39="","",F39*G39)</f>
        <v/>
      </c>
    </row>
    <row r="40" spans="2:9" ht="38.25">
      <c r="B40" s="13" t="s">
        <v>1552</v>
      </c>
      <c r="C40" s="14" t="s">
        <v>1553</v>
      </c>
      <c r="D40" s="14" t="s">
        <v>85</v>
      </c>
      <c r="E40" s="14"/>
      <c r="F40" s="314">
        <v>1</v>
      </c>
      <c r="G40" s="601"/>
      <c r="H40" s="371">
        <f>IF(D40="","",F40*G40)</f>
        <v>0</v>
      </c>
    </row>
    <row r="41" spans="2:9">
      <c r="B41" s="13"/>
      <c r="C41" s="14"/>
      <c r="D41" s="14"/>
      <c r="E41" s="50"/>
      <c r="F41" s="240"/>
      <c r="G41" s="431"/>
      <c r="H41" s="363"/>
    </row>
    <row r="42" spans="2:9">
      <c r="B42" s="13"/>
      <c r="C42" s="14"/>
      <c r="D42" s="14"/>
      <c r="E42" s="14"/>
      <c r="F42" s="240"/>
      <c r="G42" s="410"/>
      <c r="H42" s="363"/>
    </row>
    <row r="43" spans="2:9">
      <c r="B43" s="13"/>
      <c r="C43" s="100"/>
      <c r="D43" s="14"/>
      <c r="E43" s="50"/>
      <c r="F43" s="36"/>
      <c r="G43" s="351"/>
      <c r="H43" s="363"/>
    </row>
    <row r="44" spans="2:9">
      <c r="B44" s="13"/>
      <c r="C44" s="252"/>
      <c r="D44" s="50"/>
      <c r="E44" s="50"/>
      <c r="F44" s="36"/>
      <c r="G44" s="351"/>
      <c r="H44" s="363" t="str">
        <f>IF(D44="","",F44*G44)</f>
        <v/>
      </c>
    </row>
    <row r="45" spans="2:9" s="2" customFormat="1" ht="19.5" customHeight="1">
      <c r="B45" s="411" t="str">
        <f>$B$10</f>
        <v>C11.7</v>
      </c>
      <c r="C45" s="276" t="s">
        <v>99</v>
      </c>
      <c r="D45" s="287"/>
      <c r="E45" s="287"/>
      <c r="F45" s="31"/>
      <c r="G45" s="412"/>
      <c r="H45" s="364">
        <f>SUM(H16:H44)</f>
        <v>0</v>
      </c>
      <c r="I45" s="289"/>
    </row>
    <row r="53" spans="6:6">
      <c r="F53" s="352"/>
    </row>
    <row r="54" spans="6:6">
      <c r="F54" s="352"/>
    </row>
    <row r="55" spans="6:6">
      <c r="F55" s="352"/>
    </row>
    <row r="56" spans="6:6">
      <c r="F56" s="352"/>
    </row>
    <row r="57" spans="6:6">
      <c r="F57" s="352"/>
    </row>
    <row r="58" spans="6:6">
      <c r="F58" s="352"/>
    </row>
    <row r="59" spans="6:6">
      <c r="F59" s="352"/>
    </row>
    <row r="60" spans="6:6">
      <c r="F60" s="352"/>
    </row>
    <row r="61" spans="6:6">
      <c r="F61" s="352"/>
    </row>
    <row r="62" spans="6:6">
      <c r="F62" s="352"/>
    </row>
  </sheetData>
  <sheetProtection algorithmName="SHA-512" hashValue="Bs/uVjX3m2FcxrAhj3oXPpx7wAfrim/I7YuLtvvHvLew1+3sF8ODPhbKcfQheISa1SD/TbLoz643KT4lAzo/9Q==" saltValue="qzqZDBWbnJWsF8yIGlpE5g==" spinCount="100000" sheet="1" objects="1" scenarios="1"/>
  <mergeCells count="5">
    <mergeCell ref="F1:H1"/>
    <mergeCell ref="H4:H7"/>
    <mergeCell ref="B4:G4"/>
    <mergeCell ref="B5:G7"/>
    <mergeCell ref="I4:I8"/>
  </mergeCells>
  <pageMargins left="0.43307086614173229" right="0.31496062992125984" top="0.43307086614173229" bottom="0.62992125984251968" header="0.35433070866141736" footer="0.31496062992125984"/>
  <pageSetup paperSize="9" scale="58" firstPageNumber="31" fitToHeight="0" orientation="portrait" cellComments="asDisplayed" useFirstPageNumber="1" r:id="rId1"/>
  <headerFooter>
    <oddHeader xml:space="preserve">&amp;CPREPARED BY NANKHOO CONSULTING ENGINEERS&amp;R&amp;"Arial,Bold Italic"
</oddHeader>
    <oddFooter>&amp;C&amp;F</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88">
    <tabColor rgb="FF00B0F0"/>
  </sheetPr>
  <dimension ref="B1:S123"/>
  <sheetViews>
    <sheetView view="pageBreakPreview" topLeftCell="A8" zoomScaleNormal="100" zoomScaleSheetLayoutView="100" workbookViewId="0">
      <selection activeCell="AM30" sqref="AM30"/>
    </sheetView>
  </sheetViews>
  <sheetFormatPr defaultColWidth="8.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18.85546875" style="399" bestFit="1" customWidth="1"/>
    <col min="9" max="9" width="33.85546875" style="3" hidden="1" customWidth="1"/>
    <col min="10" max="10" width="9" style="3" hidden="1" customWidth="1"/>
    <col min="11" max="13" width="0" style="3" hidden="1" customWidth="1"/>
    <col min="14" max="14" width="10.85546875" style="3" hidden="1" customWidth="1"/>
    <col min="15" max="15" width="9" style="3" hidden="1" customWidth="1"/>
    <col min="16" max="17" width="0" style="3" hidden="1" customWidth="1"/>
    <col min="18" max="19" width="10.85546875" style="3" hidden="1" customWidth="1"/>
    <col min="20" max="36" width="0" style="3" hidden="1" customWidth="1"/>
    <col min="37" max="16384" width="8.85546875" style="3"/>
  </cols>
  <sheetData>
    <row r="1" spans="2:9" ht="21" customHeight="1">
      <c r="B1" s="2" t="str">
        <f>Client1</f>
        <v>AIRPORTS COMPANY - SOUTH AFRICA</v>
      </c>
      <c r="F1" s="676" t="str">
        <f>"Contract No. "&amp;ContractNo</f>
        <v>Contract No. KSIA7806/2025/RFP</v>
      </c>
      <c r="G1" s="676"/>
      <c r="H1" s="676"/>
    </row>
    <row r="2" spans="2:9">
      <c r="B2" s="2" t="str">
        <f>Client2</f>
        <v>ACSA</v>
      </c>
    </row>
    <row r="3" spans="2:9">
      <c r="B3" s="3"/>
    </row>
    <row r="4" spans="2:9" ht="12.75" customHeight="1">
      <c r="B4" s="695" t="s">
        <v>366</v>
      </c>
      <c r="C4" s="696"/>
      <c r="D4" s="696"/>
      <c r="E4" s="696"/>
      <c r="F4" s="696"/>
      <c r="G4" s="696"/>
      <c r="H4" s="708" t="str">
        <f>"CHAPTER "&amp;B10</f>
        <v>CHAPTER C11.8</v>
      </c>
      <c r="I4" s="676" t="s">
        <v>100</v>
      </c>
    </row>
    <row r="5" spans="2:9" ht="7.5" customHeight="1">
      <c r="B5" s="690" t="s">
        <v>354</v>
      </c>
      <c r="C5" s="691"/>
      <c r="D5" s="691"/>
      <c r="E5" s="691"/>
      <c r="F5" s="691"/>
      <c r="G5" s="691"/>
      <c r="H5" s="709"/>
      <c r="I5" s="676"/>
    </row>
    <row r="6" spans="2:9" ht="19.5" customHeight="1">
      <c r="B6" s="690"/>
      <c r="C6" s="691"/>
      <c r="D6" s="691"/>
      <c r="E6" s="691"/>
      <c r="F6" s="691"/>
      <c r="G6" s="691"/>
      <c r="H6" s="709"/>
      <c r="I6" s="676"/>
    </row>
    <row r="7" spans="2:9" s="2" customFormat="1" ht="7.5" customHeight="1">
      <c r="B7" s="692"/>
      <c r="C7" s="693"/>
      <c r="D7" s="693"/>
      <c r="E7" s="693"/>
      <c r="F7" s="693"/>
      <c r="G7" s="693"/>
      <c r="H7" s="710"/>
      <c r="I7" s="676"/>
    </row>
    <row r="8" spans="2:9" s="2" customFormat="1" ht="24.95" customHeight="1">
      <c r="B8" s="282" t="s">
        <v>11</v>
      </c>
      <c r="C8" s="280" t="s">
        <v>12</v>
      </c>
      <c r="D8" s="280" t="s">
        <v>13</v>
      </c>
      <c r="E8" s="280" t="s">
        <v>14</v>
      </c>
      <c r="F8" s="11" t="s">
        <v>15</v>
      </c>
      <c r="G8" s="409" t="s">
        <v>16</v>
      </c>
      <c r="H8" s="364" t="s">
        <v>17</v>
      </c>
      <c r="I8" s="676"/>
    </row>
    <row r="9" spans="2:9">
      <c r="B9" s="13"/>
      <c r="C9" s="14"/>
      <c r="D9" s="14"/>
      <c r="E9" s="14"/>
      <c r="F9" s="22"/>
      <c r="G9" s="410"/>
      <c r="H9" s="363"/>
      <c r="I9" s="284"/>
    </row>
    <row r="10" spans="2:9">
      <c r="B10" s="19" t="s">
        <v>1554</v>
      </c>
      <c r="C10" s="20" t="s">
        <v>1555</v>
      </c>
      <c r="D10" s="14"/>
      <c r="E10" s="14"/>
      <c r="F10" s="22"/>
      <c r="G10" s="410"/>
      <c r="H10" s="363" t="str">
        <f t="shared" ref="H10:H48" si="0">IF(D10="","",F10*G10)</f>
        <v/>
      </c>
      <c r="I10" s="284"/>
    </row>
    <row r="11" spans="2:9">
      <c r="B11" s="13"/>
      <c r="C11" s="14"/>
      <c r="D11" s="14"/>
      <c r="E11" s="14"/>
      <c r="F11" s="323"/>
      <c r="G11" s="410"/>
      <c r="H11" s="363"/>
      <c r="I11" s="284"/>
    </row>
    <row r="12" spans="2:9">
      <c r="B12" s="13" t="s">
        <v>1556</v>
      </c>
      <c r="C12" s="100" t="s">
        <v>1557</v>
      </c>
      <c r="D12" s="14"/>
      <c r="E12" s="14"/>
      <c r="F12" s="323"/>
      <c r="G12" s="410"/>
      <c r="H12" s="363" t="str">
        <f t="shared" si="0"/>
        <v/>
      </c>
      <c r="I12" s="284"/>
    </row>
    <row r="13" spans="2:9">
      <c r="B13" s="13"/>
      <c r="C13" s="100"/>
      <c r="D13" s="14"/>
      <c r="E13" s="14"/>
      <c r="F13" s="323"/>
      <c r="G13" s="410"/>
      <c r="H13" s="363" t="str">
        <f t="shared" si="0"/>
        <v/>
      </c>
      <c r="I13" s="284"/>
    </row>
    <row r="14" spans="2:9">
      <c r="B14" s="13" t="s">
        <v>1558</v>
      </c>
      <c r="C14" s="14" t="s">
        <v>1559</v>
      </c>
      <c r="D14" s="14" t="s">
        <v>373</v>
      </c>
      <c r="E14" s="14" t="s">
        <v>14</v>
      </c>
      <c r="F14" s="323">
        <v>1</v>
      </c>
      <c r="G14" s="587"/>
      <c r="H14" s="363">
        <f t="shared" si="0"/>
        <v>0</v>
      </c>
      <c r="I14" s="285"/>
    </row>
    <row r="15" spans="2:9">
      <c r="B15" s="13"/>
      <c r="C15" s="14"/>
      <c r="D15" s="14"/>
      <c r="E15" s="14"/>
      <c r="F15" s="323"/>
      <c r="G15" s="587"/>
      <c r="H15" s="363" t="str">
        <f t="shared" si="0"/>
        <v/>
      </c>
      <c r="I15" s="284"/>
    </row>
    <row r="16" spans="2:9" ht="25.5">
      <c r="B16" s="13" t="s">
        <v>1560</v>
      </c>
      <c r="C16" s="14" t="s">
        <v>1561</v>
      </c>
      <c r="D16" s="14"/>
      <c r="E16" s="14"/>
      <c r="F16" s="323"/>
      <c r="G16" s="585"/>
      <c r="H16" s="363" t="str">
        <f t="shared" si="0"/>
        <v/>
      </c>
      <c r="I16" s="284"/>
    </row>
    <row r="17" spans="2:9">
      <c r="B17" s="13"/>
      <c r="C17" s="14"/>
      <c r="D17" s="14"/>
      <c r="E17" s="14"/>
      <c r="F17" s="323"/>
      <c r="G17" s="586"/>
      <c r="H17" s="363" t="str">
        <f t="shared" si="0"/>
        <v/>
      </c>
      <c r="I17" s="284"/>
    </row>
    <row r="18" spans="2:9" ht="25.5">
      <c r="B18" s="13" t="s">
        <v>83</v>
      </c>
      <c r="C18" s="14" t="s">
        <v>1562</v>
      </c>
      <c r="D18" s="14" t="s">
        <v>337</v>
      </c>
      <c r="E18" s="14" t="s">
        <v>14</v>
      </c>
      <c r="F18" s="323">
        <v>750</v>
      </c>
      <c r="G18" s="586"/>
      <c r="H18" s="363">
        <f t="shared" si="0"/>
        <v>0</v>
      </c>
      <c r="I18" s="284"/>
    </row>
    <row r="19" spans="2:9">
      <c r="B19" s="13"/>
      <c r="C19" s="14"/>
      <c r="D19" s="14"/>
      <c r="E19" s="14"/>
      <c r="F19" s="323"/>
      <c r="G19" s="586"/>
      <c r="H19" s="363" t="str">
        <f t="shared" si="0"/>
        <v/>
      </c>
      <c r="I19" s="284"/>
    </row>
    <row r="20" spans="2:9">
      <c r="B20" s="13"/>
      <c r="C20" s="14"/>
      <c r="D20" s="14"/>
      <c r="E20" s="14"/>
      <c r="F20" s="324"/>
      <c r="G20" s="586"/>
      <c r="H20" s="363" t="str">
        <f t="shared" si="0"/>
        <v/>
      </c>
      <c r="I20" s="284"/>
    </row>
    <row r="21" spans="2:9" ht="25.5">
      <c r="B21" s="13" t="s">
        <v>1563</v>
      </c>
      <c r="C21" s="14" t="s">
        <v>1564</v>
      </c>
      <c r="D21" s="14"/>
      <c r="E21" s="14"/>
      <c r="F21" s="324"/>
      <c r="G21" s="587"/>
      <c r="H21" s="363" t="str">
        <f t="shared" si="0"/>
        <v/>
      </c>
      <c r="I21" s="284"/>
    </row>
    <row r="22" spans="2:9">
      <c r="B22" s="13"/>
      <c r="C22" s="14"/>
      <c r="D22" s="14"/>
      <c r="E22" s="14"/>
      <c r="F22" s="324"/>
      <c r="G22" s="587"/>
      <c r="H22" s="363" t="str">
        <f t="shared" si="0"/>
        <v/>
      </c>
      <c r="I22" s="284"/>
    </row>
    <row r="23" spans="2:9">
      <c r="B23" s="13" t="s">
        <v>86</v>
      </c>
      <c r="C23" s="100" t="s">
        <v>1565</v>
      </c>
      <c r="D23" s="14" t="s">
        <v>903</v>
      </c>
      <c r="E23" s="14"/>
      <c r="F23" s="506">
        <v>5</v>
      </c>
      <c r="G23" s="604"/>
      <c r="H23" s="363">
        <f t="shared" si="0"/>
        <v>0</v>
      </c>
      <c r="I23" s="284"/>
    </row>
    <row r="24" spans="2:9">
      <c r="B24" s="13"/>
      <c r="C24" s="14"/>
      <c r="D24" s="14"/>
      <c r="E24" s="14"/>
      <c r="F24" s="324"/>
      <c r="G24" s="587"/>
      <c r="H24" s="363" t="str">
        <f t="shared" si="0"/>
        <v/>
      </c>
      <c r="I24" s="284"/>
    </row>
    <row r="25" spans="2:9">
      <c r="B25" s="13" t="s">
        <v>119</v>
      </c>
      <c r="C25" s="14" t="s">
        <v>1566</v>
      </c>
      <c r="D25" s="50" t="s">
        <v>903</v>
      </c>
      <c r="E25" s="50"/>
      <c r="F25" s="430">
        <v>1</v>
      </c>
      <c r="G25" s="587"/>
      <c r="H25" s="363">
        <f t="shared" si="0"/>
        <v>0</v>
      </c>
    </row>
    <row r="26" spans="2:9">
      <c r="B26" s="13"/>
      <c r="C26" s="14"/>
      <c r="D26" s="14"/>
      <c r="E26" s="14"/>
      <c r="F26" s="324"/>
      <c r="G26" s="587"/>
      <c r="H26" s="363" t="str">
        <f t="shared" si="0"/>
        <v/>
      </c>
      <c r="I26" s="284"/>
    </row>
    <row r="27" spans="2:9">
      <c r="B27" s="13" t="s">
        <v>1567</v>
      </c>
      <c r="C27" s="14" t="s">
        <v>1568</v>
      </c>
      <c r="D27" s="14"/>
      <c r="E27" s="14"/>
      <c r="F27" s="324"/>
      <c r="G27" s="587"/>
      <c r="H27" s="363" t="str">
        <f t="shared" si="0"/>
        <v/>
      </c>
      <c r="I27" s="284"/>
    </row>
    <row r="28" spans="2:9">
      <c r="B28" s="13"/>
      <c r="C28" s="14"/>
      <c r="D28" s="14"/>
      <c r="E28" s="14"/>
      <c r="F28" s="324"/>
      <c r="G28" s="587"/>
      <c r="H28" s="363" t="str">
        <f t="shared" si="0"/>
        <v/>
      </c>
      <c r="I28" s="284"/>
    </row>
    <row r="29" spans="2:9">
      <c r="B29" s="13" t="s">
        <v>1569</v>
      </c>
      <c r="C29" s="100" t="s">
        <v>1570</v>
      </c>
      <c r="D29" s="14"/>
      <c r="E29" s="50"/>
      <c r="F29" s="323"/>
      <c r="G29" s="590"/>
      <c r="H29" s="363" t="str">
        <f t="shared" si="0"/>
        <v/>
      </c>
    </row>
    <row r="30" spans="2:9">
      <c r="B30" s="13"/>
      <c r="C30" s="14"/>
      <c r="D30" s="14"/>
      <c r="E30" s="50"/>
      <c r="F30" s="323"/>
      <c r="G30" s="590"/>
      <c r="H30" s="363" t="str">
        <f t="shared" si="0"/>
        <v/>
      </c>
    </row>
    <row r="31" spans="2:9">
      <c r="B31" s="13" t="s">
        <v>83</v>
      </c>
      <c r="C31" s="14" t="s">
        <v>1571</v>
      </c>
      <c r="D31" s="14" t="s">
        <v>764</v>
      </c>
      <c r="E31" s="50"/>
      <c r="F31" s="323">
        <v>200</v>
      </c>
      <c r="G31" s="587"/>
      <c r="H31" s="363">
        <f t="shared" si="0"/>
        <v>0</v>
      </c>
    </row>
    <row r="32" spans="2:9">
      <c r="B32" s="13"/>
      <c r="C32" s="14"/>
      <c r="D32" s="14"/>
      <c r="E32" s="50"/>
      <c r="F32" s="323"/>
      <c r="G32" s="590"/>
      <c r="H32" s="363" t="str">
        <f t="shared" si="0"/>
        <v/>
      </c>
    </row>
    <row r="33" spans="2:9">
      <c r="B33" s="13" t="s">
        <v>117</v>
      </c>
      <c r="C33" s="14" t="s">
        <v>1572</v>
      </c>
      <c r="D33" s="14" t="s">
        <v>373</v>
      </c>
      <c r="E33" s="14"/>
      <c r="F33" s="323">
        <v>2</v>
      </c>
      <c r="G33" s="586"/>
      <c r="H33" s="363">
        <f t="shared" si="0"/>
        <v>0</v>
      </c>
    </row>
    <row r="34" spans="2:9" ht="15.6" customHeight="1">
      <c r="B34" s="13"/>
      <c r="C34" s="14"/>
      <c r="D34" s="14"/>
      <c r="E34" s="14"/>
      <c r="F34" s="323"/>
      <c r="G34" s="586"/>
      <c r="H34" s="363" t="str">
        <f>IF(D34="","",F34*G34)</f>
        <v/>
      </c>
    </row>
    <row r="35" spans="2:9" ht="13.9" hidden="1" customHeight="1">
      <c r="B35" s="13"/>
      <c r="C35" s="14"/>
      <c r="D35" s="14"/>
      <c r="E35" s="14"/>
      <c r="F35" s="323"/>
      <c r="G35" s="586"/>
      <c r="H35" s="363" t="str">
        <f t="shared" si="0"/>
        <v/>
      </c>
    </row>
    <row r="36" spans="2:9" s="2" customFormat="1" ht="19.5" hidden="1" customHeight="1">
      <c r="B36" s="411" t="str">
        <f>$B$10</f>
        <v>C11.8</v>
      </c>
      <c r="C36" s="276" t="s">
        <v>99</v>
      </c>
      <c r="D36" s="287"/>
      <c r="E36" s="287"/>
      <c r="F36" s="507"/>
      <c r="G36" s="594"/>
      <c r="H36" s="363" t="str">
        <f t="shared" si="0"/>
        <v/>
      </c>
      <c r="I36" s="289"/>
    </row>
    <row r="37" spans="2:9" ht="13.9" hidden="1" customHeight="1">
      <c r="B37" s="2" t="str">
        <f>Client1</f>
        <v>AIRPORTS COMPANY - SOUTH AFRICA</v>
      </c>
      <c r="C37" s="2"/>
      <c r="D37" s="2"/>
      <c r="E37" s="2"/>
      <c r="F37" s="508" t="str">
        <f>"Contract No. "&amp;ContractNo</f>
        <v>Contract No. KSIA7806/2025/RFP</v>
      </c>
      <c r="G37" s="595"/>
      <c r="H37" s="363" t="str">
        <f t="shared" si="0"/>
        <v/>
      </c>
    </row>
    <row r="38" spans="2:9" ht="13.9" hidden="1" customHeight="1">
      <c r="B38" s="2" t="str">
        <f>Client2</f>
        <v>ACSA</v>
      </c>
      <c r="C38" s="2"/>
      <c r="D38" s="2"/>
      <c r="E38" s="2"/>
      <c r="F38" s="508"/>
      <c r="G38" s="595"/>
      <c r="H38" s="363" t="str">
        <f t="shared" si="0"/>
        <v/>
      </c>
    </row>
    <row r="39" spans="2:9" ht="13.9" hidden="1" customHeight="1">
      <c r="B39" s="71"/>
      <c r="C39" s="71"/>
      <c r="D39" s="71"/>
      <c r="E39" s="71"/>
      <c r="F39" s="509"/>
      <c r="G39" s="596"/>
      <c r="H39" s="363" t="str">
        <f t="shared" si="0"/>
        <v/>
      </c>
    </row>
    <row r="40" spans="2:9" ht="13.9" hidden="1" customHeight="1">
      <c r="B40" s="390" t="s">
        <v>456</v>
      </c>
      <c r="C40" s="391"/>
      <c r="D40" s="391"/>
      <c r="E40" s="391"/>
      <c r="F40" s="510"/>
      <c r="G40" s="597"/>
      <c r="H40" s="363" t="str">
        <f t="shared" si="0"/>
        <v/>
      </c>
      <c r="I40" s="2"/>
    </row>
    <row r="41" spans="2:9" ht="13.9" hidden="1" customHeight="1">
      <c r="B41" s="387" t="str">
        <f>ContractDescription</f>
        <v>PROCUREMENT OF A CIDB GRADE 9 CE CONTRACTOR THE COMPLETION OF BRAVO TAXIWAY EXTENSION AT KING SHAKA INTERNATIONAL AIRPORT FOR A PERIOD OF 12 MONTHS AT KING SHAKA INTERNATIONAL AIRPORT</v>
      </c>
      <c r="C41" s="7"/>
      <c r="D41" s="7"/>
      <c r="E41" s="7"/>
      <c r="F41" s="511"/>
      <c r="G41" s="598"/>
      <c r="H41" s="363" t="str">
        <f t="shared" si="0"/>
        <v/>
      </c>
      <c r="I41" s="8"/>
    </row>
    <row r="42" spans="2:9" ht="13.9" hidden="1" customHeight="1">
      <c r="B42" s="387"/>
      <c r="C42" s="7"/>
      <c r="D42" s="7"/>
      <c r="E42" s="7"/>
      <c r="F42" s="511"/>
      <c r="G42" s="598"/>
      <c r="H42" s="363" t="str">
        <f t="shared" si="0"/>
        <v/>
      </c>
      <c r="I42" s="8"/>
    </row>
    <row r="43" spans="2:9" ht="13.9" hidden="1" customHeight="1">
      <c r="B43" s="388"/>
      <c r="C43" s="389"/>
      <c r="D43" s="389"/>
      <c r="E43" s="389"/>
      <c r="F43" s="512"/>
      <c r="G43" s="599"/>
      <c r="H43" s="363" t="str">
        <f t="shared" si="0"/>
        <v/>
      </c>
      <c r="I43" s="8"/>
    </row>
    <row r="44" spans="2:9" s="2" customFormat="1" ht="24.95" hidden="1" customHeight="1">
      <c r="B44" s="282" t="s">
        <v>11</v>
      </c>
      <c r="C44" s="280" t="s">
        <v>12</v>
      </c>
      <c r="D44" s="280" t="s">
        <v>13</v>
      </c>
      <c r="E44" s="280" t="s">
        <v>14</v>
      </c>
      <c r="F44" s="161" t="s">
        <v>15</v>
      </c>
      <c r="G44" s="600"/>
      <c r="H44" s="363" t="e">
        <f t="shared" si="0"/>
        <v>#VALUE!</v>
      </c>
      <c r="I44" s="7"/>
    </row>
    <row r="45" spans="2:9" s="2" customFormat="1" ht="19.5" hidden="1" customHeight="1">
      <c r="B45" s="411"/>
      <c r="C45" s="276" t="s">
        <v>140</v>
      </c>
      <c r="D45" s="287"/>
      <c r="E45" s="287"/>
      <c r="F45" s="507">
        <v>350000</v>
      </c>
      <c r="G45" s="594"/>
      <c r="H45" s="363" t="str">
        <f t="shared" si="0"/>
        <v/>
      </c>
      <c r="I45" s="289"/>
    </row>
    <row r="46" spans="2:9" ht="13.9" hidden="1" customHeight="1">
      <c r="B46" s="13"/>
      <c r="C46" s="14"/>
      <c r="D46" s="14"/>
      <c r="E46" s="14"/>
      <c r="F46" s="323"/>
      <c r="G46" s="586"/>
      <c r="H46" s="363" t="str">
        <f t="shared" si="0"/>
        <v/>
      </c>
    </row>
    <row r="47" spans="2:9" ht="25.5">
      <c r="B47" s="13" t="s">
        <v>1573</v>
      </c>
      <c r="C47" s="14" t="s">
        <v>1574</v>
      </c>
      <c r="D47" s="14" t="s">
        <v>906</v>
      </c>
      <c r="E47" s="14"/>
      <c r="F47" s="323">
        <v>500</v>
      </c>
      <c r="G47" s="587"/>
      <c r="H47" s="363">
        <f t="shared" si="0"/>
        <v>0</v>
      </c>
    </row>
    <row r="48" spans="2:9">
      <c r="B48" s="13"/>
      <c r="C48" s="14"/>
      <c r="D48" s="14"/>
      <c r="E48" s="14"/>
      <c r="F48" s="240"/>
      <c r="G48" s="410"/>
      <c r="H48" s="363" t="str">
        <f t="shared" si="0"/>
        <v/>
      </c>
    </row>
    <row r="49" spans="2:9">
      <c r="B49" s="13"/>
      <c r="C49" s="14"/>
      <c r="D49" s="14"/>
      <c r="E49" s="14"/>
      <c r="F49" s="240"/>
      <c r="G49" s="410"/>
      <c r="H49" s="363" t="str">
        <f t="shared" ref="H49" si="1">IF(D49="","",F49*G49)</f>
        <v/>
      </c>
    </row>
    <row r="50" spans="2:9" s="2" customFormat="1" ht="24.75" customHeight="1">
      <c r="B50" s="290" t="str">
        <f>$B$10</f>
        <v>C11.8</v>
      </c>
      <c r="C50" s="276" t="s">
        <v>125</v>
      </c>
      <c r="D50" s="287"/>
      <c r="E50" s="287"/>
      <c r="F50" s="31"/>
      <c r="G50" s="412"/>
      <c r="H50" s="364">
        <f>SUM(H11:H33)+H47</f>
        <v>0</v>
      </c>
      <c r="I50" s="289"/>
    </row>
    <row r="89" spans="3:3">
      <c r="C89" s="3" t="s">
        <v>99</v>
      </c>
    </row>
    <row r="114" spans="6:6">
      <c r="F114" s="352"/>
    </row>
    <row r="115" spans="6:6">
      <c r="F115" s="352"/>
    </row>
    <row r="116" spans="6:6">
      <c r="F116" s="352"/>
    </row>
    <row r="117" spans="6:6">
      <c r="F117" s="352"/>
    </row>
    <row r="118" spans="6:6">
      <c r="F118" s="352"/>
    </row>
    <row r="119" spans="6:6">
      <c r="F119" s="352"/>
    </row>
    <row r="120" spans="6:6">
      <c r="F120" s="352"/>
    </row>
    <row r="121" spans="6:6">
      <c r="F121" s="352"/>
    </row>
    <row r="122" spans="6:6">
      <c r="F122" s="352"/>
    </row>
    <row r="123" spans="6:6">
      <c r="F123" s="352"/>
    </row>
  </sheetData>
  <sheetProtection algorithmName="SHA-512" hashValue="QYg7BPsJGs32pXjA2SV9QZEEC8mQIWp2AGW8zAy6ZSnCZkfE/8lLJf3+/1tq0AMd+2TYsqrTzqTfhyJQJjNjxQ==" saltValue="KH0GPM0soWjXNY/LXpbd2A==" spinCount="100000" sheet="1" objects="1" scenarios="1"/>
  <mergeCells count="5">
    <mergeCell ref="F1:H1"/>
    <mergeCell ref="H4:H7"/>
    <mergeCell ref="B4:G4"/>
    <mergeCell ref="B5:G7"/>
    <mergeCell ref="I4:I8"/>
  </mergeCells>
  <pageMargins left="0.43307086614173229" right="0.31496062992125984" top="0.43307086614173229" bottom="0.62992125984251968" header="0.35433070866141736" footer="0.31496062992125984"/>
  <pageSetup paperSize="9" scale="51"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89">
    <tabColor rgb="FF92D050"/>
  </sheetPr>
  <dimension ref="B1:I120"/>
  <sheetViews>
    <sheetView workbookViewId="0"/>
  </sheetViews>
  <sheetFormatPr defaultColWidth="8.85546875" defaultRowHeight="12.75"/>
  <cols>
    <col min="1" max="1" width="0.85546875" style="179" customWidth="1"/>
    <col min="2" max="2" width="11.7109375" style="209" customWidth="1"/>
    <col min="3" max="3" width="45.7109375" style="176" customWidth="1"/>
    <col min="4" max="4" width="13.7109375" style="200" customWidth="1"/>
    <col min="5" max="5" width="5.7109375" style="200" customWidth="1"/>
    <col min="6" max="6" width="15.7109375" style="200" customWidth="1"/>
    <col min="7" max="7" width="15.7109375" style="268" customWidth="1"/>
    <col min="8" max="8" width="15.7109375" style="178" customWidth="1"/>
    <col min="9" max="9" width="0.85546875" style="178" customWidth="1"/>
    <col min="10" max="16384" width="8.85546875" style="179"/>
  </cols>
  <sheetData>
    <row r="1" spans="2:9">
      <c r="B1" s="232" t="str">
        <f>Client1</f>
        <v>AIRPORTS COMPANY - SOUTH AFRICA</v>
      </c>
      <c r="F1" s="746" t="str">
        <f>"Contract No. "&amp;ContractNo</f>
        <v>Contract No. KSIA7806/2025/RFP</v>
      </c>
      <c r="G1" s="746"/>
      <c r="H1" s="746"/>
    </row>
    <row r="2" spans="2:9">
      <c r="B2" s="232" t="str">
        <f>Client2</f>
        <v>ACSA</v>
      </c>
    </row>
    <row r="3" spans="2:9">
      <c r="B3" s="200"/>
    </row>
    <row r="4" spans="2:9" ht="12.75" customHeight="1">
      <c r="B4" s="749" t="s">
        <v>456</v>
      </c>
      <c r="C4" s="750"/>
      <c r="D4" s="750"/>
      <c r="E4" s="750"/>
      <c r="F4" s="750"/>
      <c r="G4" s="750"/>
      <c r="H4" s="779" t="str">
        <f>"CHAPTER "&amp;B10</f>
        <v>CHAPTER C11.9</v>
      </c>
      <c r="I4" s="234"/>
    </row>
    <row r="5" spans="2:9"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780"/>
      <c r="I5" s="180"/>
    </row>
    <row r="6" spans="2:9" ht="12.75" customHeight="1">
      <c r="B6" s="752"/>
      <c r="C6" s="753"/>
      <c r="D6" s="753"/>
      <c r="E6" s="753"/>
      <c r="F6" s="753"/>
      <c r="G6" s="753"/>
      <c r="H6" s="780"/>
      <c r="I6" s="180"/>
    </row>
    <row r="7" spans="2:9" s="183" customFormat="1" ht="7.5" customHeight="1">
      <c r="B7" s="754"/>
      <c r="C7" s="755"/>
      <c r="D7" s="755"/>
      <c r="E7" s="755"/>
      <c r="F7" s="755"/>
      <c r="G7" s="755"/>
      <c r="H7" s="781"/>
      <c r="I7" s="182"/>
    </row>
    <row r="8" spans="2:9" s="183" customFormat="1" ht="24.95" customHeight="1">
      <c r="B8" s="203" t="s">
        <v>11</v>
      </c>
      <c r="C8" s="181" t="s">
        <v>12</v>
      </c>
      <c r="D8" s="181" t="s">
        <v>13</v>
      </c>
      <c r="E8" s="181" t="s">
        <v>14</v>
      </c>
      <c r="F8" s="181" t="s">
        <v>15</v>
      </c>
      <c r="G8" s="269" t="s">
        <v>16</v>
      </c>
      <c r="H8" s="181" t="s">
        <v>17</v>
      </c>
      <c r="I8" s="182"/>
    </row>
    <row r="9" spans="2:9">
      <c r="B9" s="207"/>
      <c r="C9" s="175"/>
      <c r="D9" s="186"/>
      <c r="E9" s="186"/>
      <c r="F9" s="186"/>
      <c r="G9" s="189"/>
      <c r="H9" s="184" t="str">
        <f t="shared" ref="H9:H42" si="0">IF(D9="","",F9*G9)</f>
        <v/>
      </c>
      <c r="I9" s="187"/>
    </row>
    <row r="10" spans="2:9" ht="25.5">
      <c r="B10" s="218" t="s">
        <v>1575</v>
      </c>
      <c r="C10" s="185" t="s">
        <v>1576</v>
      </c>
      <c r="D10" s="186"/>
      <c r="E10" s="186"/>
      <c r="F10" s="186"/>
      <c r="G10" s="189"/>
      <c r="H10" s="184" t="str">
        <f t="shared" si="0"/>
        <v/>
      </c>
      <c r="I10" s="187"/>
    </row>
    <row r="11" spans="2:9">
      <c r="B11" s="207"/>
      <c r="C11" s="175"/>
      <c r="D11" s="186"/>
      <c r="E11" s="186"/>
      <c r="F11" s="186"/>
      <c r="G11" s="189"/>
      <c r="H11" s="184" t="str">
        <f t="shared" si="0"/>
        <v/>
      </c>
      <c r="I11" s="187"/>
    </row>
    <row r="12" spans="2:9" ht="17.25" customHeight="1">
      <c r="B12" s="207" t="s">
        <v>1577</v>
      </c>
      <c r="C12" s="175" t="s">
        <v>1578</v>
      </c>
      <c r="D12" s="186"/>
      <c r="E12" s="186"/>
      <c r="F12" s="186"/>
      <c r="G12" s="189"/>
      <c r="H12" s="184" t="str">
        <f t="shared" si="0"/>
        <v/>
      </c>
      <c r="I12" s="187"/>
    </row>
    <row r="13" spans="2:9">
      <c r="B13" s="207"/>
      <c r="C13" s="175"/>
      <c r="D13" s="186"/>
      <c r="E13" s="186"/>
      <c r="F13" s="186"/>
      <c r="G13" s="189"/>
      <c r="H13" s="184" t="str">
        <f t="shared" si="0"/>
        <v/>
      </c>
      <c r="I13" s="187"/>
    </row>
    <row r="14" spans="2:9">
      <c r="B14" s="207" t="s">
        <v>1579</v>
      </c>
      <c r="C14" s="175" t="s">
        <v>1580</v>
      </c>
      <c r="D14" s="186" t="s">
        <v>242</v>
      </c>
      <c r="E14" s="186" t="s">
        <v>14</v>
      </c>
      <c r="F14" s="224"/>
      <c r="G14" s="270">
        <v>15000</v>
      </c>
      <c r="H14" s="184">
        <f t="shared" si="0"/>
        <v>0</v>
      </c>
      <c r="I14" s="187"/>
    </row>
    <row r="15" spans="2:9">
      <c r="B15" s="207"/>
      <c r="C15" s="175"/>
      <c r="D15" s="186"/>
      <c r="E15" s="186"/>
      <c r="F15" s="188"/>
      <c r="G15" s="189"/>
      <c r="H15" s="184" t="str">
        <f t="shared" si="0"/>
        <v/>
      </c>
      <c r="I15" s="193"/>
    </row>
    <row r="16" spans="2:9">
      <c r="B16" s="207" t="s">
        <v>1581</v>
      </c>
      <c r="C16" s="191" t="s">
        <v>1582</v>
      </c>
      <c r="D16" s="186"/>
      <c r="E16" s="192"/>
      <c r="F16" s="188"/>
      <c r="G16" s="271"/>
      <c r="H16" s="184" t="str">
        <f t="shared" si="0"/>
        <v/>
      </c>
    </row>
    <row r="17" spans="2:8">
      <c r="B17" s="207"/>
      <c r="C17" s="345"/>
      <c r="D17" s="192"/>
      <c r="E17" s="192"/>
      <c r="F17" s="188"/>
      <c r="G17" s="271"/>
      <c r="H17" s="184" t="str">
        <f t="shared" si="0"/>
        <v/>
      </c>
    </row>
    <row r="18" spans="2:8">
      <c r="B18" s="207" t="s">
        <v>1583</v>
      </c>
      <c r="C18" s="175" t="s">
        <v>1584</v>
      </c>
      <c r="D18" s="186" t="s">
        <v>242</v>
      </c>
      <c r="E18" s="192" t="s">
        <v>14</v>
      </c>
      <c r="F18" s="246"/>
      <c r="G18" s="270">
        <v>8500</v>
      </c>
      <c r="H18" s="184">
        <f t="shared" si="0"/>
        <v>0</v>
      </c>
    </row>
    <row r="19" spans="2:8">
      <c r="B19" s="207"/>
      <c r="C19" s="175"/>
      <c r="D19" s="186"/>
      <c r="E19" s="192"/>
      <c r="F19" s="188"/>
      <c r="G19" s="189"/>
      <c r="H19" s="184" t="str">
        <f t="shared" si="0"/>
        <v/>
      </c>
    </row>
    <row r="20" spans="2:8">
      <c r="B20" s="207"/>
      <c r="C20" s="175"/>
      <c r="D20" s="186"/>
      <c r="E20" s="192"/>
      <c r="F20" s="188"/>
      <c r="G20" s="189"/>
      <c r="H20" s="184" t="str">
        <f t="shared" si="0"/>
        <v/>
      </c>
    </row>
    <row r="21" spans="2:8">
      <c r="B21" s="207"/>
      <c r="C21" s="175"/>
      <c r="D21" s="186"/>
      <c r="E21" s="192"/>
      <c r="F21" s="188"/>
      <c r="G21" s="189"/>
      <c r="H21" s="184" t="str">
        <f t="shared" si="0"/>
        <v/>
      </c>
    </row>
    <row r="22" spans="2:8">
      <c r="B22" s="207"/>
      <c r="C22" s="175"/>
      <c r="D22" s="186"/>
      <c r="E22" s="192"/>
      <c r="F22" s="188"/>
      <c r="G22" s="189"/>
      <c r="H22" s="184" t="str">
        <f t="shared" si="0"/>
        <v/>
      </c>
    </row>
    <row r="23" spans="2:8">
      <c r="B23" s="207"/>
      <c r="C23" s="175"/>
      <c r="D23" s="186"/>
      <c r="E23" s="192"/>
      <c r="F23" s="188"/>
      <c r="G23" s="189"/>
      <c r="H23" s="184" t="str">
        <f t="shared" si="0"/>
        <v/>
      </c>
    </row>
    <row r="24" spans="2:8">
      <c r="B24" s="207"/>
      <c r="C24" s="175"/>
      <c r="D24" s="186"/>
      <c r="E24" s="192"/>
      <c r="F24" s="188"/>
      <c r="G24" s="189"/>
      <c r="H24" s="184" t="str">
        <f t="shared" si="0"/>
        <v/>
      </c>
    </row>
    <row r="25" spans="2:8">
      <c r="B25" s="207"/>
      <c r="C25" s="175"/>
      <c r="D25" s="186"/>
      <c r="E25" s="192"/>
      <c r="F25" s="188"/>
      <c r="G25" s="189"/>
      <c r="H25" s="184" t="str">
        <f t="shared" si="0"/>
        <v/>
      </c>
    </row>
    <row r="26" spans="2:8">
      <c r="B26" s="207"/>
      <c r="C26" s="175"/>
      <c r="D26" s="186"/>
      <c r="E26" s="192"/>
      <c r="F26" s="188"/>
      <c r="G26" s="189"/>
      <c r="H26" s="184" t="str">
        <f t="shared" si="0"/>
        <v/>
      </c>
    </row>
    <row r="27" spans="2:8">
      <c r="B27" s="207"/>
      <c r="C27" s="175"/>
      <c r="D27" s="186"/>
      <c r="E27" s="192"/>
      <c r="F27" s="188"/>
      <c r="G27" s="189"/>
      <c r="H27" s="184" t="str">
        <f t="shared" si="0"/>
        <v/>
      </c>
    </row>
    <row r="28" spans="2:8">
      <c r="B28" s="207"/>
      <c r="C28" s="175"/>
      <c r="D28" s="186"/>
      <c r="E28" s="192"/>
      <c r="F28" s="188"/>
      <c r="G28" s="189"/>
      <c r="H28" s="184"/>
    </row>
    <row r="29" spans="2:8">
      <c r="B29" s="207"/>
      <c r="C29" s="175"/>
      <c r="D29" s="186"/>
      <c r="E29" s="192"/>
      <c r="F29" s="188"/>
      <c r="G29" s="189"/>
      <c r="H29" s="184" t="str">
        <f t="shared" si="0"/>
        <v/>
      </c>
    </row>
    <row r="30" spans="2:8">
      <c r="B30" s="207"/>
      <c r="C30" s="175"/>
      <c r="D30" s="186"/>
      <c r="E30" s="192"/>
      <c r="F30" s="188"/>
      <c r="G30" s="189"/>
      <c r="H30" s="184" t="str">
        <f t="shared" si="0"/>
        <v/>
      </c>
    </row>
    <row r="31" spans="2:8">
      <c r="B31" s="207"/>
      <c r="C31" s="175"/>
      <c r="D31" s="186"/>
      <c r="E31" s="192"/>
      <c r="F31" s="188"/>
      <c r="G31" s="189"/>
      <c r="H31" s="184" t="str">
        <f t="shared" si="0"/>
        <v/>
      </c>
    </row>
    <row r="32" spans="2:8">
      <c r="B32" s="207"/>
      <c r="C32" s="175"/>
      <c r="D32" s="186"/>
      <c r="E32" s="192"/>
      <c r="F32" s="188"/>
      <c r="G32" s="189"/>
      <c r="H32" s="184" t="str">
        <f t="shared" si="0"/>
        <v/>
      </c>
    </row>
    <row r="33" spans="2:9">
      <c r="B33" s="207"/>
      <c r="C33" s="175"/>
      <c r="D33" s="186"/>
      <c r="E33" s="192"/>
      <c r="F33" s="188"/>
      <c r="G33" s="189"/>
      <c r="H33" s="184" t="str">
        <f t="shared" si="0"/>
        <v/>
      </c>
    </row>
    <row r="34" spans="2:9">
      <c r="B34" s="207"/>
      <c r="C34" s="175"/>
      <c r="D34" s="186"/>
      <c r="E34" s="192"/>
      <c r="F34" s="188"/>
      <c r="G34" s="189"/>
      <c r="H34" s="184" t="str">
        <f t="shared" si="0"/>
        <v/>
      </c>
    </row>
    <row r="35" spans="2:9">
      <c r="B35" s="207"/>
      <c r="C35" s="175"/>
      <c r="D35" s="186"/>
      <c r="E35" s="192"/>
      <c r="F35" s="188"/>
      <c r="G35" s="189"/>
      <c r="H35" s="184" t="str">
        <f t="shared" si="0"/>
        <v/>
      </c>
    </row>
    <row r="36" spans="2:9">
      <c r="B36" s="207"/>
      <c r="C36" s="175"/>
      <c r="D36" s="186"/>
      <c r="E36" s="192"/>
      <c r="F36" s="188"/>
      <c r="G36" s="189"/>
      <c r="H36" s="184" t="str">
        <f t="shared" si="0"/>
        <v/>
      </c>
    </row>
    <row r="37" spans="2:9">
      <c r="B37" s="207"/>
      <c r="C37" s="175"/>
      <c r="D37" s="186"/>
      <c r="E37" s="192"/>
      <c r="F37" s="188"/>
      <c r="G37" s="189"/>
      <c r="H37" s="184" t="str">
        <f t="shared" si="0"/>
        <v/>
      </c>
    </row>
    <row r="38" spans="2:9">
      <c r="B38" s="207"/>
      <c r="C38" s="175"/>
      <c r="D38" s="186"/>
      <c r="E38" s="192"/>
      <c r="F38" s="188"/>
      <c r="G38" s="189"/>
      <c r="H38" s="184" t="str">
        <f t="shared" si="0"/>
        <v/>
      </c>
    </row>
    <row r="39" spans="2:9">
      <c r="B39" s="207"/>
      <c r="C39" s="175"/>
      <c r="D39" s="186"/>
      <c r="E39" s="192"/>
      <c r="F39" s="188"/>
      <c r="G39" s="189"/>
      <c r="H39" s="184" t="str">
        <f t="shared" si="0"/>
        <v/>
      </c>
    </row>
    <row r="40" spans="2:9">
      <c r="B40" s="207"/>
      <c r="C40" s="175"/>
      <c r="D40" s="186"/>
      <c r="E40" s="192"/>
      <c r="F40" s="188"/>
      <c r="G40" s="189"/>
      <c r="H40" s="184" t="str">
        <f t="shared" si="0"/>
        <v/>
      </c>
    </row>
    <row r="41" spans="2:9">
      <c r="B41" s="207"/>
      <c r="C41" s="175"/>
      <c r="D41" s="186"/>
      <c r="E41" s="192"/>
      <c r="F41" s="188"/>
      <c r="G41" s="189"/>
      <c r="H41" s="184" t="str">
        <f t="shared" si="0"/>
        <v/>
      </c>
    </row>
    <row r="42" spans="2:9">
      <c r="B42" s="207"/>
      <c r="C42" s="175"/>
      <c r="D42" s="186"/>
      <c r="E42" s="192"/>
      <c r="F42" s="188"/>
      <c r="G42" s="189"/>
      <c r="H42" s="184" t="str">
        <f t="shared" si="0"/>
        <v/>
      </c>
    </row>
    <row r="43" spans="2:9">
      <c r="B43" s="207"/>
      <c r="C43" s="175"/>
      <c r="D43" s="186"/>
      <c r="E43" s="192"/>
      <c r="F43" s="188"/>
      <c r="G43" s="189"/>
      <c r="H43" s="184" t="str">
        <f t="shared" ref="H43:H47" si="1">IF(D43="","",F43*G43)</f>
        <v/>
      </c>
    </row>
    <row r="44" spans="2:9">
      <c r="B44" s="207"/>
      <c r="C44" s="175"/>
      <c r="D44" s="186"/>
      <c r="E44" s="192"/>
      <c r="F44" s="188"/>
      <c r="G44" s="189"/>
      <c r="H44" s="184" t="str">
        <f t="shared" si="1"/>
        <v/>
      </c>
    </row>
    <row r="45" spans="2:9">
      <c r="B45" s="207"/>
      <c r="C45" s="175"/>
      <c r="D45" s="186"/>
      <c r="E45" s="192"/>
      <c r="F45" s="188">
        <v>350000</v>
      </c>
      <c r="G45" s="189"/>
      <c r="H45" s="184" t="str">
        <f t="shared" si="1"/>
        <v/>
      </c>
    </row>
    <row r="46" spans="2:9">
      <c r="B46" s="207"/>
      <c r="C46" s="175"/>
      <c r="D46" s="186"/>
      <c r="E46" s="192"/>
      <c r="F46" s="188"/>
      <c r="G46" s="189"/>
      <c r="H46" s="184" t="str">
        <f t="shared" si="1"/>
        <v/>
      </c>
    </row>
    <row r="47" spans="2:9">
      <c r="B47" s="207"/>
      <c r="C47" s="175"/>
      <c r="D47" s="186"/>
      <c r="E47" s="192"/>
      <c r="F47" s="188"/>
      <c r="G47" s="189"/>
      <c r="H47" s="184" t="str">
        <f t="shared" si="1"/>
        <v/>
      </c>
    </row>
    <row r="48" spans="2:9" s="199" customFormat="1" ht="24.75" customHeight="1">
      <c r="B48" s="228" t="str">
        <f>$B$10</f>
        <v>C11.9</v>
      </c>
      <c r="C48" s="194" t="s">
        <v>125</v>
      </c>
      <c r="D48" s="195"/>
      <c r="E48" s="195"/>
      <c r="F48" s="196"/>
      <c r="G48" s="272"/>
      <c r="H48" s="197">
        <f>SUM(H9:H47)</f>
        <v>0</v>
      </c>
      <c r="I48" s="198"/>
    </row>
    <row r="51" spans="6:6">
      <c r="F51" s="200">
        <v>350000</v>
      </c>
    </row>
    <row r="57" spans="6:6">
      <c r="F57" s="200">
        <v>350000</v>
      </c>
    </row>
    <row r="86" spans="3:3">
      <c r="C86" s="176" t="s">
        <v>99</v>
      </c>
    </row>
    <row r="111" spans="6:6">
      <c r="F111" s="230"/>
    </row>
    <row r="112" spans="6:6">
      <c r="F112" s="230"/>
    </row>
    <row r="113" spans="6:6">
      <c r="F113" s="230"/>
    </row>
    <row r="114" spans="6:6">
      <c r="F114" s="230"/>
    </row>
    <row r="115" spans="6:6">
      <c r="F115" s="230"/>
    </row>
    <row r="116" spans="6:6">
      <c r="F116" s="230"/>
    </row>
    <row r="117" spans="6:6">
      <c r="F117" s="230"/>
    </row>
    <row r="118" spans="6:6">
      <c r="F118" s="230"/>
    </row>
    <row r="119" spans="6:6">
      <c r="F119" s="230"/>
    </row>
    <row r="120" spans="6:6">
      <c r="F120" s="230"/>
    </row>
  </sheetData>
  <mergeCells count="4">
    <mergeCell ref="F1:H1"/>
    <mergeCell ref="H4:H7"/>
    <mergeCell ref="B4:G4"/>
    <mergeCell ref="B5:G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8"/>
  <dimension ref="B1:I196"/>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"&amp;B11</f>
        <v xml:space="preserve">CHAPTER </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s="9" customFormat="1">
      <c r="B9" s="108"/>
      <c r="C9" s="87"/>
      <c r="D9" s="85"/>
      <c r="E9" s="49"/>
      <c r="F9" s="49"/>
      <c r="G9" s="49"/>
      <c r="H9" s="25" t="str">
        <f t="shared" ref="H9:H83" si="0">IF(D9="","",F9*G9)</f>
        <v/>
      </c>
      <c r="I9" s="12"/>
    </row>
    <row r="10" spans="2:9" s="9" customFormat="1">
      <c r="B10" s="69" t="s">
        <v>1585</v>
      </c>
      <c r="C10" s="7" t="s">
        <v>1586</v>
      </c>
      <c r="D10" s="49"/>
      <c r="E10" s="49"/>
      <c r="F10" s="49"/>
      <c r="G10" s="49"/>
      <c r="H10" s="25" t="str">
        <f t="shared" si="0"/>
        <v/>
      </c>
      <c r="I10" s="12"/>
    </row>
    <row r="11" spans="2:9">
      <c r="B11" s="48"/>
      <c r="C11" s="52"/>
      <c r="D11" s="15"/>
      <c r="E11" s="15"/>
      <c r="F11" s="15"/>
      <c r="G11" s="16"/>
      <c r="H11" s="25" t="str">
        <f t="shared" si="0"/>
        <v/>
      </c>
      <c r="I11" s="18"/>
    </row>
    <row r="12" spans="2:9">
      <c r="B12" s="103" t="s">
        <v>1587</v>
      </c>
      <c r="C12" s="122" t="s">
        <v>1588</v>
      </c>
      <c r="D12" s="62" t="s">
        <v>52</v>
      </c>
      <c r="E12" s="22"/>
      <c r="F12" s="22"/>
      <c r="G12" s="39"/>
      <c r="H12" s="25">
        <f t="shared" si="0"/>
        <v>0</v>
      </c>
      <c r="I12" s="40"/>
    </row>
    <row r="13" spans="2:9">
      <c r="B13" s="102"/>
      <c r="C13" s="52"/>
      <c r="D13" s="22"/>
      <c r="E13" s="22"/>
      <c r="F13" s="22"/>
      <c r="G13" s="39"/>
      <c r="H13" s="25" t="str">
        <f t="shared" si="0"/>
        <v/>
      </c>
      <c r="I13" s="40"/>
    </row>
    <row r="14" spans="2:9">
      <c r="B14" s="103" t="s">
        <v>1589</v>
      </c>
      <c r="C14" s="35" t="s">
        <v>1590</v>
      </c>
      <c r="D14" s="62"/>
      <c r="E14" s="22"/>
      <c r="F14" s="22"/>
      <c r="G14" s="39"/>
      <c r="H14" s="25" t="str">
        <f t="shared" si="0"/>
        <v/>
      </c>
      <c r="I14" s="40"/>
    </row>
    <row r="15" spans="2:9">
      <c r="B15" s="102"/>
      <c r="D15" s="22"/>
      <c r="E15" s="22"/>
      <c r="F15" s="22"/>
      <c r="G15" s="39"/>
      <c r="H15" s="25" t="str">
        <f t="shared" si="0"/>
        <v/>
      </c>
      <c r="I15" s="40"/>
    </row>
    <row r="16" spans="2:9">
      <c r="B16" s="103" t="s">
        <v>1591</v>
      </c>
      <c r="C16" s="35" t="s">
        <v>1592</v>
      </c>
      <c r="D16" s="62" t="s">
        <v>1593</v>
      </c>
      <c r="E16" s="22"/>
      <c r="F16" s="23"/>
      <c r="G16" s="24"/>
      <c r="H16" s="25">
        <f t="shared" si="0"/>
        <v>0</v>
      </c>
      <c r="I16" s="41"/>
    </row>
    <row r="17" spans="2:9">
      <c r="B17" s="102"/>
      <c r="D17" s="22"/>
      <c r="E17" s="22"/>
      <c r="F17" s="23"/>
      <c r="G17" s="24"/>
      <c r="H17" s="25" t="str">
        <f t="shared" si="0"/>
        <v/>
      </c>
      <c r="I17" s="41"/>
    </row>
    <row r="18" spans="2:9">
      <c r="B18" s="103" t="s">
        <v>1594</v>
      </c>
      <c r="C18" s="35" t="s">
        <v>1595</v>
      </c>
      <c r="D18" s="62" t="s">
        <v>1593</v>
      </c>
      <c r="E18" s="22"/>
      <c r="F18" s="23"/>
      <c r="G18" s="24"/>
      <c r="H18" s="25">
        <f t="shared" si="0"/>
        <v>0</v>
      </c>
      <c r="I18" s="41"/>
    </row>
    <row r="19" spans="2:9">
      <c r="B19" s="102"/>
      <c r="D19" s="22"/>
      <c r="E19" s="22"/>
      <c r="F19" s="23"/>
      <c r="G19" s="39"/>
      <c r="H19" s="25" t="str">
        <f t="shared" si="0"/>
        <v/>
      </c>
      <c r="I19" s="40"/>
    </row>
    <row r="20" spans="2:9" ht="25.5">
      <c r="B20" s="103" t="s">
        <v>1596</v>
      </c>
      <c r="C20" s="55" t="s">
        <v>1597</v>
      </c>
      <c r="D20" s="62" t="s">
        <v>1593</v>
      </c>
      <c r="E20" s="22"/>
      <c r="F20" s="23"/>
      <c r="G20" s="42"/>
      <c r="H20" s="25">
        <f t="shared" si="0"/>
        <v>0</v>
      </c>
      <c r="I20" s="40"/>
    </row>
    <row r="21" spans="2:9">
      <c r="B21" s="102"/>
      <c r="D21" s="22"/>
      <c r="E21" s="22"/>
      <c r="F21" s="23"/>
      <c r="G21" s="39"/>
      <c r="H21" s="25" t="str">
        <f t="shared" si="0"/>
        <v/>
      </c>
      <c r="I21" s="43"/>
    </row>
    <row r="22" spans="2:9" ht="25.5">
      <c r="B22" s="103" t="s">
        <v>1598</v>
      </c>
      <c r="C22" s="55" t="s">
        <v>1599</v>
      </c>
      <c r="D22" s="62" t="s">
        <v>85</v>
      </c>
      <c r="E22" s="36"/>
      <c r="F22" s="23"/>
      <c r="G22" s="44"/>
      <c r="H22" s="25">
        <f t="shared" si="0"/>
        <v>0</v>
      </c>
    </row>
    <row r="23" spans="2:9">
      <c r="B23" s="48"/>
      <c r="D23" s="36"/>
      <c r="E23" s="36"/>
      <c r="F23" s="23"/>
      <c r="G23" s="44"/>
      <c r="H23" s="25" t="str">
        <f t="shared" si="0"/>
        <v/>
      </c>
    </row>
    <row r="24" spans="2:9" ht="38.25">
      <c r="B24" s="103" t="s">
        <v>1600</v>
      </c>
      <c r="C24" s="55" t="s">
        <v>1601</v>
      </c>
      <c r="D24" s="36"/>
      <c r="E24" s="36"/>
      <c r="F24" s="23"/>
      <c r="G24" s="37"/>
      <c r="H24" s="25" t="str">
        <f t="shared" si="0"/>
        <v/>
      </c>
    </row>
    <row r="25" spans="2:9">
      <c r="B25" s="102"/>
      <c r="D25" s="36"/>
      <c r="E25" s="36"/>
      <c r="F25" s="23"/>
      <c r="G25" s="44"/>
      <c r="H25" s="25" t="str">
        <f t="shared" si="0"/>
        <v/>
      </c>
    </row>
    <row r="26" spans="2:9">
      <c r="B26" s="103" t="s">
        <v>1602</v>
      </c>
      <c r="C26" s="35" t="s">
        <v>1603</v>
      </c>
      <c r="D26" s="62"/>
      <c r="E26" s="36"/>
      <c r="F26" s="23"/>
      <c r="G26" s="42"/>
      <c r="H26" s="25" t="str">
        <f t="shared" si="0"/>
        <v/>
      </c>
    </row>
    <row r="27" spans="2:9">
      <c r="B27" s="102"/>
      <c r="D27" s="36"/>
      <c r="E27" s="36"/>
      <c r="F27" s="23"/>
      <c r="G27" s="44"/>
      <c r="H27" s="25" t="str">
        <f t="shared" si="0"/>
        <v/>
      </c>
    </row>
    <row r="28" spans="2:9">
      <c r="B28" s="97" t="s">
        <v>83</v>
      </c>
      <c r="C28" s="35" t="s">
        <v>1604</v>
      </c>
      <c r="D28" s="62" t="s">
        <v>347</v>
      </c>
      <c r="E28" s="22"/>
      <c r="F28" s="23"/>
      <c r="G28" s="39"/>
      <c r="H28" s="25">
        <f t="shared" si="0"/>
        <v>0</v>
      </c>
      <c r="I28" s="40"/>
    </row>
    <row r="29" spans="2:9">
      <c r="B29" s="98"/>
      <c r="D29" s="22"/>
      <c r="E29" s="22"/>
      <c r="F29" s="23"/>
      <c r="G29" s="39"/>
      <c r="H29" s="25" t="str">
        <f t="shared" si="0"/>
        <v/>
      </c>
      <c r="I29" s="40"/>
    </row>
    <row r="30" spans="2:9">
      <c r="B30" s="97" t="s">
        <v>86</v>
      </c>
      <c r="C30" s="35" t="s">
        <v>1605</v>
      </c>
      <c r="D30" s="62" t="s">
        <v>347</v>
      </c>
      <c r="E30" s="22"/>
      <c r="F30" s="23"/>
      <c r="G30" s="37"/>
      <c r="H30" s="25">
        <f t="shared" si="0"/>
        <v>0</v>
      </c>
      <c r="I30" s="41"/>
    </row>
    <row r="31" spans="2:9">
      <c r="B31" s="98"/>
      <c r="D31" s="22"/>
      <c r="E31" s="22"/>
      <c r="F31" s="23"/>
      <c r="G31" s="37"/>
      <c r="H31" s="25" t="str">
        <f t="shared" si="0"/>
        <v/>
      </c>
      <c r="I31" s="40"/>
    </row>
    <row r="32" spans="2:9">
      <c r="B32" s="97" t="s">
        <v>117</v>
      </c>
      <c r="C32" s="35" t="s">
        <v>1606</v>
      </c>
      <c r="D32" s="62" t="s">
        <v>347</v>
      </c>
      <c r="E32" s="22"/>
      <c r="F32" s="23"/>
      <c r="G32" s="42"/>
      <c r="H32" s="25">
        <f t="shared" si="0"/>
        <v>0</v>
      </c>
      <c r="I32" s="40"/>
    </row>
    <row r="33" spans="2:9">
      <c r="B33" s="102"/>
      <c r="D33" s="36"/>
      <c r="E33" s="15"/>
      <c r="F33" s="26"/>
      <c r="G33" s="27"/>
      <c r="H33" s="25" t="str">
        <f t="shared" si="0"/>
        <v/>
      </c>
      <c r="I33" s="18"/>
    </row>
    <row r="34" spans="2:9">
      <c r="B34" s="103" t="s">
        <v>1607</v>
      </c>
      <c r="C34" s="35" t="s">
        <v>1608</v>
      </c>
      <c r="D34" s="22"/>
      <c r="E34" s="15"/>
      <c r="F34" s="26"/>
      <c r="G34" s="27"/>
      <c r="H34" s="25" t="str">
        <f t="shared" si="0"/>
        <v/>
      </c>
      <c r="I34" s="18"/>
    </row>
    <row r="35" spans="2:9" s="35" customFormat="1">
      <c r="B35" s="103"/>
      <c r="D35" s="62"/>
      <c r="E35" s="15"/>
      <c r="F35" s="26"/>
      <c r="G35" s="27"/>
      <c r="H35" s="25" t="str">
        <f t="shared" si="0"/>
        <v/>
      </c>
      <c r="I35" s="18"/>
    </row>
    <row r="36" spans="2:9">
      <c r="B36" s="97" t="s">
        <v>83</v>
      </c>
      <c r="C36" s="35" t="s">
        <v>1604</v>
      </c>
      <c r="D36" s="62" t="s">
        <v>347</v>
      </c>
      <c r="E36" s="22"/>
      <c r="F36" s="23"/>
      <c r="G36" s="37"/>
      <c r="H36" s="25">
        <f t="shared" si="0"/>
        <v>0</v>
      </c>
      <c r="I36" s="41"/>
    </row>
    <row r="37" spans="2:9">
      <c r="B37" s="98"/>
      <c r="D37" s="22"/>
      <c r="E37" s="22"/>
      <c r="F37" s="23"/>
      <c r="G37" s="37"/>
      <c r="H37" s="25" t="str">
        <f t="shared" si="0"/>
        <v/>
      </c>
      <c r="I37" s="41"/>
    </row>
    <row r="38" spans="2:9">
      <c r="B38" s="97" t="s">
        <v>86</v>
      </c>
      <c r="C38" s="35" t="s">
        <v>1605</v>
      </c>
      <c r="D38" s="62" t="s">
        <v>347</v>
      </c>
      <c r="E38" s="22"/>
      <c r="F38" s="23"/>
      <c r="G38" s="45"/>
      <c r="H38" s="25">
        <f t="shared" si="0"/>
        <v>0</v>
      </c>
      <c r="I38" s="40"/>
    </row>
    <row r="39" spans="2:9">
      <c r="B39" s="98"/>
      <c r="D39" s="22"/>
      <c r="E39" s="22"/>
      <c r="F39" s="23"/>
      <c r="G39" s="45"/>
      <c r="H39" s="25" t="str">
        <f t="shared" si="0"/>
        <v/>
      </c>
      <c r="I39" s="40"/>
    </row>
    <row r="40" spans="2:9">
      <c r="B40" s="97" t="s">
        <v>117</v>
      </c>
      <c r="C40" s="35" t="s">
        <v>1606</v>
      </c>
      <c r="D40" s="62" t="s">
        <v>347</v>
      </c>
      <c r="E40" s="22"/>
      <c r="F40" s="23"/>
      <c r="G40" s="42"/>
      <c r="H40" s="25">
        <f t="shared" si="0"/>
        <v>0</v>
      </c>
      <c r="I40" s="40"/>
    </row>
    <row r="41" spans="2:9">
      <c r="B41" s="48"/>
      <c r="C41" s="52"/>
      <c r="D41" s="22"/>
      <c r="E41" s="22"/>
      <c r="F41" s="23"/>
      <c r="G41" s="42"/>
      <c r="H41" s="25" t="str">
        <f t="shared" si="0"/>
        <v/>
      </c>
      <c r="I41" s="40"/>
    </row>
    <row r="42" spans="2:9" ht="38.25">
      <c r="B42" s="103" t="s">
        <v>1609</v>
      </c>
      <c r="C42" s="55" t="s">
        <v>1610</v>
      </c>
      <c r="D42" s="22"/>
      <c r="E42" s="22"/>
      <c r="F42" s="22"/>
      <c r="G42" s="39"/>
      <c r="H42" s="25" t="str">
        <f t="shared" si="0"/>
        <v/>
      </c>
      <c r="I42" s="40"/>
    </row>
    <row r="43" spans="2:9">
      <c r="B43" s="102"/>
      <c r="D43" s="22"/>
      <c r="E43" s="22"/>
      <c r="F43" s="22"/>
      <c r="G43" s="39"/>
      <c r="H43" s="25" t="str">
        <f t="shared" si="0"/>
        <v/>
      </c>
      <c r="I43" s="40"/>
    </row>
    <row r="44" spans="2:9" ht="25.5">
      <c r="B44" s="103" t="s">
        <v>1611</v>
      </c>
      <c r="C44" s="55" t="s">
        <v>1612</v>
      </c>
      <c r="D44" s="62" t="s">
        <v>347</v>
      </c>
      <c r="E44" s="22"/>
      <c r="F44" s="22"/>
      <c r="G44" s="37"/>
      <c r="H44" s="25">
        <f t="shared" si="0"/>
        <v>0</v>
      </c>
      <c r="I44" s="40"/>
    </row>
    <row r="45" spans="2:9">
      <c r="B45" s="102"/>
      <c r="D45" s="22"/>
      <c r="E45" s="22"/>
      <c r="F45" s="22"/>
      <c r="G45" s="37"/>
      <c r="H45" s="25" t="str">
        <f t="shared" si="0"/>
        <v/>
      </c>
      <c r="I45" s="40"/>
    </row>
    <row r="46" spans="2:9">
      <c r="B46" s="103" t="s">
        <v>1613</v>
      </c>
      <c r="C46" s="35" t="s">
        <v>1614</v>
      </c>
      <c r="D46" s="62" t="s">
        <v>347</v>
      </c>
      <c r="E46" s="22"/>
      <c r="F46" s="22"/>
      <c r="G46" s="37"/>
      <c r="H46" s="25">
        <f t="shared" si="0"/>
        <v>0</v>
      </c>
      <c r="I46" s="40"/>
    </row>
    <row r="47" spans="2:9">
      <c r="B47" s="102"/>
      <c r="D47" s="22"/>
      <c r="E47" s="22"/>
      <c r="F47" s="22"/>
      <c r="G47" s="37"/>
      <c r="H47" s="25" t="str">
        <f t="shared" si="0"/>
        <v/>
      </c>
      <c r="I47" s="40"/>
    </row>
    <row r="48" spans="2:9">
      <c r="B48" s="103" t="s">
        <v>1615</v>
      </c>
      <c r="C48" s="35" t="s">
        <v>1616</v>
      </c>
      <c r="D48" s="62" t="s">
        <v>347</v>
      </c>
      <c r="E48" s="22"/>
      <c r="F48" s="22"/>
      <c r="G48" s="37"/>
      <c r="H48" s="25">
        <f t="shared" si="0"/>
        <v>0</v>
      </c>
      <c r="I48" s="40"/>
    </row>
    <row r="49" spans="2:9">
      <c r="B49" s="102"/>
      <c r="D49" s="22"/>
      <c r="E49" s="22"/>
      <c r="F49" s="22"/>
      <c r="G49" s="37"/>
      <c r="H49" s="25" t="str">
        <f t="shared" si="0"/>
        <v/>
      </c>
      <c r="I49" s="40"/>
    </row>
    <row r="50" spans="2:9" ht="63.75">
      <c r="B50" s="103" t="s">
        <v>1617</v>
      </c>
      <c r="C50" s="55" t="s">
        <v>1618</v>
      </c>
      <c r="D50" s="22"/>
      <c r="E50" s="22"/>
      <c r="F50" s="22"/>
      <c r="G50" s="37"/>
      <c r="H50" s="25" t="str">
        <f t="shared" si="0"/>
        <v/>
      </c>
      <c r="I50" s="40"/>
    </row>
    <row r="51" spans="2:9">
      <c r="B51" s="102"/>
      <c r="D51" s="22"/>
      <c r="E51" s="22"/>
      <c r="F51" s="22"/>
      <c r="G51" s="37"/>
      <c r="H51" s="25" t="str">
        <f t="shared" si="0"/>
        <v/>
      </c>
      <c r="I51" s="40"/>
    </row>
    <row r="52" spans="2:9">
      <c r="B52" s="103" t="s">
        <v>1619</v>
      </c>
      <c r="C52" s="35" t="s">
        <v>1620</v>
      </c>
      <c r="D52" s="62" t="s">
        <v>347</v>
      </c>
      <c r="E52" s="22"/>
      <c r="F52" s="22"/>
      <c r="G52" s="46"/>
      <c r="H52" s="25">
        <f t="shared" si="0"/>
        <v>0</v>
      </c>
      <c r="I52" s="40"/>
    </row>
    <row r="53" spans="2:9">
      <c r="B53" s="102"/>
      <c r="D53" s="22"/>
      <c r="E53" s="22"/>
      <c r="F53" s="22"/>
      <c r="G53" s="46"/>
      <c r="H53" s="25" t="str">
        <f t="shared" si="0"/>
        <v/>
      </c>
      <c r="I53" s="40"/>
    </row>
    <row r="54" spans="2:9">
      <c r="B54" s="103" t="s">
        <v>1621</v>
      </c>
      <c r="C54" s="35" t="s">
        <v>1605</v>
      </c>
      <c r="D54" s="62" t="s">
        <v>347</v>
      </c>
      <c r="E54" s="22"/>
      <c r="F54" s="22"/>
      <c r="G54" s="37"/>
      <c r="H54" s="25">
        <f t="shared" si="0"/>
        <v>0</v>
      </c>
      <c r="I54" s="40"/>
    </row>
    <row r="55" spans="2:9">
      <c r="B55" s="102"/>
      <c r="D55" s="22"/>
      <c r="E55" s="22"/>
      <c r="F55" s="22"/>
      <c r="G55" s="37"/>
      <c r="H55" s="25" t="str">
        <f t="shared" si="0"/>
        <v/>
      </c>
      <c r="I55" s="40"/>
    </row>
    <row r="56" spans="2:9">
      <c r="B56" s="103" t="s">
        <v>1622</v>
      </c>
      <c r="C56" s="35" t="s">
        <v>1606</v>
      </c>
      <c r="D56" s="62" t="s">
        <v>347</v>
      </c>
      <c r="E56" s="22"/>
      <c r="F56" s="22"/>
      <c r="G56" s="37"/>
      <c r="H56" s="25">
        <f t="shared" si="0"/>
        <v>0</v>
      </c>
      <c r="I56" s="40"/>
    </row>
    <row r="57" spans="2:9">
      <c r="B57" s="102"/>
      <c r="D57" s="22"/>
      <c r="E57" s="22"/>
      <c r="F57" s="22"/>
      <c r="G57" s="37"/>
      <c r="H57" s="25" t="str">
        <f t="shared" si="0"/>
        <v/>
      </c>
      <c r="I57" s="40"/>
    </row>
    <row r="58" spans="2:9" ht="25.5">
      <c r="B58" s="103" t="s">
        <v>1623</v>
      </c>
      <c r="C58" s="53" t="s">
        <v>1624</v>
      </c>
      <c r="D58" s="62" t="s">
        <v>52</v>
      </c>
      <c r="E58" s="22"/>
      <c r="F58" s="22"/>
      <c r="G58" s="37"/>
      <c r="H58" s="25">
        <f t="shared" si="0"/>
        <v>0</v>
      </c>
      <c r="I58" s="40"/>
    </row>
    <row r="59" spans="2:9">
      <c r="B59" s="102"/>
      <c r="D59" s="22"/>
      <c r="E59" s="22"/>
      <c r="F59" s="22"/>
      <c r="G59" s="37"/>
      <c r="H59" s="25" t="str">
        <f t="shared" si="0"/>
        <v/>
      </c>
      <c r="I59" s="40"/>
    </row>
    <row r="60" spans="2:9">
      <c r="B60" s="102"/>
      <c r="C60" s="35"/>
      <c r="D60" s="22"/>
      <c r="E60" s="36"/>
      <c r="F60" s="36"/>
      <c r="G60" s="37"/>
      <c r="H60" s="25" t="str">
        <f t="shared" si="0"/>
        <v/>
      </c>
    </row>
    <row r="61" spans="2:9" ht="25.5">
      <c r="B61" s="102" t="s">
        <v>1625</v>
      </c>
      <c r="C61" s="55" t="s">
        <v>1626</v>
      </c>
      <c r="D61" s="89" t="s">
        <v>52</v>
      </c>
      <c r="E61" s="22"/>
      <c r="F61" s="22"/>
      <c r="G61" s="37"/>
      <c r="H61" s="25">
        <f t="shared" si="0"/>
        <v>0</v>
      </c>
      <c r="I61" s="40"/>
    </row>
    <row r="62" spans="2:9">
      <c r="B62" s="102"/>
      <c r="C62" s="35"/>
      <c r="D62" s="22"/>
      <c r="E62" s="36"/>
      <c r="F62" s="36"/>
      <c r="G62" s="37"/>
      <c r="H62" s="25" t="str">
        <f t="shared" si="0"/>
        <v/>
      </c>
      <c r="I62" s="47"/>
    </row>
    <row r="63" spans="2:9" ht="25.5">
      <c r="B63" s="102" t="s">
        <v>1627</v>
      </c>
      <c r="C63" s="55" t="s">
        <v>1628</v>
      </c>
      <c r="D63" s="21" t="s">
        <v>33</v>
      </c>
      <c r="E63" s="36"/>
      <c r="F63" s="36"/>
      <c r="G63" s="37"/>
      <c r="H63" s="25">
        <f t="shared" si="0"/>
        <v>0</v>
      </c>
    </row>
    <row r="64" spans="2:9">
      <c r="B64" s="102"/>
      <c r="C64" s="35"/>
      <c r="D64" s="22"/>
      <c r="E64" s="22"/>
      <c r="F64" s="22"/>
      <c r="G64" s="37"/>
      <c r="H64" s="25" t="str">
        <f t="shared" si="0"/>
        <v/>
      </c>
      <c r="I64" s="40"/>
    </row>
    <row r="65" spans="2:9" s="28" customFormat="1" ht="19.5" customHeight="1">
      <c r="B65" s="101" t="str">
        <f>$B$10</f>
        <v>C12.1</v>
      </c>
      <c r="C65" s="29" t="s">
        <v>99</v>
      </c>
      <c r="D65" s="30"/>
      <c r="E65" s="30"/>
      <c r="F65" s="31"/>
      <c r="G65" s="30"/>
      <c r="H65" s="32">
        <f>SUM(H9:H64)</f>
        <v>0</v>
      </c>
      <c r="I65" s="33"/>
    </row>
    <row r="66" spans="2:9">
      <c r="B66" s="736" t="str">
        <f>Client1</f>
        <v>AIRPORTS COMPANY - SOUTH AFRICA</v>
      </c>
      <c r="C66" s="736"/>
      <c r="D66" s="736"/>
      <c r="E66" s="736"/>
      <c r="F66" s="737" t="str">
        <f>"Contract No. "&amp;ContractNo</f>
        <v>Contract No. KSIA7806/2025/RFP</v>
      </c>
      <c r="G66" s="737"/>
      <c r="H66" s="737"/>
    </row>
    <row r="67" spans="2:9">
      <c r="B67" s="736" t="str">
        <f>Client2</f>
        <v>ACSA</v>
      </c>
      <c r="C67" s="736"/>
      <c r="D67" s="736"/>
      <c r="E67" s="736"/>
      <c r="F67" s="737"/>
      <c r="G67" s="737"/>
      <c r="H67" s="737"/>
    </row>
    <row r="68" spans="2:9">
      <c r="B68" s="739"/>
      <c r="C68" s="739"/>
      <c r="D68" s="739"/>
      <c r="E68" s="739"/>
      <c r="F68" s="738"/>
      <c r="G68" s="738"/>
      <c r="H68" s="738"/>
    </row>
    <row r="69" spans="2:9">
      <c r="B69" s="695" t="s">
        <v>456</v>
      </c>
      <c r="C69" s="696"/>
      <c r="D69" s="696"/>
      <c r="E69" s="696"/>
      <c r="F69" s="696"/>
      <c r="G69" s="696"/>
      <c r="H69" s="740" t="str">
        <f>$H$4</f>
        <v xml:space="preserve">CHAPTER </v>
      </c>
      <c r="I69" s="6"/>
    </row>
    <row r="70" spans="2:9">
      <c r="B70" s="690" t="str">
        <f>ContractDescription</f>
        <v>PROCUREMENT OF A CIDB GRADE 9 CE CONTRACTOR THE COMPLETION OF BRAVO TAXIWAY EXTENSION AT KING SHAKA INTERNATIONAL AIRPORT FOR A PERIOD OF 12 MONTHS AT KING SHAKA INTERNATIONAL AIRPORT</v>
      </c>
      <c r="C70" s="691"/>
      <c r="D70" s="691"/>
      <c r="E70" s="691"/>
      <c r="F70" s="691"/>
      <c r="G70" s="691"/>
      <c r="H70" s="737"/>
      <c r="I70" s="8"/>
    </row>
    <row r="71" spans="2:9">
      <c r="B71" s="690"/>
      <c r="C71" s="691"/>
      <c r="D71" s="691"/>
      <c r="E71" s="691"/>
      <c r="F71" s="691"/>
      <c r="G71" s="691"/>
      <c r="H71" s="737"/>
      <c r="I71" s="8"/>
    </row>
    <row r="72" spans="2:9">
      <c r="B72" s="692"/>
      <c r="C72" s="693"/>
      <c r="D72" s="693"/>
      <c r="E72" s="693"/>
      <c r="F72" s="693"/>
      <c r="G72" s="693"/>
      <c r="H72" s="738"/>
      <c r="I72" s="8"/>
    </row>
    <row r="73" spans="2:9" s="9" customFormat="1" ht="24.95" customHeight="1">
      <c r="B73" s="70" t="s">
        <v>11</v>
      </c>
      <c r="C73" s="11" t="s">
        <v>12</v>
      </c>
      <c r="D73" s="11" t="s">
        <v>13</v>
      </c>
      <c r="E73" s="11" t="s">
        <v>14</v>
      </c>
      <c r="F73" s="11" t="s">
        <v>15</v>
      </c>
      <c r="G73" s="11" t="s">
        <v>16</v>
      </c>
      <c r="H73" s="11" t="s">
        <v>17</v>
      </c>
      <c r="I73" s="12"/>
    </row>
    <row r="74" spans="2:9" s="28" customFormat="1" ht="19.5" customHeight="1">
      <c r="B74" s="74"/>
      <c r="C74" s="29" t="s">
        <v>140</v>
      </c>
      <c r="D74" s="30"/>
      <c r="E74" s="30"/>
      <c r="F74" s="31"/>
      <c r="G74" s="30"/>
      <c r="H74" s="32">
        <f>H65</f>
        <v>0</v>
      </c>
      <c r="I74" s="33"/>
    </row>
    <row r="75" spans="2:9">
      <c r="B75" s="102"/>
      <c r="C75" s="35"/>
      <c r="D75" s="22"/>
      <c r="E75" s="22"/>
      <c r="F75" s="22"/>
      <c r="G75" s="37"/>
      <c r="H75" s="25"/>
      <c r="I75" s="40"/>
    </row>
    <row r="76" spans="2:9" ht="25.5">
      <c r="B76" s="102" t="s">
        <v>1629</v>
      </c>
      <c r="C76" s="55" t="s">
        <v>1630</v>
      </c>
      <c r="D76" s="89" t="s">
        <v>52</v>
      </c>
      <c r="E76" s="22"/>
      <c r="F76" s="22"/>
      <c r="G76" s="37"/>
      <c r="H76" s="25">
        <f t="shared" si="0"/>
        <v>0</v>
      </c>
      <c r="I76" s="40"/>
    </row>
    <row r="77" spans="2:9">
      <c r="B77" s="102"/>
      <c r="C77" s="35"/>
      <c r="D77" s="22"/>
      <c r="E77" s="22"/>
      <c r="F77" s="22"/>
      <c r="G77" s="37"/>
      <c r="H77" s="25" t="str">
        <f t="shared" si="0"/>
        <v/>
      </c>
      <c r="I77" s="40"/>
    </row>
    <row r="78" spans="2:9" ht="25.5">
      <c r="B78" s="102" t="s">
        <v>1631</v>
      </c>
      <c r="C78" s="55" t="s">
        <v>1632</v>
      </c>
      <c r="D78" s="62" t="s">
        <v>347</v>
      </c>
      <c r="E78" s="22"/>
      <c r="F78" s="22"/>
      <c r="G78" s="37"/>
      <c r="H78" s="25">
        <f t="shared" si="0"/>
        <v>0</v>
      </c>
      <c r="I78" s="40"/>
    </row>
    <row r="79" spans="2:9">
      <c r="B79" s="102"/>
      <c r="C79" s="35"/>
      <c r="D79" s="22"/>
      <c r="E79" s="22"/>
      <c r="F79" s="22"/>
      <c r="G79" s="37"/>
      <c r="H79" s="25" t="str">
        <f t="shared" si="0"/>
        <v/>
      </c>
      <c r="I79" s="40"/>
    </row>
    <row r="80" spans="2:9" ht="25.5">
      <c r="B80" s="103" t="s">
        <v>1633</v>
      </c>
      <c r="C80" s="55" t="s">
        <v>1634</v>
      </c>
      <c r="D80" s="22"/>
      <c r="E80" s="22"/>
      <c r="F80" s="22"/>
      <c r="G80" s="37"/>
      <c r="H80" s="25" t="str">
        <f t="shared" si="0"/>
        <v/>
      </c>
      <c r="I80" s="40"/>
    </row>
    <row r="81" spans="2:9">
      <c r="B81" s="102"/>
      <c r="D81" s="22"/>
      <c r="E81" s="22"/>
      <c r="F81" s="22"/>
      <c r="G81" s="37"/>
      <c r="H81" s="25" t="str">
        <f t="shared" si="0"/>
        <v/>
      </c>
      <c r="I81" s="40"/>
    </row>
    <row r="82" spans="2:9">
      <c r="B82" s="103" t="s">
        <v>1635</v>
      </c>
      <c r="C82" s="35" t="s">
        <v>1636</v>
      </c>
      <c r="D82" s="62" t="s">
        <v>347</v>
      </c>
      <c r="E82" s="22"/>
      <c r="F82" s="22"/>
      <c r="G82" s="37"/>
      <c r="H82" s="25">
        <f t="shared" si="0"/>
        <v>0</v>
      </c>
      <c r="I82" s="40"/>
    </row>
    <row r="83" spans="2:9">
      <c r="B83" s="102"/>
      <c r="D83" s="22"/>
      <c r="E83" s="22"/>
      <c r="F83" s="22"/>
      <c r="G83" s="37"/>
      <c r="H83" s="25" t="str">
        <f t="shared" si="0"/>
        <v/>
      </c>
      <c r="I83" s="40"/>
    </row>
    <row r="84" spans="2:9" ht="25.5">
      <c r="B84" s="103" t="s">
        <v>1637</v>
      </c>
      <c r="C84" s="55" t="s">
        <v>1638</v>
      </c>
      <c r="D84" s="62" t="s">
        <v>347</v>
      </c>
      <c r="E84" s="22"/>
      <c r="F84" s="22"/>
      <c r="G84" s="37"/>
      <c r="H84" s="25">
        <f t="shared" ref="H84:H159" si="1">IF(D84="","",F84*G84)</f>
        <v>0</v>
      </c>
      <c r="I84" s="40"/>
    </row>
    <row r="85" spans="2:9">
      <c r="B85" s="103"/>
      <c r="C85" s="35"/>
      <c r="D85" s="22"/>
      <c r="E85" s="22"/>
      <c r="F85" s="22"/>
      <c r="G85" s="37"/>
      <c r="H85" s="25" t="str">
        <f t="shared" si="1"/>
        <v/>
      </c>
      <c r="I85" s="40"/>
    </row>
    <row r="86" spans="2:9" ht="25.5">
      <c r="B86" s="102" t="s">
        <v>1639</v>
      </c>
      <c r="C86" s="55" t="s">
        <v>1640</v>
      </c>
      <c r="D86" s="21" t="s">
        <v>85</v>
      </c>
      <c r="E86" s="22"/>
      <c r="F86" s="22"/>
      <c r="G86" s="37"/>
      <c r="H86" s="25">
        <f t="shared" si="1"/>
        <v>0</v>
      </c>
      <c r="I86" s="40"/>
    </row>
    <row r="87" spans="2:9">
      <c r="B87" s="102"/>
      <c r="C87" s="35"/>
      <c r="D87" s="22"/>
      <c r="E87" s="22"/>
      <c r="F87" s="22"/>
      <c r="G87" s="37"/>
      <c r="H87" s="25" t="str">
        <f t="shared" si="1"/>
        <v/>
      </c>
      <c r="I87" s="40"/>
    </row>
    <row r="88" spans="2:9">
      <c r="B88" s="103" t="s">
        <v>1641</v>
      </c>
      <c r="C88" s="35" t="s">
        <v>1642</v>
      </c>
      <c r="D88" s="22"/>
      <c r="E88" s="22"/>
      <c r="F88" s="22"/>
      <c r="G88" s="37"/>
      <c r="H88" s="25" t="str">
        <f t="shared" si="1"/>
        <v/>
      </c>
      <c r="I88" s="40"/>
    </row>
    <row r="89" spans="2:9">
      <c r="B89" s="102"/>
      <c r="D89" s="22"/>
      <c r="E89" s="22"/>
      <c r="F89" s="22"/>
      <c r="G89" s="37"/>
      <c r="H89" s="25" t="str">
        <f t="shared" si="1"/>
        <v/>
      </c>
      <c r="I89" s="40"/>
    </row>
    <row r="90" spans="2:9">
      <c r="B90" s="103" t="s">
        <v>1643</v>
      </c>
      <c r="C90" s="35" t="s">
        <v>1644</v>
      </c>
      <c r="D90" s="62" t="s">
        <v>903</v>
      </c>
      <c r="E90" s="22"/>
      <c r="F90" s="22"/>
      <c r="G90" s="37"/>
      <c r="H90" s="25">
        <f t="shared" si="1"/>
        <v>0</v>
      </c>
      <c r="I90" s="40"/>
    </row>
    <row r="91" spans="2:9">
      <c r="B91" s="102"/>
      <c r="D91" s="22"/>
      <c r="E91" s="22"/>
      <c r="F91" s="22"/>
      <c r="G91" s="37"/>
      <c r="H91" s="25" t="str">
        <f t="shared" si="1"/>
        <v/>
      </c>
      <c r="I91" s="40"/>
    </row>
    <row r="92" spans="2:9">
      <c r="B92" s="103" t="s">
        <v>1645</v>
      </c>
      <c r="C92" s="35" t="s">
        <v>1646</v>
      </c>
      <c r="D92" s="62" t="s">
        <v>903</v>
      </c>
      <c r="E92" s="22"/>
      <c r="F92" s="22"/>
      <c r="G92" s="37"/>
      <c r="H92" s="25">
        <f t="shared" si="1"/>
        <v>0</v>
      </c>
      <c r="I92" s="40"/>
    </row>
    <row r="93" spans="2:9">
      <c r="B93" s="103"/>
      <c r="C93" s="35"/>
      <c r="D93" s="22"/>
      <c r="E93" s="22"/>
      <c r="F93" s="22"/>
      <c r="G93" s="37"/>
      <c r="H93" s="25" t="str">
        <f t="shared" si="1"/>
        <v/>
      </c>
      <c r="I93" s="40"/>
    </row>
    <row r="94" spans="2:9" ht="25.5">
      <c r="B94" s="48" t="s">
        <v>1647</v>
      </c>
      <c r="C94" s="55" t="s">
        <v>1648</v>
      </c>
      <c r="D94" s="15" t="s">
        <v>386</v>
      </c>
      <c r="E94" s="22"/>
      <c r="F94" s="22"/>
      <c r="G94" s="37"/>
      <c r="H94" s="25">
        <f t="shared" si="1"/>
        <v>0</v>
      </c>
      <c r="I94" s="40"/>
    </row>
    <row r="95" spans="2:9">
      <c r="B95" s="102"/>
      <c r="C95" s="55"/>
      <c r="D95" s="22"/>
      <c r="E95" s="22"/>
      <c r="F95" s="22"/>
      <c r="G95" s="37"/>
      <c r="H95" s="25" t="str">
        <f t="shared" si="1"/>
        <v/>
      </c>
      <c r="I95" s="40"/>
    </row>
    <row r="96" spans="2:9" ht="14.25">
      <c r="B96" s="102" t="s">
        <v>1649</v>
      </c>
      <c r="C96" s="35" t="s">
        <v>1650</v>
      </c>
      <c r="D96" s="15" t="s">
        <v>386</v>
      </c>
      <c r="E96" s="22"/>
      <c r="F96" s="22"/>
      <c r="G96" s="37"/>
      <c r="H96" s="25">
        <f t="shared" si="1"/>
        <v>0</v>
      </c>
      <c r="I96" s="40"/>
    </row>
    <row r="97" spans="2:9">
      <c r="B97" s="102"/>
      <c r="C97" s="35"/>
      <c r="D97" s="22"/>
      <c r="E97" s="22"/>
      <c r="F97" s="22"/>
      <c r="G97" s="37"/>
      <c r="H97" s="25" t="str">
        <f t="shared" si="1"/>
        <v/>
      </c>
      <c r="I97" s="40"/>
    </row>
    <row r="98" spans="2:9" ht="25.5">
      <c r="B98" s="102" t="s">
        <v>1651</v>
      </c>
      <c r="C98" s="55" t="s">
        <v>1652</v>
      </c>
      <c r="D98" s="62" t="s">
        <v>347</v>
      </c>
      <c r="E98" s="22"/>
      <c r="F98" s="22"/>
      <c r="G98" s="37"/>
      <c r="H98" s="25">
        <f t="shared" si="1"/>
        <v>0</v>
      </c>
      <c r="I98" s="40"/>
    </row>
    <row r="99" spans="2:9">
      <c r="B99" s="102"/>
      <c r="C99" s="35"/>
      <c r="D99" s="22"/>
      <c r="E99" s="22"/>
      <c r="F99" s="22"/>
      <c r="G99" s="37"/>
      <c r="H99" s="25" t="str">
        <f t="shared" si="1"/>
        <v/>
      </c>
      <c r="I99" s="40"/>
    </row>
    <row r="100" spans="2:9" ht="38.25">
      <c r="B100" s="103" t="s">
        <v>1653</v>
      </c>
      <c r="C100" s="55" t="s">
        <v>1654</v>
      </c>
      <c r="D100" s="22"/>
      <c r="E100" s="22"/>
      <c r="F100" s="22"/>
      <c r="G100" s="37"/>
      <c r="H100" s="25" t="str">
        <f t="shared" si="1"/>
        <v/>
      </c>
      <c r="I100" s="40"/>
    </row>
    <row r="101" spans="2:9">
      <c r="B101" s="102"/>
      <c r="D101" s="22"/>
      <c r="E101" s="22"/>
      <c r="F101" s="22"/>
      <c r="G101" s="37"/>
      <c r="H101" s="25" t="str">
        <f t="shared" si="1"/>
        <v/>
      </c>
      <c r="I101" s="40"/>
    </row>
    <row r="102" spans="2:9">
      <c r="B102" s="103" t="s">
        <v>1655</v>
      </c>
      <c r="C102" s="35" t="s">
        <v>1620</v>
      </c>
      <c r="D102" s="62" t="s">
        <v>347</v>
      </c>
      <c r="E102" s="22"/>
      <c r="F102" s="22"/>
      <c r="G102" s="37"/>
      <c r="H102" s="25">
        <f t="shared" si="1"/>
        <v>0</v>
      </c>
      <c r="I102" s="40"/>
    </row>
    <row r="103" spans="2:9">
      <c r="B103" s="102"/>
      <c r="D103" s="22"/>
      <c r="E103" s="22"/>
      <c r="F103" s="22"/>
      <c r="G103" s="37"/>
      <c r="H103" s="25" t="str">
        <f t="shared" si="1"/>
        <v/>
      </c>
      <c r="I103" s="40"/>
    </row>
    <row r="104" spans="2:9">
      <c r="B104" s="103" t="s">
        <v>1656</v>
      </c>
      <c r="C104" s="35" t="s">
        <v>1605</v>
      </c>
      <c r="D104" s="62" t="s">
        <v>347</v>
      </c>
      <c r="E104" s="22"/>
      <c r="F104" s="22"/>
      <c r="G104" s="37"/>
      <c r="H104" s="25">
        <f t="shared" si="1"/>
        <v>0</v>
      </c>
      <c r="I104" s="40"/>
    </row>
    <row r="105" spans="2:9">
      <c r="B105" s="102"/>
      <c r="D105" s="22"/>
      <c r="E105" s="22"/>
      <c r="F105" s="22"/>
      <c r="G105" s="37"/>
      <c r="H105" s="25" t="str">
        <f t="shared" si="1"/>
        <v/>
      </c>
      <c r="I105" s="40"/>
    </row>
    <row r="106" spans="2:9">
      <c r="B106" s="103" t="s">
        <v>1657</v>
      </c>
      <c r="C106" s="35" t="s">
        <v>1606</v>
      </c>
      <c r="D106" s="62" t="s">
        <v>347</v>
      </c>
      <c r="E106" s="22"/>
      <c r="F106" s="22"/>
      <c r="G106" s="37"/>
      <c r="H106" s="25">
        <f t="shared" si="1"/>
        <v>0</v>
      </c>
      <c r="I106" s="40"/>
    </row>
    <row r="107" spans="2:9">
      <c r="B107" s="103"/>
      <c r="C107" s="55"/>
      <c r="D107" s="22"/>
      <c r="E107" s="22"/>
      <c r="F107" s="22"/>
      <c r="G107" s="37"/>
      <c r="H107" s="25" t="str">
        <f t="shared" si="1"/>
        <v/>
      </c>
      <c r="I107" s="40"/>
    </row>
    <row r="108" spans="2:9" ht="38.25">
      <c r="B108" s="103" t="s">
        <v>1658</v>
      </c>
      <c r="C108" s="55" t="s">
        <v>1659</v>
      </c>
      <c r="D108" s="22"/>
      <c r="E108" s="22"/>
      <c r="F108" s="22"/>
      <c r="G108" s="37"/>
      <c r="H108" s="25" t="str">
        <f t="shared" si="1"/>
        <v/>
      </c>
      <c r="I108" s="40"/>
    </row>
    <row r="109" spans="2:9">
      <c r="B109" s="102"/>
      <c r="C109" s="35"/>
      <c r="D109" s="22"/>
      <c r="E109" s="22"/>
      <c r="F109" s="22"/>
      <c r="G109" s="37"/>
      <c r="H109" s="25" t="str">
        <f t="shared" si="1"/>
        <v/>
      </c>
      <c r="I109" s="40"/>
    </row>
    <row r="110" spans="2:9">
      <c r="B110" s="103" t="s">
        <v>1660</v>
      </c>
      <c r="C110" s="35" t="s">
        <v>1661</v>
      </c>
      <c r="D110" s="62" t="s">
        <v>347</v>
      </c>
      <c r="E110" s="22"/>
      <c r="F110" s="22"/>
      <c r="G110" s="37"/>
      <c r="H110" s="25">
        <f t="shared" si="1"/>
        <v>0</v>
      </c>
      <c r="I110" s="40"/>
    </row>
    <row r="111" spans="2:9">
      <c r="B111" s="102"/>
      <c r="D111" s="22"/>
      <c r="E111" s="22"/>
      <c r="F111" s="22"/>
      <c r="G111" s="37"/>
      <c r="H111" s="25" t="str">
        <f t="shared" si="1"/>
        <v/>
      </c>
      <c r="I111" s="40"/>
    </row>
    <row r="112" spans="2:9">
      <c r="B112" s="103" t="s">
        <v>1662</v>
      </c>
      <c r="C112" s="35" t="s">
        <v>1663</v>
      </c>
      <c r="D112" s="62" t="s">
        <v>347</v>
      </c>
      <c r="E112" s="22"/>
      <c r="F112" s="22"/>
      <c r="G112" s="37"/>
      <c r="H112" s="25">
        <f t="shared" si="1"/>
        <v>0</v>
      </c>
      <c r="I112" s="40"/>
    </row>
    <row r="113" spans="2:9">
      <c r="B113" s="102"/>
      <c r="D113" s="22"/>
      <c r="E113" s="22"/>
      <c r="F113" s="22"/>
      <c r="G113" s="37"/>
      <c r="H113" s="25" t="str">
        <f t="shared" si="1"/>
        <v/>
      </c>
      <c r="I113" s="40"/>
    </row>
    <row r="114" spans="2:9">
      <c r="B114" s="103" t="s">
        <v>1664</v>
      </c>
      <c r="C114" s="35" t="s">
        <v>1665</v>
      </c>
      <c r="D114" s="62" t="s">
        <v>347</v>
      </c>
      <c r="E114" s="22"/>
      <c r="F114" s="22"/>
      <c r="G114" s="37"/>
      <c r="H114" s="25">
        <f t="shared" si="1"/>
        <v>0</v>
      </c>
      <c r="I114" s="40"/>
    </row>
    <row r="115" spans="2:9">
      <c r="B115" s="103"/>
      <c r="C115" s="35"/>
      <c r="D115" s="22"/>
      <c r="E115" s="22"/>
      <c r="F115" s="22"/>
      <c r="G115" s="37"/>
      <c r="H115" s="25" t="str">
        <f t="shared" si="1"/>
        <v/>
      </c>
      <c r="I115" s="40"/>
    </row>
    <row r="116" spans="2:9" ht="38.25">
      <c r="B116" s="103" t="s">
        <v>1666</v>
      </c>
      <c r="C116" s="55" t="s">
        <v>1667</v>
      </c>
      <c r="D116" s="62" t="s">
        <v>52</v>
      </c>
      <c r="E116" s="22"/>
      <c r="F116" s="22"/>
      <c r="G116" s="37"/>
      <c r="H116" s="25">
        <f t="shared" si="1"/>
        <v>0</v>
      </c>
      <c r="I116" s="40"/>
    </row>
    <row r="117" spans="2:9">
      <c r="B117" s="102"/>
      <c r="C117" s="35"/>
      <c r="D117" s="22"/>
      <c r="E117" s="22"/>
      <c r="F117" s="22"/>
      <c r="G117" s="37"/>
      <c r="H117" s="25" t="str">
        <f t="shared" si="1"/>
        <v/>
      </c>
      <c r="I117" s="40"/>
    </row>
    <row r="118" spans="2:9" ht="25.5">
      <c r="B118" s="103" t="s">
        <v>1668</v>
      </c>
      <c r="C118" s="55" t="s">
        <v>1669</v>
      </c>
      <c r="D118" s="62" t="s">
        <v>347</v>
      </c>
      <c r="E118" s="22"/>
      <c r="F118" s="22"/>
      <c r="G118" s="37"/>
      <c r="H118" s="25">
        <f t="shared" si="1"/>
        <v>0</v>
      </c>
      <c r="I118" s="40"/>
    </row>
    <row r="119" spans="2:9">
      <c r="B119" s="102"/>
      <c r="C119" s="55"/>
      <c r="D119" s="22"/>
      <c r="E119" s="22"/>
      <c r="F119" s="22"/>
      <c r="G119" s="37"/>
      <c r="H119" s="25" t="str">
        <f t="shared" si="1"/>
        <v/>
      </c>
      <c r="I119" s="40"/>
    </row>
    <row r="120" spans="2:9" ht="25.5">
      <c r="B120" s="103" t="s">
        <v>1670</v>
      </c>
      <c r="C120" s="55" t="s">
        <v>1671</v>
      </c>
      <c r="D120" s="62" t="s">
        <v>85</v>
      </c>
      <c r="E120" s="22"/>
      <c r="F120" s="22"/>
      <c r="G120" s="37"/>
      <c r="H120" s="25">
        <f t="shared" si="1"/>
        <v>0</v>
      </c>
      <c r="I120" s="40"/>
    </row>
    <row r="121" spans="2:9">
      <c r="B121" s="102"/>
      <c r="C121" s="35"/>
      <c r="D121" s="22"/>
      <c r="E121" s="22"/>
      <c r="F121" s="22"/>
      <c r="G121" s="37"/>
      <c r="H121" s="25" t="str">
        <f t="shared" si="1"/>
        <v/>
      </c>
      <c r="I121" s="40"/>
    </row>
    <row r="122" spans="2:9" ht="25.5">
      <c r="B122" s="103" t="s">
        <v>1672</v>
      </c>
      <c r="C122" s="55" t="s">
        <v>1673</v>
      </c>
      <c r="D122" s="62" t="s">
        <v>85</v>
      </c>
      <c r="E122" s="22"/>
      <c r="F122" s="22"/>
      <c r="G122" s="37"/>
      <c r="H122" s="25">
        <f t="shared" si="1"/>
        <v>0</v>
      </c>
      <c r="I122" s="40"/>
    </row>
    <row r="123" spans="2:9">
      <c r="B123" s="103"/>
      <c r="C123" s="55"/>
      <c r="D123" s="62"/>
      <c r="E123" s="22"/>
      <c r="F123" s="22"/>
      <c r="G123" s="37"/>
      <c r="H123" s="25"/>
      <c r="I123" s="40"/>
    </row>
    <row r="124" spans="2:9">
      <c r="B124" s="103" t="s">
        <v>1674</v>
      </c>
      <c r="C124" s="55" t="s">
        <v>1675</v>
      </c>
      <c r="D124" s="62" t="s">
        <v>1593</v>
      </c>
      <c r="E124" s="22"/>
      <c r="F124" s="22"/>
      <c r="G124" s="37"/>
      <c r="H124" s="25">
        <f t="shared" ref="H124" si="2">IF(D124="","",F124*G124)</f>
        <v>0</v>
      </c>
      <c r="I124" s="40"/>
    </row>
    <row r="125" spans="2:9">
      <c r="B125" s="103"/>
      <c r="C125" s="55"/>
      <c r="D125" s="62"/>
      <c r="E125" s="22"/>
      <c r="F125" s="22"/>
      <c r="G125" s="37"/>
      <c r="H125" s="25"/>
      <c r="I125" s="40"/>
    </row>
    <row r="126" spans="2:9">
      <c r="B126" s="102"/>
      <c r="C126" s="35"/>
      <c r="D126" s="22"/>
      <c r="E126" s="22"/>
      <c r="F126" s="22"/>
      <c r="G126" s="37"/>
      <c r="H126" s="25" t="str">
        <f t="shared" si="1"/>
        <v/>
      </c>
      <c r="I126" s="40"/>
    </row>
    <row r="127" spans="2:9" s="28" customFormat="1" ht="19.5" customHeight="1">
      <c r="B127" s="101" t="str">
        <f>$B$10</f>
        <v>C12.1</v>
      </c>
      <c r="C127" s="29" t="s">
        <v>99</v>
      </c>
      <c r="D127" s="30"/>
      <c r="E127" s="30"/>
      <c r="F127" s="31"/>
      <c r="G127" s="30"/>
      <c r="H127" s="32">
        <f>SUM(H74:H126)</f>
        <v>0</v>
      </c>
      <c r="I127" s="33"/>
    </row>
    <row r="128" spans="2:9">
      <c r="B128" s="736" t="str">
        <f>Client1</f>
        <v>AIRPORTS COMPANY - SOUTH AFRICA</v>
      </c>
      <c r="C128" s="736"/>
      <c r="D128" s="736"/>
      <c r="E128" s="736"/>
      <c r="F128" s="737" t="str">
        <f>"Contract No. "&amp;ContractNo</f>
        <v>Contract No. KSIA7806/2025/RFP</v>
      </c>
      <c r="G128" s="737"/>
      <c r="H128" s="737"/>
    </row>
    <row r="129" spans="2:9">
      <c r="B129" s="736" t="str">
        <f>Client2</f>
        <v>ACSA</v>
      </c>
      <c r="C129" s="736"/>
      <c r="D129" s="736"/>
      <c r="E129" s="736"/>
      <c r="F129" s="737"/>
      <c r="G129" s="737"/>
      <c r="H129" s="737"/>
    </row>
    <row r="130" spans="2:9">
      <c r="B130" s="739"/>
      <c r="C130" s="739"/>
      <c r="D130" s="739"/>
      <c r="E130" s="739"/>
      <c r="F130" s="738"/>
      <c r="G130" s="738"/>
      <c r="H130" s="738"/>
    </row>
    <row r="131" spans="2:9">
      <c r="B131" s="695" t="s">
        <v>456</v>
      </c>
      <c r="C131" s="696"/>
      <c r="D131" s="696"/>
      <c r="E131" s="696"/>
      <c r="F131" s="696"/>
      <c r="G131" s="696"/>
      <c r="H131" s="740" t="str">
        <f>$H$4</f>
        <v xml:space="preserve">CHAPTER </v>
      </c>
      <c r="I131" s="6"/>
    </row>
    <row r="132" spans="2:9">
      <c r="B132" s="690" t="str">
        <f>ContractDescription</f>
        <v>PROCUREMENT OF A CIDB GRADE 9 CE CONTRACTOR THE COMPLETION OF BRAVO TAXIWAY EXTENSION AT KING SHAKA INTERNATIONAL AIRPORT FOR A PERIOD OF 12 MONTHS AT KING SHAKA INTERNATIONAL AIRPORT</v>
      </c>
      <c r="C132" s="691"/>
      <c r="D132" s="691"/>
      <c r="E132" s="691"/>
      <c r="F132" s="691"/>
      <c r="G132" s="691"/>
      <c r="H132" s="737"/>
      <c r="I132" s="8"/>
    </row>
    <row r="133" spans="2:9">
      <c r="B133" s="690"/>
      <c r="C133" s="691"/>
      <c r="D133" s="691"/>
      <c r="E133" s="691"/>
      <c r="F133" s="691"/>
      <c r="G133" s="691"/>
      <c r="H133" s="737"/>
      <c r="I133" s="8"/>
    </row>
    <row r="134" spans="2:9">
      <c r="B134" s="692"/>
      <c r="C134" s="693"/>
      <c r="D134" s="693"/>
      <c r="E134" s="693"/>
      <c r="F134" s="693"/>
      <c r="G134" s="693"/>
      <c r="H134" s="738"/>
      <c r="I134" s="8"/>
    </row>
    <row r="135" spans="2:9" s="9" customFormat="1" ht="24.95" customHeight="1">
      <c r="B135" s="70" t="s">
        <v>11</v>
      </c>
      <c r="C135" s="11" t="s">
        <v>12</v>
      </c>
      <c r="D135" s="11" t="s">
        <v>13</v>
      </c>
      <c r="E135" s="11" t="s">
        <v>14</v>
      </c>
      <c r="F135" s="11" t="s">
        <v>15</v>
      </c>
      <c r="G135" s="11" t="s">
        <v>16</v>
      </c>
      <c r="H135" s="11" t="s">
        <v>17</v>
      </c>
      <c r="I135" s="12"/>
    </row>
    <row r="136" spans="2:9" s="28" customFormat="1" ht="19.5" customHeight="1">
      <c r="B136" s="74"/>
      <c r="C136" s="29" t="s">
        <v>140</v>
      </c>
      <c r="D136" s="30"/>
      <c r="E136" s="30"/>
      <c r="F136" s="31"/>
      <c r="G136" s="30"/>
      <c r="H136" s="32">
        <f>H127</f>
        <v>0</v>
      </c>
      <c r="I136" s="33"/>
    </row>
    <row r="137" spans="2:9">
      <c r="B137" s="102"/>
      <c r="C137" s="35"/>
      <c r="D137" s="22"/>
      <c r="E137" s="22"/>
      <c r="F137" s="22"/>
      <c r="G137" s="37"/>
      <c r="H137" s="25" t="str">
        <f t="shared" si="1"/>
        <v/>
      </c>
      <c r="I137" s="40"/>
    </row>
    <row r="138" spans="2:9" ht="38.25">
      <c r="B138" s="103" t="s">
        <v>1676</v>
      </c>
      <c r="C138" s="55" t="s">
        <v>1677</v>
      </c>
      <c r="D138" s="62" t="s">
        <v>85</v>
      </c>
      <c r="E138" s="22"/>
      <c r="F138" s="22"/>
      <c r="G138" s="37"/>
      <c r="H138" s="25">
        <f t="shared" si="1"/>
        <v>0</v>
      </c>
      <c r="I138" s="40"/>
    </row>
    <row r="139" spans="2:9">
      <c r="B139" s="103"/>
      <c r="C139" s="35"/>
      <c r="D139" s="22"/>
      <c r="E139" s="22"/>
      <c r="F139" s="22"/>
      <c r="G139" s="37"/>
      <c r="H139" s="25" t="str">
        <f t="shared" si="1"/>
        <v/>
      </c>
      <c r="I139" s="40"/>
    </row>
    <row r="140" spans="2:9">
      <c r="B140" s="102" t="s">
        <v>1678</v>
      </c>
      <c r="C140" s="53" t="s">
        <v>1679</v>
      </c>
      <c r="D140" s="89" t="s">
        <v>1593</v>
      </c>
      <c r="E140" s="22"/>
      <c r="F140" s="22"/>
      <c r="G140" s="37"/>
      <c r="H140" s="25">
        <f t="shared" si="1"/>
        <v>0</v>
      </c>
      <c r="I140" s="40"/>
    </row>
    <row r="141" spans="2:9">
      <c r="B141" s="102"/>
      <c r="C141" s="53"/>
      <c r="D141" s="22"/>
      <c r="E141" s="22"/>
      <c r="F141" s="22"/>
      <c r="G141" s="37"/>
      <c r="H141" s="25" t="str">
        <f t="shared" si="1"/>
        <v/>
      </c>
      <c r="I141" s="40"/>
    </row>
    <row r="142" spans="2:9" ht="25.5">
      <c r="B142" s="102" t="s">
        <v>1680</v>
      </c>
      <c r="C142" s="55" t="s">
        <v>1681</v>
      </c>
      <c r="D142" s="89" t="s">
        <v>85</v>
      </c>
      <c r="E142" s="22"/>
      <c r="F142" s="22"/>
      <c r="G142" s="37"/>
      <c r="H142" s="25">
        <f t="shared" si="1"/>
        <v>0</v>
      </c>
      <c r="I142" s="40"/>
    </row>
    <row r="143" spans="2:9">
      <c r="B143" s="102"/>
      <c r="C143" s="35"/>
      <c r="D143" s="22"/>
      <c r="E143" s="22"/>
      <c r="F143" s="22"/>
      <c r="G143" s="37"/>
      <c r="H143" s="25" t="str">
        <f t="shared" si="1"/>
        <v/>
      </c>
      <c r="I143" s="40"/>
    </row>
    <row r="144" spans="2:9">
      <c r="B144" s="103" t="s">
        <v>1682</v>
      </c>
      <c r="C144" s="35" t="s">
        <v>1683</v>
      </c>
      <c r="D144" s="22"/>
      <c r="E144" s="22"/>
      <c r="F144" s="22"/>
      <c r="G144" s="37"/>
      <c r="H144" s="25" t="str">
        <f t="shared" si="1"/>
        <v/>
      </c>
      <c r="I144" s="40"/>
    </row>
    <row r="145" spans="2:9">
      <c r="B145" s="102"/>
      <c r="D145" s="22"/>
      <c r="E145" s="22"/>
      <c r="F145" s="22"/>
      <c r="G145" s="37"/>
      <c r="H145" s="25" t="str">
        <f t="shared" si="1"/>
        <v/>
      </c>
      <c r="I145" s="40"/>
    </row>
    <row r="146" spans="2:9">
      <c r="B146" s="103" t="s">
        <v>1684</v>
      </c>
      <c r="C146" s="35" t="s">
        <v>1685</v>
      </c>
      <c r="D146" s="62" t="s">
        <v>347</v>
      </c>
      <c r="E146" s="22"/>
      <c r="F146" s="22"/>
      <c r="G146" s="37"/>
      <c r="H146" s="25">
        <f t="shared" si="1"/>
        <v>0</v>
      </c>
      <c r="I146" s="40"/>
    </row>
    <row r="147" spans="2:9">
      <c r="B147" s="102"/>
      <c r="D147" s="22"/>
      <c r="E147" s="22"/>
      <c r="F147" s="22"/>
      <c r="G147" s="37"/>
      <c r="H147" s="25" t="str">
        <f t="shared" si="1"/>
        <v/>
      </c>
      <c r="I147" s="40"/>
    </row>
    <row r="148" spans="2:9">
      <c r="B148" s="103" t="s">
        <v>1686</v>
      </c>
      <c r="C148" s="35" t="s">
        <v>1687</v>
      </c>
      <c r="D148" s="22"/>
      <c r="E148" s="22"/>
      <c r="F148" s="22"/>
      <c r="G148" s="37"/>
      <c r="H148" s="25" t="str">
        <f t="shared" si="1"/>
        <v/>
      </c>
      <c r="I148" s="40"/>
    </row>
    <row r="149" spans="2:9">
      <c r="B149" s="48"/>
      <c r="D149" s="22"/>
      <c r="E149" s="22"/>
      <c r="F149" s="22"/>
      <c r="G149" s="37"/>
      <c r="H149" s="25" t="str">
        <f t="shared" si="1"/>
        <v/>
      </c>
      <c r="I149" s="40"/>
    </row>
    <row r="150" spans="2:9">
      <c r="B150" s="48"/>
      <c r="C150" s="35" t="s">
        <v>1688</v>
      </c>
      <c r="D150" s="62" t="s">
        <v>347</v>
      </c>
      <c r="E150" s="22"/>
      <c r="F150" s="22"/>
      <c r="G150" s="37"/>
      <c r="H150" s="25">
        <f t="shared" si="1"/>
        <v>0</v>
      </c>
      <c r="I150" s="40"/>
    </row>
    <row r="151" spans="2:9">
      <c r="B151" s="48"/>
      <c r="C151" s="35"/>
      <c r="D151" s="22"/>
      <c r="E151" s="22"/>
      <c r="F151" s="22"/>
      <c r="G151" s="37"/>
      <c r="H151" s="25" t="str">
        <f t="shared" si="1"/>
        <v/>
      </c>
      <c r="I151" s="40"/>
    </row>
    <row r="152" spans="2:9">
      <c r="B152" s="48" t="s">
        <v>1689</v>
      </c>
      <c r="C152" s="53" t="s">
        <v>1690</v>
      </c>
      <c r="D152" s="21" t="s">
        <v>1691</v>
      </c>
      <c r="E152" s="22"/>
      <c r="F152" s="22"/>
      <c r="G152" s="37"/>
      <c r="H152" s="25">
        <f t="shared" si="1"/>
        <v>0</v>
      </c>
      <c r="I152" s="40"/>
    </row>
    <row r="153" spans="2:9">
      <c r="B153" s="102"/>
      <c r="C153" s="55"/>
      <c r="D153" s="36"/>
      <c r="E153" s="22"/>
      <c r="F153" s="22"/>
      <c r="G153" s="37"/>
      <c r="H153" s="25" t="str">
        <f t="shared" si="1"/>
        <v/>
      </c>
      <c r="I153" s="40"/>
    </row>
    <row r="154" spans="2:9">
      <c r="B154" s="103" t="s">
        <v>1692</v>
      </c>
      <c r="C154" s="35" t="s">
        <v>1693</v>
      </c>
      <c r="D154" s="36"/>
      <c r="E154" s="22"/>
      <c r="F154" s="22"/>
      <c r="G154" s="37"/>
      <c r="H154" s="25" t="str">
        <f t="shared" si="1"/>
        <v/>
      </c>
      <c r="I154" s="40"/>
    </row>
    <row r="155" spans="2:9">
      <c r="B155" s="102"/>
      <c r="D155" s="36"/>
      <c r="E155" s="22"/>
      <c r="F155" s="22"/>
      <c r="G155" s="37"/>
      <c r="H155" s="25" t="str">
        <f t="shared" si="1"/>
        <v/>
      </c>
      <c r="I155" s="40"/>
    </row>
    <row r="156" spans="2:9" ht="38.25">
      <c r="B156" s="103" t="s">
        <v>1694</v>
      </c>
      <c r="C156" s="55" t="s">
        <v>1695</v>
      </c>
      <c r="D156" s="62" t="s">
        <v>347</v>
      </c>
      <c r="E156" s="22"/>
      <c r="F156" s="22"/>
      <c r="G156" s="37"/>
      <c r="H156" s="25">
        <f t="shared" si="1"/>
        <v>0</v>
      </c>
      <c r="I156" s="40"/>
    </row>
    <row r="157" spans="2:9">
      <c r="B157" s="102"/>
      <c r="D157" s="36"/>
      <c r="E157" s="22"/>
      <c r="F157" s="22"/>
      <c r="G157" s="37"/>
      <c r="H157" s="25" t="str">
        <f t="shared" si="1"/>
        <v/>
      </c>
      <c r="I157" s="40"/>
    </row>
    <row r="158" spans="2:9" ht="38.25">
      <c r="B158" s="103" t="s">
        <v>1696</v>
      </c>
      <c r="C158" s="55" t="s">
        <v>1697</v>
      </c>
      <c r="D158" s="62" t="s">
        <v>85</v>
      </c>
      <c r="E158" s="22"/>
      <c r="F158" s="22"/>
      <c r="G158" s="37"/>
      <c r="H158" s="25">
        <f t="shared" si="1"/>
        <v>0</v>
      </c>
      <c r="I158" s="40"/>
    </row>
    <row r="159" spans="2:9">
      <c r="B159" s="102"/>
      <c r="D159" s="36"/>
      <c r="E159" s="22"/>
      <c r="F159" s="22"/>
      <c r="G159" s="37"/>
      <c r="H159" s="25" t="str">
        <f t="shared" si="1"/>
        <v/>
      </c>
      <c r="I159" s="40"/>
    </row>
    <row r="160" spans="2:9" ht="25.5">
      <c r="B160" s="103" t="s">
        <v>1698</v>
      </c>
      <c r="C160" s="55" t="s">
        <v>1699</v>
      </c>
      <c r="D160" s="62" t="s">
        <v>347</v>
      </c>
      <c r="E160" s="22"/>
      <c r="F160" s="22"/>
      <c r="G160" s="37"/>
      <c r="H160" s="25">
        <f t="shared" ref="H160:H172" si="3">IF(D160="","",F160*G160)</f>
        <v>0</v>
      </c>
      <c r="I160" s="40"/>
    </row>
    <row r="161" spans="2:9">
      <c r="B161" s="102"/>
      <c r="D161" s="36"/>
      <c r="E161" s="22"/>
      <c r="F161" s="22"/>
      <c r="G161" s="37"/>
      <c r="H161" s="25" t="str">
        <f t="shared" si="3"/>
        <v/>
      </c>
      <c r="I161" s="40"/>
    </row>
    <row r="162" spans="2:9">
      <c r="B162" s="103" t="s">
        <v>1700</v>
      </c>
      <c r="C162" s="35" t="s">
        <v>1701</v>
      </c>
      <c r="D162" s="62" t="s">
        <v>85</v>
      </c>
      <c r="E162" s="22"/>
      <c r="F162" s="22"/>
      <c r="G162" s="37"/>
      <c r="H162" s="25">
        <f t="shared" si="3"/>
        <v>0</v>
      </c>
      <c r="I162" s="40"/>
    </row>
    <row r="163" spans="2:9">
      <c r="B163" s="48"/>
      <c r="C163" s="52"/>
      <c r="D163" s="22"/>
      <c r="E163" s="22"/>
      <c r="F163" s="22"/>
      <c r="G163" s="37"/>
      <c r="H163" s="25" t="str">
        <f t="shared" si="3"/>
        <v/>
      </c>
      <c r="I163" s="40"/>
    </row>
    <row r="164" spans="2:9">
      <c r="B164" s="48" t="s">
        <v>1702</v>
      </c>
      <c r="C164" s="13" t="s">
        <v>1703</v>
      </c>
      <c r="D164" s="22"/>
      <c r="E164" s="22"/>
      <c r="F164" s="22"/>
      <c r="G164" s="37"/>
      <c r="H164" s="25" t="str">
        <f t="shared" si="3"/>
        <v/>
      </c>
      <c r="I164" s="40"/>
    </row>
    <row r="165" spans="2:9">
      <c r="B165" s="5"/>
      <c r="C165" s="52"/>
      <c r="D165" s="22"/>
      <c r="E165" s="22"/>
      <c r="F165" s="22"/>
      <c r="G165" s="37"/>
      <c r="H165" s="25" t="str">
        <f t="shared" si="3"/>
        <v/>
      </c>
      <c r="I165" s="40"/>
    </row>
    <row r="166" spans="2:9">
      <c r="B166" s="102" t="s">
        <v>1704</v>
      </c>
      <c r="C166" s="35" t="s">
        <v>1705</v>
      </c>
      <c r="D166" s="22"/>
      <c r="E166" s="22"/>
      <c r="F166" s="22"/>
      <c r="G166" s="37"/>
      <c r="H166" s="25" t="str">
        <f t="shared" si="3"/>
        <v/>
      </c>
      <c r="I166" s="40"/>
    </row>
    <row r="167" spans="2:9">
      <c r="B167" s="103"/>
      <c r="C167" s="35"/>
      <c r="D167" s="22"/>
      <c r="E167" s="22"/>
      <c r="F167" s="22"/>
      <c r="G167" s="37"/>
      <c r="H167" s="25" t="str">
        <f t="shared" si="3"/>
        <v/>
      </c>
      <c r="I167" s="40"/>
    </row>
    <row r="168" spans="2:9" ht="14.25">
      <c r="B168" s="48"/>
      <c r="C168" s="35" t="s">
        <v>1706</v>
      </c>
      <c r="D168" s="36" t="s">
        <v>124</v>
      </c>
      <c r="E168" s="22"/>
      <c r="F168" s="22"/>
      <c r="G168" s="37"/>
      <c r="H168" s="25">
        <f t="shared" si="3"/>
        <v>0</v>
      </c>
      <c r="I168" s="40"/>
    </row>
    <row r="169" spans="2:9">
      <c r="B169" s="48"/>
      <c r="C169" s="35"/>
      <c r="D169" s="22"/>
      <c r="E169" s="22"/>
      <c r="F169" s="22"/>
      <c r="G169" s="37"/>
      <c r="H169" s="25" t="str">
        <f t="shared" si="3"/>
        <v/>
      </c>
      <c r="I169" s="40"/>
    </row>
    <row r="170" spans="2:9" ht="14.25">
      <c r="B170" s="48"/>
      <c r="C170" s="35" t="s">
        <v>1707</v>
      </c>
      <c r="D170" s="36" t="s">
        <v>124</v>
      </c>
      <c r="E170" s="22"/>
      <c r="F170" s="22"/>
      <c r="G170" s="37"/>
      <c r="H170" s="25">
        <f t="shared" si="3"/>
        <v>0</v>
      </c>
      <c r="I170" s="40"/>
    </row>
    <row r="171" spans="2:9">
      <c r="B171" s="48"/>
      <c r="C171" s="35"/>
      <c r="D171" s="22"/>
      <c r="E171" s="22"/>
      <c r="F171" s="22"/>
      <c r="G171" s="37"/>
      <c r="H171" s="25" t="str">
        <f t="shared" si="3"/>
        <v/>
      </c>
      <c r="I171" s="40"/>
    </row>
    <row r="172" spans="2:9" ht="14.25">
      <c r="B172" s="103" t="s">
        <v>1708</v>
      </c>
      <c r="C172" s="35" t="s">
        <v>1709</v>
      </c>
      <c r="D172" s="36" t="s">
        <v>124</v>
      </c>
      <c r="E172" s="22"/>
      <c r="F172" s="22"/>
      <c r="G172" s="37"/>
      <c r="H172" s="25">
        <f t="shared" si="3"/>
        <v>0</v>
      </c>
      <c r="I172" s="40"/>
    </row>
    <row r="173" spans="2:9">
      <c r="B173" s="103"/>
      <c r="C173" s="35"/>
      <c r="D173" s="36"/>
      <c r="E173" s="22"/>
      <c r="F173" s="22"/>
      <c r="G173" s="37"/>
      <c r="H173" s="25"/>
      <c r="I173" s="40"/>
    </row>
    <row r="174" spans="2:9">
      <c r="B174" s="103"/>
      <c r="C174" s="35"/>
      <c r="D174" s="36"/>
      <c r="E174" s="22"/>
      <c r="F174" s="22"/>
      <c r="G174" s="37"/>
      <c r="H174" s="25"/>
      <c r="I174" s="40"/>
    </row>
    <row r="175" spans="2:9">
      <c r="B175" s="103"/>
      <c r="C175" s="35"/>
      <c r="D175" s="36"/>
      <c r="E175" s="22"/>
      <c r="F175" s="22"/>
      <c r="G175" s="37"/>
      <c r="H175" s="25"/>
      <c r="I175" s="40"/>
    </row>
    <row r="176" spans="2:9">
      <c r="B176" s="103"/>
      <c r="C176" s="35"/>
      <c r="D176" s="36"/>
      <c r="E176" s="22"/>
      <c r="F176" s="22"/>
      <c r="G176" s="37"/>
      <c r="H176" s="25"/>
      <c r="I176" s="40"/>
    </row>
    <row r="177" spans="2:9">
      <c r="B177" s="103"/>
      <c r="C177" s="35"/>
      <c r="D177" s="36"/>
      <c r="E177" s="22"/>
      <c r="F177" s="22"/>
      <c r="G177" s="37"/>
      <c r="H177" s="25"/>
      <c r="I177" s="40"/>
    </row>
    <row r="178" spans="2:9">
      <c r="B178" s="103"/>
      <c r="C178" s="35"/>
      <c r="D178" s="36"/>
      <c r="E178" s="22"/>
      <c r="F178" s="22"/>
      <c r="G178" s="37"/>
      <c r="H178" s="25"/>
      <c r="I178" s="40"/>
    </row>
    <row r="179" spans="2:9">
      <c r="B179" s="103"/>
      <c r="C179" s="35"/>
      <c r="D179" s="36"/>
      <c r="E179" s="22"/>
      <c r="F179" s="22"/>
      <c r="G179" s="37"/>
      <c r="H179" s="25"/>
      <c r="I179" s="40"/>
    </row>
    <row r="180" spans="2:9">
      <c r="B180" s="103"/>
      <c r="C180" s="35"/>
      <c r="D180" s="36"/>
      <c r="E180" s="22"/>
      <c r="F180" s="22"/>
      <c r="G180" s="37"/>
      <c r="H180" s="25"/>
      <c r="I180" s="40"/>
    </row>
    <row r="181" spans="2:9">
      <c r="B181" s="103"/>
      <c r="C181" s="35"/>
      <c r="D181" s="36"/>
      <c r="E181" s="22"/>
      <c r="F181" s="22"/>
      <c r="G181" s="37"/>
      <c r="H181" s="25"/>
      <c r="I181" s="40"/>
    </row>
    <row r="182" spans="2:9">
      <c r="B182" s="103"/>
      <c r="C182" s="35"/>
      <c r="D182" s="36"/>
      <c r="E182" s="22"/>
      <c r="F182" s="22"/>
      <c r="G182" s="37"/>
      <c r="H182" s="25"/>
      <c r="I182" s="40"/>
    </row>
    <row r="183" spans="2:9">
      <c r="B183" s="103"/>
      <c r="C183" s="35"/>
      <c r="D183" s="36"/>
      <c r="E183" s="22"/>
      <c r="F183" s="22"/>
      <c r="G183" s="37"/>
      <c r="H183" s="25"/>
      <c r="I183" s="40"/>
    </row>
    <row r="184" spans="2:9">
      <c r="B184" s="103"/>
      <c r="C184" s="35"/>
      <c r="D184" s="36"/>
      <c r="E184" s="22"/>
      <c r="F184" s="22"/>
      <c r="G184" s="37"/>
      <c r="H184" s="25"/>
      <c r="I184" s="40"/>
    </row>
    <row r="185" spans="2:9">
      <c r="B185" s="103"/>
      <c r="C185" s="35"/>
      <c r="D185" s="36"/>
      <c r="E185" s="22"/>
      <c r="F185" s="22"/>
      <c r="G185" s="37"/>
      <c r="H185" s="25"/>
      <c r="I185" s="40"/>
    </row>
    <row r="186" spans="2:9">
      <c r="B186" s="103"/>
      <c r="C186" s="35"/>
      <c r="D186" s="36"/>
      <c r="E186" s="22"/>
      <c r="F186" s="22"/>
      <c r="G186" s="37"/>
      <c r="H186" s="25"/>
      <c r="I186" s="40"/>
    </row>
    <row r="187" spans="2:9">
      <c r="B187" s="103"/>
      <c r="C187" s="35"/>
      <c r="D187" s="36"/>
      <c r="E187" s="22"/>
      <c r="F187" s="22"/>
      <c r="G187" s="37"/>
      <c r="H187" s="25"/>
      <c r="I187" s="40"/>
    </row>
    <row r="188" spans="2:9">
      <c r="B188" s="103"/>
      <c r="C188" s="35"/>
      <c r="D188" s="36"/>
      <c r="E188" s="22"/>
      <c r="F188" s="22"/>
      <c r="G188" s="37"/>
      <c r="H188" s="25"/>
      <c r="I188" s="40"/>
    </row>
    <row r="189" spans="2:9">
      <c r="B189" s="103"/>
      <c r="C189" s="35"/>
      <c r="D189" s="36"/>
      <c r="E189" s="22"/>
      <c r="F189" s="22"/>
      <c r="G189" s="37"/>
      <c r="H189" s="25"/>
      <c r="I189" s="40"/>
    </row>
    <row r="190" spans="2:9">
      <c r="B190" s="103"/>
      <c r="C190" s="35"/>
      <c r="D190" s="36"/>
      <c r="E190" s="22"/>
      <c r="F190" s="22"/>
      <c r="G190" s="37"/>
      <c r="H190" s="25"/>
      <c r="I190" s="40"/>
    </row>
    <row r="191" spans="2:9">
      <c r="B191" s="103"/>
      <c r="C191" s="35"/>
      <c r="D191" s="36"/>
      <c r="E191" s="22"/>
      <c r="F191" s="22"/>
      <c r="G191" s="37"/>
      <c r="H191" s="25"/>
      <c r="I191" s="40"/>
    </row>
    <row r="192" spans="2:9">
      <c r="B192" s="103"/>
      <c r="C192" s="35"/>
      <c r="D192" s="36"/>
      <c r="E192" s="22"/>
      <c r="F192" s="22"/>
      <c r="G192" s="37"/>
      <c r="H192" s="25"/>
      <c r="I192" s="40"/>
    </row>
    <row r="193" spans="2:9">
      <c r="B193" s="103"/>
      <c r="C193" s="35"/>
      <c r="D193" s="36"/>
      <c r="E193" s="22"/>
      <c r="F193" s="22"/>
      <c r="G193" s="37"/>
      <c r="H193" s="25"/>
      <c r="I193" s="40"/>
    </row>
    <row r="194" spans="2:9">
      <c r="B194" s="103"/>
      <c r="C194" s="35"/>
      <c r="D194" s="36"/>
      <c r="E194" s="22"/>
      <c r="F194" s="22"/>
      <c r="G194" s="37"/>
      <c r="H194" s="25"/>
      <c r="I194" s="40"/>
    </row>
    <row r="195" spans="2:9">
      <c r="B195" s="103"/>
      <c r="C195" s="35"/>
      <c r="D195" s="36"/>
      <c r="E195" s="22"/>
      <c r="F195" s="22"/>
      <c r="G195" s="37"/>
      <c r="H195" s="25"/>
      <c r="I195" s="40"/>
    </row>
    <row r="196" spans="2:9" s="28" customFormat="1" ht="24.75" customHeight="1">
      <c r="B196" s="82" t="str">
        <f>$B$10</f>
        <v>C12.1</v>
      </c>
      <c r="C196" s="29" t="s">
        <v>125</v>
      </c>
      <c r="D196" s="30"/>
      <c r="E196" s="30"/>
      <c r="F196" s="31"/>
      <c r="G196" s="30"/>
      <c r="H196" s="32">
        <f>SUM(H136:H195)</f>
        <v>0</v>
      </c>
      <c r="I196" s="33"/>
    </row>
  </sheetData>
  <mergeCells count="18">
    <mergeCell ref="F1:H1"/>
    <mergeCell ref="B5:G7"/>
    <mergeCell ref="H4:H7"/>
    <mergeCell ref="B4:G4"/>
    <mergeCell ref="B66:E66"/>
    <mergeCell ref="F66:H68"/>
    <mergeCell ref="B67:E67"/>
    <mergeCell ref="B68:E68"/>
    <mergeCell ref="B131:G131"/>
    <mergeCell ref="H131:H134"/>
    <mergeCell ref="B132:G134"/>
    <mergeCell ref="B69:G69"/>
    <mergeCell ref="H69:H72"/>
    <mergeCell ref="B70:G72"/>
    <mergeCell ref="B128:E128"/>
    <mergeCell ref="F128:H130"/>
    <mergeCell ref="B129:E129"/>
    <mergeCell ref="B130:E130"/>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dimension ref="B1:I66"/>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C12.2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s="9" customFormat="1">
      <c r="B9" s="105"/>
      <c r="C9" s="54"/>
      <c r="D9" s="95"/>
      <c r="E9" s="22"/>
      <c r="F9" s="22"/>
      <c r="G9" s="22"/>
      <c r="H9" s="25" t="str">
        <f t="shared" ref="H9:H60" si="0">IF(D9="","",F9*G9)</f>
        <v/>
      </c>
      <c r="I9" s="12"/>
    </row>
    <row r="10" spans="2:9" s="9" customFormat="1">
      <c r="B10" s="69" t="s">
        <v>1710</v>
      </c>
      <c r="C10" s="7" t="s">
        <v>1711</v>
      </c>
      <c r="D10" s="22"/>
      <c r="E10" s="22"/>
      <c r="F10" s="22"/>
      <c r="G10" s="22"/>
      <c r="H10" s="25" t="str">
        <f t="shared" si="0"/>
        <v/>
      </c>
      <c r="I10" s="12"/>
    </row>
    <row r="11" spans="2:9" s="9" customFormat="1">
      <c r="B11" s="48"/>
      <c r="C11" s="54"/>
      <c r="D11" s="22"/>
      <c r="E11" s="22"/>
      <c r="F11" s="22"/>
      <c r="G11" s="22"/>
      <c r="H11" s="25" t="str">
        <f t="shared" si="0"/>
        <v/>
      </c>
      <c r="I11" s="12"/>
    </row>
    <row r="12" spans="2:9">
      <c r="B12" s="103" t="s">
        <v>1712</v>
      </c>
      <c r="C12" s="34" t="s">
        <v>1713</v>
      </c>
      <c r="D12" s="62" t="s">
        <v>1593</v>
      </c>
      <c r="E12" s="15"/>
      <c r="F12" s="15"/>
      <c r="G12" s="16"/>
      <c r="H12" s="25">
        <f t="shared" si="0"/>
        <v>0</v>
      </c>
      <c r="I12" s="18"/>
    </row>
    <row r="13" spans="2:9">
      <c r="B13" s="102"/>
      <c r="D13" s="22"/>
      <c r="E13" s="22"/>
      <c r="F13" s="22"/>
      <c r="G13" s="39"/>
      <c r="H13" s="25" t="str">
        <f t="shared" si="0"/>
        <v/>
      </c>
      <c r="I13" s="40"/>
    </row>
    <row r="14" spans="2:9" ht="25.5">
      <c r="B14" s="106" t="s">
        <v>1714</v>
      </c>
      <c r="C14" s="53" t="s">
        <v>1715</v>
      </c>
      <c r="D14" s="62" t="s">
        <v>1593</v>
      </c>
      <c r="E14" s="22"/>
      <c r="F14" s="22"/>
      <c r="G14" s="39"/>
      <c r="H14" s="25">
        <f t="shared" si="0"/>
        <v>0</v>
      </c>
      <c r="I14" s="40"/>
    </row>
    <row r="15" spans="2:9">
      <c r="B15" s="106"/>
      <c r="D15" s="36"/>
      <c r="E15" s="22"/>
      <c r="F15" s="22"/>
      <c r="G15" s="39"/>
      <c r="H15" s="25" t="str">
        <f t="shared" si="0"/>
        <v/>
      </c>
      <c r="I15" s="40"/>
    </row>
    <row r="16" spans="2:9">
      <c r="B16" s="106" t="s">
        <v>1716</v>
      </c>
      <c r="C16" s="34" t="s">
        <v>1717</v>
      </c>
      <c r="D16" s="62" t="s">
        <v>1593</v>
      </c>
      <c r="E16" s="22"/>
      <c r="F16" s="22"/>
      <c r="G16" s="39"/>
      <c r="H16" s="25">
        <f t="shared" si="0"/>
        <v>0</v>
      </c>
      <c r="I16" s="40"/>
    </row>
    <row r="17" spans="2:9">
      <c r="B17" s="106"/>
      <c r="D17" s="36"/>
      <c r="E17" s="22"/>
      <c r="F17" s="23"/>
      <c r="G17" s="24"/>
      <c r="H17" s="25" t="str">
        <f t="shared" si="0"/>
        <v/>
      </c>
      <c r="I17" s="41"/>
    </row>
    <row r="18" spans="2:9" ht="25.5">
      <c r="B18" s="106" t="s">
        <v>1718</v>
      </c>
      <c r="C18" s="53" t="s">
        <v>1719</v>
      </c>
      <c r="D18" s="62" t="s">
        <v>85</v>
      </c>
      <c r="E18" s="22"/>
      <c r="F18" s="23"/>
      <c r="G18" s="24"/>
      <c r="H18" s="25">
        <f t="shared" si="0"/>
        <v>0</v>
      </c>
      <c r="I18" s="41"/>
    </row>
    <row r="19" spans="2:9">
      <c r="B19" s="106"/>
      <c r="D19" s="36"/>
      <c r="E19" s="22"/>
      <c r="F19" s="23"/>
      <c r="G19" s="24"/>
      <c r="H19" s="25" t="str">
        <f t="shared" si="0"/>
        <v/>
      </c>
      <c r="I19" s="41"/>
    </row>
    <row r="20" spans="2:9" ht="25.5">
      <c r="B20" s="106" t="s">
        <v>1720</v>
      </c>
      <c r="C20" s="53" t="s">
        <v>1721</v>
      </c>
      <c r="D20" s="62" t="s">
        <v>347</v>
      </c>
      <c r="E20" s="22"/>
      <c r="F20" s="23"/>
      <c r="G20" s="39"/>
      <c r="H20" s="25">
        <f t="shared" si="0"/>
        <v>0</v>
      </c>
      <c r="I20" s="40"/>
    </row>
    <row r="21" spans="2:9">
      <c r="B21" s="106"/>
      <c r="D21" s="36"/>
      <c r="E21" s="22"/>
      <c r="F21" s="23"/>
      <c r="G21" s="42"/>
      <c r="H21" s="25" t="str">
        <f t="shared" si="0"/>
        <v/>
      </c>
      <c r="I21" s="40"/>
    </row>
    <row r="22" spans="2:9" ht="25.5">
      <c r="B22" s="106" t="s">
        <v>1722</v>
      </c>
      <c r="C22" s="53" t="s">
        <v>1723</v>
      </c>
      <c r="D22" s="62" t="s">
        <v>347</v>
      </c>
      <c r="E22" s="22"/>
      <c r="F22" s="23"/>
      <c r="G22" s="39"/>
      <c r="H22" s="25">
        <f t="shared" si="0"/>
        <v>0</v>
      </c>
      <c r="I22" s="43"/>
    </row>
    <row r="23" spans="2:9">
      <c r="B23" s="106"/>
      <c r="D23" s="62"/>
      <c r="E23" s="22"/>
      <c r="F23" s="22"/>
      <c r="G23" s="37"/>
      <c r="H23" s="25" t="str">
        <f t="shared" si="0"/>
        <v/>
      </c>
      <c r="I23" s="40"/>
    </row>
    <row r="24" spans="2:9">
      <c r="B24" s="106" t="s">
        <v>1724</v>
      </c>
      <c r="C24" s="53" t="s">
        <v>1725</v>
      </c>
      <c r="D24" s="62" t="s">
        <v>85</v>
      </c>
      <c r="E24" s="22"/>
      <c r="F24" s="22"/>
      <c r="G24" s="37"/>
      <c r="H24" s="25">
        <f t="shared" si="0"/>
        <v>0</v>
      </c>
      <c r="I24" s="40"/>
    </row>
    <row r="25" spans="2:9">
      <c r="B25" s="106"/>
      <c r="C25" s="52"/>
      <c r="D25" s="22"/>
      <c r="E25" s="22"/>
      <c r="F25" s="22"/>
      <c r="G25" s="37"/>
      <c r="H25" s="25" t="str">
        <f t="shared" si="0"/>
        <v/>
      </c>
      <c r="I25" s="40"/>
    </row>
    <row r="26" spans="2:9">
      <c r="B26" s="106" t="s">
        <v>1726</v>
      </c>
      <c r="C26" s="34" t="s">
        <v>1727</v>
      </c>
      <c r="D26" s="62" t="s">
        <v>347</v>
      </c>
      <c r="E26" s="22"/>
      <c r="F26" s="22"/>
      <c r="G26" s="37"/>
      <c r="H26" s="25">
        <f t="shared" si="0"/>
        <v>0</v>
      </c>
      <c r="I26" s="40"/>
    </row>
    <row r="27" spans="2:9">
      <c r="B27" s="106"/>
      <c r="C27" s="52"/>
      <c r="D27" s="22"/>
      <c r="E27" s="22"/>
      <c r="F27" s="22"/>
      <c r="G27" s="37"/>
      <c r="H27" s="25" t="str">
        <f t="shared" si="0"/>
        <v/>
      </c>
      <c r="I27" s="40"/>
    </row>
    <row r="28" spans="2:9">
      <c r="B28" s="103" t="s">
        <v>1728</v>
      </c>
      <c r="C28" s="35" t="s">
        <v>1729</v>
      </c>
      <c r="D28" s="22"/>
      <c r="E28" s="22"/>
      <c r="F28" s="22"/>
      <c r="G28" s="37"/>
      <c r="H28" s="25" t="str">
        <f t="shared" si="0"/>
        <v/>
      </c>
      <c r="I28" s="40"/>
    </row>
    <row r="29" spans="2:9">
      <c r="B29" s="106"/>
      <c r="C29" s="1"/>
      <c r="D29" s="22"/>
      <c r="E29" s="22"/>
      <c r="F29" s="22"/>
      <c r="G29" s="37"/>
      <c r="H29" s="25" t="str">
        <f t="shared" si="0"/>
        <v/>
      </c>
      <c r="I29" s="40"/>
    </row>
    <row r="30" spans="2:9">
      <c r="B30" s="103" t="s">
        <v>1730</v>
      </c>
      <c r="C30" s="35" t="s">
        <v>1731</v>
      </c>
      <c r="D30" s="15" t="s">
        <v>1732</v>
      </c>
      <c r="E30" s="22"/>
      <c r="F30" s="22"/>
      <c r="G30" s="37"/>
      <c r="H30" s="25">
        <f t="shared" si="0"/>
        <v>0</v>
      </c>
      <c r="I30" s="40"/>
    </row>
    <row r="31" spans="2:9">
      <c r="B31" s="106"/>
      <c r="C31" s="1"/>
      <c r="D31" s="22"/>
      <c r="E31" s="22"/>
      <c r="F31" s="22"/>
      <c r="G31" s="37"/>
      <c r="H31" s="25" t="str">
        <f t="shared" si="0"/>
        <v/>
      </c>
      <c r="I31" s="40"/>
    </row>
    <row r="32" spans="2:9">
      <c r="B32" s="103" t="s">
        <v>1733</v>
      </c>
      <c r="C32" s="35" t="s">
        <v>1734</v>
      </c>
      <c r="D32" s="15" t="s">
        <v>1732</v>
      </c>
      <c r="E32" s="22"/>
      <c r="F32" s="22"/>
      <c r="G32" s="37"/>
      <c r="H32" s="25">
        <f t="shared" si="0"/>
        <v>0</v>
      </c>
      <c r="I32" s="40"/>
    </row>
    <row r="33" spans="2:9">
      <c r="B33" s="48"/>
      <c r="D33" s="22"/>
      <c r="E33" s="22"/>
      <c r="F33" s="22"/>
      <c r="G33" s="37"/>
      <c r="H33" s="25" t="str">
        <f t="shared" si="0"/>
        <v/>
      </c>
      <c r="I33" s="40"/>
    </row>
    <row r="34" spans="2:9">
      <c r="B34" s="48" t="s">
        <v>1735</v>
      </c>
      <c r="C34" s="53" t="s">
        <v>1736</v>
      </c>
      <c r="D34" s="22"/>
      <c r="E34" s="22"/>
      <c r="F34" s="22"/>
      <c r="G34" s="37"/>
      <c r="H34" s="25" t="str">
        <f t="shared" si="0"/>
        <v/>
      </c>
      <c r="I34" s="40"/>
    </row>
    <row r="35" spans="2:9">
      <c r="B35" s="106"/>
      <c r="C35" s="52"/>
      <c r="D35" s="22"/>
      <c r="E35" s="22"/>
      <c r="F35" s="22"/>
      <c r="G35" s="37"/>
      <c r="H35" s="25" t="str">
        <f t="shared" si="0"/>
        <v/>
      </c>
      <c r="I35" s="40"/>
    </row>
    <row r="36" spans="2:9">
      <c r="B36" s="103" t="s">
        <v>1737</v>
      </c>
      <c r="C36" s="53" t="s">
        <v>1738</v>
      </c>
      <c r="D36" s="21" t="s">
        <v>1739</v>
      </c>
      <c r="E36" s="22"/>
      <c r="F36" s="22"/>
      <c r="G36" s="37"/>
      <c r="H36" s="25">
        <f t="shared" si="0"/>
        <v>0</v>
      </c>
      <c r="I36" s="40"/>
    </row>
    <row r="37" spans="2:9">
      <c r="B37" s="106"/>
      <c r="C37" s="52"/>
      <c r="D37" s="22"/>
      <c r="E37" s="22"/>
      <c r="F37" s="22"/>
      <c r="G37" s="37"/>
      <c r="H37" s="25" t="str">
        <f t="shared" si="0"/>
        <v/>
      </c>
      <c r="I37" s="40"/>
    </row>
    <row r="38" spans="2:9">
      <c r="B38" s="48" t="s">
        <v>1740</v>
      </c>
      <c r="C38" s="53" t="s">
        <v>1741</v>
      </c>
      <c r="D38" s="89" t="s">
        <v>1739</v>
      </c>
      <c r="E38" s="22"/>
      <c r="F38" s="22"/>
      <c r="G38" s="37"/>
      <c r="H38" s="25">
        <f t="shared" si="0"/>
        <v>0</v>
      </c>
      <c r="I38" s="40"/>
    </row>
    <row r="39" spans="2:9">
      <c r="B39" s="106"/>
      <c r="C39" s="1"/>
      <c r="D39" s="36"/>
      <c r="E39" s="22"/>
      <c r="F39" s="22"/>
      <c r="G39" s="37"/>
      <c r="H39" s="25" t="str">
        <f t="shared" si="0"/>
        <v/>
      </c>
      <c r="I39" s="40"/>
    </row>
    <row r="40" spans="2:9" ht="25.5">
      <c r="B40" s="106" t="s">
        <v>1742</v>
      </c>
      <c r="C40" s="51" t="s">
        <v>1743</v>
      </c>
      <c r="D40" s="21" t="s">
        <v>85</v>
      </c>
      <c r="E40" s="22"/>
      <c r="F40" s="22"/>
      <c r="G40" s="37"/>
      <c r="H40" s="25">
        <f t="shared" si="0"/>
        <v>0</v>
      </c>
      <c r="I40" s="40"/>
    </row>
    <row r="41" spans="2:9">
      <c r="B41" s="106"/>
      <c r="D41" s="22"/>
      <c r="E41" s="22"/>
      <c r="F41" s="22"/>
      <c r="G41" s="37"/>
      <c r="H41" s="25" t="str">
        <f t="shared" si="0"/>
        <v/>
      </c>
      <c r="I41" s="40"/>
    </row>
    <row r="42" spans="2:9">
      <c r="B42" s="106" t="s">
        <v>1744</v>
      </c>
      <c r="C42" s="53" t="s">
        <v>1745</v>
      </c>
      <c r="D42" s="22"/>
      <c r="E42" s="22"/>
      <c r="F42" s="22"/>
      <c r="G42" s="37"/>
      <c r="H42" s="25" t="str">
        <f t="shared" si="0"/>
        <v/>
      </c>
      <c r="I42" s="40"/>
    </row>
    <row r="43" spans="2:9">
      <c r="B43" s="106"/>
      <c r="C43" s="52"/>
      <c r="D43" s="22"/>
      <c r="E43" s="22"/>
      <c r="F43" s="22"/>
      <c r="G43" s="37"/>
      <c r="H43" s="25" t="str">
        <f t="shared" si="0"/>
        <v/>
      </c>
      <c r="I43" s="40"/>
    </row>
    <row r="44" spans="2:9">
      <c r="B44" s="103" t="s">
        <v>1746</v>
      </c>
      <c r="C44" s="34" t="s">
        <v>1747</v>
      </c>
      <c r="D44" s="21" t="s">
        <v>1593</v>
      </c>
      <c r="E44" s="22"/>
      <c r="F44" s="22"/>
      <c r="G44" s="37"/>
      <c r="H44" s="25">
        <f t="shared" si="0"/>
        <v>0</v>
      </c>
      <c r="I44" s="40"/>
    </row>
    <row r="45" spans="2:9">
      <c r="B45" s="106"/>
      <c r="C45" s="52"/>
      <c r="D45" s="22"/>
      <c r="E45" s="22"/>
      <c r="F45" s="22"/>
      <c r="G45" s="37"/>
      <c r="H45" s="25" t="str">
        <f t="shared" si="0"/>
        <v/>
      </c>
      <c r="I45" s="40"/>
    </row>
    <row r="46" spans="2:9">
      <c r="B46" s="48" t="s">
        <v>1748</v>
      </c>
      <c r="C46" s="53" t="s">
        <v>1749</v>
      </c>
      <c r="D46" s="21" t="s">
        <v>85</v>
      </c>
      <c r="E46" s="22"/>
      <c r="F46" s="22"/>
      <c r="G46" s="37"/>
      <c r="H46" s="25">
        <f t="shared" si="0"/>
        <v>0</v>
      </c>
      <c r="I46" s="40"/>
    </row>
    <row r="47" spans="2:9">
      <c r="B47" s="106"/>
      <c r="D47" s="22"/>
      <c r="E47" s="22"/>
      <c r="F47" s="22"/>
      <c r="G47" s="37"/>
      <c r="H47" s="25" t="str">
        <f t="shared" si="0"/>
        <v/>
      </c>
      <c r="I47" s="40"/>
    </row>
    <row r="48" spans="2:9" ht="38.25">
      <c r="B48" s="106" t="s">
        <v>1750</v>
      </c>
      <c r="C48" s="51" t="s">
        <v>1751</v>
      </c>
      <c r="D48" s="21" t="s">
        <v>1593</v>
      </c>
      <c r="E48" s="22"/>
      <c r="F48" s="22"/>
      <c r="G48" s="37"/>
      <c r="H48" s="25">
        <f t="shared" si="0"/>
        <v>0</v>
      </c>
      <c r="I48" s="40"/>
    </row>
    <row r="49" spans="2:9">
      <c r="B49" s="106"/>
      <c r="D49" s="22"/>
      <c r="E49" s="22"/>
      <c r="F49" s="22"/>
      <c r="G49" s="37"/>
      <c r="H49" s="25" t="str">
        <f t="shared" si="0"/>
        <v/>
      </c>
      <c r="I49" s="40"/>
    </row>
    <row r="50" spans="2:9" ht="25.5">
      <c r="B50" s="48" t="s">
        <v>1752</v>
      </c>
      <c r="C50" s="53" t="s">
        <v>1753</v>
      </c>
      <c r="D50" s="62" t="s">
        <v>85</v>
      </c>
      <c r="E50" s="22"/>
      <c r="F50" s="22"/>
      <c r="G50" s="37"/>
      <c r="H50" s="25">
        <f t="shared" si="0"/>
        <v>0</v>
      </c>
      <c r="I50" s="40"/>
    </row>
    <row r="51" spans="2:9">
      <c r="B51" s="106"/>
      <c r="C51" s="52"/>
      <c r="D51" s="22"/>
      <c r="E51" s="22"/>
      <c r="F51" s="22"/>
      <c r="G51" s="37"/>
      <c r="H51" s="25" t="str">
        <f t="shared" si="0"/>
        <v/>
      </c>
      <c r="I51" s="40"/>
    </row>
    <row r="52" spans="2:9" ht="25.5">
      <c r="B52" s="106" t="s">
        <v>1754</v>
      </c>
      <c r="C52" s="53" t="s">
        <v>1755</v>
      </c>
      <c r="D52" s="62" t="s">
        <v>85</v>
      </c>
      <c r="E52" s="22"/>
      <c r="F52" s="22"/>
      <c r="G52" s="37"/>
      <c r="H52" s="25">
        <f t="shared" si="0"/>
        <v>0</v>
      </c>
      <c r="I52" s="40"/>
    </row>
    <row r="53" spans="2:9">
      <c r="B53" s="106"/>
      <c r="D53" s="22"/>
      <c r="E53" s="22"/>
      <c r="F53" s="22"/>
      <c r="G53" s="37"/>
      <c r="H53" s="25" t="str">
        <f t="shared" si="0"/>
        <v/>
      </c>
      <c r="I53" s="40"/>
    </row>
    <row r="54" spans="2:9">
      <c r="B54" s="106" t="s">
        <v>1756</v>
      </c>
      <c r="C54" s="34" t="s">
        <v>1757</v>
      </c>
      <c r="D54" s="62" t="s">
        <v>85</v>
      </c>
      <c r="E54" s="22"/>
      <c r="F54" s="22"/>
      <c r="G54" s="37"/>
      <c r="H54" s="25">
        <f t="shared" si="0"/>
        <v>0</v>
      </c>
      <c r="I54" s="40"/>
    </row>
    <row r="55" spans="2:9">
      <c r="B55" s="106"/>
      <c r="D55" s="22"/>
      <c r="E55" s="22"/>
      <c r="F55" s="22"/>
      <c r="G55" s="37"/>
      <c r="H55" s="25" t="str">
        <f t="shared" si="0"/>
        <v/>
      </c>
      <c r="I55" s="40"/>
    </row>
    <row r="56" spans="2:9">
      <c r="B56" s="106" t="s">
        <v>1758</v>
      </c>
      <c r="C56" s="53" t="s">
        <v>1759</v>
      </c>
      <c r="D56" s="62" t="s">
        <v>85</v>
      </c>
      <c r="E56" s="22"/>
      <c r="F56" s="22"/>
      <c r="G56" s="37"/>
      <c r="H56" s="25">
        <f t="shared" si="0"/>
        <v>0</v>
      </c>
      <c r="I56" s="40"/>
    </row>
    <row r="57" spans="2:9">
      <c r="B57" s="106"/>
      <c r="C57" s="52"/>
      <c r="D57" s="62"/>
      <c r="E57" s="22"/>
      <c r="F57" s="22"/>
      <c r="G57" s="37"/>
      <c r="H57" s="25" t="str">
        <f t="shared" si="0"/>
        <v/>
      </c>
      <c r="I57" s="40"/>
    </row>
    <row r="58" spans="2:9" ht="38.25">
      <c r="B58" s="106" t="s">
        <v>1760</v>
      </c>
      <c r="C58" s="53" t="s">
        <v>1761</v>
      </c>
      <c r="D58" s="62" t="s">
        <v>85</v>
      </c>
      <c r="E58" s="22"/>
      <c r="F58" s="22"/>
      <c r="G58" s="37"/>
      <c r="H58" s="25">
        <f t="shared" si="0"/>
        <v>0</v>
      </c>
      <c r="I58" s="40"/>
    </row>
    <row r="59" spans="2:9">
      <c r="B59" s="106"/>
      <c r="C59" s="52"/>
      <c r="D59" s="22"/>
      <c r="E59" s="22"/>
      <c r="F59" s="22"/>
      <c r="G59" s="37"/>
      <c r="H59" s="25" t="str">
        <f t="shared" si="0"/>
        <v/>
      </c>
      <c r="I59" s="40"/>
    </row>
    <row r="60" spans="2:9" ht="38.25">
      <c r="B60" s="103" t="s">
        <v>1762</v>
      </c>
      <c r="C60" s="53" t="s">
        <v>1763</v>
      </c>
      <c r="D60" s="62" t="s">
        <v>85</v>
      </c>
      <c r="E60" s="22"/>
      <c r="F60" s="22"/>
      <c r="G60" s="37"/>
      <c r="H60" s="25">
        <f t="shared" si="0"/>
        <v>0</v>
      </c>
      <c r="I60" s="40"/>
    </row>
    <row r="61" spans="2:9">
      <c r="B61" s="103"/>
      <c r="C61" s="53"/>
      <c r="D61" s="62"/>
      <c r="E61" s="22"/>
      <c r="F61" s="22"/>
      <c r="G61" s="37"/>
      <c r="H61" s="25"/>
      <c r="I61" s="40"/>
    </row>
    <row r="62" spans="2:9">
      <c r="B62" s="103"/>
      <c r="C62" s="53"/>
      <c r="D62" s="62"/>
      <c r="E62" s="22"/>
      <c r="F62" s="22"/>
      <c r="G62" s="37"/>
      <c r="H62" s="25"/>
      <c r="I62" s="40"/>
    </row>
    <row r="63" spans="2:9">
      <c r="B63" s="103"/>
      <c r="C63" s="53"/>
      <c r="D63" s="62"/>
      <c r="E63" s="22"/>
      <c r="F63" s="22"/>
      <c r="G63" s="37"/>
      <c r="H63" s="25"/>
      <c r="I63" s="40"/>
    </row>
    <row r="64" spans="2:9">
      <c r="B64" s="103"/>
      <c r="C64" s="53"/>
      <c r="D64" s="62"/>
      <c r="E64" s="22"/>
      <c r="F64" s="22"/>
      <c r="G64" s="37"/>
      <c r="H64" s="25"/>
      <c r="I64" s="40"/>
    </row>
    <row r="65" spans="2:9">
      <c r="B65" s="103"/>
      <c r="C65" s="53"/>
      <c r="D65" s="62"/>
      <c r="E65" s="22"/>
      <c r="F65" s="22"/>
      <c r="G65" s="37"/>
      <c r="H65" s="25"/>
      <c r="I65" s="40"/>
    </row>
    <row r="66" spans="2:9" s="28" customFormat="1" ht="24.75" customHeight="1">
      <c r="B66" s="82" t="str">
        <f>$B$10</f>
        <v>C12.2</v>
      </c>
      <c r="C66" s="29" t="s">
        <v>125</v>
      </c>
      <c r="D66" s="30"/>
      <c r="E66" s="30"/>
      <c r="F66" s="31"/>
      <c r="G66" s="30"/>
      <c r="H66" s="32">
        <f>SUM(H9:H65)</f>
        <v>0</v>
      </c>
      <c r="I66"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0"/>
  <dimension ref="A1:I215"/>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676" t="str">
        <f>Client1</f>
        <v>AIRPORTS COMPANY - SOUTH AFRICA</v>
      </c>
      <c r="C1" s="676"/>
      <c r="F1" s="732" t="str">
        <f>"Contract No. "&amp;ContractNo</f>
        <v>Contract No. KSIA7806/2025/RFP</v>
      </c>
      <c r="G1" s="732"/>
      <c r="H1" s="732"/>
    </row>
    <row r="2" spans="2:9">
      <c r="B2" s="771" t="str">
        <f>Client2</f>
        <v>ACSA</v>
      </c>
      <c r="C2" s="771"/>
    </row>
    <row r="3" spans="2:9">
      <c r="B3" s="71"/>
      <c r="C3" s="71"/>
      <c r="D3" s="72"/>
      <c r="E3" s="72"/>
      <c r="F3" s="72"/>
      <c r="G3" s="73"/>
      <c r="H3" s="91"/>
    </row>
    <row r="4" spans="2:9">
      <c r="B4" s="695" t="s">
        <v>456</v>
      </c>
      <c r="C4" s="696"/>
      <c r="D4" s="696"/>
      <c r="E4" s="696"/>
      <c r="F4" s="696"/>
      <c r="G4" s="696"/>
      <c r="H4" s="770" t="str">
        <f>"CHAPTER "&amp;B10</f>
        <v>CHAPTER C12.3</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05"/>
      <c r="C9" s="52"/>
      <c r="D9" s="78"/>
      <c r="E9" s="15"/>
      <c r="F9" s="15"/>
      <c r="G9" s="16"/>
      <c r="H9" s="17" t="str">
        <f t="shared" ref="H9:H72" si="0">IF(D9="","",F9*G9)</f>
        <v/>
      </c>
      <c r="I9" s="18"/>
    </row>
    <row r="10" spans="2:9">
      <c r="B10" s="69" t="s">
        <v>1764</v>
      </c>
      <c r="C10" s="7" t="s">
        <v>1765</v>
      </c>
      <c r="D10" s="15"/>
      <c r="E10" s="15"/>
      <c r="F10" s="15"/>
      <c r="G10" s="16"/>
      <c r="H10" s="17" t="str">
        <f t="shared" si="0"/>
        <v/>
      </c>
      <c r="I10" s="18"/>
    </row>
    <row r="11" spans="2:9">
      <c r="B11" s="48"/>
      <c r="C11" s="52"/>
      <c r="D11" s="15"/>
      <c r="E11" s="15"/>
      <c r="F11" s="15"/>
      <c r="G11" s="16"/>
      <c r="H11" s="17" t="str">
        <f t="shared" si="0"/>
        <v/>
      </c>
      <c r="I11" s="18"/>
    </row>
    <row r="12" spans="2:9">
      <c r="B12" s="103" t="s">
        <v>1766</v>
      </c>
      <c r="C12" s="35" t="s">
        <v>1767</v>
      </c>
      <c r="D12" s="62" t="s">
        <v>33</v>
      </c>
      <c r="E12" s="22"/>
      <c r="F12" s="22"/>
      <c r="G12" s="39"/>
      <c r="H12" s="17">
        <f t="shared" si="0"/>
        <v>0</v>
      </c>
      <c r="I12" s="40"/>
    </row>
    <row r="13" spans="2:9">
      <c r="B13" s="102"/>
      <c r="D13" s="22"/>
      <c r="E13" s="22"/>
      <c r="F13" s="22"/>
      <c r="G13" s="39"/>
      <c r="H13" s="17" t="str">
        <f t="shared" si="0"/>
        <v/>
      </c>
      <c r="I13" s="40"/>
    </row>
    <row r="14" spans="2:9">
      <c r="B14" s="103" t="s">
        <v>1768</v>
      </c>
      <c r="C14" s="35" t="s">
        <v>1769</v>
      </c>
      <c r="D14" s="62" t="s">
        <v>33</v>
      </c>
      <c r="E14" s="22"/>
      <c r="F14" s="22"/>
      <c r="G14" s="39"/>
      <c r="H14" s="17">
        <f t="shared" si="0"/>
        <v>0</v>
      </c>
      <c r="I14" s="40"/>
    </row>
    <row r="15" spans="2:9">
      <c r="B15" s="102"/>
      <c r="D15" s="22"/>
      <c r="E15" s="22"/>
      <c r="F15" s="22"/>
      <c r="G15" s="39"/>
      <c r="H15" s="17" t="str">
        <f t="shared" si="0"/>
        <v/>
      </c>
      <c r="I15" s="40"/>
    </row>
    <row r="16" spans="2:9">
      <c r="B16" s="103" t="s">
        <v>1770</v>
      </c>
      <c r="C16" s="35" t="s">
        <v>1771</v>
      </c>
      <c r="D16" s="62" t="s">
        <v>33</v>
      </c>
      <c r="E16" s="22"/>
      <c r="F16" s="23"/>
      <c r="G16" s="24"/>
      <c r="H16" s="17">
        <f t="shared" si="0"/>
        <v>0</v>
      </c>
      <c r="I16" s="41"/>
    </row>
    <row r="17" spans="2:9">
      <c r="B17" s="102"/>
      <c r="D17" s="22"/>
      <c r="E17" s="22"/>
      <c r="F17" s="23"/>
      <c r="G17" s="24"/>
      <c r="H17" s="17" t="str">
        <f t="shared" si="0"/>
        <v/>
      </c>
      <c r="I17" s="41"/>
    </row>
    <row r="18" spans="2:9">
      <c r="B18" s="103" t="s">
        <v>1772</v>
      </c>
      <c r="C18" s="35" t="s">
        <v>1773</v>
      </c>
      <c r="D18" s="62" t="s">
        <v>33</v>
      </c>
      <c r="E18" s="22"/>
      <c r="F18" s="23"/>
      <c r="G18" s="24"/>
      <c r="H18" s="17">
        <f t="shared" si="0"/>
        <v>0</v>
      </c>
      <c r="I18" s="41"/>
    </row>
    <row r="19" spans="2:9">
      <c r="B19" s="102"/>
      <c r="D19" s="22"/>
      <c r="E19" s="22"/>
      <c r="F19" s="23"/>
      <c r="G19" s="39"/>
      <c r="H19" s="17" t="str">
        <f t="shared" si="0"/>
        <v/>
      </c>
      <c r="I19" s="40"/>
    </row>
    <row r="20" spans="2:9">
      <c r="B20" s="103" t="s">
        <v>1774</v>
      </c>
      <c r="C20" s="35" t="s">
        <v>1775</v>
      </c>
      <c r="D20" s="62" t="s">
        <v>33</v>
      </c>
      <c r="E20" s="22"/>
      <c r="F20" s="23"/>
      <c r="G20" s="42"/>
      <c r="H20" s="17">
        <f t="shared" si="0"/>
        <v>0</v>
      </c>
      <c r="I20" s="40"/>
    </row>
    <row r="21" spans="2:9">
      <c r="B21" s="102"/>
      <c r="D21" s="22"/>
      <c r="E21" s="22"/>
      <c r="F21" s="23"/>
      <c r="G21" s="39"/>
      <c r="H21" s="17" t="str">
        <f t="shared" si="0"/>
        <v/>
      </c>
      <c r="I21" s="43"/>
    </row>
    <row r="22" spans="2:9">
      <c r="B22" s="103" t="s">
        <v>1776</v>
      </c>
      <c r="C22" s="35" t="s">
        <v>1777</v>
      </c>
      <c r="D22" s="62" t="s">
        <v>33</v>
      </c>
      <c r="E22" s="36"/>
      <c r="F22" s="23"/>
      <c r="G22" s="44"/>
      <c r="H22" s="17">
        <f t="shared" si="0"/>
        <v>0</v>
      </c>
    </row>
    <row r="23" spans="2:9">
      <c r="B23" s="102"/>
      <c r="D23" s="22"/>
      <c r="E23" s="36"/>
      <c r="F23" s="23"/>
      <c r="G23" s="44"/>
      <c r="H23" s="17" t="str">
        <f t="shared" si="0"/>
        <v/>
      </c>
    </row>
    <row r="24" spans="2:9">
      <c r="B24" s="103" t="s">
        <v>1778</v>
      </c>
      <c r="C24" s="35" t="s">
        <v>1779</v>
      </c>
      <c r="D24" s="62" t="s">
        <v>33</v>
      </c>
      <c r="E24" s="36"/>
      <c r="F24" s="23"/>
      <c r="G24" s="37"/>
      <c r="H24" s="17">
        <f t="shared" si="0"/>
        <v>0</v>
      </c>
    </row>
    <row r="25" spans="2:9">
      <c r="B25" s="102"/>
      <c r="D25" s="22"/>
      <c r="E25" s="36"/>
      <c r="F25" s="23"/>
      <c r="G25" s="44"/>
      <c r="H25" s="17" t="str">
        <f t="shared" si="0"/>
        <v/>
      </c>
    </row>
    <row r="26" spans="2:9">
      <c r="B26" s="103" t="s">
        <v>1780</v>
      </c>
      <c r="C26" s="35" t="s">
        <v>1781</v>
      </c>
      <c r="D26" s="62" t="s">
        <v>33</v>
      </c>
      <c r="E26" s="36"/>
      <c r="F26" s="23"/>
      <c r="G26" s="42"/>
      <c r="H26" s="17">
        <f t="shared" si="0"/>
        <v>0</v>
      </c>
    </row>
    <row r="27" spans="2:9">
      <c r="B27" s="102"/>
      <c r="D27" s="22"/>
      <c r="E27" s="36"/>
      <c r="F27" s="23"/>
      <c r="G27" s="44"/>
      <c r="H27" s="17" t="str">
        <f t="shared" si="0"/>
        <v/>
      </c>
    </row>
    <row r="28" spans="2:9" ht="24" customHeight="1">
      <c r="B28" s="103" t="s">
        <v>1782</v>
      </c>
      <c r="C28" s="35" t="s">
        <v>1783</v>
      </c>
      <c r="D28" s="62" t="s">
        <v>33</v>
      </c>
      <c r="E28" s="22"/>
      <c r="F28" s="23"/>
      <c r="G28" s="39"/>
      <c r="H28" s="17">
        <f t="shared" si="0"/>
        <v>0</v>
      </c>
      <c r="I28" s="40"/>
    </row>
    <row r="29" spans="2:9">
      <c r="B29" s="102"/>
      <c r="D29" s="22"/>
      <c r="E29" s="22"/>
      <c r="F29" s="23"/>
      <c r="G29" s="39"/>
      <c r="H29" s="17" t="str">
        <f t="shared" si="0"/>
        <v/>
      </c>
      <c r="I29" s="40"/>
    </row>
    <row r="30" spans="2:9">
      <c r="B30" s="103" t="s">
        <v>1784</v>
      </c>
      <c r="C30" s="35" t="s">
        <v>1785</v>
      </c>
      <c r="D30" s="62" t="s">
        <v>33</v>
      </c>
      <c r="E30" s="22"/>
      <c r="F30" s="23"/>
      <c r="G30" s="37"/>
      <c r="H30" s="17">
        <f t="shared" si="0"/>
        <v>0</v>
      </c>
      <c r="I30" s="41"/>
    </row>
    <row r="31" spans="2:9">
      <c r="B31" s="102"/>
      <c r="D31" s="15"/>
      <c r="E31" s="15"/>
      <c r="F31" s="26"/>
      <c r="G31" s="27"/>
      <c r="H31" s="17" t="str">
        <f t="shared" si="0"/>
        <v/>
      </c>
      <c r="I31" s="18"/>
    </row>
    <row r="32" spans="2:9" s="35" customFormat="1" ht="24.95" customHeight="1">
      <c r="B32" s="103" t="s">
        <v>1786</v>
      </c>
      <c r="C32" s="55" t="s">
        <v>1787</v>
      </c>
      <c r="D32" s="22"/>
      <c r="E32" s="15"/>
      <c r="F32" s="26"/>
      <c r="G32" s="27"/>
      <c r="H32" s="17" t="str">
        <f t="shared" si="0"/>
        <v/>
      </c>
      <c r="I32" s="18"/>
    </row>
    <row r="33" spans="2:9">
      <c r="B33" s="102"/>
      <c r="D33" s="22"/>
      <c r="E33" s="22"/>
      <c r="F33" s="23"/>
      <c r="G33" s="37"/>
      <c r="H33" s="17" t="str">
        <f t="shared" si="0"/>
        <v/>
      </c>
      <c r="I33" s="41"/>
    </row>
    <row r="34" spans="2:9">
      <c r="B34" s="103" t="s">
        <v>1788</v>
      </c>
      <c r="C34" s="35" t="s">
        <v>1769</v>
      </c>
      <c r="D34" s="62" t="s">
        <v>85</v>
      </c>
      <c r="E34" s="22"/>
      <c r="F34" s="23"/>
      <c r="G34" s="37"/>
      <c r="H34" s="17">
        <f t="shared" si="0"/>
        <v>0</v>
      </c>
      <c r="I34" s="41"/>
    </row>
    <row r="35" spans="2:9">
      <c r="B35" s="102"/>
      <c r="D35" s="22"/>
      <c r="E35" s="22"/>
      <c r="F35" s="23"/>
      <c r="G35" s="45"/>
      <c r="H35" s="17" t="str">
        <f t="shared" si="0"/>
        <v/>
      </c>
      <c r="I35" s="40"/>
    </row>
    <row r="36" spans="2:9">
      <c r="B36" s="103" t="s">
        <v>1789</v>
      </c>
      <c r="C36" s="35" t="s">
        <v>1771</v>
      </c>
      <c r="D36" s="62" t="s">
        <v>85</v>
      </c>
      <c r="E36" s="22"/>
      <c r="F36" s="23"/>
      <c r="G36" s="45"/>
      <c r="H36" s="17">
        <f t="shared" si="0"/>
        <v>0</v>
      </c>
      <c r="I36" s="40"/>
    </row>
    <row r="37" spans="2:9">
      <c r="B37" s="102"/>
      <c r="D37" s="22"/>
      <c r="E37" s="22"/>
      <c r="F37" s="23"/>
      <c r="G37" s="42"/>
      <c r="H37" s="17" t="str">
        <f t="shared" si="0"/>
        <v/>
      </c>
      <c r="I37" s="40"/>
    </row>
    <row r="38" spans="2:9">
      <c r="B38" s="103" t="s">
        <v>1790</v>
      </c>
      <c r="C38" s="35" t="s">
        <v>1773</v>
      </c>
      <c r="D38" s="62" t="s">
        <v>85</v>
      </c>
      <c r="E38" s="22"/>
      <c r="F38" s="23"/>
      <c r="G38" s="42"/>
      <c r="H38" s="17">
        <f t="shared" si="0"/>
        <v>0</v>
      </c>
      <c r="I38" s="40"/>
    </row>
    <row r="39" spans="2:9">
      <c r="B39" s="102"/>
      <c r="D39" s="22"/>
      <c r="E39" s="22"/>
      <c r="F39" s="22"/>
      <c r="G39" s="39"/>
      <c r="H39" s="17" t="str">
        <f t="shared" si="0"/>
        <v/>
      </c>
      <c r="I39" s="40"/>
    </row>
    <row r="40" spans="2:9">
      <c r="B40" s="103" t="s">
        <v>1791</v>
      </c>
      <c r="C40" s="35" t="s">
        <v>1775</v>
      </c>
      <c r="D40" s="62" t="s">
        <v>85</v>
      </c>
      <c r="E40" s="22"/>
      <c r="F40" s="22"/>
      <c r="G40" s="39"/>
      <c r="H40" s="17">
        <f t="shared" si="0"/>
        <v>0</v>
      </c>
      <c r="I40" s="40"/>
    </row>
    <row r="41" spans="2:9">
      <c r="B41" s="102"/>
      <c r="D41" s="22"/>
      <c r="E41" s="22"/>
      <c r="F41" s="22"/>
      <c r="G41" s="37"/>
      <c r="H41" s="17" t="str">
        <f t="shared" si="0"/>
        <v/>
      </c>
      <c r="I41" s="40"/>
    </row>
    <row r="42" spans="2:9">
      <c r="B42" s="103" t="s">
        <v>1792</v>
      </c>
      <c r="C42" s="35" t="s">
        <v>1777</v>
      </c>
      <c r="D42" s="62" t="s">
        <v>85</v>
      </c>
      <c r="E42" s="22"/>
      <c r="F42" s="22"/>
      <c r="G42" s="37"/>
      <c r="H42" s="17">
        <f t="shared" si="0"/>
        <v>0</v>
      </c>
      <c r="I42" s="40"/>
    </row>
    <row r="43" spans="2:9">
      <c r="B43" s="102"/>
      <c r="D43" s="22"/>
      <c r="E43" s="22"/>
      <c r="F43" s="22"/>
      <c r="G43" s="37"/>
      <c r="H43" s="17" t="str">
        <f t="shared" si="0"/>
        <v/>
      </c>
      <c r="I43" s="40"/>
    </row>
    <row r="44" spans="2:9">
      <c r="B44" s="103" t="s">
        <v>1793</v>
      </c>
      <c r="C44" s="35" t="s">
        <v>1779</v>
      </c>
      <c r="D44" s="62" t="s">
        <v>85</v>
      </c>
      <c r="E44" s="22"/>
      <c r="F44" s="22"/>
      <c r="G44" s="37"/>
      <c r="H44" s="17">
        <f t="shared" si="0"/>
        <v>0</v>
      </c>
      <c r="I44" s="40"/>
    </row>
    <row r="45" spans="2:9">
      <c r="B45" s="102"/>
      <c r="D45" s="22"/>
      <c r="E45" s="22"/>
      <c r="F45" s="22"/>
      <c r="G45" s="37"/>
      <c r="H45" s="17" t="str">
        <f t="shared" si="0"/>
        <v/>
      </c>
      <c r="I45" s="40"/>
    </row>
    <row r="46" spans="2:9">
      <c r="B46" s="103" t="s">
        <v>1794</v>
      </c>
      <c r="C46" s="35" t="s">
        <v>1781</v>
      </c>
      <c r="D46" s="62" t="s">
        <v>85</v>
      </c>
      <c r="E46" s="22"/>
      <c r="F46" s="22"/>
      <c r="G46" s="37"/>
      <c r="H46" s="17">
        <f t="shared" si="0"/>
        <v>0</v>
      </c>
      <c r="I46" s="40"/>
    </row>
    <row r="47" spans="2:9">
      <c r="B47" s="102"/>
      <c r="D47" s="22"/>
      <c r="E47" s="22"/>
      <c r="F47" s="22"/>
      <c r="G47" s="37"/>
      <c r="H47" s="17" t="str">
        <f t="shared" si="0"/>
        <v/>
      </c>
      <c r="I47" s="40"/>
    </row>
    <row r="48" spans="2:9">
      <c r="B48" s="103" t="s">
        <v>1795</v>
      </c>
      <c r="C48" s="35" t="s">
        <v>1783</v>
      </c>
      <c r="D48" s="62" t="s">
        <v>85</v>
      </c>
      <c r="E48" s="22"/>
      <c r="F48" s="22"/>
      <c r="G48" s="37"/>
      <c r="H48" s="17">
        <f t="shared" si="0"/>
        <v>0</v>
      </c>
      <c r="I48" s="40"/>
    </row>
    <row r="49" spans="1:9">
      <c r="B49" s="102"/>
      <c r="D49" s="22"/>
      <c r="E49" s="22"/>
      <c r="F49" s="22"/>
      <c r="G49" s="46"/>
      <c r="H49" s="17" t="str">
        <f t="shared" si="0"/>
        <v/>
      </c>
      <c r="I49" s="40"/>
    </row>
    <row r="50" spans="1:9">
      <c r="B50" s="103" t="s">
        <v>1796</v>
      </c>
      <c r="C50" s="35" t="s">
        <v>1797</v>
      </c>
      <c r="D50" s="62" t="s">
        <v>85</v>
      </c>
      <c r="E50" s="22"/>
      <c r="F50" s="22"/>
      <c r="G50" s="46"/>
      <c r="H50" s="17">
        <f t="shared" si="0"/>
        <v>0</v>
      </c>
      <c r="I50" s="40"/>
    </row>
    <row r="51" spans="1:9">
      <c r="B51" s="102"/>
      <c r="C51" s="52"/>
      <c r="D51" s="22"/>
      <c r="E51" s="22"/>
      <c r="F51" s="22"/>
      <c r="G51" s="37"/>
      <c r="H51" s="17" t="str">
        <f t="shared" si="0"/>
        <v/>
      </c>
      <c r="I51" s="40"/>
    </row>
    <row r="52" spans="1:9">
      <c r="A52" s="28"/>
      <c r="B52" s="103" t="s">
        <v>1798</v>
      </c>
      <c r="C52" s="35" t="s">
        <v>1799</v>
      </c>
      <c r="D52" s="62" t="s">
        <v>85</v>
      </c>
      <c r="E52" s="22"/>
      <c r="F52" s="22"/>
      <c r="G52" s="37"/>
      <c r="H52" s="17">
        <f t="shared" si="0"/>
        <v>0</v>
      </c>
      <c r="I52" s="40"/>
    </row>
    <row r="53" spans="1:9">
      <c r="B53" s="102"/>
      <c r="D53" s="22"/>
      <c r="E53" s="22"/>
      <c r="F53" s="22"/>
      <c r="G53" s="37"/>
      <c r="H53" s="17" t="str">
        <f t="shared" si="0"/>
        <v/>
      </c>
      <c r="I53" s="40"/>
    </row>
    <row r="54" spans="1:9">
      <c r="B54" s="103" t="s">
        <v>1800</v>
      </c>
      <c r="C54" s="35" t="s">
        <v>1801</v>
      </c>
      <c r="D54" s="22"/>
      <c r="E54" s="22"/>
      <c r="F54" s="22"/>
      <c r="G54" s="37"/>
      <c r="H54" s="17" t="str">
        <f t="shared" si="0"/>
        <v/>
      </c>
      <c r="I54" s="40"/>
    </row>
    <row r="55" spans="1:9">
      <c r="B55" s="102"/>
      <c r="D55" s="22"/>
      <c r="E55" s="22"/>
      <c r="F55" s="22"/>
      <c r="G55" s="37"/>
      <c r="H55" s="17" t="str">
        <f t="shared" si="0"/>
        <v/>
      </c>
      <c r="I55" s="40"/>
    </row>
    <row r="56" spans="1:9">
      <c r="B56" s="103" t="s">
        <v>1802</v>
      </c>
      <c r="C56" s="35" t="s">
        <v>1803</v>
      </c>
      <c r="D56" s="62" t="s">
        <v>764</v>
      </c>
      <c r="E56" s="22"/>
      <c r="F56" s="22"/>
      <c r="G56" s="37"/>
      <c r="H56" s="17">
        <f t="shared" si="0"/>
        <v>0</v>
      </c>
      <c r="I56" s="40"/>
    </row>
    <row r="57" spans="1:9">
      <c r="B57" s="102"/>
      <c r="D57" s="36"/>
      <c r="E57" s="36"/>
      <c r="F57" s="36"/>
      <c r="G57" s="37"/>
      <c r="H57" s="17" t="str">
        <f t="shared" si="0"/>
        <v/>
      </c>
    </row>
    <row r="58" spans="1:9">
      <c r="B58" s="103" t="s">
        <v>1804</v>
      </c>
      <c r="C58" s="35" t="s">
        <v>1805</v>
      </c>
      <c r="D58" s="62" t="s">
        <v>764</v>
      </c>
      <c r="E58" s="22"/>
      <c r="F58" s="22"/>
      <c r="G58" s="37"/>
      <c r="H58" s="17">
        <f t="shared" si="0"/>
        <v>0</v>
      </c>
      <c r="I58" s="40"/>
    </row>
    <row r="59" spans="1:9">
      <c r="B59" s="102"/>
      <c r="D59" s="22"/>
      <c r="E59" s="36"/>
      <c r="F59" s="36"/>
      <c r="G59" s="37"/>
      <c r="H59" s="17" t="str">
        <f t="shared" si="0"/>
        <v/>
      </c>
      <c r="I59" s="47"/>
    </row>
    <row r="60" spans="1:9">
      <c r="B60" s="103" t="s">
        <v>1806</v>
      </c>
      <c r="C60" s="35" t="s">
        <v>1807</v>
      </c>
      <c r="D60" s="62" t="s">
        <v>764</v>
      </c>
      <c r="E60" s="36"/>
      <c r="F60" s="36"/>
      <c r="G60" s="37"/>
      <c r="H60" s="17">
        <f t="shared" si="0"/>
        <v>0</v>
      </c>
    </row>
    <row r="61" spans="1:9">
      <c r="B61" s="102"/>
      <c r="D61" s="22"/>
      <c r="E61" s="22"/>
      <c r="F61" s="22"/>
      <c r="G61" s="37"/>
      <c r="H61" s="17" t="str">
        <f t="shared" si="0"/>
        <v/>
      </c>
      <c r="I61" s="40"/>
    </row>
    <row r="62" spans="1:9">
      <c r="B62" s="103" t="s">
        <v>1808</v>
      </c>
      <c r="C62" s="35" t="s">
        <v>1809</v>
      </c>
      <c r="D62" s="22"/>
      <c r="E62" s="22"/>
      <c r="F62" s="22"/>
      <c r="G62" s="37"/>
      <c r="H62" s="17" t="str">
        <f t="shared" si="0"/>
        <v/>
      </c>
      <c r="I62" s="40"/>
    </row>
    <row r="63" spans="1:9">
      <c r="B63" s="102"/>
      <c r="D63" s="22"/>
      <c r="E63" s="22"/>
      <c r="F63" s="22"/>
      <c r="G63" s="37"/>
      <c r="H63" s="17" t="str">
        <f t="shared" si="0"/>
        <v/>
      </c>
      <c r="I63" s="40"/>
    </row>
    <row r="64" spans="1:9">
      <c r="B64" s="103" t="s">
        <v>1810</v>
      </c>
      <c r="C64" s="35" t="s">
        <v>1811</v>
      </c>
      <c r="D64" s="62" t="s">
        <v>764</v>
      </c>
      <c r="E64" s="22"/>
      <c r="F64" s="22"/>
      <c r="G64" s="37"/>
      <c r="H64" s="17">
        <f t="shared" si="0"/>
        <v>0</v>
      </c>
      <c r="I64" s="40"/>
    </row>
    <row r="65" spans="2:9">
      <c r="B65" s="102"/>
      <c r="C65" s="52"/>
      <c r="D65" s="22"/>
      <c r="E65" s="22"/>
      <c r="F65" s="22"/>
      <c r="G65" s="37"/>
      <c r="H65" s="17" t="str">
        <f t="shared" si="0"/>
        <v/>
      </c>
      <c r="I65" s="40"/>
    </row>
    <row r="66" spans="2:9">
      <c r="B66" s="103" t="s">
        <v>1812</v>
      </c>
      <c r="C66" s="35" t="s">
        <v>1813</v>
      </c>
      <c r="D66" s="62" t="s">
        <v>764</v>
      </c>
      <c r="E66" s="22"/>
      <c r="F66" s="22"/>
      <c r="G66" s="37"/>
      <c r="H66" s="17">
        <f t="shared" si="0"/>
        <v>0</v>
      </c>
      <c r="I66" s="40"/>
    </row>
    <row r="67" spans="2:9">
      <c r="B67" s="102"/>
      <c r="C67" s="52"/>
      <c r="D67" s="22"/>
      <c r="E67" s="22"/>
      <c r="F67" s="22"/>
      <c r="G67" s="37"/>
      <c r="H67" s="17" t="str">
        <f t="shared" si="0"/>
        <v/>
      </c>
      <c r="I67" s="40"/>
    </row>
    <row r="68" spans="2:9">
      <c r="B68" s="103" t="s">
        <v>1814</v>
      </c>
      <c r="C68" s="35" t="s">
        <v>1815</v>
      </c>
      <c r="D68" s="62" t="s">
        <v>764</v>
      </c>
      <c r="E68" s="22"/>
      <c r="F68" s="22"/>
      <c r="G68" s="37"/>
      <c r="H68" s="17">
        <f t="shared" si="0"/>
        <v>0</v>
      </c>
      <c r="I68" s="40"/>
    </row>
    <row r="69" spans="2:9">
      <c r="B69" s="102"/>
      <c r="D69" s="22"/>
      <c r="E69" s="22"/>
      <c r="F69" s="22"/>
      <c r="G69" s="37"/>
      <c r="H69" s="17" t="str">
        <f t="shared" si="0"/>
        <v/>
      </c>
      <c r="I69" s="40"/>
    </row>
    <row r="70" spans="2:9" ht="24.6" customHeight="1">
      <c r="B70" s="103" t="s">
        <v>1816</v>
      </c>
      <c r="C70" s="55" t="s">
        <v>1817</v>
      </c>
      <c r="D70" s="62" t="s">
        <v>347</v>
      </c>
      <c r="E70" s="22"/>
      <c r="F70" s="22"/>
      <c r="G70" s="37"/>
      <c r="H70" s="17">
        <f t="shared" si="0"/>
        <v>0</v>
      </c>
      <c r="I70" s="40"/>
    </row>
    <row r="71" spans="2:9">
      <c r="B71" s="102"/>
      <c r="C71" s="52"/>
      <c r="D71" s="22"/>
      <c r="E71" s="22"/>
      <c r="F71" s="22"/>
      <c r="G71" s="37"/>
      <c r="H71" s="17" t="str">
        <f t="shared" si="0"/>
        <v/>
      </c>
      <c r="I71" s="40"/>
    </row>
    <row r="72" spans="2:9">
      <c r="B72" s="102" t="s">
        <v>1818</v>
      </c>
      <c r="C72" s="34" t="s">
        <v>1819</v>
      </c>
      <c r="D72" s="62" t="s">
        <v>347</v>
      </c>
      <c r="E72" s="22"/>
      <c r="F72" s="22"/>
      <c r="G72" s="37"/>
      <c r="H72" s="17">
        <f t="shared" si="0"/>
        <v>0</v>
      </c>
      <c r="I72" s="40"/>
    </row>
    <row r="73" spans="2:9">
      <c r="B73" s="102"/>
      <c r="D73" s="22"/>
      <c r="E73" s="22"/>
      <c r="F73" s="22"/>
      <c r="G73" s="37"/>
      <c r="H73" s="17" t="str">
        <f t="shared" ref="H73:H164" si="1">IF(D73="","",F73*G73)</f>
        <v/>
      </c>
      <c r="I73" s="40"/>
    </row>
    <row r="74" spans="2:9" ht="25.5">
      <c r="B74" s="102" t="s">
        <v>1820</v>
      </c>
      <c r="C74" s="53" t="s">
        <v>1821</v>
      </c>
      <c r="D74" s="62" t="s">
        <v>347</v>
      </c>
      <c r="E74" s="22"/>
      <c r="F74" s="22"/>
      <c r="G74" s="37"/>
      <c r="H74" s="17">
        <f t="shared" ref="H74" si="2">IF(D74="","",F74*G74)</f>
        <v>0</v>
      </c>
      <c r="I74" s="40"/>
    </row>
    <row r="75" spans="2:9">
      <c r="B75" s="102"/>
      <c r="D75" s="22"/>
      <c r="E75" s="22"/>
      <c r="F75" s="22"/>
      <c r="G75" s="37"/>
      <c r="H75" s="17"/>
      <c r="I75" s="40"/>
    </row>
    <row r="76" spans="2:9" s="28" customFormat="1" ht="19.5" customHeight="1">
      <c r="B76" s="101" t="str">
        <f>$B$10</f>
        <v>C12.3</v>
      </c>
      <c r="C76" s="29" t="s">
        <v>99</v>
      </c>
      <c r="D76" s="30"/>
      <c r="E76" s="30"/>
      <c r="F76" s="31"/>
      <c r="G76" s="30"/>
      <c r="H76" s="32">
        <f>SUM(H9:H75)</f>
        <v>0</v>
      </c>
      <c r="I76" s="33"/>
    </row>
    <row r="77" spans="2:9">
      <c r="B77" s="736" t="str">
        <f>Client1</f>
        <v>AIRPORTS COMPANY - SOUTH AFRICA</v>
      </c>
      <c r="C77" s="736"/>
      <c r="D77" s="736"/>
      <c r="E77" s="736"/>
      <c r="F77" s="737" t="str">
        <f>"Contract No. "&amp;ContractNo</f>
        <v>Contract No. KSIA7806/2025/RFP</v>
      </c>
      <c r="G77" s="737"/>
      <c r="H77" s="737"/>
    </row>
    <row r="78" spans="2:9">
      <c r="B78" s="736" t="str">
        <f>Client2</f>
        <v>ACSA</v>
      </c>
      <c r="C78" s="736"/>
      <c r="D78" s="736"/>
      <c r="E78" s="736"/>
      <c r="F78" s="737"/>
      <c r="G78" s="737"/>
      <c r="H78" s="737"/>
    </row>
    <row r="79" spans="2:9">
      <c r="B79" s="739"/>
      <c r="C79" s="739"/>
      <c r="D79" s="739"/>
      <c r="E79" s="739"/>
      <c r="F79" s="738"/>
      <c r="G79" s="738"/>
      <c r="H79" s="738"/>
    </row>
    <row r="80" spans="2:9">
      <c r="B80" s="695" t="s">
        <v>456</v>
      </c>
      <c r="C80" s="696"/>
      <c r="D80" s="696"/>
      <c r="E80" s="696"/>
      <c r="F80" s="696"/>
      <c r="G80" s="696"/>
      <c r="H80" s="740" t="str">
        <f>$H$4</f>
        <v>CHAPTER C12.3</v>
      </c>
      <c r="I80" s="6"/>
    </row>
    <row r="81" spans="2:9">
      <c r="B81" s="690" t="str">
        <f>ContractDescription</f>
        <v>PROCUREMENT OF A CIDB GRADE 9 CE CONTRACTOR THE COMPLETION OF BRAVO TAXIWAY EXTENSION AT KING SHAKA INTERNATIONAL AIRPORT FOR A PERIOD OF 12 MONTHS AT KING SHAKA INTERNATIONAL AIRPORT</v>
      </c>
      <c r="C81" s="691"/>
      <c r="D81" s="691"/>
      <c r="E81" s="691"/>
      <c r="F81" s="691"/>
      <c r="G81" s="691"/>
      <c r="H81" s="737"/>
      <c r="I81" s="8"/>
    </row>
    <row r="82" spans="2:9">
      <c r="B82" s="690"/>
      <c r="C82" s="691"/>
      <c r="D82" s="691"/>
      <c r="E82" s="691"/>
      <c r="F82" s="691"/>
      <c r="G82" s="691"/>
      <c r="H82" s="737"/>
      <c r="I82" s="8"/>
    </row>
    <row r="83" spans="2:9">
      <c r="B83" s="692"/>
      <c r="C83" s="693"/>
      <c r="D83" s="693"/>
      <c r="E83" s="693"/>
      <c r="F83" s="693"/>
      <c r="G83" s="693"/>
      <c r="H83" s="738"/>
      <c r="I83" s="8"/>
    </row>
    <row r="84" spans="2:9" s="9" customFormat="1" ht="24.95" customHeight="1">
      <c r="B84" s="70" t="s">
        <v>11</v>
      </c>
      <c r="C84" s="11" t="s">
        <v>12</v>
      </c>
      <c r="D84" s="11" t="s">
        <v>13</v>
      </c>
      <c r="E84" s="11" t="s">
        <v>14</v>
      </c>
      <c r="F84" s="11" t="s">
        <v>15</v>
      </c>
      <c r="G84" s="11" t="s">
        <v>16</v>
      </c>
      <c r="H84" s="11" t="s">
        <v>17</v>
      </c>
      <c r="I84" s="12"/>
    </row>
    <row r="85" spans="2:9" s="28" customFormat="1" ht="19.5" customHeight="1">
      <c r="B85" s="74"/>
      <c r="C85" s="29" t="s">
        <v>140</v>
      </c>
      <c r="D85" s="30"/>
      <c r="E85" s="30"/>
      <c r="F85" s="31"/>
      <c r="G85" s="30"/>
      <c r="H85" s="32">
        <f>H76</f>
        <v>0</v>
      </c>
      <c r="I85" s="33"/>
    </row>
    <row r="86" spans="2:9">
      <c r="B86" s="102"/>
      <c r="D86" s="22"/>
      <c r="E86" s="22"/>
      <c r="F86" s="22"/>
      <c r="G86" s="37"/>
      <c r="H86" s="17"/>
      <c r="I86" s="40"/>
    </row>
    <row r="87" spans="2:9" ht="26.1" customHeight="1">
      <c r="B87" s="102" t="s">
        <v>1822</v>
      </c>
      <c r="C87" s="53" t="s">
        <v>1823</v>
      </c>
      <c r="D87" s="62" t="s">
        <v>347</v>
      </c>
      <c r="E87" s="22"/>
      <c r="F87" s="22"/>
      <c r="G87" s="37"/>
      <c r="H87" s="17">
        <f t="shared" si="1"/>
        <v>0</v>
      </c>
      <c r="I87" s="40"/>
    </row>
    <row r="88" spans="2:9">
      <c r="B88" s="102"/>
      <c r="D88" s="22"/>
      <c r="E88" s="22"/>
      <c r="F88" s="22"/>
      <c r="G88" s="37"/>
      <c r="H88" s="17" t="str">
        <f t="shared" si="1"/>
        <v/>
      </c>
      <c r="I88" s="40"/>
    </row>
    <row r="89" spans="2:9" ht="24" customHeight="1">
      <c r="B89" s="102" t="s">
        <v>1824</v>
      </c>
      <c r="C89" s="53" t="s">
        <v>1825</v>
      </c>
      <c r="D89" s="62" t="s">
        <v>85</v>
      </c>
      <c r="E89" s="22"/>
      <c r="F89" s="22"/>
      <c r="G89" s="37"/>
      <c r="H89" s="17">
        <f t="shared" si="1"/>
        <v>0</v>
      </c>
      <c r="I89" s="40"/>
    </row>
    <row r="90" spans="2:9">
      <c r="B90" s="102"/>
      <c r="D90" s="22"/>
      <c r="E90" s="22"/>
      <c r="F90" s="22"/>
      <c r="G90" s="37"/>
      <c r="H90" s="17" t="str">
        <f t="shared" si="1"/>
        <v/>
      </c>
      <c r="I90" s="40"/>
    </row>
    <row r="91" spans="2:9" ht="24.6" customHeight="1">
      <c r="B91" s="102" t="s">
        <v>1826</v>
      </c>
      <c r="C91" s="53" t="s">
        <v>1827</v>
      </c>
      <c r="D91" s="15" t="s">
        <v>386</v>
      </c>
      <c r="E91" s="22"/>
      <c r="F91" s="22"/>
      <c r="G91" s="37"/>
      <c r="H91" s="17">
        <f t="shared" si="1"/>
        <v>0</v>
      </c>
      <c r="I91" s="40"/>
    </row>
    <row r="92" spans="2:9">
      <c r="B92" s="102"/>
      <c r="C92" s="52"/>
      <c r="D92" s="22"/>
      <c r="E92" s="22"/>
      <c r="F92" s="22"/>
      <c r="G92" s="37"/>
      <c r="H92" s="17" t="str">
        <f t="shared" si="1"/>
        <v/>
      </c>
      <c r="I92" s="40"/>
    </row>
    <row r="93" spans="2:9" ht="25.5">
      <c r="B93" s="48" t="s">
        <v>1828</v>
      </c>
      <c r="C93" s="53" t="s">
        <v>1829</v>
      </c>
      <c r="D93" s="21" t="s">
        <v>85</v>
      </c>
      <c r="E93" s="22"/>
      <c r="F93" s="22"/>
      <c r="G93" s="37"/>
      <c r="H93" s="17">
        <f t="shared" si="1"/>
        <v>0</v>
      </c>
      <c r="I93" s="40"/>
    </row>
    <row r="94" spans="2:9">
      <c r="B94" s="102"/>
      <c r="C94" s="52"/>
      <c r="D94" s="22"/>
      <c r="E94" s="22"/>
      <c r="F94" s="22"/>
      <c r="G94" s="37"/>
      <c r="H94" s="17" t="str">
        <f t="shared" si="1"/>
        <v/>
      </c>
      <c r="I94" s="40"/>
    </row>
    <row r="95" spans="2:9" ht="38.25">
      <c r="B95" s="102" t="s">
        <v>1830</v>
      </c>
      <c r="C95" s="53" t="s">
        <v>1831</v>
      </c>
      <c r="D95" s="21" t="s">
        <v>85</v>
      </c>
      <c r="E95" s="22"/>
      <c r="F95" s="22"/>
      <c r="G95" s="37"/>
      <c r="H95" s="17">
        <f t="shared" si="1"/>
        <v>0</v>
      </c>
      <c r="I95" s="40"/>
    </row>
    <row r="96" spans="2:9">
      <c r="B96" s="102"/>
      <c r="D96" s="22"/>
      <c r="E96" s="22"/>
      <c r="F96" s="22"/>
      <c r="G96" s="37"/>
      <c r="H96" s="17" t="str">
        <f t="shared" si="1"/>
        <v/>
      </c>
      <c r="I96" s="40"/>
    </row>
    <row r="97" spans="2:9" ht="26.1" customHeight="1">
      <c r="B97" s="48" t="s">
        <v>1832</v>
      </c>
      <c r="C97" s="53" t="s">
        <v>1833</v>
      </c>
      <c r="D97" s="21" t="s">
        <v>85</v>
      </c>
      <c r="E97" s="22"/>
      <c r="F97" s="22"/>
      <c r="G97" s="37"/>
      <c r="H97" s="17">
        <f t="shared" si="1"/>
        <v>0</v>
      </c>
      <c r="I97" s="40"/>
    </row>
    <row r="98" spans="2:9">
      <c r="B98" s="102"/>
      <c r="D98" s="22"/>
      <c r="E98" s="22"/>
      <c r="F98" s="22"/>
      <c r="G98" s="37"/>
      <c r="H98" s="17" t="str">
        <f t="shared" si="1"/>
        <v/>
      </c>
      <c r="I98" s="40"/>
    </row>
    <row r="99" spans="2:9">
      <c r="B99" s="103" t="s">
        <v>1834</v>
      </c>
      <c r="C99" s="35" t="s">
        <v>1835</v>
      </c>
      <c r="D99" s="62"/>
      <c r="E99" s="22"/>
      <c r="F99" s="22"/>
      <c r="G99" s="37"/>
      <c r="H99" s="17" t="str">
        <f t="shared" si="1"/>
        <v/>
      </c>
      <c r="I99" s="40"/>
    </row>
    <row r="100" spans="2:9">
      <c r="B100" s="103"/>
      <c r="C100" s="1"/>
      <c r="D100" s="62"/>
      <c r="E100" s="22"/>
      <c r="F100" s="22"/>
      <c r="G100" s="37"/>
      <c r="H100" s="17" t="str">
        <f t="shared" si="1"/>
        <v/>
      </c>
      <c r="I100" s="40"/>
    </row>
    <row r="101" spans="2:9">
      <c r="B101" s="103" t="s">
        <v>1836</v>
      </c>
      <c r="C101" s="35" t="s">
        <v>1837</v>
      </c>
      <c r="D101" s="62" t="s">
        <v>85</v>
      </c>
      <c r="E101" s="22"/>
      <c r="F101" s="22"/>
      <c r="G101" s="37"/>
      <c r="H101" s="17">
        <f t="shared" si="1"/>
        <v>0</v>
      </c>
      <c r="I101" s="40"/>
    </row>
    <row r="102" spans="2:9">
      <c r="B102" s="106"/>
      <c r="C102" s="1"/>
      <c r="D102" s="62"/>
      <c r="E102" s="22"/>
      <c r="F102" s="22"/>
      <c r="G102" s="37"/>
      <c r="H102" s="17" t="str">
        <f t="shared" si="1"/>
        <v/>
      </c>
      <c r="I102" s="40"/>
    </row>
    <row r="103" spans="2:9">
      <c r="B103" s="103" t="s">
        <v>1838</v>
      </c>
      <c r="C103" s="35" t="s">
        <v>1839</v>
      </c>
      <c r="D103" s="62" t="s">
        <v>347</v>
      </c>
      <c r="E103" s="22"/>
      <c r="F103" s="22"/>
      <c r="G103" s="37"/>
      <c r="H103" s="17">
        <f t="shared" si="1"/>
        <v>0</v>
      </c>
      <c r="I103" s="40"/>
    </row>
    <row r="104" spans="2:9">
      <c r="B104" s="106"/>
      <c r="C104" s="1"/>
      <c r="D104" s="62"/>
      <c r="E104" s="22"/>
      <c r="F104" s="22"/>
      <c r="G104" s="37"/>
      <c r="H104" s="17" t="str">
        <f t="shared" si="1"/>
        <v/>
      </c>
      <c r="I104" s="40"/>
    </row>
    <row r="105" spans="2:9">
      <c r="B105" s="103" t="s">
        <v>1840</v>
      </c>
      <c r="C105" s="35" t="s">
        <v>1841</v>
      </c>
      <c r="D105" s="62" t="s">
        <v>85</v>
      </c>
      <c r="E105" s="22"/>
      <c r="F105" s="22"/>
      <c r="G105" s="37"/>
      <c r="H105" s="17">
        <f t="shared" si="1"/>
        <v>0</v>
      </c>
      <c r="I105" s="40"/>
    </row>
    <row r="106" spans="2:9">
      <c r="B106" s="48"/>
      <c r="C106" s="35"/>
      <c r="D106" s="62"/>
      <c r="E106" s="22"/>
      <c r="F106" s="22"/>
      <c r="G106" s="37"/>
      <c r="H106" s="17" t="str">
        <f t="shared" si="1"/>
        <v/>
      </c>
      <c r="I106" s="40"/>
    </row>
    <row r="107" spans="2:9" ht="14.25">
      <c r="B107" s="103" t="s">
        <v>1842</v>
      </c>
      <c r="C107" s="35" t="s">
        <v>1843</v>
      </c>
      <c r="D107" s="22" t="s">
        <v>1844</v>
      </c>
      <c r="E107" s="22"/>
      <c r="F107" s="22"/>
      <c r="G107" s="37"/>
      <c r="H107" s="17">
        <f t="shared" si="1"/>
        <v>0</v>
      </c>
      <c r="I107" s="40"/>
    </row>
    <row r="108" spans="2:9">
      <c r="B108" s="106"/>
      <c r="C108" s="52"/>
      <c r="D108" s="22"/>
      <c r="E108" s="22"/>
      <c r="F108" s="22"/>
      <c r="G108" s="37"/>
      <c r="H108" s="17" t="str">
        <f t="shared" si="1"/>
        <v/>
      </c>
      <c r="I108" s="40"/>
    </row>
    <row r="109" spans="2:9" ht="39" customHeight="1">
      <c r="B109" s="103" t="s">
        <v>1845</v>
      </c>
      <c r="C109" s="55" t="s">
        <v>1846</v>
      </c>
      <c r="D109" s="15"/>
      <c r="E109" s="22"/>
      <c r="F109" s="22"/>
      <c r="G109" s="37"/>
      <c r="H109" s="17" t="str">
        <f t="shared" si="1"/>
        <v/>
      </c>
      <c r="I109" s="40"/>
    </row>
    <row r="110" spans="2:9">
      <c r="B110" s="106"/>
      <c r="C110" s="1"/>
      <c r="D110" s="15"/>
      <c r="E110" s="22"/>
      <c r="F110" s="22"/>
      <c r="G110" s="37"/>
      <c r="H110" s="17" t="str">
        <f t="shared" si="1"/>
        <v/>
      </c>
      <c r="I110" s="40"/>
    </row>
    <row r="111" spans="2:9">
      <c r="B111" s="103" t="s">
        <v>1847</v>
      </c>
      <c r="C111" s="35" t="s">
        <v>1848</v>
      </c>
      <c r="D111" s="62" t="s">
        <v>1849</v>
      </c>
      <c r="E111" s="22"/>
      <c r="F111" s="22"/>
      <c r="G111" s="37"/>
      <c r="H111" s="17">
        <f t="shared" si="1"/>
        <v>0</v>
      </c>
      <c r="I111" s="40"/>
    </row>
    <row r="112" spans="2:9">
      <c r="B112" s="106"/>
      <c r="C112" s="1"/>
      <c r="D112" s="15"/>
      <c r="E112" s="22"/>
      <c r="F112" s="22"/>
      <c r="G112" s="37"/>
      <c r="H112" s="17" t="str">
        <f t="shared" si="1"/>
        <v/>
      </c>
      <c r="I112" s="40"/>
    </row>
    <row r="113" spans="2:9">
      <c r="B113" s="103" t="s">
        <v>1850</v>
      </c>
      <c r="C113" s="35" t="s">
        <v>1851</v>
      </c>
      <c r="D113" s="62" t="s">
        <v>1849</v>
      </c>
      <c r="E113" s="22"/>
      <c r="F113" s="22"/>
      <c r="G113" s="37"/>
      <c r="H113" s="17">
        <f t="shared" si="1"/>
        <v>0</v>
      </c>
      <c r="I113" s="40"/>
    </row>
    <row r="114" spans="2:9">
      <c r="B114" s="106"/>
      <c r="C114" s="1"/>
      <c r="D114" s="15"/>
      <c r="E114" s="22"/>
      <c r="F114" s="22"/>
      <c r="G114" s="37"/>
      <c r="H114" s="17" t="str">
        <f t="shared" si="1"/>
        <v/>
      </c>
      <c r="I114" s="40"/>
    </row>
    <row r="115" spans="2:9">
      <c r="B115" s="103" t="s">
        <v>1852</v>
      </c>
      <c r="C115" s="35" t="s">
        <v>1853</v>
      </c>
      <c r="D115" s="62" t="s">
        <v>1849</v>
      </c>
      <c r="E115" s="22"/>
      <c r="F115" s="22"/>
      <c r="G115" s="37"/>
      <c r="H115" s="17">
        <f t="shared" si="1"/>
        <v>0</v>
      </c>
      <c r="I115" s="40"/>
    </row>
    <row r="116" spans="2:9">
      <c r="B116" s="48"/>
      <c r="D116" s="15"/>
      <c r="E116" s="22"/>
      <c r="F116" s="22"/>
      <c r="G116" s="37"/>
      <c r="H116" s="17" t="str">
        <f t="shared" si="1"/>
        <v/>
      </c>
      <c r="I116" s="40"/>
    </row>
    <row r="117" spans="2:9">
      <c r="B117" s="103" t="s">
        <v>1854</v>
      </c>
      <c r="C117" s="35" t="s">
        <v>1855</v>
      </c>
      <c r="D117" s="62"/>
      <c r="E117" s="22"/>
      <c r="F117" s="22"/>
      <c r="G117" s="37"/>
      <c r="H117" s="17" t="str">
        <f t="shared" si="1"/>
        <v/>
      </c>
      <c r="I117" s="40"/>
    </row>
    <row r="118" spans="2:9">
      <c r="B118" s="106"/>
      <c r="C118" s="1"/>
      <c r="D118" s="15"/>
      <c r="E118" s="22"/>
      <c r="F118" s="22"/>
      <c r="G118" s="37"/>
      <c r="H118" s="17" t="str">
        <f t="shared" si="1"/>
        <v/>
      </c>
      <c r="I118" s="40"/>
    </row>
    <row r="119" spans="2:9">
      <c r="B119" s="103" t="s">
        <v>1856</v>
      </c>
      <c r="C119" s="35" t="s">
        <v>1848</v>
      </c>
      <c r="D119" s="62" t="s">
        <v>1849</v>
      </c>
      <c r="E119" s="22"/>
      <c r="F119" s="22"/>
      <c r="G119" s="37"/>
      <c r="H119" s="17">
        <f t="shared" si="1"/>
        <v>0</v>
      </c>
      <c r="I119" s="40"/>
    </row>
    <row r="120" spans="2:9">
      <c r="B120" s="106"/>
      <c r="C120" s="1"/>
      <c r="D120" s="15"/>
      <c r="E120" s="22"/>
      <c r="F120" s="22"/>
      <c r="G120" s="37"/>
      <c r="H120" s="17" t="str">
        <f t="shared" si="1"/>
        <v/>
      </c>
      <c r="I120" s="40"/>
    </row>
    <row r="121" spans="2:9">
      <c r="B121" s="103" t="s">
        <v>1857</v>
      </c>
      <c r="C121" s="35" t="s">
        <v>1851</v>
      </c>
      <c r="D121" s="62" t="s">
        <v>1849</v>
      </c>
      <c r="E121" s="22"/>
      <c r="F121" s="22"/>
      <c r="G121" s="37"/>
      <c r="H121" s="17">
        <f t="shared" si="1"/>
        <v>0</v>
      </c>
      <c r="I121" s="40"/>
    </row>
    <row r="122" spans="2:9">
      <c r="B122" s="106"/>
      <c r="C122" s="1"/>
      <c r="D122" s="15"/>
      <c r="E122" s="22"/>
      <c r="F122" s="22"/>
      <c r="G122" s="37"/>
      <c r="H122" s="17" t="str">
        <f t="shared" si="1"/>
        <v/>
      </c>
      <c r="I122" s="40"/>
    </row>
    <row r="123" spans="2:9">
      <c r="B123" s="103" t="s">
        <v>1858</v>
      </c>
      <c r="C123" s="35" t="s">
        <v>1853</v>
      </c>
      <c r="D123" s="62" t="s">
        <v>1849</v>
      </c>
      <c r="E123" s="22"/>
      <c r="F123" s="22"/>
      <c r="G123" s="37"/>
      <c r="H123" s="17">
        <f t="shared" si="1"/>
        <v>0</v>
      </c>
      <c r="I123" s="40"/>
    </row>
    <row r="124" spans="2:9">
      <c r="B124" s="48"/>
      <c r="C124" s="52"/>
      <c r="D124" s="15"/>
      <c r="E124" s="22"/>
      <c r="F124" s="22"/>
      <c r="G124" s="37"/>
      <c r="H124" s="17" t="str">
        <f t="shared" si="1"/>
        <v/>
      </c>
      <c r="I124" s="40"/>
    </row>
    <row r="125" spans="2:9" ht="27" customHeight="1">
      <c r="B125" s="103" t="s">
        <v>1859</v>
      </c>
      <c r="C125" s="53" t="s">
        <v>1860</v>
      </c>
      <c r="D125" s="15" t="s">
        <v>386</v>
      </c>
      <c r="E125" s="22"/>
      <c r="F125" s="22"/>
      <c r="G125" s="37"/>
      <c r="H125" s="17">
        <f t="shared" si="1"/>
        <v>0</v>
      </c>
      <c r="I125" s="40"/>
    </row>
    <row r="126" spans="2:9">
      <c r="B126" s="106"/>
      <c r="D126" s="15"/>
      <c r="E126" s="22"/>
      <c r="F126" s="22"/>
      <c r="G126" s="37"/>
      <c r="H126" s="17" t="str">
        <f t="shared" si="1"/>
        <v/>
      </c>
      <c r="I126" s="40"/>
    </row>
    <row r="127" spans="2:9" ht="24.6" customHeight="1">
      <c r="B127" s="103" t="s">
        <v>1861</v>
      </c>
      <c r="C127" s="53" t="s">
        <v>1862</v>
      </c>
      <c r="D127" s="15" t="s">
        <v>386</v>
      </c>
      <c r="E127" s="22"/>
      <c r="F127" s="22"/>
      <c r="G127" s="37"/>
      <c r="H127" s="17">
        <f t="shared" si="1"/>
        <v>0</v>
      </c>
      <c r="I127" s="40"/>
    </row>
    <row r="128" spans="2:9">
      <c r="B128" s="106"/>
      <c r="D128" s="15"/>
      <c r="E128" s="22"/>
      <c r="F128" s="22"/>
      <c r="G128" s="37"/>
      <c r="H128" s="17" t="str">
        <f t="shared" si="1"/>
        <v/>
      </c>
      <c r="I128" s="40"/>
    </row>
    <row r="129" spans="2:9" ht="27.95" customHeight="1">
      <c r="B129" s="103" t="s">
        <v>1863</v>
      </c>
      <c r="C129" s="53" t="s">
        <v>1864</v>
      </c>
      <c r="D129" s="15" t="s">
        <v>386</v>
      </c>
      <c r="E129" s="22"/>
      <c r="F129" s="22"/>
      <c r="G129" s="37"/>
      <c r="H129" s="17">
        <f t="shared" si="1"/>
        <v>0</v>
      </c>
      <c r="I129" s="40"/>
    </row>
    <row r="130" spans="2:9">
      <c r="B130" s="106"/>
      <c r="D130" s="15"/>
      <c r="E130" s="22"/>
      <c r="F130" s="22"/>
      <c r="G130" s="37"/>
      <c r="H130" s="17" t="str">
        <f t="shared" si="1"/>
        <v/>
      </c>
      <c r="I130" s="40"/>
    </row>
    <row r="131" spans="2:9" ht="26.1" customHeight="1">
      <c r="B131" s="103" t="s">
        <v>1865</v>
      </c>
      <c r="C131" s="53" t="s">
        <v>1866</v>
      </c>
      <c r="D131" s="113" t="s">
        <v>85</v>
      </c>
      <c r="E131" s="22"/>
      <c r="F131" s="22"/>
      <c r="G131" s="37"/>
      <c r="H131" s="17">
        <f t="shared" si="1"/>
        <v>0</v>
      </c>
      <c r="I131" s="40"/>
    </row>
    <row r="132" spans="2:9">
      <c r="B132" s="106"/>
      <c r="D132" s="22"/>
      <c r="E132" s="22"/>
      <c r="F132" s="22"/>
      <c r="G132" s="37"/>
      <c r="H132" s="17" t="str">
        <f t="shared" si="1"/>
        <v/>
      </c>
      <c r="I132" s="40"/>
    </row>
    <row r="133" spans="2:9">
      <c r="B133" s="103" t="s">
        <v>1867</v>
      </c>
      <c r="C133" s="34" t="s">
        <v>1868</v>
      </c>
      <c r="D133" s="113" t="s">
        <v>85</v>
      </c>
      <c r="E133" s="22"/>
      <c r="F133" s="22"/>
      <c r="G133" s="37"/>
      <c r="H133" s="17">
        <f t="shared" si="1"/>
        <v>0</v>
      </c>
      <c r="I133" s="40"/>
    </row>
    <row r="134" spans="2:9">
      <c r="B134" s="103"/>
      <c r="C134" s="34"/>
      <c r="D134" s="113"/>
      <c r="E134" s="22"/>
      <c r="F134" s="22"/>
      <c r="G134" s="37"/>
      <c r="H134" s="17" t="str">
        <f t="shared" si="1"/>
        <v/>
      </c>
      <c r="I134" s="40"/>
    </row>
    <row r="135" spans="2:9">
      <c r="B135" s="103"/>
      <c r="C135" s="34"/>
      <c r="D135" s="113"/>
      <c r="E135" s="22"/>
      <c r="F135" s="22"/>
      <c r="G135" s="37"/>
      <c r="H135" s="17" t="str">
        <f t="shared" si="1"/>
        <v/>
      </c>
      <c r="I135" s="40"/>
    </row>
    <row r="136" spans="2:9">
      <c r="B136" s="103"/>
      <c r="C136" s="34"/>
      <c r="D136" s="113"/>
      <c r="E136" s="22"/>
      <c r="F136" s="22"/>
      <c r="G136" s="37"/>
      <c r="H136" s="17" t="str">
        <f t="shared" si="1"/>
        <v/>
      </c>
      <c r="I136" s="40"/>
    </row>
    <row r="137" spans="2:9">
      <c r="B137" s="103"/>
      <c r="C137" s="34"/>
      <c r="D137" s="113"/>
      <c r="E137" s="22"/>
      <c r="F137" s="22"/>
      <c r="G137" s="37"/>
      <c r="H137" s="17" t="str">
        <f t="shared" si="1"/>
        <v/>
      </c>
      <c r="I137" s="40"/>
    </row>
    <row r="138" spans="2:9">
      <c r="B138" s="103"/>
      <c r="C138" s="34"/>
      <c r="D138" s="113"/>
      <c r="E138" s="22"/>
      <c r="F138" s="22"/>
      <c r="G138" s="37"/>
      <c r="H138" s="17" t="str">
        <f t="shared" si="1"/>
        <v/>
      </c>
      <c r="I138" s="40"/>
    </row>
    <row r="139" spans="2:9">
      <c r="B139" s="103"/>
      <c r="C139" s="34"/>
      <c r="D139" s="113"/>
      <c r="E139" s="22"/>
      <c r="F139" s="22"/>
      <c r="G139" s="37"/>
      <c r="H139" s="17" t="str">
        <f t="shared" si="1"/>
        <v/>
      </c>
      <c r="I139" s="40"/>
    </row>
    <row r="140" spans="2:9">
      <c r="B140" s="106"/>
      <c r="D140" s="22"/>
      <c r="E140" s="22"/>
      <c r="F140" s="22"/>
      <c r="G140" s="37"/>
      <c r="H140" s="17" t="str">
        <f t="shared" si="1"/>
        <v/>
      </c>
      <c r="I140" s="40"/>
    </row>
    <row r="141" spans="2:9" s="28" customFormat="1" ht="19.5" customHeight="1">
      <c r="B141" s="101" t="str">
        <f>$B$10</f>
        <v>C12.3</v>
      </c>
      <c r="C141" s="29" t="s">
        <v>99</v>
      </c>
      <c r="D141" s="30"/>
      <c r="E141" s="30"/>
      <c r="F141" s="31"/>
      <c r="G141" s="30"/>
      <c r="H141" s="32">
        <f>SUM(H85:H140)</f>
        <v>0</v>
      </c>
      <c r="I141" s="33"/>
    </row>
    <row r="142" spans="2:9">
      <c r="B142" s="736" t="str">
        <f>Client1</f>
        <v>AIRPORTS COMPANY - SOUTH AFRICA</v>
      </c>
      <c r="C142" s="736"/>
      <c r="D142" s="736"/>
      <c r="E142" s="736"/>
      <c r="F142" s="737" t="str">
        <f>"Contract No. "&amp;ContractNo</f>
        <v>Contract No. KSIA7806/2025/RFP</v>
      </c>
      <c r="G142" s="737"/>
      <c r="H142" s="737"/>
    </row>
    <row r="143" spans="2:9">
      <c r="B143" s="736" t="str">
        <f>Client2</f>
        <v>ACSA</v>
      </c>
      <c r="C143" s="736"/>
      <c r="D143" s="736"/>
      <c r="E143" s="736"/>
      <c r="F143" s="737"/>
      <c r="G143" s="737"/>
      <c r="H143" s="737"/>
    </row>
    <row r="144" spans="2:9">
      <c r="B144" s="739"/>
      <c r="C144" s="739"/>
      <c r="D144" s="739"/>
      <c r="E144" s="739"/>
      <c r="F144" s="738"/>
      <c r="G144" s="738"/>
      <c r="H144" s="738"/>
    </row>
    <row r="145" spans="2:9">
      <c r="B145" s="695" t="s">
        <v>456</v>
      </c>
      <c r="C145" s="696"/>
      <c r="D145" s="696"/>
      <c r="E145" s="696"/>
      <c r="F145" s="696"/>
      <c r="G145" s="696"/>
      <c r="H145" s="740" t="str">
        <f>$H$4</f>
        <v>CHAPTER C12.3</v>
      </c>
      <c r="I145" s="6"/>
    </row>
    <row r="146" spans="2:9">
      <c r="B146" s="690" t="str">
        <f>ContractDescription</f>
        <v>PROCUREMENT OF A CIDB GRADE 9 CE CONTRACTOR THE COMPLETION OF BRAVO TAXIWAY EXTENSION AT KING SHAKA INTERNATIONAL AIRPORT FOR A PERIOD OF 12 MONTHS AT KING SHAKA INTERNATIONAL AIRPORT</v>
      </c>
      <c r="C146" s="691"/>
      <c r="D146" s="691"/>
      <c r="E146" s="691"/>
      <c r="F146" s="691"/>
      <c r="G146" s="691"/>
      <c r="H146" s="737"/>
      <c r="I146" s="8"/>
    </row>
    <row r="147" spans="2:9">
      <c r="B147" s="690"/>
      <c r="C147" s="691"/>
      <c r="D147" s="691"/>
      <c r="E147" s="691"/>
      <c r="F147" s="691"/>
      <c r="G147" s="691"/>
      <c r="H147" s="737"/>
      <c r="I147" s="8"/>
    </row>
    <row r="148" spans="2:9">
      <c r="B148" s="692"/>
      <c r="C148" s="693"/>
      <c r="D148" s="693"/>
      <c r="E148" s="693"/>
      <c r="F148" s="693"/>
      <c r="G148" s="693"/>
      <c r="H148" s="738"/>
      <c r="I148" s="8"/>
    </row>
    <row r="149" spans="2:9" s="9" customFormat="1" ht="24.95" customHeight="1">
      <c r="B149" s="70" t="s">
        <v>11</v>
      </c>
      <c r="C149" s="11" t="s">
        <v>12</v>
      </c>
      <c r="D149" s="11" t="s">
        <v>13</v>
      </c>
      <c r="E149" s="11" t="s">
        <v>14</v>
      </c>
      <c r="F149" s="11" t="s">
        <v>15</v>
      </c>
      <c r="G149" s="11" t="s">
        <v>16</v>
      </c>
      <c r="H149" s="11" t="s">
        <v>17</v>
      </c>
      <c r="I149" s="12"/>
    </row>
    <row r="150" spans="2:9" s="28" customFormat="1" ht="19.5" customHeight="1">
      <c r="B150" s="74"/>
      <c r="C150" s="29" t="s">
        <v>140</v>
      </c>
      <c r="D150" s="30"/>
      <c r="E150" s="30"/>
      <c r="F150" s="31"/>
      <c r="G150" s="30"/>
      <c r="H150" s="32">
        <f>H141</f>
        <v>0</v>
      </c>
      <c r="I150" s="33"/>
    </row>
    <row r="151" spans="2:9">
      <c r="B151" s="106"/>
      <c r="D151" s="22"/>
      <c r="E151" s="22"/>
      <c r="F151" s="22"/>
      <c r="G151" s="37"/>
      <c r="H151" s="17"/>
      <c r="I151" s="40"/>
    </row>
    <row r="152" spans="2:9">
      <c r="B152" s="103" t="s">
        <v>1869</v>
      </c>
      <c r="C152" s="35" t="s">
        <v>1870</v>
      </c>
      <c r="D152" s="22"/>
      <c r="E152" s="22"/>
      <c r="F152" s="22"/>
      <c r="G152" s="37"/>
      <c r="H152" s="17" t="str">
        <f t="shared" si="1"/>
        <v/>
      </c>
      <c r="I152" s="40"/>
    </row>
    <row r="153" spans="2:9">
      <c r="B153" s="106"/>
      <c r="C153" s="1"/>
      <c r="D153" s="36"/>
      <c r="E153" s="22"/>
      <c r="F153" s="22"/>
      <c r="G153" s="37"/>
      <c r="H153" s="17" t="str">
        <f t="shared" si="1"/>
        <v/>
      </c>
      <c r="I153" s="40"/>
    </row>
    <row r="154" spans="2:9">
      <c r="B154" s="103" t="s">
        <v>1871</v>
      </c>
      <c r="C154" s="35" t="s">
        <v>1872</v>
      </c>
      <c r="D154" s="62" t="s">
        <v>33</v>
      </c>
      <c r="E154" s="22"/>
      <c r="F154" s="22"/>
      <c r="G154" s="37"/>
      <c r="H154" s="17">
        <f t="shared" si="1"/>
        <v>0</v>
      </c>
      <c r="I154" s="40"/>
    </row>
    <row r="155" spans="2:9">
      <c r="B155" s="106"/>
      <c r="C155" s="1"/>
      <c r="D155" s="36"/>
      <c r="E155" s="22"/>
      <c r="F155" s="22"/>
      <c r="G155" s="37"/>
      <c r="H155" s="17" t="str">
        <f t="shared" si="1"/>
        <v/>
      </c>
      <c r="I155" s="40"/>
    </row>
    <row r="156" spans="2:9">
      <c r="B156" s="103" t="s">
        <v>1873</v>
      </c>
      <c r="C156" s="35" t="s">
        <v>1874</v>
      </c>
      <c r="D156" s="62" t="s">
        <v>33</v>
      </c>
      <c r="E156" s="22"/>
      <c r="F156" s="22"/>
      <c r="G156" s="37"/>
      <c r="H156" s="17">
        <f t="shared" si="1"/>
        <v>0</v>
      </c>
      <c r="I156" s="40"/>
    </row>
    <row r="157" spans="2:9">
      <c r="B157" s="106"/>
      <c r="C157" s="1"/>
      <c r="D157" s="36"/>
      <c r="E157" s="22"/>
      <c r="F157" s="22"/>
      <c r="G157" s="37"/>
      <c r="H157" s="17" t="str">
        <f t="shared" si="1"/>
        <v/>
      </c>
      <c r="I157" s="40"/>
    </row>
    <row r="158" spans="2:9">
      <c r="B158" s="103" t="s">
        <v>1875</v>
      </c>
      <c r="C158" s="35" t="s">
        <v>1876</v>
      </c>
      <c r="D158" s="62" t="s">
        <v>33</v>
      </c>
      <c r="E158" s="22"/>
      <c r="F158" s="22"/>
      <c r="G158" s="37"/>
      <c r="H158" s="17">
        <f t="shared" si="1"/>
        <v>0</v>
      </c>
      <c r="I158" s="40"/>
    </row>
    <row r="159" spans="2:9">
      <c r="B159" s="102"/>
      <c r="D159" s="22"/>
      <c r="E159" s="22"/>
      <c r="F159" s="22"/>
      <c r="G159" s="37"/>
      <c r="H159" s="17" t="str">
        <f t="shared" si="1"/>
        <v/>
      </c>
      <c r="I159" s="40"/>
    </row>
    <row r="160" spans="2:9">
      <c r="B160" s="103" t="s">
        <v>1877</v>
      </c>
      <c r="C160" s="35" t="s">
        <v>1878</v>
      </c>
      <c r="D160" s="22"/>
      <c r="E160" s="22"/>
      <c r="F160" s="22"/>
      <c r="G160" s="37"/>
      <c r="H160" s="17" t="str">
        <f t="shared" si="1"/>
        <v/>
      </c>
      <c r="I160" s="40"/>
    </row>
    <row r="161" spans="2:9">
      <c r="B161" s="106"/>
      <c r="C161" s="1"/>
      <c r="D161" s="22"/>
      <c r="E161" s="22"/>
      <c r="F161" s="22"/>
      <c r="G161" s="37"/>
      <c r="H161" s="17" t="str">
        <f t="shared" si="1"/>
        <v/>
      </c>
      <c r="I161" s="40"/>
    </row>
    <row r="162" spans="2:9">
      <c r="B162" s="103" t="s">
        <v>1879</v>
      </c>
      <c r="C162" s="35" t="s">
        <v>1872</v>
      </c>
      <c r="D162" s="62" t="s">
        <v>85</v>
      </c>
      <c r="E162" s="22"/>
      <c r="F162" s="22"/>
      <c r="G162" s="37"/>
      <c r="H162" s="17">
        <f t="shared" si="1"/>
        <v>0</v>
      </c>
      <c r="I162" s="40"/>
    </row>
    <row r="163" spans="2:9">
      <c r="B163" s="106"/>
      <c r="C163" s="1"/>
      <c r="D163" s="22"/>
      <c r="E163" s="22"/>
      <c r="F163" s="22"/>
      <c r="G163" s="37"/>
      <c r="H163" s="17" t="str">
        <f t="shared" si="1"/>
        <v/>
      </c>
      <c r="I163" s="40"/>
    </row>
    <row r="164" spans="2:9">
      <c r="B164" s="103" t="s">
        <v>1880</v>
      </c>
      <c r="C164" s="35" t="s">
        <v>1874</v>
      </c>
      <c r="D164" s="62" t="s">
        <v>85</v>
      </c>
      <c r="E164" s="22"/>
      <c r="F164" s="22"/>
      <c r="G164" s="37"/>
      <c r="H164" s="17">
        <f t="shared" si="1"/>
        <v>0</v>
      </c>
      <c r="I164" s="40"/>
    </row>
    <row r="165" spans="2:9">
      <c r="B165" s="106"/>
      <c r="C165" s="1"/>
      <c r="D165" s="22"/>
      <c r="E165" s="22"/>
      <c r="F165" s="22"/>
      <c r="G165" s="37"/>
      <c r="H165" s="17" t="str">
        <f t="shared" ref="H165:H180" si="3">IF(D165="","",F165*G165)</f>
        <v/>
      </c>
      <c r="I165" s="40"/>
    </row>
    <row r="166" spans="2:9">
      <c r="B166" s="103" t="s">
        <v>1881</v>
      </c>
      <c r="C166" s="35" t="s">
        <v>1876</v>
      </c>
      <c r="D166" s="62" t="s">
        <v>85</v>
      </c>
      <c r="E166" s="22"/>
      <c r="F166" s="22"/>
      <c r="G166" s="37"/>
      <c r="H166" s="17">
        <f t="shared" si="3"/>
        <v>0</v>
      </c>
      <c r="I166" s="40"/>
    </row>
    <row r="167" spans="2:9">
      <c r="B167" s="102"/>
      <c r="D167" s="22"/>
      <c r="E167" s="22"/>
      <c r="F167" s="22"/>
      <c r="G167" s="37"/>
      <c r="H167" s="17" t="str">
        <f t="shared" si="3"/>
        <v/>
      </c>
      <c r="I167" s="40"/>
    </row>
    <row r="168" spans="2:9">
      <c r="B168" s="102" t="s">
        <v>1882</v>
      </c>
      <c r="C168" s="34" t="s">
        <v>1883</v>
      </c>
      <c r="D168" s="62" t="s">
        <v>85</v>
      </c>
      <c r="E168" s="22"/>
      <c r="F168" s="22"/>
      <c r="G168" s="37"/>
      <c r="H168" s="17">
        <f t="shared" si="3"/>
        <v>0</v>
      </c>
      <c r="I168" s="40"/>
    </row>
    <row r="169" spans="2:9">
      <c r="B169" s="106"/>
      <c r="D169" s="22"/>
      <c r="E169" s="22"/>
      <c r="F169" s="22"/>
      <c r="G169" s="37"/>
      <c r="H169" s="17" t="str">
        <f t="shared" si="3"/>
        <v/>
      </c>
      <c r="I169" s="40"/>
    </row>
    <row r="170" spans="2:9" ht="27.6" customHeight="1">
      <c r="B170" s="102" t="s">
        <v>1884</v>
      </c>
      <c r="C170" s="53" t="s">
        <v>1885</v>
      </c>
      <c r="D170" s="22" t="s">
        <v>25</v>
      </c>
      <c r="E170" s="22"/>
      <c r="F170" s="22"/>
      <c r="G170" s="37"/>
      <c r="H170" s="17">
        <f t="shared" si="3"/>
        <v>0</v>
      </c>
      <c r="I170" s="40"/>
    </row>
    <row r="171" spans="2:9">
      <c r="B171" s="106"/>
      <c r="D171" s="22"/>
      <c r="E171" s="22"/>
      <c r="F171" s="22"/>
      <c r="G171" s="37"/>
      <c r="H171" s="17" t="str">
        <f t="shared" si="3"/>
        <v/>
      </c>
      <c r="I171" s="40"/>
    </row>
    <row r="172" spans="2:9">
      <c r="B172" s="102" t="s">
        <v>1886</v>
      </c>
      <c r="C172" s="34" t="s">
        <v>1887</v>
      </c>
      <c r="D172" s="62" t="s">
        <v>85</v>
      </c>
      <c r="E172" s="22"/>
      <c r="F172" s="22"/>
      <c r="G172" s="37"/>
      <c r="H172" s="17">
        <f t="shared" si="3"/>
        <v>0</v>
      </c>
      <c r="I172" s="40"/>
    </row>
    <row r="173" spans="2:9">
      <c r="B173" s="106"/>
      <c r="D173" s="22"/>
      <c r="E173" s="22"/>
      <c r="F173" s="22"/>
      <c r="G173" s="37"/>
      <c r="H173" s="17" t="str">
        <f t="shared" si="3"/>
        <v/>
      </c>
      <c r="I173" s="40"/>
    </row>
    <row r="174" spans="2:9">
      <c r="B174" s="102" t="s">
        <v>1888</v>
      </c>
      <c r="C174" s="34" t="s">
        <v>1889</v>
      </c>
      <c r="D174" s="62" t="s">
        <v>85</v>
      </c>
      <c r="E174" s="22"/>
      <c r="F174" s="22"/>
      <c r="G174" s="37"/>
      <c r="H174" s="17">
        <f t="shared" si="3"/>
        <v>0</v>
      </c>
      <c r="I174" s="40"/>
    </row>
    <row r="175" spans="2:9">
      <c r="B175" s="106"/>
      <c r="D175" s="22"/>
      <c r="E175" s="22"/>
      <c r="F175" s="22"/>
      <c r="G175" s="37"/>
      <c r="H175" s="17" t="str">
        <f t="shared" si="3"/>
        <v/>
      </c>
      <c r="I175" s="40"/>
    </row>
    <row r="176" spans="2:9" ht="24.95" customHeight="1">
      <c r="B176" s="102" t="s">
        <v>1890</v>
      </c>
      <c r="C176" s="53" t="s">
        <v>1891</v>
      </c>
      <c r="D176" s="62" t="s">
        <v>85</v>
      </c>
      <c r="E176" s="22"/>
      <c r="F176" s="22"/>
      <c r="G176" s="37"/>
      <c r="H176" s="17">
        <f t="shared" si="3"/>
        <v>0</v>
      </c>
      <c r="I176" s="40"/>
    </row>
    <row r="177" spans="2:9">
      <c r="B177" s="106"/>
      <c r="D177" s="22"/>
      <c r="E177" s="22"/>
      <c r="F177" s="22"/>
      <c r="G177" s="37"/>
      <c r="H177" s="17" t="str">
        <f t="shared" si="3"/>
        <v/>
      </c>
      <c r="I177" s="40"/>
    </row>
    <row r="178" spans="2:9" ht="26.45" customHeight="1">
      <c r="B178" s="102" t="s">
        <v>1892</v>
      </c>
      <c r="C178" s="53" t="s">
        <v>1893</v>
      </c>
      <c r="D178" s="22" t="s">
        <v>347</v>
      </c>
      <c r="E178" s="22"/>
      <c r="F178" s="22"/>
      <c r="G178" s="37"/>
      <c r="H178" s="17">
        <f t="shared" si="3"/>
        <v>0</v>
      </c>
      <c r="I178" s="40"/>
    </row>
    <row r="179" spans="2:9">
      <c r="B179" s="106"/>
      <c r="D179" s="22"/>
      <c r="E179" s="22"/>
      <c r="F179" s="22"/>
      <c r="G179" s="37"/>
      <c r="H179" s="17" t="str">
        <f t="shared" si="3"/>
        <v/>
      </c>
      <c r="I179" s="40"/>
    </row>
    <row r="180" spans="2:9" ht="24.6" customHeight="1">
      <c r="B180" s="102" t="s">
        <v>1894</v>
      </c>
      <c r="C180" s="53" t="s">
        <v>1895</v>
      </c>
      <c r="D180" s="62" t="s">
        <v>85</v>
      </c>
      <c r="E180" s="22"/>
      <c r="F180" s="22"/>
      <c r="G180" s="37"/>
      <c r="H180" s="17">
        <f t="shared" si="3"/>
        <v>0</v>
      </c>
      <c r="I180" s="40"/>
    </row>
    <row r="181" spans="2:9">
      <c r="B181" s="102"/>
      <c r="C181" s="53"/>
      <c r="D181" s="62"/>
      <c r="E181" s="22"/>
      <c r="F181" s="22"/>
      <c r="G181" s="37"/>
      <c r="H181" s="17"/>
      <c r="I181" s="40"/>
    </row>
    <row r="182" spans="2:9">
      <c r="B182" s="102"/>
      <c r="C182" s="53"/>
      <c r="D182" s="62"/>
      <c r="E182" s="22"/>
      <c r="F182" s="22"/>
      <c r="G182" s="37"/>
      <c r="H182" s="17"/>
      <c r="I182" s="40"/>
    </row>
    <row r="183" spans="2:9">
      <c r="B183" s="102"/>
      <c r="C183" s="53"/>
      <c r="D183" s="62"/>
      <c r="E183" s="22"/>
      <c r="F183" s="22"/>
      <c r="G183" s="37"/>
      <c r="H183" s="17"/>
      <c r="I183" s="40"/>
    </row>
    <row r="184" spans="2:9">
      <c r="B184" s="102"/>
      <c r="C184" s="53"/>
      <c r="D184" s="62"/>
      <c r="E184" s="22"/>
      <c r="F184" s="22"/>
      <c r="G184" s="37"/>
      <c r="H184" s="17"/>
      <c r="I184" s="40"/>
    </row>
    <row r="185" spans="2:9">
      <c r="B185" s="102"/>
      <c r="C185" s="53"/>
      <c r="D185" s="62"/>
      <c r="E185" s="22"/>
      <c r="F185" s="22"/>
      <c r="G185" s="37"/>
      <c r="H185" s="17"/>
      <c r="I185" s="40"/>
    </row>
    <row r="186" spans="2:9">
      <c r="B186" s="102"/>
      <c r="C186" s="53"/>
      <c r="D186" s="62"/>
      <c r="E186" s="22"/>
      <c r="F186" s="22"/>
      <c r="G186" s="37"/>
      <c r="H186" s="17"/>
      <c r="I186" s="40"/>
    </row>
    <row r="187" spans="2:9">
      <c r="B187" s="102"/>
      <c r="C187" s="53"/>
      <c r="D187" s="62"/>
      <c r="E187" s="22"/>
      <c r="F187" s="22"/>
      <c r="G187" s="37"/>
      <c r="H187" s="17"/>
      <c r="I187" s="40"/>
    </row>
    <row r="188" spans="2:9">
      <c r="B188" s="102"/>
      <c r="C188" s="53"/>
      <c r="D188" s="62"/>
      <c r="E188" s="22"/>
      <c r="F188" s="22"/>
      <c r="G188" s="37"/>
      <c r="H188" s="17"/>
      <c r="I188" s="40"/>
    </row>
    <row r="189" spans="2:9">
      <c r="B189" s="102"/>
      <c r="C189" s="53"/>
      <c r="D189" s="62"/>
      <c r="E189" s="22"/>
      <c r="F189" s="22"/>
      <c r="G189" s="37"/>
      <c r="H189" s="17"/>
      <c r="I189" s="40"/>
    </row>
    <row r="190" spans="2:9">
      <c r="B190" s="102"/>
      <c r="C190" s="53"/>
      <c r="D190" s="62"/>
      <c r="E190" s="22"/>
      <c r="F190" s="22"/>
      <c r="G190" s="37"/>
      <c r="H190" s="17"/>
      <c r="I190" s="40"/>
    </row>
    <row r="191" spans="2:9">
      <c r="B191" s="102"/>
      <c r="C191" s="53"/>
      <c r="D191" s="62"/>
      <c r="E191" s="22"/>
      <c r="F191" s="22"/>
      <c r="G191" s="37"/>
      <c r="H191" s="17"/>
      <c r="I191" s="40"/>
    </row>
    <row r="192" spans="2:9">
      <c r="B192" s="102"/>
      <c r="C192" s="53"/>
      <c r="D192" s="62"/>
      <c r="E192" s="22"/>
      <c r="F192" s="22"/>
      <c r="G192" s="37"/>
      <c r="H192" s="17"/>
      <c r="I192" s="40"/>
    </row>
    <row r="193" spans="2:9">
      <c r="B193" s="102"/>
      <c r="C193" s="53"/>
      <c r="D193" s="62"/>
      <c r="E193" s="22"/>
      <c r="F193" s="22"/>
      <c r="G193" s="37"/>
      <c r="H193" s="17"/>
      <c r="I193" s="40"/>
    </row>
    <row r="194" spans="2:9">
      <c r="B194" s="102"/>
      <c r="C194" s="53"/>
      <c r="D194" s="62"/>
      <c r="E194" s="22"/>
      <c r="F194" s="22"/>
      <c r="G194" s="37"/>
      <c r="H194" s="17"/>
      <c r="I194" s="40"/>
    </row>
    <row r="195" spans="2:9">
      <c r="B195" s="102"/>
      <c r="C195" s="53"/>
      <c r="D195" s="62"/>
      <c r="E195" s="22"/>
      <c r="F195" s="22"/>
      <c r="G195" s="37"/>
      <c r="H195" s="17"/>
      <c r="I195" s="40"/>
    </row>
    <row r="196" spans="2:9">
      <c r="B196" s="102"/>
      <c r="C196" s="53"/>
      <c r="D196" s="62"/>
      <c r="E196" s="22"/>
      <c r="F196" s="22"/>
      <c r="G196" s="37"/>
      <c r="H196" s="17"/>
      <c r="I196" s="40"/>
    </row>
    <row r="197" spans="2:9">
      <c r="B197" s="102"/>
      <c r="C197" s="53"/>
      <c r="D197" s="62"/>
      <c r="E197" s="22"/>
      <c r="F197" s="22"/>
      <c r="G197" s="37"/>
      <c r="H197" s="17"/>
      <c r="I197" s="40"/>
    </row>
    <row r="198" spans="2:9">
      <c r="B198" s="102"/>
      <c r="C198" s="53"/>
      <c r="D198" s="62"/>
      <c r="E198" s="22"/>
      <c r="F198" s="22"/>
      <c r="G198" s="37"/>
      <c r="H198" s="17"/>
      <c r="I198" s="40"/>
    </row>
    <row r="199" spans="2:9">
      <c r="B199" s="102"/>
      <c r="C199" s="53"/>
      <c r="D199" s="62"/>
      <c r="E199" s="22"/>
      <c r="F199" s="22"/>
      <c r="G199" s="37"/>
      <c r="H199" s="17"/>
      <c r="I199" s="40"/>
    </row>
    <row r="200" spans="2:9">
      <c r="B200" s="102"/>
      <c r="C200" s="53"/>
      <c r="D200" s="62"/>
      <c r="E200" s="22"/>
      <c r="F200" s="22"/>
      <c r="G200" s="37"/>
      <c r="H200" s="17"/>
      <c r="I200" s="40"/>
    </row>
    <row r="201" spans="2:9">
      <c r="B201" s="102"/>
      <c r="C201" s="53"/>
      <c r="D201" s="62"/>
      <c r="E201" s="22"/>
      <c r="F201" s="22"/>
      <c r="G201" s="37"/>
      <c r="H201" s="17"/>
      <c r="I201" s="40"/>
    </row>
    <row r="202" spans="2:9">
      <c r="B202" s="102"/>
      <c r="C202" s="53"/>
      <c r="D202" s="62"/>
      <c r="E202" s="22"/>
      <c r="F202" s="22"/>
      <c r="G202" s="37"/>
      <c r="H202" s="17"/>
      <c r="I202" s="40"/>
    </row>
    <row r="203" spans="2:9">
      <c r="B203" s="102"/>
      <c r="C203" s="53"/>
      <c r="D203" s="62"/>
      <c r="E203" s="22"/>
      <c r="F203" s="22"/>
      <c r="G203" s="37"/>
      <c r="H203" s="17"/>
      <c r="I203" s="40"/>
    </row>
    <row r="204" spans="2:9">
      <c r="B204" s="102"/>
      <c r="C204" s="53"/>
      <c r="D204" s="62"/>
      <c r="E204" s="22"/>
      <c r="F204" s="22"/>
      <c r="G204" s="37"/>
      <c r="H204" s="17"/>
      <c r="I204" s="40"/>
    </row>
    <row r="205" spans="2:9">
      <c r="B205" s="102"/>
      <c r="C205" s="53"/>
      <c r="D205" s="62"/>
      <c r="E205" s="22"/>
      <c r="F205" s="22"/>
      <c r="G205" s="37"/>
      <c r="H205" s="17"/>
      <c r="I205" s="40"/>
    </row>
    <row r="206" spans="2:9">
      <c r="B206" s="102"/>
      <c r="C206" s="53"/>
      <c r="D206" s="62"/>
      <c r="E206" s="22"/>
      <c r="F206" s="22"/>
      <c r="G206" s="37"/>
      <c r="H206" s="17"/>
      <c r="I206" s="40"/>
    </row>
    <row r="207" spans="2:9">
      <c r="B207" s="102"/>
      <c r="C207" s="53"/>
      <c r="D207" s="62"/>
      <c r="E207" s="22"/>
      <c r="F207" s="22"/>
      <c r="G207" s="37"/>
      <c r="H207" s="17"/>
      <c r="I207" s="40"/>
    </row>
    <row r="208" spans="2:9">
      <c r="B208" s="102"/>
      <c r="C208" s="53"/>
      <c r="D208" s="62"/>
      <c r="E208" s="22"/>
      <c r="F208" s="22"/>
      <c r="G208" s="37"/>
      <c r="H208" s="17"/>
      <c r="I208" s="40"/>
    </row>
    <row r="209" spans="2:9">
      <c r="B209" s="102"/>
      <c r="C209" s="53"/>
      <c r="D209" s="62"/>
      <c r="E209" s="22"/>
      <c r="F209" s="22"/>
      <c r="G209" s="37"/>
      <c r="H209" s="17"/>
      <c r="I209" s="40"/>
    </row>
    <row r="210" spans="2:9">
      <c r="B210" s="102"/>
      <c r="C210" s="53"/>
      <c r="D210" s="62"/>
      <c r="E210" s="22"/>
      <c r="F210" s="22"/>
      <c r="G210" s="37"/>
      <c r="H210" s="17"/>
      <c r="I210" s="40"/>
    </row>
    <row r="211" spans="2:9">
      <c r="B211" s="102"/>
      <c r="C211" s="53"/>
      <c r="D211" s="62"/>
      <c r="E211" s="22"/>
      <c r="F211" s="22"/>
      <c r="G211" s="37"/>
      <c r="H211" s="17"/>
      <c r="I211" s="40"/>
    </row>
    <row r="212" spans="2:9">
      <c r="B212" s="102"/>
      <c r="C212" s="53"/>
      <c r="D212" s="62"/>
      <c r="E212" s="22"/>
      <c r="F212" s="22"/>
      <c r="G212" s="37"/>
      <c r="H212" s="17"/>
      <c r="I212" s="40"/>
    </row>
    <row r="213" spans="2:9">
      <c r="B213" s="102"/>
      <c r="C213" s="53"/>
      <c r="D213" s="62"/>
      <c r="E213" s="22"/>
      <c r="F213" s="22"/>
      <c r="G213" s="37"/>
      <c r="H213" s="17"/>
      <c r="I213" s="40"/>
    </row>
    <row r="214" spans="2:9">
      <c r="B214" s="102"/>
      <c r="C214" s="53"/>
      <c r="D214" s="62"/>
      <c r="E214" s="22"/>
      <c r="F214" s="22"/>
      <c r="G214" s="37"/>
      <c r="H214" s="17"/>
      <c r="I214" s="40"/>
    </row>
    <row r="215" spans="2:9" s="28" customFormat="1" ht="24.75" customHeight="1">
      <c r="B215" s="82" t="str">
        <f>$B$10</f>
        <v>C12.3</v>
      </c>
      <c r="C215" s="29" t="s">
        <v>125</v>
      </c>
      <c r="D215" s="30"/>
      <c r="E215" s="30"/>
      <c r="F215" s="31"/>
      <c r="G215" s="30"/>
      <c r="H215" s="32">
        <f>SUM(H150:H214)</f>
        <v>0</v>
      </c>
      <c r="I215" s="33"/>
    </row>
  </sheetData>
  <mergeCells count="20">
    <mergeCell ref="F1:H1"/>
    <mergeCell ref="B1:C1"/>
    <mergeCell ref="B2:C2"/>
    <mergeCell ref="B5:G7"/>
    <mergeCell ref="H4:H7"/>
    <mergeCell ref="B4:G4"/>
    <mergeCell ref="B77:E77"/>
    <mergeCell ref="F77:H79"/>
    <mergeCell ref="B78:E78"/>
    <mergeCell ref="B79:E79"/>
    <mergeCell ref="B80:G80"/>
    <mergeCell ref="H80:H83"/>
    <mergeCell ref="B81:G83"/>
    <mergeCell ref="B142:E142"/>
    <mergeCell ref="F142:H144"/>
    <mergeCell ref="B143:E143"/>
    <mergeCell ref="B144:E144"/>
    <mergeCell ref="B145:G145"/>
    <mergeCell ref="H145:H148"/>
    <mergeCell ref="B146:G148"/>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1">
    <pageSetUpPr fitToPage="1"/>
  </sheetPr>
  <dimension ref="B1:I79"/>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C12.4</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ht="11.1" customHeight="1">
      <c r="B9" s="102"/>
      <c r="D9" s="22"/>
      <c r="E9" s="22"/>
      <c r="F9" s="22"/>
      <c r="G9" s="39"/>
      <c r="H9" s="17" t="str">
        <f t="shared" ref="H9:H72" si="0">IF(D9="","",F9*G9)</f>
        <v/>
      </c>
      <c r="I9" s="40"/>
    </row>
    <row r="10" spans="2:9">
      <c r="B10" s="104" t="s">
        <v>1896</v>
      </c>
      <c r="C10" s="2" t="s">
        <v>1897</v>
      </c>
      <c r="D10" s="22"/>
      <c r="E10" s="22"/>
      <c r="F10" s="22"/>
      <c r="G10" s="39"/>
      <c r="H10" s="17" t="str">
        <f t="shared" si="0"/>
        <v/>
      </c>
      <c r="I10" s="40"/>
    </row>
    <row r="11" spans="2:9" ht="11.1" customHeight="1">
      <c r="B11" s="102"/>
      <c r="D11" s="22"/>
      <c r="E11" s="22"/>
      <c r="F11" s="22"/>
      <c r="G11" s="39"/>
      <c r="H11" s="17" t="str">
        <f t="shared" si="0"/>
        <v/>
      </c>
      <c r="I11" s="40"/>
    </row>
    <row r="12" spans="2:9">
      <c r="B12" s="102" t="s">
        <v>1898</v>
      </c>
      <c r="C12" s="3" t="s">
        <v>1767</v>
      </c>
      <c r="D12" s="22"/>
      <c r="E12" s="22"/>
      <c r="F12" s="22"/>
      <c r="G12" s="39"/>
      <c r="H12" s="17" t="str">
        <f t="shared" si="0"/>
        <v/>
      </c>
      <c r="I12" s="40"/>
    </row>
    <row r="13" spans="2:9" ht="11.1" customHeight="1">
      <c r="B13" s="102"/>
      <c r="D13" s="22"/>
      <c r="E13" s="22"/>
      <c r="F13" s="22"/>
      <c r="G13" s="39"/>
      <c r="H13" s="17" t="str">
        <f t="shared" si="0"/>
        <v/>
      </c>
      <c r="I13" s="40"/>
    </row>
    <row r="14" spans="2:9">
      <c r="B14" s="103" t="s">
        <v>1899</v>
      </c>
      <c r="C14" s="35" t="s">
        <v>1900</v>
      </c>
      <c r="D14" s="22" t="s">
        <v>1593</v>
      </c>
      <c r="E14" s="22"/>
      <c r="F14" s="22"/>
      <c r="G14" s="39"/>
      <c r="H14" s="17">
        <f t="shared" si="0"/>
        <v>0</v>
      </c>
      <c r="I14" s="40"/>
    </row>
    <row r="15" spans="2:9" ht="11.1" customHeight="1">
      <c r="B15" s="102"/>
      <c r="D15" s="22"/>
      <c r="E15" s="22"/>
      <c r="F15" s="22"/>
      <c r="G15" s="39"/>
      <c r="H15" s="17" t="str">
        <f t="shared" si="0"/>
        <v/>
      </c>
      <c r="I15" s="40"/>
    </row>
    <row r="16" spans="2:9">
      <c r="B16" s="103" t="s">
        <v>1901</v>
      </c>
      <c r="C16" s="35" t="s">
        <v>1902</v>
      </c>
      <c r="D16" s="22" t="s">
        <v>1593</v>
      </c>
      <c r="E16" s="22"/>
      <c r="F16" s="22"/>
      <c r="G16" s="39"/>
      <c r="H16" s="17">
        <f t="shared" si="0"/>
        <v>0</v>
      </c>
      <c r="I16" s="40"/>
    </row>
    <row r="17" spans="2:9" ht="11.1" customHeight="1">
      <c r="B17" s="103"/>
      <c r="C17" s="55"/>
      <c r="D17" s="22"/>
      <c r="E17" s="22"/>
      <c r="F17" s="23"/>
      <c r="G17" s="24"/>
      <c r="H17" s="17" t="str">
        <f t="shared" si="0"/>
        <v/>
      </c>
      <c r="I17" s="41"/>
    </row>
    <row r="18" spans="2:9" ht="25.5">
      <c r="B18" s="103" t="s">
        <v>1903</v>
      </c>
      <c r="C18" s="55" t="s">
        <v>1904</v>
      </c>
      <c r="D18" s="22"/>
      <c r="E18" s="22"/>
      <c r="F18" s="23"/>
      <c r="G18" s="24"/>
      <c r="H18" s="17" t="str">
        <f t="shared" si="0"/>
        <v/>
      </c>
      <c r="I18" s="41"/>
    </row>
    <row r="19" spans="2:9" ht="11.1" customHeight="1">
      <c r="B19" s="102"/>
      <c r="D19" s="22"/>
      <c r="E19" s="22"/>
      <c r="F19" s="23"/>
      <c r="G19" s="24"/>
      <c r="H19" s="17" t="str">
        <f t="shared" si="0"/>
        <v/>
      </c>
      <c r="I19" s="41"/>
    </row>
    <row r="20" spans="2:9">
      <c r="B20" s="103" t="s">
        <v>1905</v>
      </c>
      <c r="C20" s="35" t="s">
        <v>1900</v>
      </c>
      <c r="D20" s="62" t="s">
        <v>85</v>
      </c>
      <c r="E20" s="22"/>
      <c r="F20" s="23"/>
      <c r="G20" s="39"/>
      <c r="H20" s="17">
        <f t="shared" si="0"/>
        <v>0</v>
      </c>
      <c r="I20" s="40"/>
    </row>
    <row r="21" spans="2:9" ht="11.1" customHeight="1">
      <c r="B21" s="102"/>
      <c r="D21" s="22"/>
      <c r="E21" s="22"/>
      <c r="F21" s="23"/>
      <c r="G21" s="42"/>
      <c r="H21" s="17" t="str">
        <f t="shared" si="0"/>
        <v/>
      </c>
      <c r="I21" s="40"/>
    </row>
    <row r="22" spans="2:9">
      <c r="B22" s="103" t="s">
        <v>1906</v>
      </c>
      <c r="C22" s="35" t="s">
        <v>1902</v>
      </c>
      <c r="D22" s="62" t="s">
        <v>85</v>
      </c>
      <c r="E22" s="22"/>
      <c r="F22" s="23"/>
      <c r="G22" s="39"/>
      <c r="H22" s="17">
        <f t="shared" si="0"/>
        <v>0</v>
      </c>
      <c r="I22" s="43"/>
    </row>
    <row r="23" spans="2:9" ht="11.1" customHeight="1">
      <c r="B23" s="103"/>
      <c r="D23" s="22"/>
      <c r="E23" s="36"/>
      <c r="F23" s="23"/>
      <c r="G23" s="44"/>
      <c r="H23" s="17" t="str">
        <f t="shared" si="0"/>
        <v/>
      </c>
    </row>
    <row r="24" spans="2:9" ht="25.5">
      <c r="B24" s="102" t="s">
        <v>1907</v>
      </c>
      <c r="C24" s="55" t="s">
        <v>1908</v>
      </c>
      <c r="D24" s="22" t="s">
        <v>347</v>
      </c>
      <c r="E24" s="36"/>
      <c r="F24" s="23"/>
      <c r="G24" s="44"/>
      <c r="H24" s="17">
        <f t="shared" si="0"/>
        <v>0</v>
      </c>
    </row>
    <row r="25" spans="2:9" ht="11.1" customHeight="1">
      <c r="B25" s="102"/>
      <c r="C25" s="35"/>
      <c r="D25" s="22"/>
      <c r="E25" s="36"/>
      <c r="F25" s="23"/>
      <c r="G25" s="37"/>
      <c r="H25" s="17" t="str">
        <f t="shared" si="0"/>
        <v/>
      </c>
    </row>
    <row r="26" spans="2:9" ht="25.5">
      <c r="B26" s="102" t="s">
        <v>1909</v>
      </c>
      <c r="C26" s="55" t="s">
        <v>1910</v>
      </c>
      <c r="D26" s="36" t="s">
        <v>124</v>
      </c>
      <c r="E26" s="36"/>
      <c r="F26" s="23"/>
      <c r="G26" s="44"/>
      <c r="H26" s="17">
        <f t="shared" si="0"/>
        <v>0</v>
      </c>
    </row>
    <row r="27" spans="2:9" ht="11.1" customHeight="1">
      <c r="B27" s="102"/>
      <c r="C27" s="55"/>
      <c r="D27" s="22"/>
      <c r="E27" s="36"/>
      <c r="F27" s="23"/>
      <c r="G27" s="42"/>
      <c r="H27" s="17" t="str">
        <f t="shared" si="0"/>
        <v/>
      </c>
    </row>
    <row r="28" spans="2:9" ht="14.25">
      <c r="B28" s="102" t="s">
        <v>1911</v>
      </c>
      <c r="C28" s="35" t="s">
        <v>1912</v>
      </c>
      <c r="D28" s="36" t="s">
        <v>124</v>
      </c>
      <c r="E28" s="36"/>
      <c r="F28" s="23"/>
      <c r="G28" s="44"/>
      <c r="H28" s="17">
        <f t="shared" si="0"/>
        <v>0</v>
      </c>
    </row>
    <row r="29" spans="2:9" ht="11.1" customHeight="1">
      <c r="B29" s="102"/>
      <c r="C29" s="35"/>
      <c r="D29" s="22"/>
      <c r="E29" s="22"/>
      <c r="F29" s="23"/>
      <c r="G29" s="39"/>
      <c r="H29" s="17" t="str">
        <f t="shared" si="0"/>
        <v/>
      </c>
      <c r="I29" s="40"/>
    </row>
    <row r="30" spans="2:9" ht="15" customHeight="1">
      <c r="B30" s="103" t="s">
        <v>1913</v>
      </c>
      <c r="C30" s="55" t="s">
        <v>1914</v>
      </c>
      <c r="D30" s="22"/>
      <c r="E30" s="22"/>
      <c r="F30" s="23"/>
      <c r="G30" s="39"/>
      <c r="H30" s="17" t="str">
        <f t="shared" si="0"/>
        <v/>
      </c>
      <c r="I30" s="40"/>
    </row>
    <row r="31" spans="2:9" ht="11.1" customHeight="1">
      <c r="B31" s="102"/>
      <c r="D31" s="22"/>
      <c r="E31" s="22"/>
      <c r="F31" s="23"/>
      <c r="G31" s="37"/>
      <c r="H31" s="17" t="str">
        <f t="shared" si="0"/>
        <v/>
      </c>
      <c r="I31" s="41"/>
    </row>
    <row r="32" spans="2:9">
      <c r="B32" s="103" t="s">
        <v>1915</v>
      </c>
      <c r="C32" s="35" t="s">
        <v>1916</v>
      </c>
      <c r="D32" s="62" t="s">
        <v>85</v>
      </c>
      <c r="E32" s="15"/>
      <c r="F32" s="26"/>
      <c r="G32" s="27"/>
      <c r="H32" s="17">
        <f t="shared" si="0"/>
        <v>0</v>
      </c>
      <c r="I32" s="18"/>
    </row>
    <row r="33" spans="2:9" s="35" customFormat="1" ht="11.1" customHeight="1">
      <c r="B33" s="103"/>
      <c r="D33" s="62"/>
      <c r="E33" s="15"/>
      <c r="F33" s="26"/>
      <c r="G33" s="27"/>
      <c r="H33" s="17" t="str">
        <f t="shared" si="0"/>
        <v/>
      </c>
      <c r="I33" s="18"/>
    </row>
    <row r="34" spans="2:9">
      <c r="B34" s="103" t="s">
        <v>1917</v>
      </c>
      <c r="C34" s="35" t="s">
        <v>1918</v>
      </c>
      <c r="D34" s="62" t="s">
        <v>85</v>
      </c>
      <c r="E34" s="22"/>
      <c r="F34" s="23"/>
      <c r="G34" s="37"/>
      <c r="H34" s="17">
        <f t="shared" si="0"/>
        <v>0</v>
      </c>
      <c r="I34" s="41"/>
    </row>
    <row r="35" spans="2:9" ht="11.1" customHeight="1">
      <c r="B35" s="102"/>
      <c r="D35" s="36"/>
      <c r="E35" s="22"/>
      <c r="F35" s="23"/>
      <c r="G35" s="37"/>
      <c r="H35" s="17" t="str">
        <f t="shared" si="0"/>
        <v/>
      </c>
      <c r="I35" s="41"/>
    </row>
    <row r="36" spans="2:9">
      <c r="B36" s="103" t="s">
        <v>1919</v>
      </c>
      <c r="C36" s="35" t="s">
        <v>1920</v>
      </c>
      <c r="D36" s="62" t="s">
        <v>85</v>
      </c>
      <c r="E36" s="22"/>
      <c r="F36" s="23"/>
      <c r="G36" s="45"/>
      <c r="H36" s="17">
        <f t="shared" si="0"/>
        <v>0</v>
      </c>
      <c r="I36" s="40"/>
    </row>
    <row r="37" spans="2:9" ht="11.1" customHeight="1">
      <c r="B37" s="103"/>
      <c r="C37" s="35"/>
      <c r="D37" s="22"/>
      <c r="E37" s="22"/>
      <c r="F37" s="23"/>
      <c r="G37" s="45"/>
      <c r="H37" s="17" t="str">
        <f t="shared" si="0"/>
        <v/>
      </c>
      <c r="I37" s="40"/>
    </row>
    <row r="38" spans="2:9">
      <c r="B38" s="103" t="s">
        <v>1921</v>
      </c>
      <c r="C38" s="35" t="s">
        <v>1922</v>
      </c>
      <c r="D38" s="22"/>
      <c r="E38" s="22"/>
      <c r="F38" s="23"/>
      <c r="G38" s="42"/>
      <c r="H38" s="17" t="str">
        <f t="shared" si="0"/>
        <v/>
      </c>
      <c r="I38" s="40"/>
    </row>
    <row r="39" spans="2:9" ht="11.1" customHeight="1">
      <c r="B39" s="102"/>
      <c r="D39" s="36"/>
      <c r="E39" s="22"/>
      <c r="F39" s="23"/>
      <c r="G39" s="42"/>
      <c r="H39" s="17" t="str">
        <f t="shared" si="0"/>
        <v/>
      </c>
      <c r="I39" s="40"/>
    </row>
    <row r="40" spans="2:9">
      <c r="B40" s="103" t="s">
        <v>1923</v>
      </c>
      <c r="C40" s="35" t="s">
        <v>1924</v>
      </c>
      <c r="D40" s="62" t="s">
        <v>764</v>
      </c>
      <c r="E40" s="22"/>
      <c r="F40" s="22"/>
      <c r="G40" s="39"/>
      <c r="H40" s="17">
        <f t="shared" si="0"/>
        <v>0</v>
      </c>
      <c r="I40" s="40"/>
    </row>
    <row r="41" spans="2:9" ht="11.1" customHeight="1">
      <c r="B41" s="102"/>
      <c r="D41" s="36"/>
      <c r="E41" s="22"/>
      <c r="F41" s="22"/>
      <c r="G41" s="39"/>
      <c r="H41" s="17" t="str">
        <f t="shared" si="0"/>
        <v/>
      </c>
      <c r="I41" s="40"/>
    </row>
    <row r="42" spans="2:9">
      <c r="B42" s="103" t="s">
        <v>1925</v>
      </c>
      <c r="C42" s="35" t="s">
        <v>1805</v>
      </c>
      <c r="D42" s="62" t="s">
        <v>764</v>
      </c>
      <c r="E42" s="22"/>
      <c r="F42" s="22"/>
      <c r="G42" s="37"/>
      <c r="H42" s="17">
        <f t="shared" si="0"/>
        <v>0</v>
      </c>
      <c r="I42" s="40"/>
    </row>
    <row r="43" spans="2:9" ht="11.1" customHeight="1">
      <c r="B43" s="102"/>
      <c r="D43" s="36"/>
      <c r="E43" s="22"/>
      <c r="F43" s="22"/>
      <c r="G43" s="37"/>
      <c r="H43" s="17" t="str">
        <f t="shared" si="0"/>
        <v/>
      </c>
      <c r="I43" s="40"/>
    </row>
    <row r="44" spans="2:9">
      <c r="B44" s="103" t="s">
        <v>1926</v>
      </c>
      <c r="C44" s="35" t="s">
        <v>1807</v>
      </c>
      <c r="D44" s="62" t="s">
        <v>764</v>
      </c>
      <c r="E44" s="22"/>
      <c r="F44" s="22"/>
      <c r="G44" s="37"/>
      <c r="H44" s="17">
        <f t="shared" si="0"/>
        <v>0</v>
      </c>
      <c r="I44" s="40"/>
    </row>
    <row r="45" spans="2:9" ht="11.1" customHeight="1">
      <c r="B45" s="103"/>
      <c r="C45" s="35"/>
      <c r="D45" s="22"/>
      <c r="E45" s="22"/>
      <c r="F45" s="22"/>
      <c r="G45" s="37"/>
      <c r="H45" s="17" t="str">
        <f t="shared" si="0"/>
        <v/>
      </c>
      <c r="I45" s="40"/>
    </row>
    <row r="46" spans="2:9" ht="25.5">
      <c r="B46" s="102" t="s">
        <v>1927</v>
      </c>
      <c r="C46" s="55" t="s">
        <v>1928</v>
      </c>
      <c r="D46" s="15" t="s">
        <v>386</v>
      </c>
      <c r="E46" s="22"/>
      <c r="F46" s="22"/>
      <c r="G46" s="37"/>
      <c r="H46" s="17">
        <f t="shared" si="0"/>
        <v>0</v>
      </c>
      <c r="I46" s="40"/>
    </row>
    <row r="47" spans="2:9" ht="11.1" customHeight="1">
      <c r="B47" s="102"/>
      <c r="C47" s="35"/>
      <c r="D47" s="22"/>
      <c r="E47" s="22"/>
      <c r="F47" s="22"/>
      <c r="G47" s="37"/>
      <c r="H47" s="17" t="str">
        <f t="shared" si="0"/>
        <v/>
      </c>
      <c r="I47" s="40"/>
    </row>
    <row r="48" spans="2:9" ht="14.25">
      <c r="B48" s="102" t="s">
        <v>1929</v>
      </c>
      <c r="C48" s="35" t="s">
        <v>1930</v>
      </c>
      <c r="D48" s="15" t="s">
        <v>386</v>
      </c>
      <c r="E48" s="22"/>
      <c r="F48" s="22"/>
      <c r="G48" s="37"/>
      <c r="H48" s="17">
        <f t="shared" si="0"/>
        <v>0</v>
      </c>
      <c r="I48" s="40"/>
    </row>
    <row r="49" spans="2:9" ht="11.1" customHeight="1">
      <c r="B49" s="102"/>
      <c r="C49" s="35"/>
      <c r="D49" s="22"/>
      <c r="E49" s="22"/>
      <c r="F49" s="22"/>
      <c r="G49" s="37"/>
      <c r="H49" s="17" t="str">
        <f t="shared" si="0"/>
        <v/>
      </c>
      <c r="I49" s="40"/>
    </row>
    <row r="50" spans="2:9">
      <c r="B50" s="103" t="s">
        <v>1931</v>
      </c>
      <c r="C50" s="35" t="s">
        <v>1932</v>
      </c>
      <c r="D50" s="22"/>
      <c r="E50" s="22"/>
      <c r="F50" s="22"/>
      <c r="G50" s="46"/>
      <c r="H50" s="17" t="str">
        <f t="shared" si="0"/>
        <v/>
      </c>
      <c r="I50" s="40"/>
    </row>
    <row r="51" spans="2:9" ht="11.1" customHeight="1">
      <c r="B51" s="103"/>
      <c r="C51" s="35"/>
      <c r="D51" s="22"/>
      <c r="E51" s="22"/>
      <c r="F51" s="22"/>
      <c r="G51" s="46"/>
      <c r="H51" s="17" t="str">
        <f t="shared" si="0"/>
        <v/>
      </c>
      <c r="I51" s="40"/>
    </row>
    <row r="52" spans="2:9">
      <c r="B52" s="103" t="s">
        <v>1933</v>
      </c>
      <c r="C52" s="35" t="s">
        <v>1934</v>
      </c>
      <c r="D52" s="62" t="s">
        <v>764</v>
      </c>
      <c r="E52" s="22"/>
      <c r="F52" s="22"/>
      <c r="G52" s="46"/>
      <c r="H52" s="17">
        <f t="shared" si="0"/>
        <v>0</v>
      </c>
      <c r="I52" s="40"/>
    </row>
    <row r="53" spans="2:9" ht="11.1" customHeight="1">
      <c r="B53" s="103"/>
      <c r="C53" s="35"/>
      <c r="D53" s="62"/>
      <c r="E53" s="22"/>
      <c r="F53" s="22"/>
      <c r="G53" s="46"/>
      <c r="H53" s="17" t="str">
        <f t="shared" si="0"/>
        <v/>
      </c>
      <c r="I53" s="40"/>
    </row>
    <row r="54" spans="2:9">
      <c r="B54" s="103" t="s">
        <v>1935</v>
      </c>
      <c r="C54" s="35" t="s">
        <v>1813</v>
      </c>
      <c r="D54" s="62" t="s">
        <v>764</v>
      </c>
      <c r="E54" s="22"/>
      <c r="F54" s="22"/>
      <c r="G54" s="37"/>
      <c r="H54" s="17">
        <f t="shared" si="0"/>
        <v>0</v>
      </c>
      <c r="I54" s="40"/>
    </row>
    <row r="55" spans="2:9" ht="11.1" customHeight="1">
      <c r="B55" s="103"/>
      <c r="C55" s="35"/>
      <c r="D55" s="62"/>
      <c r="E55" s="22"/>
      <c r="F55" s="22"/>
      <c r="G55" s="37"/>
      <c r="H55" s="17" t="str">
        <f t="shared" si="0"/>
        <v/>
      </c>
      <c r="I55" s="40"/>
    </row>
    <row r="56" spans="2:9">
      <c r="B56" s="103" t="s">
        <v>1936</v>
      </c>
      <c r="C56" s="35" t="s">
        <v>1937</v>
      </c>
      <c r="D56" s="62" t="s">
        <v>764</v>
      </c>
      <c r="E56" s="22"/>
      <c r="F56" s="22"/>
      <c r="G56" s="37"/>
      <c r="H56" s="17">
        <f t="shared" si="0"/>
        <v>0</v>
      </c>
      <c r="I56" s="40"/>
    </row>
    <row r="57" spans="2:9" ht="11.1" customHeight="1">
      <c r="B57" s="103"/>
      <c r="C57" s="35"/>
      <c r="D57" s="62"/>
      <c r="E57" s="22"/>
      <c r="F57" s="22"/>
      <c r="G57" s="37"/>
      <c r="H57" s="17" t="str">
        <f t="shared" si="0"/>
        <v/>
      </c>
      <c r="I57" s="40"/>
    </row>
    <row r="58" spans="2:9">
      <c r="B58" s="103" t="s">
        <v>1938</v>
      </c>
      <c r="C58" s="35" t="s">
        <v>1815</v>
      </c>
      <c r="D58" s="62" t="s">
        <v>764</v>
      </c>
      <c r="E58" s="22"/>
      <c r="F58" s="22"/>
      <c r="G58" s="37"/>
      <c r="H58" s="17">
        <f t="shared" si="0"/>
        <v>0</v>
      </c>
      <c r="I58" s="40"/>
    </row>
    <row r="59" spans="2:9" ht="11.1" customHeight="1">
      <c r="B59" s="103"/>
      <c r="C59" s="35"/>
      <c r="D59" s="62"/>
      <c r="E59" s="22"/>
      <c r="F59" s="22"/>
      <c r="G59" s="37"/>
      <c r="H59" s="17" t="str">
        <f t="shared" si="0"/>
        <v/>
      </c>
      <c r="I59" s="40"/>
    </row>
    <row r="60" spans="2:9" ht="14.25">
      <c r="B60" s="48" t="s">
        <v>1939</v>
      </c>
      <c r="C60" s="53" t="s">
        <v>1940</v>
      </c>
      <c r="D60" s="15" t="s">
        <v>386</v>
      </c>
      <c r="E60" s="22"/>
      <c r="F60" s="22"/>
      <c r="G60" s="37"/>
      <c r="H60" s="17">
        <f t="shared" si="0"/>
        <v>0</v>
      </c>
      <c r="I60" s="40"/>
    </row>
    <row r="61" spans="2:9" ht="11.1" customHeight="1">
      <c r="B61" s="106"/>
      <c r="C61" s="35"/>
      <c r="D61" s="22"/>
      <c r="E61" s="22"/>
      <c r="F61" s="22"/>
      <c r="G61" s="37"/>
      <c r="H61" s="17" t="str">
        <f t="shared" si="0"/>
        <v/>
      </c>
      <c r="I61" s="40"/>
    </row>
    <row r="62" spans="2:9">
      <c r="B62" s="48" t="s">
        <v>1941</v>
      </c>
      <c r="C62" s="53" t="s">
        <v>1942</v>
      </c>
      <c r="D62" s="22" t="s">
        <v>903</v>
      </c>
      <c r="E62" s="36"/>
      <c r="F62" s="36"/>
      <c r="G62" s="37"/>
      <c r="H62" s="17">
        <f t="shared" si="0"/>
        <v>0</v>
      </c>
    </row>
    <row r="63" spans="2:9" ht="11.1" customHeight="1">
      <c r="B63" s="106"/>
      <c r="C63" s="35"/>
      <c r="D63" s="22"/>
      <c r="E63" s="22"/>
      <c r="F63" s="22"/>
      <c r="G63" s="37"/>
      <c r="H63" s="17" t="str">
        <f t="shared" si="0"/>
        <v/>
      </c>
      <c r="I63" s="40"/>
    </row>
    <row r="64" spans="2:9">
      <c r="B64" s="48" t="s">
        <v>1943</v>
      </c>
      <c r="C64" s="35" t="s">
        <v>1944</v>
      </c>
      <c r="D64" s="22" t="s">
        <v>85</v>
      </c>
      <c r="E64" s="36"/>
      <c r="F64" s="36"/>
      <c r="G64" s="37"/>
      <c r="H64" s="17">
        <f t="shared" si="0"/>
        <v>0</v>
      </c>
      <c r="I64" s="47"/>
    </row>
    <row r="65" spans="2:9" ht="11.1" customHeight="1">
      <c r="B65" s="102"/>
      <c r="C65" s="55"/>
      <c r="D65" s="22"/>
      <c r="E65" s="36"/>
      <c r="F65" s="36"/>
      <c r="G65" s="37"/>
      <c r="H65" s="17" t="str">
        <f t="shared" si="0"/>
        <v/>
      </c>
    </row>
    <row r="66" spans="2:9">
      <c r="B66" s="103" t="s">
        <v>1945</v>
      </c>
      <c r="C66" s="35" t="s">
        <v>1946</v>
      </c>
      <c r="D66" s="22"/>
      <c r="E66" s="22"/>
      <c r="F66" s="22"/>
      <c r="G66" s="37"/>
      <c r="H66" s="17" t="str">
        <f t="shared" si="0"/>
        <v/>
      </c>
      <c r="I66" s="40"/>
    </row>
    <row r="67" spans="2:9" ht="11.1" customHeight="1">
      <c r="B67" s="102"/>
      <c r="D67" s="36"/>
      <c r="E67" s="22"/>
      <c r="F67" s="22"/>
      <c r="G67" s="37"/>
      <c r="H67" s="17" t="str">
        <f t="shared" si="0"/>
        <v/>
      </c>
      <c r="I67" s="40"/>
    </row>
    <row r="68" spans="2:9">
      <c r="B68" s="103" t="s">
        <v>1947</v>
      </c>
      <c r="C68" s="35" t="s">
        <v>1948</v>
      </c>
      <c r="D68" s="62" t="s">
        <v>85</v>
      </c>
      <c r="E68" s="22"/>
      <c r="F68" s="22"/>
      <c r="G68" s="37"/>
      <c r="H68" s="17">
        <f t="shared" si="0"/>
        <v>0</v>
      </c>
      <c r="I68" s="40"/>
    </row>
    <row r="69" spans="2:9" ht="11.1" customHeight="1">
      <c r="B69" s="102"/>
      <c r="D69" s="36"/>
      <c r="E69" s="22"/>
      <c r="F69" s="22"/>
      <c r="G69" s="37"/>
      <c r="H69" s="17" t="str">
        <f t="shared" si="0"/>
        <v/>
      </c>
      <c r="I69" s="40"/>
    </row>
    <row r="70" spans="2:9">
      <c r="B70" s="103" t="s">
        <v>1949</v>
      </c>
      <c r="C70" s="35" t="s">
        <v>1839</v>
      </c>
      <c r="D70" s="62" t="s">
        <v>347</v>
      </c>
      <c r="E70" s="22"/>
      <c r="F70" s="22"/>
      <c r="G70" s="37"/>
      <c r="H70" s="17">
        <f t="shared" si="0"/>
        <v>0</v>
      </c>
      <c r="I70" s="40"/>
    </row>
    <row r="71" spans="2:9" ht="11.1" customHeight="1">
      <c r="B71" s="102"/>
      <c r="D71" s="36"/>
      <c r="E71" s="22"/>
      <c r="F71" s="22"/>
      <c r="G71" s="37"/>
      <c r="H71" s="17" t="str">
        <f t="shared" si="0"/>
        <v/>
      </c>
      <c r="I71" s="40"/>
    </row>
    <row r="72" spans="2:9">
      <c r="B72" s="103" t="s">
        <v>1950</v>
      </c>
      <c r="C72" s="35" t="s">
        <v>1841</v>
      </c>
      <c r="D72" s="62" t="s">
        <v>85</v>
      </c>
      <c r="E72" s="22"/>
      <c r="F72" s="22"/>
      <c r="G72" s="37"/>
      <c r="H72" s="17">
        <f t="shared" si="0"/>
        <v>0</v>
      </c>
      <c r="I72" s="40"/>
    </row>
    <row r="73" spans="2:9" ht="11.1" customHeight="1">
      <c r="B73" s="102"/>
      <c r="D73" s="36"/>
      <c r="E73" s="22"/>
      <c r="F73" s="22"/>
      <c r="G73" s="37"/>
      <c r="H73" s="17" t="str">
        <f t="shared" ref="H73:H78" si="1">IF(D73="","",F73*G73)</f>
        <v/>
      </c>
      <c r="I73" s="40"/>
    </row>
    <row r="74" spans="2:9" ht="11.1" customHeight="1">
      <c r="B74" s="103" t="s">
        <v>1951</v>
      </c>
      <c r="C74" s="35" t="s">
        <v>1952</v>
      </c>
      <c r="D74" s="62" t="s">
        <v>347</v>
      </c>
      <c r="E74" s="22"/>
      <c r="F74" s="22"/>
      <c r="G74" s="37"/>
      <c r="H74" s="17">
        <f t="shared" si="1"/>
        <v>0</v>
      </c>
      <c r="I74" s="40"/>
    </row>
    <row r="75" spans="2:9" ht="11.1" customHeight="1">
      <c r="B75" s="103"/>
      <c r="C75" s="35"/>
      <c r="D75" s="62"/>
      <c r="E75" s="22"/>
      <c r="F75" s="22"/>
      <c r="G75" s="37"/>
      <c r="H75" s="17" t="str">
        <f t="shared" si="1"/>
        <v/>
      </c>
      <c r="I75" s="40"/>
    </row>
    <row r="76" spans="2:9" ht="11.1" customHeight="1">
      <c r="B76" s="103"/>
      <c r="C76" s="35"/>
      <c r="D76" s="62"/>
      <c r="E76" s="22"/>
      <c r="F76" s="22"/>
      <c r="G76" s="37"/>
      <c r="H76" s="17" t="str">
        <f t="shared" si="1"/>
        <v/>
      </c>
      <c r="I76" s="40"/>
    </row>
    <row r="77" spans="2:9" ht="11.1" customHeight="1">
      <c r="B77" s="103"/>
      <c r="C77" s="35"/>
      <c r="D77" s="62"/>
      <c r="E77" s="22"/>
      <c r="F77" s="22"/>
      <c r="G77" s="37"/>
      <c r="H77" s="17" t="str">
        <f t="shared" si="1"/>
        <v/>
      </c>
      <c r="I77" s="40"/>
    </row>
    <row r="78" spans="2:9">
      <c r="B78" s="103"/>
      <c r="C78" s="35"/>
      <c r="D78" s="62"/>
      <c r="E78" s="22"/>
      <c r="F78" s="22"/>
      <c r="G78" s="37"/>
      <c r="H78" s="17" t="str">
        <f t="shared" si="1"/>
        <v/>
      </c>
      <c r="I78" s="40"/>
    </row>
    <row r="79" spans="2:9" s="28" customFormat="1" ht="24.75" customHeight="1">
      <c r="B79" s="82" t="str">
        <f>$B$10</f>
        <v>C12.4</v>
      </c>
      <c r="C79" s="29" t="s">
        <v>125</v>
      </c>
      <c r="D79" s="30"/>
      <c r="E79" s="30"/>
      <c r="F79" s="31"/>
      <c r="G79" s="30"/>
      <c r="H79" s="32">
        <f>SUM(H9:H78)</f>
        <v>0</v>
      </c>
      <c r="I79"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fitToHeight="0"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2"/>
  <dimension ref="B1:I74"/>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 xml:space="preserve">CHAPTER C12.5 </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21"/>
      <c r="C9" s="35"/>
      <c r="D9" s="78"/>
      <c r="E9" s="15"/>
      <c r="F9" s="15"/>
      <c r="G9" s="16"/>
      <c r="H9" s="17" t="str">
        <f t="shared" ref="H9:H72" si="0">IF(D9="","",F9*G9)</f>
        <v/>
      </c>
      <c r="I9" s="18"/>
    </row>
    <row r="10" spans="2:9">
      <c r="B10" s="107" t="s">
        <v>1953</v>
      </c>
      <c r="C10" s="76" t="s">
        <v>1954</v>
      </c>
      <c r="D10" s="15"/>
      <c r="E10" s="15"/>
      <c r="F10" s="15"/>
      <c r="G10" s="16"/>
      <c r="H10" s="17" t="str">
        <f t="shared" si="0"/>
        <v/>
      </c>
      <c r="I10" s="18"/>
    </row>
    <row r="11" spans="2:9">
      <c r="B11" s="102"/>
      <c r="D11" s="22"/>
      <c r="E11" s="22"/>
      <c r="F11" s="22"/>
      <c r="G11" s="39"/>
      <c r="H11" s="17" t="str">
        <f t="shared" si="0"/>
        <v/>
      </c>
      <c r="I11" s="40"/>
    </row>
    <row r="12" spans="2:9">
      <c r="B12" s="103" t="s">
        <v>1955</v>
      </c>
      <c r="C12" s="34" t="s">
        <v>1956</v>
      </c>
      <c r="D12" s="22" t="s">
        <v>1593</v>
      </c>
      <c r="E12" s="22"/>
      <c r="F12" s="22"/>
      <c r="G12" s="39"/>
      <c r="H12" s="17">
        <f t="shared" si="0"/>
        <v>0</v>
      </c>
      <c r="I12" s="40"/>
    </row>
    <row r="13" spans="2:9">
      <c r="B13" s="102"/>
      <c r="D13" s="22"/>
      <c r="E13" s="22"/>
      <c r="F13" s="22"/>
      <c r="G13" s="39"/>
      <c r="H13" s="17" t="str">
        <f t="shared" si="0"/>
        <v/>
      </c>
      <c r="I13" s="40"/>
    </row>
    <row r="14" spans="2:9" ht="14.25">
      <c r="B14" s="103" t="s">
        <v>1957</v>
      </c>
      <c r="C14" s="35" t="s">
        <v>1958</v>
      </c>
      <c r="D14" s="36" t="s">
        <v>124</v>
      </c>
      <c r="E14" s="22"/>
      <c r="F14" s="22"/>
      <c r="G14" s="39"/>
      <c r="H14" s="17">
        <f t="shared" si="0"/>
        <v>0</v>
      </c>
      <c r="I14" s="40"/>
    </row>
    <row r="15" spans="2:9">
      <c r="B15" s="102"/>
      <c r="C15" s="55"/>
      <c r="D15" s="22"/>
      <c r="E15" s="22"/>
      <c r="F15" s="23"/>
      <c r="G15" s="24"/>
      <c r="H15" s="17" t="str">
        <f t="shared" si="0"/>
        <v/>
      </c>
      <c r="I15" s="41"/>
    </row>
    <row r="16" spans="2:9" ht="26.1" customHeight="1">
      <c r="B16" s="103" t="s">
        <v>1959</v>
      </c>
      <c r="C16" s="35" t="s">
        <v>1960</v>
      </c>
      <c r="D16" s="22"/>
      <c r="E16" s="22"/>
      <c r="F16" s="23"/>
      <c r="G16" s="24"/>
      <c r="H16" s="17" t="str">
        <f t="shared" si="0"/>
        <v/>
      </c>
      <c r="I16" s="41"/>
    </row>
    <row r="17" spans="2:9">
      <c r="B17" s="102"/>
      <c r="D17" s="36"/>
      <c r="E17" s="22"/>
      <c r="F17" s="23"/>
      <c r="G17" s="24"/>
      <c r="H17" s="17" t="str">
        <f t="shared" si="0"/>
        <v/>
      </c>
      <c r="I17" s="41"/>
    </row>
    <row r="18" spans="2:9" ht="14.25">
      <c r="B18" s="103" t="s">
        <v>1961</v>
      </c>
      <c r="C18" s="35" t="s">
        <v>1962</v>
      </c>
      <c r="D18" s="36" t="s">
        <v>124</v>
      </c>
      <c r="E18" s="22"/>
      <c r="F18" s="23"/>
      <c r="G18" s="39"/>
      <c r="H18" s="17">
        <f t="shared" si="0"/>
        <v>0</v>
      </c>
      <c r="I18" s="40"/>
    </row>
    <row r="19" spans="2:9">
      <c r="B19" s="102"/>
      <c r="D19" s="36"/>
      <c r="E19" s="22"/>
      <c r="F19" s="23"/>
      <c r="G19" s="42"/>
      <c r="H19" s="17" t="str">
        <f t="shared" si="0"/>
        <v/>
      </c>
      <c r="I19" s="40"/>
    </row>
    <row r="20" spans="2:9">
      <c r="B20" s="103" t="s">
        <v>1963</v>
      </c>
      <c r="C20" s="35" t="s">
        <v>1964</v>
      </c>
      <c r="D20" s="62" t="s">
        <v>764</v>
      </c>
      <c r="E20" s="22"/>
      <c r="F20" s="23"/>
      <c r="G20" s="39"/>
      <c r="H20" s="17">
        <f t="shared" si="0"/>
        <v>0</v>
      </c>
      <c r="I20" s="43"/>
    </row>
    <row r="21" spans="2:9">
      <c r="B21" s="102"/>
      <c r="D21" s="36"/>
      <c r="E21" s="36"/>
      <c r="F21" s="23"/>
      <c r="G21" s="44"/>
      <c r="H21" s="17" t="str">
        <f t="shared" si="0"/>
        <v/>
      </c>
    </row>
    <row r="22" spans="2:9" ht="26.1" customHeight="1">
      <c r="B22" s="103" t="s">
        <v>1965</v>
      </c>
      <c r="C22" s="35" t="s">
        <v>1966</v>
      </c>
      <c r="D22" s="36" t="s">
        <v>124</v>
      </c>
      <c r="E22" s="36"/>
      <c r="F22" s="23"/>
      <c r="G22" s="44"/>
      <c r="H22" s="17">
        <f t="shared" si="0"/>
        <v>0</v>
      </c>
    </row>
    <row r="23" spans="2:9">
      <c r="B23" s="102"/>
      <c r="C23" s="35"/>
      <c r="D23" s="22"/>
      <c r="E23" s="36"/>
      <c r="F23" s="23"/>
      <c r="G23" s="37"/>
      <c r="H23" s="17" t="str">
        <f t="shared" si="0"/>
        <v/>
      </c>
    </row>
    <row r="24" spans="2:9">
      <c r="B24" s="103" t="s">
        <v>1967</v>
      </c>
      <c r="C24" s="35" t="s">
        <v>1968</v>
      </c>
      <c r="D24" s="36"/>
      <c r="E24" s="36"/>
      <c r="F24" s="23"/>
      <c r="G24" s="44"/>
      <c r="H24" s="17" t="str">
        <f t="shared" si="0"/>
        <v/>
      </c>
    </row>
    <row r="25" spans="2:9">
      <c r="B25" s="102"/>
      <c r="D25" s="36"/>
      <c r="E25" s="36"/>
      <c r="F25" s="23"/>
      <c r="G25" s="42"/>
      <c r="H25" s="17" t="str">
        <f t="shared" si="0"/>
        <v/>
      </c>
    </row>
    <row r="26" spans="2:9" ht="14.25">
      <c r="B26" s="103" t="s">
        <v>1969</v>
      </c>
      <c r="C26" s="35" t="s">
        <v>1970</v>
      </c>
      <c r="D26" s="36" t="s">
        <v>124</v>
      </c>
      <c r="E26" s="36"/>
      <c r="F26" s="23"/>
      <c r="G26" s="44"/>
      <c r="H26" s="17">
        <f t="shared" si="0"/>
        <v>0</v>
      </c>
    </row>
    <row r="27" spans="2:9">
      <c r="B27" s="102"/>
      <c r="D27" s="36"/>
      <c r="E27" s="22"/>
      <c r="F27" s="23"/>
      <c r="G27" s="39"/>
      <c r="H27" s="17" t="str">
        <f t="shared" si="0"/>
        <v/>
      </c>
      <c r="I27" s="40"/>
    </row>
    <row r="28" spans="2:9" ht="29.1" customHeight="1">
      <c r="B28" s="103" t="s">
        <v>1971</v>
      </c>
      <c r="C28" s="55" t="s">
        <v>1972</v>
      </c>
      <c r="D28" s="36" t="s">
        <v>124</v>
      </c>
      <c r="E28" s="22"/>
      <c r="F28" s="23"/>
      <c r="G28" s="39"/>
      <c r="H28" s="17">
        <f t="shared" si="0"/>
        <v>0</v>
      </c>
      <c r="I28" s="40"/>
    </row>
    <row r="29" spans="2:9">
      <c r="B29" s="102"/>
      <c r="D29" s="36"/>
      <c r="E29" s="22"/>
      <c r="F29" s="23"/>
      <c r="G29" s="37"/>
      <c r="H29" s="17" t="str">
        <f t="shared" si="0"/>
        <v/>
      </c>
      <c r="I29" s="41"/>
    </row>
    <row r="30" spans="2:9" ht="14.25">
      <c r="B30" s="103" t="s">
        <v>1973</v>
      </c>
      <c r="C30" s="35" t="s">
        <v>1974</v>
      </c>
      <c r="D30" s="36" t="s">
        <v>124</v>
      </c>
      <c r="E30" s="15"/>
      <c r="F30" s="26"/>
      <c r="G30" s="27"/>
      <c r="H30" s="17">
        <f t="shared" si="0"/>
        <v>0</v>
      </c>
      <c r="I30" s="18"/>
    </row>
    <row r="31" spans="2:9" s="35" customFormat="1">
      <c r="B31" s="103"/>
      <c r="D31" s="62"/>
      <c r="E31" s="15"/>
      <c r="F31" s="26"/>
      <c r="G31" s="27"/>
      <c r="H31" s="17" t="str">
        <f t="shared" si="0"/>
        <v/>
      </c>
      <c r="I31" s="18"/>
    </row>
    <row r="32" spans="2:9" ht="14.25">
      <c r="B32" s="103" t="s">
        <v>1975</v>
      </c>
      <c r="C32" s="35" t="s">
        <v>1976</v>
      </c>
      <c r="D32" s="36" t="s">
        <v>124</v>
      </c>
      <c r="E32" s="22"/>
      <c r="F32" s="23"/>
      <c r="G32" s="37"/>
      <c r="H32" s="17">
        <f t="shared" si="0"/>
        <v>0</v>
      </c>
      <c r="I32" s="41"/>
    </row>
    <row r="33" spans="2:9">
      <c r="B33" s="102"/>
      <c r="D33" s="36"/>
      <c r="E33" s="22"/>
      <c r="F33" s="23"/>
      <c r="G33" s="37"/>
      <c r="H33" s="17" t="str">
        <f t="shared" si="0"/>
        <v/>
      </c>
      <c r="I33" s="41"/>
    </row>
    <row r="34" spans="2:9" ht="14.25">
      <c r="B34" s="103" t="s">
        <v>1977</v>
      </c>
      <c r="C34" s="35" t="s">
        <v>1978</v>
      </c>
      <c r="D34" s="22" t="s">
        <v>1844</v>
      </c>
      <c r="E34" s="22"/>
      <c r="F34" s="23"/>
      <c r="G34" s="45"/>
      <c r="H34" s="17">
        <f t="shared" si="0"/>
        <v>0</v>
      </c>
      <c r="I34" s="40"/>
    </row>
    <row r="35" spans="2:9">
      <c r="B35" s="102"/>
      <c r="C35" s="35"/>
      <c r="D35" s="22"/>
      <c r="E35" s="22"/>
      <c r="F35" s="23"/>
      <c r="G35" s="45"/>
      <c r="H35" s="17" t="str">
        <f t="shared" si="0"/>
        <v/>
      </c>
      <c r="I35" s="40"/>
    </row>
    <row r="36" spans="2:9">
      <c r="B36" s="103" t="s">
        <v>1979</v>
      </c>
      <c r="C36" s="34" t="s">
        <v>1980</v>
      </c>
      <c r="D36" s="22" t="s">
        <v>347</v>
      </c>
      <c r="E36" s="22"/>
      <c r="F36" s="23"/>
      <c r="G36" s="42"/>
      <c r="H36" s="17">
        <f t="shared" si="0"/>
        <v>0</v>
      </c>
      <c r="I36" s="40"/>
    </row>
    <row r="37" spans="2:9">
      <c r="B37" s="102"/>
      <c r="D37" s="36"/>
      <c r="E37" s="22"/>
      <c r="F37" s="23"/>
      <c r="G37" s="42"/>
      <c r="H37" s="17" t="str">
        <f t="shared" si="0"/>
        <v/>
      </c>
      <c r="I37" s="40"/>
    </row>
    <row r="38" spans="2:9">
      <c r="B38" s="103" t="s">
        <v>1981</v>
      </c>
      <c r="C38" s="34" t="s">
        <v>1982</v>
      </c>
      <c r="D38" s="62"/>
      <c r="E38" s="22"/>
      <c r="F38" s="22"/>
      <c r="G38" s="39"/>
      <c r="H38" s="17" t="str">
        <f t="shared" si="0"/>
        <v/>
      </c>
      <c r="I38" s="40"/>
    </row>
    <row r="39" spans="2:9">
      <c r="B39" s="102"/>
      <c r="D39" s="36"/>
      <c r="E39" s="22"/>
      <c r="F39" s="22"/>
      <c r="G39" s="39"/>
      <c r="H39" s="17" t="str">
        <f t="shared" si="0"/>
        <v/>
      </c>
      <c r="I39" s="40"/>
    </row>
    <row r="40" spans="2:9" ht="24.6" customHeight="1">
      <c r="B40" s="103" t="s">
        <v>1983</v>
      </c>
      <c r="C40" s="53" t="s">
        <v>1984</v>
      </c>
      <c r="D40" s="62" t="s">
        <v>85</v>
      </c>
      <c r="E40" s="22"/>
      <c r="F40" s="22"/>
      <c r="G40" s="37"/>
      <c r="H40" s="17">
        <f t="shared" si="0"/>
        <v>0</v>
      </c>
      <c r="I40" s="40"/>
    </row>
    <row r="41" spans="2:9">
      <c r="B41" s="102"/>
      <c r="D41" s="36"/>
      <c r="E41" s="22"/>
      <c r="F41" s="22"/>
      <c r="G41" s="37"/>
      <c r="H41" s="17" t="str">
        <f t="shared" si="0"/>
        <v/>
      </c>
      <c r="I41" s="40"/>
    </row>
    <row r="42" spans="2:9" ht="15.95" customHeight="1">
      <c r="B42" s="103" t="s">
        <v>1985</v>
      </c>
      <c r="C42" s="122" t="s">
        <v>1986</v>
      </c>
      <c r="D42" s="15" t="s">
        <v>347</v>
      </c>
      <c r="E42" s="22"/>
      <c r="F42" s="22"/>
      <c r="G42" s="37"/>
      <c r="H42" s="17">
        <f t="shared" si="0"/>
        <v>0</v>
      </c>
      <c r="I42" s="40"/>
    </row>
    <row r="43" spans="2:9">
      <c r="B43" s="102"/>
      <c r="D43" s="36"/>
      <c r="E43" s="22"/>
      <c r="F43" s="22"/>
      <c r="G43" s="37"/>
      <c r="H43" s="17" t="str">
        <f t="shared" si="0"/>
        <v/>
      </c>
      <c r="I43" s="40"/>
    </row>
    <row r="44" spans="2:9">
      <c r="B44" s="102" t="s">
        <v>1987</v>
      </c>
      <c r="C44" s="34" t="s">
        <v>1988</v>
      </c>
      <c r="D44" s="62" t="s">
        <v>347</v>
      </c>
      <c r="E44" s="22"/>
      <c r="F44" s="22"/>
      <c r="G44" s="37"/>
      <c r="H44" s="17">
        <f t="shared" si="0"/>
        <v>0</v>
      </c>
      <c r="I44" s="40"/>
    </row>
    <row r="45" spans="2:9">
      <c r="B45" s="102"/>
      <c r="C45" s="35"/>
      <c r="D45" s="22"/>
      <c r="E45" s="22"/>
      <c r="F45" s="22"/>
      <c r="G45" s="37"/>
      <c r="H45" s="17" t="str">
        <f t="shared" si="0"/>
        <v/>
      </c>
      <c r="I45" s="40"/>
    </row>
    <row r="46" spans="2:9">
      <c r="B46" s="102" t="s">
        <v>1989</v>
      </c>
      <c r="C46" s="34" t="s">
        <v>1990</v>
      </c>
      <c r="D46" s="36" t="s">
        <v>347</v>
      </c>
      <c r="E46" s="22"/>
      <c r="F46" s="22"/>
      <c r="G46" s="37"/>
      <c r="H46" s="17">
        <f t="shared" si="0"/>
        <v>0</v>
      </c>
      <c r="I46" s="40"/>
    </row>
    <row r="47" spans="2:9">
      <c r="B47" s="102"/>
      <c r="C47" s="34"/>
      <c r="D47" s="36"/>
      <c r="E47" s="22"/>
      <c r="F47" s="22"/>
      <c r="G47" s="37"/>
      <c r="H47" s="17" t="str">
        <f t="shared" si="0"/>
        <v/>
      </c>
      <c r="I47" s="40"/>
    </row>
    <row r="48" spans="2:9">
      <c r="B48" s="102"/>
      <c r="C48" s="34"/>
      <c r="D48" s="36"/>
      <c r="E48" s="22"/>
      <c r="F48" s="22"/>
      <c r="G48" s="37"/>
      <c r="H48" s="17" t="str">
        <f t="shared" si="0"/>
        <v/>
      </c>
      <c r="I48" s="40"/>
    </row>
    <row r="49" spans="2:9">
      <c r="B49" s="102"/>
      <c r="C49" s="34"/>
      <c r="D49" s="36"/>
      <c r="E49" s="22"/>
      <c r="F49" s="22"/>
      <c r="G49" s="37"/>
      <c r="H49" s="17" t="str">
        <f t="shared" si="0"/>
        <v/>
      </c>
      <c r="I49" s="40"/>
    </row>
    <row r="50" spans="2:9">
      <c r="B50" s="102"/>
      <c r="C50" s="34"/>
      <c r="D50" s="36"/>
      <c r="E50" s="22"/>
      <c r="F50" s="22"/>
      <c r="G50" s="37"/>
      <c r="H50" s="17" t="str">
        <f t="shared" si="0"/>
        <v/>
      </c>
      <c r="I50" s="40"/>
    </row>
    <row r="51" spans="2:9">
      <c r="B51" s="102"/>
      <c r="C51" s="34"/>
      <c r="D51" s="36"/>
      <c r="E51" s="22"/>
      <c r="F51" s="22"/>
      <c r="G51" s="37"/>
      <c r="H51" s="17" t="str">
        <f t="shared" si="0"/>
        <v/>
      </c>
      <c r="I51" s="40"/>
    </row>
    <row r="52" spans="2:9">
      <c r="B52" s="102"/>
      <c r="C52" s="34"/>
      <c r="D52" s="36"/>
      <c r="E52" s="22"/>
      <c r="F52" s="22"/>
      <c r="G52" s="37"/>
      <c r="H52" s="17" t="str">
        <f t="shared" si="0"/>
        <v/>
      </c>
      <c r="I52" s="40"/>
    </row>
    <row r="53" spans="2:9">
      <c r="B53" s="102"/>
      <c r="C53" s="34"/>
      <c r="D53" s="36"/>
      <c r="E53" s="22"/>
      <c r="F53" s="22"/>
      <c r="G53" s="37"/>
      <c r="H53" s="17" t="str">
        <f t="shared" si="0"/>
        <v/>
      </c>
      <c r="I53" s="40"/>
    </row>
    <row r="54" spans="2:9">
      <c r="B54" s="102"/>
      <c r="C54" s="34"/>
      <c r="D54" s="36"/>
      <c r="E54" s="22"/>
      <c r="F54" s="22"/>
      <c r="G54" s="37"/>
      <c r="H54" s="17" t="str">
        <f t="shared" si="0"/>
        <v/>
      </c>
      <c r="I54" s="40"/>
    </row>
    <row r="55" spans="2:9">
      <c r="B55" s="102"/>
      <c r="C55" s="34"/>
      <c r="D55" s="36"/>
      <c r="E55" s="22"/>
      <c r="F55" s="22"/>
      <c r="G55" s="37"/>
      <c r="H55" s="17" t="str">
        <f t="shared" si="0"/>
        <v/>
      </c>
      <c r="I55" s="40"/>
    </row>
    <row r="56" spans="2:9">
      <c r="B56" s="102"/>
      <c r="C56" s="34"/>
      <c r="D56" s="36"/>
      <c r="E56" s="22"/>
      <c r="F56" s="22"/>
      <c r="G56" s="37"/>
      <c r="H56" s="17" t="str">
        <f t="shared" si="0"/>
        <v/>
      </c>
      <c r="I56" s="40"/>
    </row>
    <row r="57" spans="2:9">
      <c r="B57" s="102"/>
      <c r="C57" s="34"/>
      <c r="D57" s="36"/>
      <c r="E57" s="22"/>
      <c r="F57" s="22"/>
      <c r="G57" s="37"/>
      <c r="H57" s="17" t="str">
        <f t="shared" si="0"/>
        <v/>
      </c>
      <c r="I57" s="40"/>
    </row>
    <row r="58" spans="2:9">
      <c r="B58" s="102"/>
      <c r="C58" s="34"/>
      <c r="D58" s="36"/>
      <c r="E58" s="22"/>
      <c r="F58" s="22"/>
      <c r="G58" s="37"/>
      <c r="H58" s="17" t="str">
        <f t="shared" si="0"/>
        <v/>
      </c>
      <c r="I58" s="40"/>
    </row>
    <row r="59" spans="2:9">
      <c r="B59" s="102"/>
      <c r="C59" s="34"/>
      <c r="D59" s="36"/>
      <c r="E59" s="22"/>
      <c r="F59" s="22"/>
      <c r="G59" s="37"/>
      <c r="H59" s="17" t="str">
        <f t="shared" si="0"/>
        <v/>
      </c>
      <c r="I59" s="40"/>
    </row>
    <row r="60" spans="2:9">
      <c r="B60" s="102"/>
      <c r="C60" s="34"/>
      <c r="D60" s="36"/>
      <c r="E60" s="22"/>
      <c r="F60" s="22"/>
      <c r="G60" s="37"/>
      <c r="H60" s="17" t="str">
        <f t="shared" si="0"/>
        <v/>
      </c>
      <c r="I60" s="40"/>
    </row>
    <row r="61" spans="2:9">
      <c r="B61" s="102"/>
      <c r="C61" s="34"/>
      <c r="D61" s="36"/>
      <c r="E61" s="22"/>
      <c r="F61" s="22"/>
      <c r="G61" s="37"/>
      <c r="H61" s="17" t="str">
        <f t="shared" si="0"/>
        <v/>
      </c>
      <c r="I61" s="40"/>
    </row>
    <row r="62" spans="2:9">
      <c r="B62" s="102"/>
      <c r="C62" s="34"/>
      <c r="D62" s="36"/>
      <c r="E62" s="22"/>
      <c r="F62" s="22"/>
      <c r="G62" s="37"/>
      <c r="H62" s="17" t="str">
        <f t="shared" si="0"/>
        <v/>
      </c>
      <c r="I62" s="40"/>
    </row>
    <row r="63" spans="2:9">
      <c r="B63" s="102"/>
      <c r="C63" s="34"/>
      <c r="D63" s="36"/>
      <c r="E63" s="22"/>
      <c r="F63" s="22"/>
      <c r="G63" s="37"/>
      <c r="H63" s="17" t="str">
        <f t="shared" si="0"/>
        <v/>
      </c>
      <c r="I63" s="40"/>
    </row>
    <row r="64" spans="2:9">
      <c r="B64" s="102"/>
      <c r="C64" s="34"/>
      <c r="D64" s="36"/>
      <c r="E64" s="22"/>
      <c r="F64" s="22"/>
      <c r="G64" s="37"/>
      <c r="H64" s="17" t="str">
        <f t="shared" si="0"/>
        <v/>
      </c>
      <c r="I64" s="40"/>
    </row>
    <row r="65" spans="2:9">
      <c r="B65" s="102"/>
      <c r="C65" s="34"/>
      <c r="D65" s="36"/>
      <c r="E65" s="22"/>
      <c r="F65" s="22"/>
      <c r="G65" s="37"/>
      <c r="H65" s="17" t="str">
        <f t="shared" si="0"/>
        <v/>
      </c>
      <c r="I65" s="40"/>
    </row>
    <row r="66" spans="2:9">
      <c r="B66" s="102"/>
      <c r="C66" s="34"/>
      <c r="D66" s="36"/>
      <c r="E66" s="22"/>
      <c r="F66" s="22"/>
      <c r="G66" s="37"/>
      <c r="H66" s="17" t="str">
        <f t="shared" si="0"/>
        <v/>
      </c>
      <c r="I66" s="40"/>
    </row>
    <row r="67" spans="2:9">
      <c r="B67" s="102"/>
      <c r="C67" s="34"/>
      <c r="D67" s="36"/>
      <c r="E67" s="22"/>
      <c r="F67" s="22"/>
      <c r="G67" s="37"/>
      <c r="H67" s="17" t="str">
        <f t="shared" si="0"/>
        <v/>
      </c>
      <c r="I67" s="40"/>
    </row>
    <row r="68" spans="2:9">
      <c r="B68" s="102"/>
      <c r="C68" s="34"/>
      <c r="D68" s="36"/>
      <c r="E68" s="22"/>
      <c r="F68" s="22"/>
      <c r="G68" s="37"/>
      <c r="H68" s="17" t="str">
        <f t="shared" si="0"/>
        <v/>
      </c>
      <c r="I68" s="40"/>
    </row>
    <row r="69" spans="2:9">
      <c r="B69" s="102"/>
      <c r="C69" s="34"/>
      <c r="D69" s="36"/>
      <c r="E69" s="22"/>
      <c r="F69" s="22"/>
      <c r="G69" s="37"/>
      <c r="H69" s="17" t="str">
        <f t="shared" si="0"/>
        <v/>
      </c>
      <c r="I69" s="40"/>
    </row>
    <row r="70" spans="2:9">
      <c r="B70" s="102"/>
      <c r="C70" s="34"/>
      <c r="D70" s="36"/>
      <c r="E70" s="22"/>
      <c r="F70" s="22"/>
      <c r="G70" s="37"/>
      <c r="H70" s="17" t="str">
        <f t="shared" si="0"/>
        <v/>
      </c>
      <c r="I70" s="40"/>
    </row>
    <row r="71" spans="2:9">
      <c r="B71" s="102"/>
      <c r="C71" s="34"/>
      <c r="D71" s="36"/>
      <c r="E71" s="22"/>
      <c r="F71" s="22"/>
      <c r="G71" s="37"/>
      <c r="H71" s="17" t="str">
        <f t="shared" si="0"/>
        <v/>
      </c>
      <c r="I71" s="40"/>
    </row>
    <row r="72" spans="2:9">
      <c r="B72" s="102"/>
      <c r="C72" s="34"/>
      <c r="D72" s="36"/>
      <c r="E72" s="22"/>
      <c r="F72" s="22"/>
      <c r="G72" s="37"/>
      <c r="H72" s="17" t="str">
        <f t="shared" si="0"/>
        <v/>
      </c>
      <c r="I72" s="40"/>
    </row>
    <row r="73" spans="2:9">
      <c r="B73" s="102"/>
      <c r="C73" s="34"/>
      <c r="D73" s="36"/>
      <c r="E73" s="22"/>
      <c r="F73" s="22"/>
      <c r="G73" s="37"/>
      <c r="H73" s="17" t="str">
        <f t="shared" ref="H73" si="1">IF(D73="","",F73*G73)</f>
        <v/>
      </c>
      <c r="I73" s="40"/>
    </row>
    <row r="74" spans="2:9" s="28" customFormat="1" ht="24.75" customHeight="1">
      <c r="B74" s="82" t="str">
        <f>$B$10</f>
        <v xml:space="preserve">C12.5 </v>
      </c>
      <c r="C74" s="29" t="s">
        <v>125</v>
      </c>
      <c r="D74" s="30"/>
      <c r="E74" s="30"/>
      <c r="F74" s="31"/>
      <c r="G74" s="30"/>
      <c r="H74" s="32">
        <f>SUM(H9:H73)</f>
        <v>0</v>
      </c>
      <c r="I74"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3"/>
  <dimension ref="B1:I145"/>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C12.6</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77"/>
      <c r="C9" s="76"/>
      <c r="D9" s="15"/>
      <c r="E9" s="15"/>
      <c r="F9" s="15"/>
      <c r="G9" s="16"/>
      <c r="H9" s="17" t="str">
        <f t="shared" ref="H9:H99" si="0">IF(D9="","",F9*G9)</f>
        <v/>
      </c>
      <c r="I9" s="18"/>
    </row>
    <row r="10" spans="2:9">
      <c r="B10" s="107" t="s">
        <v>1991</v>
      </c>
      <c r="C10" s="76" t="s">
        <v>1992</v>
      </c>
      <c r="D10" s="15"/>
      <c r="E10" s="15"/>
      <c r="F10" s="15"/>
      <c r="G10" s="16"/>
      <c r="H10" s="17" t="str">
        <f t="shared" si="0"/>
        <v/>
      </c>
      <c r="I10" s="18"/>
    </row>
    <row r="11" spans="2:9">
      <c r="B11" s="102"/>
      <c r="D11" s="22"/>
      <c r="E11" s="22"/>
      <c r="F11" s="22"/>
      <c r="G11" s="39"/>
      <c r="H11" s="17" t="str">
        <f t="shared" si="0"/>
        <v/>
      </c>
      <c r="I11" s="40"/>
    </row>
    <row r="12" spans="2:9">
      <c r="B12" s="103" t="s">
        <v>1993</v>
      </c>
      <c r="C12" s="35" t="s">
        <v>1994</v>
      </c>
      <c r="D12" s="36"/>
      <c r="E12" s="22"/>
      <c r="F12" s="22"/>
      <c r="G12" s="39"/>
      <c r="H12" s="17" t="str">
        <f t="shared" si="0"/>
        <v/>
      </c>
      <c r="I12" s="40"/>
    </row>
    <row r="13" spans="2:9">
      <c r="B13" s="103"/>
      <c r="C13" s="35"/>
      <c r="D13" s="36"/>
      <c r="E13" s="22"/>
      <c r="F13" s="22"/>
      <c r="G13" s="39"/>
      <c r="H13" s="17" t="str">
        <f t="shared" si="0"/>
        <v/>
      </c>
      <c r="I13" s="40"/>
    </row>
    <row r="14" spans="2:9">
      <c r="B14" s="103" t="s">
        <v>1995</v>
      </c>
      <c r="C14" s="35" t="s">
        <v>1996</v>
      </c>
      <c r="D14" s="22" t="s">
        <v>33</v>
      </c>
      <c r="E14" s="22"/>
      <c r="F14" s="22"/>
      <c r="G14" s="39"/>
      <c r="H14" s="17">
        <f t="shared" si="0"/>
        <v>0</v>
      </c>
      <c r="I14" s="40"/>
    </row>
    <row r="15" spans="2:9">
      <c r="B15" s="103"/>
      <c r="C15" s="35"/>
      <c r="D15" s="22"/>
      <c r="E15" s="22"/>
      <c r="F15" s="22"/>
      <c r="G15" s="39"/>
      <c r="H15" s="17" t="str">
        <f t="shared" si="0"/>
        <v/>
      </c>
      <c r="I15" s="40"/>
    </row>
    <row r="16" spans="2:9">
      <c r="B16" s="103" t="s">
        <v>1997</v>
      </c>
      <c r="C16" s="35" t="s">
        <v>1998</v>
      </c>
      <c r="D16" s="22" t="s">
        <v>33</v>
      </c>
      <c r="E16" s="22"/>
      <c r="F16" s="22"/>
      <c r="G16" s="39"/>
      <c r="H16" s="17">
        <f t="shared" si="0"/>
        <v>0</v>
      </c>
      <c r="I16" s="40"/>
    </row>
    <row r="17" spans="2:9">
      <c r="B17" s="103"/>
      <c r="C17" s="35"/>
      <c r="D17" s="22"/>
      <c r="E17" s="22"/>
      <c r="F17" s="22"/>
      <c r="G17" s="39"/>
      <c r="H17" s="17" t="str">
        <f t="shared" si="0"/>
        <v/>
      </c>
      <c r="I17" s="40"/>
    </row>
    <row r="18" spans="2:9">
      <c r="B18" s="103" t="s">
        <v>1999</v>
      </c>
      <c r="C18" s="35" t="s">
        <v>2000</v>
      </c>
      <c r="D18" s="22" t="s">
        <v>33</v>
      </c>
      <c r="E18" s="22"/>
      <c r="F18" s="23"/>
      <c r="G18" s="24"/>
      <c r="H18" s="17">
        <f t="shared" si="0"/>
        <v>0</v>
      </c>
      <c r="I18" s="41"/>
    </row>
    <row r="19" spans="2:9">
      <c r="B19" s="103"/>
      <c r="C19" s="35"/>
      <c r="D19" s="22"/>
      <c r="E19" s="22"/>
      <c r="F19" s="23"/>
      <c r="G19" s="24"/>
      <c r="H19" s="17" t="str">
        <f t="shared" si="0"/>
        <v/>
      </c>
      <c r="I19" s="41"/>
    </row>
    <row r="20" spans="2:9" ht="14.25">
      <c r="B20" s="102" t="s">
        <v>2001</v>
      </c>
      <c r="C20" s="35" t="s">
        <v>2002</v>
      </c>
      <c r="D20" s="22" t="s">
        <v>386</v>
      </c>
      <c r="E20" s="22"/>
      <c r="F20" s="23"/>
      <c r="G20" s="24"/>
      <c r="H20" s="17">
        <f t="shared" si="0"/>
        <v>0</v>
      </c>
      <c r="I20" s="41"/>
    </row>
    <row r="21" spans="2:9">
      <c r="B21" s="106"/>
      <c r="C21" s="35"/>
      <c r="D21" s="36"/>
      <c r="E21" s="22"/>
      <c r="F21" s="23"/>
      <c r="G21" s="39"/>
      <c r="H21" s="17" t="str">
        <f t="shared" si="0"/>
        <v/>
      </c>
      <c r="I21" s="40"/>
    </row>
    <row r="22" spans="2:9" ht="14.25">
      <c r="B22" s="102" t="s">
        <v>2003</v>
      </c>
      <c r="C22" s="35" t="s">
        <v>2004</v>
      </c>
      <c r="D22" s="22" t="s">
        <v>386</v>
      </c>
      <c r="E22" s="22"/>
      <c r="F22" s="23"/>
      <c r="G22" s="42"/>
      <c r="H22" s="17">
        <f t="shared" si="0"/>
        <v>0</v>
      </c>
      <c r="I22" s="40"/>
    </row>
    <row r="23" spans="2:9">
      <c r="B23" s="106"/>
      <c r="C23" s="35"/>
      <c r="D23" s="62"/>
      <c r="E23" s="22"/>
      <c r="F23" s="23"/>
      <c r="G23" s="39"/>
      <c r="H23" s="17" t="str">
        <f t="shared" si="0"/>
        <v/>
      </c>
      <c r="I23" s="43"/>
    </row>
    <row r="24" spans="2:9">
      <c r="B24" s="103" t="s">
        <v>2005</v>
      </c>
      <c r="C24" s="35" t="s">
        <v>2006</v>
      </c>
      <c r="D24" s="36"/>
      <c r="E24" s="36"/>
      <c r="F24" s="23"/>
      <c r="G24" s="44"/>
      <c r="H24" s="17" t="str">
        <f t="shared" si="0"/>
        <v/>
      </c>
    </row>
    <row r="25" spans="2:9">
      <c r="B25" s="106"/>
      <c r="C25" s="1"/>
      <c r="D25" s="36"/>
      <c r="E25" s="36"/>
      <c r="F25" s="23"/>
      <c r="G25" s="44"/>
      <c r="H25" s="17" t="str">
        <f t="shared" si="0"/>
        <v/>
      </c>
    </row>
    <row r="26" spans="2:9">
      <c r="B26" s="103" t="s">
        <v>2007</v>
      </c>
      <c r="C26" s="35" t="s">
        <v>2008</v>
      </c>
      <c r="D26" s="22" t="s">
        <v>903</v>
      </c>
      <c r="E26" s="36"/>
      <c r="F26" s="23"/>
      <c r="G26" s="37"/>
      <c r="H26" s="17">
        <f t="shared" si="0"/>
        <v>0</v>
      </c>
    </row>
    <row r="27" spans="2:9">
      <c r="B27" s="106"/>
      <c r="C27" s="1"/>
      <c r="D27" s="36"/>
      <c r="E27" s="36"/>
      <c r="F27" s="23"/>
      <c r="G27" s="44"/>
      <c r="H27" s="17" t="str">
        <f t="shared" si="0"/>
        <v/>
      </c>
    </row>
    <row r="28" spans="2:9">
      <c r="B28" s="103" t="s">
        <v>2009</v>
      </c>
      <c r="C28" s="35" t="s">
        <v>2010</v>
      </c>
      <c r="D28" s="36" t="s">
        <v>903</v>
      </c>
      <c r="E28" s="36"/>
      <c r="F28" s="23"/>
      <c r="G28" s="42"/>
      <c r="H28" s="17">
        <f t="shared" si="0"/>
        <v>0</v>
      </c>
    </row>
    <row r="29" spans="2:9">
      <c r="B29" s="103"/>
      <c r="C29" s="35"/>
      <c r="D29" s="36"/>
      <c r="E29" s="36"/>
      <c r="F29" s="23"/>
      <c r="G29" s="44"/>
      <c r="H29" s="17" t="str">
        <f t="shared" si="0"/>
        <v/>
      </c>
    </row>
    <row r="30" spans="2:9" ht="27" customHeight="1">
      <c r="B30" s="102" t="s">
        <v>2011</v>
      </c>
      <c r="C30" s="55" t="s">
        <v>2012</v>
      </c>
      <c r="D30" s="36" t="s">
        <v>124</v>
      </c>
      <c r="E30" s="22"/>
      <c r="F30" s="23"/>
      <c r="G30" s="39"/>
      <c r="H30" s="17">
        <f t="shared" si="0"/>
        <v>0</v>
      </c>
      <c r="I30" s="40"/>
    </row>
    <row r="31" spans="2:9">
      <c r="B31" s="106"/>
      <c r="C31" s="55"/>
      <c r="D31" s="36"/>
      <c r="E31" s="22"/>
      <c r="F31" s="23"/>
      <c r="G31" s="39"/>
      <c r="H31" s="17" t="str">
        <f t="shared" si="0"/>
        <v/>
      </c>
      <c r="I31" s="40"/>
    </row>
    <row r="32" spans="2:9" ht="23.1" customHeight="1">
      <c r="B32" s="102" t="s">
        <v>2013</v>
      </c>
      <c r="C32" s="55" t="s">
        <v>2014</v>
      </c>
      <c r="D32" s="36" t="s">
        <v>347</v>
      </c>
      <c r="E32" s="22"/>
      <c r="F32" s="23"/>
      <c r="G32" s="37"/>
      <c r="H32" s="17">
        <f t="shared" si="0"/>
        <v>0</v>
      </c>
      <c r="I32" s="41"/>
    </row>
    <row r="33" spans="2:9">
      <c r="B33" s="106"/>
      <c r="C33" s="35"/>
      <c r="D33" s="36"/>
      <c r="E33" s="15"/>
      <c r="F33" s="26"/>
      <c r="G33" s="27"/>
      <c r="H33" s="17" t="str">
        <f t="shared" si="0"/>
        <v/>
      </c>
      <c r="I33" s="18"/>
    </row>
    <row r="34" spans="2:9" s="35" customFormat="1" ht="27" customHeight="1">
      <c r="B34" s="103" t="s">
        <v>2015</v>
      </c>
      <c r="C34" s="55" t="s">
        <v>2016</v>
      </c>
      <c r="D34" s="36" t="s">
        <v>124</v>
      </c>
      <c r="E34" s="15"/>
      <c r="F34" s="26"/>
      <c r="G34" s="27"/>
      <c r="H34" s="17">
        <f t="shared" si="0"/>
        <v>0</v>
      </c>
      <c r="I34" s="18"/>
    </row>
    <row r="35" spans="2:9">
      <c r="B35" s="106"/>
      <c r="C35" s="35"/>
      <c r="D35" s="36"/>
      <c r="E35" s="22"/>
      <c r="F35" s="23"/>
      <c r="G35" s="37"/>
      <c r="H35" s="17" t="str">
        <f t="shared" si="0"/>
        <v/>
      </c>
      <c r="I35" s="41"/>
    </row>
    <row r="36" spans="2:9" ht="24.95" customHeight="1">
      <c r="B36" s="102" t="s">
        <v>2017</v>
      </c>
      <c r="C36" s="55" t="s">
        <v>2018</v>
      </c>
      <c r="D36" s="36" t="s">
        <v>347</v>
      </c>
      <c r="E36" s="22"/>
      <c r="F36" s="23"/>
      <c r="G36" s="37"/>
      <c r="H36" s="17">
        <f t="shared" si="0"/>
        <v>0</v>
      </c>
      <c r="I36" s="41"/>
    </row>
    <row r="37" spans="2:9">
      <c r="B37" s="106"/>
      <c r="C37" s="35"/>
      <c r="D37" s="22"/>
      <c r="E37" s="22"/>
      <c r="F37" s="23"/>
      <c r="G37" s="45"/>
      <c r="H37" s="17" t="str">
        <f t="shared" si="0"/>
        <v/>
      </c>
      <c r="I37" s="40"/>
    </row>
    <row r="38" spans="2:9" ht="14.25">
      <c r="B38" s="102" t="s">
        <v>2019</v>
      </c>
      <c r="C38" s="35" t="s">
        <v>2020</v>
      </c>
      <c r="D38" s="36" t="s">
        <v>124</v>
      </c>
      <c r="E38" s="22"/>
      <c r="F38" s="23"/>
      <c r="G38" s="45"/>
      <c r="H38" s="17">
        <f t="shared" si="0"/>
        <v>0</v>
      </c>
      <c r="I38" s="40"/>
    </row>
    <row r="39" spans="2:9">
      <c r="B39" s="106"/>
      <c r="C39" s="34"/>
      <c r="D39" s="22"/>
      <c r="E39" s="22"/>
      <c r="F39" s="23"/>
      <c r="G39" s="42"/>
      <c r="H39" s="17" t="str">
        <f t="shared" si="0"/>
        <v/>
      </c>
      <c r="I39" s="40"/>
    </row>
    <row r="40" spans="2:9">
      <c r="B40" s="103" t="s">
        <v>2021</v>
      </c>
      <c r="C40" s="35" t="s">
        <v>2022</v>
      </c>
      <c r="D40" s="36"/>
      <c r="E40" s="22"/>
      <c r="F40" s="23"/>
      <c r="G40" s="42"/>
      <c r="H40" s="17" t="str">
        <f t="shared" si="0"/>
        <v/>
      </c>
      <c r="I40" s="40"/>
    </row>
    <row r="41" spans="2:9">
      <c r="B41" s="102"/>
      <c r="D41" s="36"/>
      <c r="E41" s="22"/>
      <c r="F41" s="22"/>
      <c r="G41" s="39"/>
      <c r="H41" s="17" t="str">
        <f t="shared" si="0"/>
        <v/>
      </c>
      <c r="I41" s="40"/>
    </row>
    <row r="42" spans="2:9">
      <c r="B42" s="103" t="s">
        <v>2023</v>
      </c>
      <c r="C42" s="35" t="s">
        <v>2024</v>
      </c>
      <c r="D42" s="62" t="s">
        <v>85</v>
      </c>
      <c r="E42" s="22"/>
      <c r="F42" s="22"/>
      <c r="G42" s="39"/>
      <c r="H42" s="17">
        <f t="shared" si="0"/>
        <v>0</v>
      </c>
      <c r="I42" s="40"/>
    </row>
    <row r="43" spans="2:9">
      <c r="B43" s="106"/>
      <c r="C43" s="1"/>
      <c r="D43" s="44"/>
      <c r="E43" s="22"/>
      <c r="F43" s="22"/>
      <c r="G43" s="39"/>
      <c r="H43" s="17" t="str">
        <f t="shared" si="0"/>
        <v/>
      </c>
      <c r="I43" s="40"/>
    </row>
    <row r="44" spans="2:9">
      <c r="B44" s="103" t="s">
        <v>2025</v>
      </c>
      <c r="C44" s="35" t="s">
        <v>2026</v>
      </c>
      <c r="D44" s="36" t="s">
        <v>347</v>
      </c>
      <c r="E44" s="22"/>
      <c r="F44" s="22"/>
      <c r="G44" s="39"/>
      <c r="H44" s="17">
        <f t="shared" si="0"/>
        <v>0</v>
      </c>
      <c r="I44" s="40"/>
    </row>
    <row r="45" spans="2:9">
      <c r="B45" s="103"/>
      <c r="D45" s="36"/>
      <c r="E45" s="22"/>
      <c r="F45" s="22"/>
      <c r="G45" s="39"/>
      <c r="H45" s="17" t="str">
        <f t="shared" si="0"/>
        <v/>
      </c>
      <c r="I45" s="40"/>
    </row>
    <row r="46" spans="2:9" ht="27.6" customHeight="1">
      <c r="B46" s="103" t="s">
        <v>2027</v>
      </c>
      <c r="C46" s="55" t="s">
        <v>2028</v>
      </c>
      <c r="D46" s="22" t="s">
        <v>386</v>
      </c>
      <c r="E46" s="22"/>
      <c r="F46" s="22"/>
      <c r="G46" s="39"/>
      <c r="H46" s="17">
        <f t="shared" si="0"/>
        <v>0</v>
      </c>
      <c r="I46" s="40"/>
    </row>
    <row r="47" spans="2:9">
      <c r="B47" s="106"/>
      <c r="D47" s="36"/>
      <c r="E47" s="22"/>
      <c r="F47" s="22"/>
      <c r="G47" s="39"/>
      <c r="H47" s="17" t="str">
        <f t="shared" si="0"/>
        <v/>
      </c>
      <c r="I47" s="40"/>
    </row>
    <row r="48" spans="2:9">
      <c r="B48" s="103" t="s">
        <v>2029</v>
      </c>
      <c r="C48" s="35" t="s">
        <v>2030</v>
      </c>
      <c r="D48" s="36"/>
      <c r="E48" s="22"/>
      <c r="F48" s="22"/>
      <c r="G48" s="39"/>
      <c r="H48" s="17" t="str">
        <f t="shared" si="0"/>
        <v/>
      </c>
      <c r="I48" s="40"/>
    </row>
    <row r="49" spans="2:9">
      <c r="B49" s="106"/>
      <c r="C49" s="1"/>
      <c r="D49" s="44"/>
      <c r="E49" s="22"/>
      <c r="F49" s="22"/>
      <c r="G49" s="39"/>
      <c r="H49" s="17" t="str">
        <f t="shared" si="0"/>
        <v/>
      </c>
      <c r="I49" s="40"/>
    </row>
    <row r="50" spans="2:9" ht="14.25">
      <c r="B50" s="103" t="s">
        <v>2031</v>
      </c>
      <c r="C50" s="35" t="s">
        <v>2032</v>
      </c>
      <c r="D50" s="36" t="s">
        <v>124</v>
      </c>
      <c r="E50" s="22"/>
      <c r="F50" s="22"/>
      <c r="G50" s="39"/>
      <c r="H50" s="17">
        <f t="shared" si="0"/>
        <v>0</v>
      </c>
      <c r="I50" s="40"/>
    </row>
    <row r="51" spans="2:9">
      <c r="B51" s="106"/>
      <c r="C51" s="1"/>
      <c r="D51" s="44"/>
      <c r="E51" s="22"/>
      <c r="F51" s="22"/>
      <c r="G51" s="39"/>
      <c r="H51" s="17" t="str">
        <f t="shared" si="0"/>
        <v/>
      </c>
      <c r="I51" s="40"/>
    </row>
    <row r="52" spans="2:9" ht="14.25">
      <c r="B52" s="103" t="s">
        <v>2033</v>
      </c>
      <c r="C52" s="35" t="s">
        <v>1998</v>
      </c>
      <c r="D52" s="36" t="s">
        <v>124</v>
      </c>
      <c r="E52" s="22"/>
      <c r="F52" s="22"/>
      <c r="G52" s="39"/>
      <c r="H52" s="17">
        <f t="shared" si="0"/>
        <v>0</v>
      </c>
      <c r="I52" s="40"/>
    </row>
    <row r="53" spans="2:9">
      <c r="B53" s="106"/>
      <c r="C53" s="1"/>
      <c r="D53" s="44"/>
      <c r="E53" s="22"/>
      <c r="F53" s="22"/>
      <c r="G53" s="39"/>
      <c r="H53" s="17" t="str">
        <f t="shared" si="0"/>
        <v/>
      </c>
      <c r="I53" s="40"/>
    </row>
    <row r="54" spans="2:9" ht="14.25">
      <c r="B54" s="103" t="s">
        <v>2034</v>
      </c>
      <c r="C54" s="35" t="s">
        <v>2000</v>
      </c>
      <c r="D54" s="36" t="s">
        <v>124</v>
      </c>
      <c r="E54" s="22"/>
      <c r="F54" s="22"/>
      <c r="G54" s="39"/>
      <c r="H54" s="17">
        <f t="shared" si="0"/>
        <v>0</v>
      </c>
      <c r="I54" s="40"/>
    </row>
    <row r="55" spans="2:9">
      <c r="B55" s="103"/>
      <c r="D55" s="36"/>
      <c r="E55" s="22"/>
      <c r="F55" s="22"/>
      <c r="G55" s="39"/>
      <c r="H55" s="17" t="str">
        <f t="shared" si="0"/>
        <v/>
      </c>
      <c r="I55" s="40"/>
    </row>
    <row r="56" spans="2:9">
      <c r="B56" s="103" t="s">
        <v>2035</v>
      </c>
      <c r="C56" s="35" t="s">
        <v>2036</v>
      </c>
      <c r="D56" s="36" t="s">
        <v>85</v>
      </c>
      <c r="E56" s="22"/>
      <c r="F56" s="22"/>
      <c r="G56" s="39"/>
      <c r="H56" s="17">
        <f t="shared" si="0"/>
        <v>0</v>
      </c>
      <c r="I56" s="40"/>
    </row>
    <row r="57" spans="2:9">
      <c r="B57" s="103"/>
      <c r="C57" s="35"/>
      <c r="D57" s="36"/>
      <c r="E57" s="22"/>
      <c r="F57" s="22"/>
      <c r="G57" s="39"/>
      <c r="H57" s="17" t="str">
        <f t="shared" si="0"/>
        <v/>
      </c>
      <c r="I57" s="40"/>
    </row>
    <row r="58" spans="2:9">
      <c r="B58" s="103"/>
      <c r="C58" s="35"/>
      <c r="D58" s="36"/>
      <c r="E58" s="22"/>
      <c r="F58" s="22"/>
      <c r="G58" s="39"/>
      <c r="H58" s="17" t="str">
        <f t="shared" si="0"/>
        <v/>
      </c>
      <c r="I58" s="40"/>
    </row>
    <row r="59" spans="2:9">
      <c r="B59" s="103"/>
      <c r="C59" s="35"/>
      <c r="D59" s="36"/>
      <c r="E59" s="22"/>
      <c r="F59" s="22"/>
      <c r="G59" s="39"/>
      <c r="H59" s="17" t="str">
        <f t="shared" si="0"/>
        <v/>
      </c>
      <c r="I59" s="40"/>
    </row>
    <row r="60" spans="2:9">
      <c r="B60" s="103"/>
      <c r="C60" s="35"/>
      <c r="D60" s="36"/>
      <c r="E60" s="22"/>
      <c r="F60" s="22"/>
      <c r="G60" s="39"/>
      <c r="H60" s="17" t="str">
        <f t="shared" si="0"/>
        <v/>
      </c>
      <c r="I60" s="40"/>
    </row>
    <row r="61" spans="2:9">
      <c r="B61" s="103"/>
      <c r="C61" s="35"/>
      <c r="D61" s="36"/>
      <c r="E61" s="22"/>
      <c r="F61" s="22"/>
      <c r="G61" s="39"/>
      <c r="H61" s="17" t="str">
        <f t="shared" si="0"/>
        <v/>
      </c>
      <c r="I61" s="40"/>
    </row>
    <row r="62" spans="2:9">
      <c r="B62" s="103"/>
      <c r="C62" s="35"/>
      <c r="D62" s="36"/>
      <c r="E62" s="22"/>
      <c r="F62" s="22"/>
      <c r="G62" s="39"/>
      <c r="H62" s="17" t="str">
        <f t="shared" si="0"/>
        <v/>
      </c>
      <c r="I62" s="40"/>
    </row>
    <row r="63" spans="2:9">
      <c r="B63" s="103"/>
      <c r="C63" s="35"/>
      <c r="D63" s="36"/>
      <c r="E63" s="22"/>
      <c r="F63" s="22"/>
      <c r="G63" s="39"/>
      <c r="H63" s="17" t="str">
        <f t="shared" si="0"/>
        <v/>
      </c>
      <c r="I63" s="40"/>
    </row>
    <row r="64" spans="2:9">
      <c r="B64" s="103"/>
      <c r="C64" s="35"/>
      <c r="D64" s="36"/>
      <c r="E64" s="22"/>
      <c r="F64" s="22"/>
      <c r="G64" s="39"/>
      <c r="H64" s="17" t="str">
        <f t="shared" si="0"/>
        <v/>
      </c>
      <c r="I64" s="40"/>
    </row>
    <row r="65" spans="2:9">
      <c r="B65" s="103"/>
      <c r="C65" s="35"/>
      <c r="D65" s="36"/>
      <c r="E65" s="22"/>
      <c r="F65" s="22"/>
      <c r="G65" s="39"/>
      <c r="H65" s="17" t="str">
        <f t="shared" si="0"/>
        <v/>
      </c>
      <c r="I65" s="40"/>
    </row>
    <row r="66" spans="2:9">
      <c r="B66" s="103"/>
      <c r="C66" s="35"/>
      <c r="D66" s="36"/>
      <c r="E66" s="22"/>
      <c r="F66" s="22"/>
      <c r="G66" s="39"/>
      <c r="H66" s="17" t="str">
        <f t="shared" si="0"/>
        <v/>
      </c>
      <c r="I66" s="40"/>
    </row>
    <row r="67" spans="2:9">
      <c r="B67" s="103"/>
      <c r="C67" s="35"/>
      <c r="D67" s="36"/>
      <c r="E67" s="22"/>
      <c r="F67" s="22"/>
      <c r="G67" s="39"/>
      <c r="H67" s="17" t="str">
        <f t="shared" si="0"/>
        <v/>
      </c>
      <c r="I67" s="40"/>
    </row>
    <row r="68" spans="2:9">
      <c r="B68" s="103"/>
      <c r="C68" s="35"/>
      <c r="D68" s="36"/>
      <c r="E68" s="22"/>
      <c r="F68" s="22"/>
      <c r="G68" s="39"/>
      <c r="H68" s="17" t="str">
        <f t="shared" si="0"/>
        <v/>
      </c>
      <c r="I68" s="40"/>
    </row>
    <row r="69" spans="2:9">
      <c r="B69" s="103"/>
      <c r="C69" s="35"/>
      <c r="D69" s="36"/>
      <c r="E69" s="22"/>
      <c r="F69" s="22"/>
      <c r="G69" s="39"/>
      <c r="H69" s="17" t="str">
        <f t="shared" si="0"/>
        <v/>
      </c>
      <c r="I69" s="40"/>
    </row>
    <row r="70" spans="2:9">
      <c r="B70" s="103"/>
      <c r="C70" s="35"/>
      <c r="D70" s="36"/>
      <c r="E70" s="22"/>
      <c r="F70" s="22"/>
      <c r="G70" s="39"/>
      <c r="H70" s="17" t="str">
        <f t="shared" si="0"/>
        <v/>
      </c>
      <c r="I70" s="40"/>
    </row>
    <row r="71" spans="2:9">
      <c r="B71" s="106"/>
      <c r="D71" s="36"/>
      <c r="E71" s="22"/>
      <c r="F71" s="22"/>
      <c r="G71" s="39"/>
      <c r="H71" s="17" t="str">
        <f t="shared" si="0"/>
        <v/>
      </c>
      <c r="I71" s="40"/>
    </row>
    <row r="72" spans="2:9">
      <c r="B72" s="106"/>
      <c r="D72" s="36"/>
      <c r="E72" s="22"/>
      <c r="F72" s="22"/>
      <c r="G72" s="39"/>
      <c r="H72" s="17" t="str">
        <f t="shared" si="0"/>
        <v/>
      </c>
      <c r="I72" s="40"/>
    </row>
    <row r="73" spans="2:9">
      <c r="B73" s="106"/>
      <c r="D73" s="36"/>
      <c r="E73" s="22"/>
      <c r="F73" s="22"/>
      <c r="G73" s="39"/>
      <c r="H73" s="17" t="str">
        <f t="shared" si="0"/>
        <v/>
      </c>
      <c r="I73" s="40"/>
    </row>
    <row r="74" spans="2:9" s="28" customFormat="1" ht="19.5" customHeight="1">
      <c r="B74" s="101" t="str">
        <f>$B$10</f>
        <v>C12.6</v>
      </c>
      <c r="C74" s="29" t="s">
        <v>99</v>
      </c>
      <c r="D74" s="30"/>
      <c r="E74" s="30"/>
      <c r="F74" s="31"/>
      <c r="G74" s="30"/>
      <c r="H74" s="32">
        <f>SUM(H9:H73)</f>
        <v>0</v>
      </c>
      <c r="I74" s="33"/>
    </row>
    <row r="75" spans="2:9">
      <c r="B75" s="736" t="str">
        <f>Client1</f>
        <v>AIRPORTS COMPANY - SOUTH AFRICA</v>
      </c>
      <c r="C75" s="736"/>
      <c r="D75" s="736"/>
      <c r="E75" s="736"/>
      <c r="F75" s="737" t="str">
        <f>"Contract No. "&amp;ContractNo</f>
        <v>Contract No. KSIA7806/2025/RFP</v>
      </c>
      <c r="G75" s="737"/>
      <c r="H75" s="737"/>
    </row>
    <row r="76" spans="2:9">
      <c r="B76" s="736" t="str">
        <f>Client2</f>
        <v>ACSA</v>
      </c>
      <c r="C76" s="736"/>
      <c r="D76" s="736"/>
      <c r="E76" s="736"/>
      <c r="F76" s="737"/>
      <c r="G76" s="737"/>
      <c r="H76" s="737"/>
    </row>
    <row r="77" spans="2:9">
      <c r="B77" s="739"/>
      <c r="C77" s="739"/>
      <c r="D77" s="739"/>
      <c r="E77" s="739"/>
      <c r="F77" s="738"/>
      <c r="G77" s="738"/>
      <c r="H77" s="738"/>
    </row>
    <row r="78" spans="2:9">
      <c r="B78" s="695" t="s">
        <v>456</v>
      </c>
      <c r="C78" s="696"/>
      <c r="D78" s="696"/>
      <c r="E78" s="696"/>
      <c r="F78" s="696"/>
      <c r="G78" s="696"/>
      <c r="H78" s="740" t="str">
        <f>$H$4</f>
        <v>CHAPTER C12.6</v>
      </c>
      <c r="I78" s="6"/>
    </row>
    <row r="79" spans="2:9">
      <c r="B79" s="690" t="str">
        <f>ContractDescription</f>
        <v>PROCUREMENT OF A CIDB GRADE 9 CE CONTRACTOR THE COMPLETION OF BRAVO TAXIWAY EXTENSION AT KING SHAKA INTERNATIONAL AIRPORT FOR A PERIOD OF 12 MONTHS AT KING SHAKA INTERNATIONAL AIRPORT</v>
      </c>
      <c r="C79" s="691"/>
      <c r="D79" s="691"/>
      <c r="E79" s="691"/>
      <c r="F79" s="691"/>
      <c r="G79" s="691"/>
      <c r="H79" s="737"/>
      <c r="I79" s="8"/>
    </row>
    <row r="80" spans="2:9">
      <c r="B80" s="690"/>
      <c r="C80" s="691"/>
      <c r="D80" s="691"/>
      <c r="E80" s="691"/>
      <c r="F80" s="691"/>
      <c r="G80" s="691"/>
      <c r="H80" s="737"/>
      <c r="I80" s="8"/>
    </row>
    <row r="81" spans="2:9">
      <c r="B81" s="692"/>
      <c r="C81" s="693"/>
      <c r="D81" s="693"/>
      <c r="E81" s="693"/>
      <c r="F81" s="693"/>
      <c r="G81" s="693"/>
      <c r="H81" s="738"/>
      <c r="I81" s="8"/>
    </row>
    <row r="82" spans="2:9" s="9" customFormat="1" ht="24.95" customHeight="1">
      <c r="B82" s="70" t="s">
        <v>11</v>
      </c>
      <c r="C82" s="11" t="s">
        <v>12</v>
      </c>
      <c r="D82" s="11" t="s">
        <v>13</v>
      </c>
      <c r="E82" s="11" t="s">
        <v>14</v>
      </c>
      <c r="F82" s="11" t="s">
        <v>15</v>
      </c>
      <c r="G82" s="11" t="s">
        <v>16</v>
      </c>
      <c r="H82" s="11" t="s">
        <v>17</v>
      </c>
      <c r="I82" s="12"/>
    </row>
    <row r="83" spans="2:9" s="28" customFormat="1" ht="19.5" customHeight="1">
      <c r="B83" s="74"/>
      <c r="C83" s="29" t="s">
        <v>140</v>
      </c>
      <c r="D83" s="30"/>
      <c r="E83" s="30"/>
      <c r="F83" s="31"/>
      <c r="G83" s="30"/>
      <c r="H83" s="32">
        <f>H74</f>
        <v>0</v>
      </c>
      <c r="I83" s="33"/>
    </row>
    <row r="84" spans="2:9">
      <c r="B84" s="106"/>
      <c r="D84" s="36"/>
      <c r="E84" s="22"/>
      <c r="F84" s="22"/>
      <c r="G84" s="39"/>
      <c r="H84" s="17"/>
      <c r="I84" s="40"/>
    </row>
    <row r="85" spans="2:9">
      <c r="B85" s="103" t="s">
        <v>2037</v>
      </c>
      <c r="C85" s="35" t="s">
        <v>1357</v>
      </c>
      <c r="D85" s="36"/>
      <c r="E85" s="22"/>
      <c r="F85" s="22"/>
      <c r="G85" s="39"/>
      <c r="H85" s="17" t="str">
        <f t="shared" si="0"/>
        <v/>
      </c>
      <c r="I85" s="40"/>
    </row>
    <row r="86" spans="2:9">
      <c r="B86" s="103"/>
      <c r="C86" s="35"/>
      <c r="D86" s="36"/>
      <c r="E86" s="22"/>
      <c r="F86" s="22"/>
      <c r="G86" s="39"/>
      <c r="H86" s="17" t="str">
        <f t="shared" si="0"/>
        <v/>
      </c>
      <c r="I86" s="40"/>
    </row>
    <row r="87" spans="2:9" ht="24" customHeight="1">
      <c r="B87" s="103" t="s">
        <v>2038</v>
      </c>
      <c r="C87" s="55" t="s">
        <v>1359</v>
      </c>
      <c r="D87" s="36"/>
      <c r="E87" s="22"/>
      <c r="F87" s="22"/>
      <c r="G87" s="39"/>
      <c r="H87" s="17" t="str">
        <f t="shared" si="0"/>
        <v/>
      </c>
      <c r="I87" s="40"/>
    </row>
    <row r="88" spans="2:9">
      <c r="B88" s="103"/>
      <c r="D88" s="36"/>
      <c r="E88" s="22"/>
      <c r="F88" s="22"/>
      <c r="G88" s="39"/>
      <c r="H88" s="17" t="str">
        <f t="shared" si="0"/>
        <v/>
      </c>
      <c r="I88" s="40"/>
    </row>
    <row r="89" spans="2:9" ht="14.25">
      <c r="B89" s="103" t="s">
        <v>83</v>
      </c>
      <c r="C89" s="35" t="s">
        <v>2039</v>
      </c>
      <c r="D89" s="22" t="s">
        <v>386</v>
      </c>
      <c r="E89" s="22"/>
      <c r="F89" s="22"/>
      <c r="G89" s="39"/>
      <c r="H89" s="17">
        <f t="shared" si="0"/>
        <v>0</v>
      </c>
      <c r="I89" s="40"/>
    </row>
    <row r="90" spans="2:9">
      <c r="B90" s="103"/>
      <c r="C90" s="1"/>
      <c r="D90" s="36"/>
      <c r="E90" s="22"/>
      <c r="F90" s="22"/>
      <c r="G90" s="39"/>
      <c r="H90" s="17" t="str">
        <f t="shared" si="0"/>
        <v/>
      </c>
      <c r="I90" s="40"/>
    </row>
    <row r="91" spans="2:9" ht="14.25">
      <c r="B91" s="103" t="s">
        <v>86</v>
      </c>
      <c r="C91" s="35" t="s">
        <v>1361</v>
      </c>
      <c r="D91" s="22" t="s">
        <v>386</v>
      </c>
      <c r="E91" s="22"/>
      <c r="F91" s="22"/>
      <c r="G91" s="39"/>
      <c r="H91" s="17">
        <f t="shared" si="0"/>
        <v>0</v>
      </c>
      <c r="I91" s="40"/>
    </row>
    <row r="92" spans="2:9">
      <c r="B92" s="103"/>
      <c r="C92" s="1"/>
      <c r="D92" s="36"/>
      <c r="E92" s="22"/>
      <c r="F92" s="22"/>
      <c r="G92" s="39"/>
      <c r="H92" s="17" t="str">
        <f t="shared" si="0"/>
        <v/>
      </c>
      <c r="I92" s="40"/>
    </row>
    <row r="93" spans="2:9" ht="14.25">
      <c r="B93" s="103" t="s">
        <v>117</v>
      </c>
      <c r="C93" s="35" t="s">
        <v>2040</v>
      </c>
      <c r="D93" s="22" t="s">
        <v>386</v>
      </c>
      <c r="E93" s="22"/>
      <c r="F93" s="22"/>
      <c r="G93" s="39"/>
      <c r="H93" s="17">
        <f t="shared" si="0"/>
        <v>0</v>
      </c>
      <c r="I93" s="40"/>
    </row>
    <row r="94" spans="2:9">
      <c r="B94" s="103"/>
      <c r="D94" s="36"/>
      <c r="E94" s="22"/>
      <c r="F94" s="22"/>
      <c r="G94" s="39"/>
      <c r="H94" s="17" t="str">
        <f t="shared" si="0"/>
        <v/>
      </c>
      <c r="I94" s="40"/>
    </row>
    <row r="95" spans="2:9" ht="26.1" customHeight="1">
      <c r="B95" s="103" t="s">
        <v>2041</v>
      </c>
      <c r="C95" s="55" t="s">
        <v>1363</v>
      </c>
      <c r="D95" s="22" t="s">
        <v>386</v>
      </c>
      <c r="E95" s="22"/>
      <c r="F95" s="22"/>
      <c r="G95" s="39"/>
      <c r="H95" s="17">
        <f t="shared" si="0"/>
        <v>0</v>
      </c>
      <c r="I95" s="40"/>
    </row>
    <row r="96" spans="2:9">
      <c r="B96" s="106"/>
      <c r="C96" s="1"/>
      <c r="D96" s="36"/>
      <c r="E96" s="22"/>
      <c r="F96" s="22"/>
      <c r="G96" s="39"/>
      <c r="H96" s="17" t="str">
        <f t="shared" si="0"/>
        <v/>
      </c>
      <c r="I96" s="40"/>
    </row>
    <row r="97" spans="2:9" ht="39">
      <c r="B97" s="116" t="s">
        <v>2042</v>
      </c>
      <c r="C97" s="55" t="s">
        <v>2043</v>
      </c>
      <c r="D97" s="22" t="s">
        <v>386</v>
      </c>
      <c r="E97" s="22"/>
      <c r="F97" s="22"/>
      <c r="G97" s="39"/>
      <c r="H97" s="17">
        <f t="shared" si="0"/>
        <v>0</v>
      </c>
      <c r="I97" s="40"/>
    </row>
    <row r="98" spans="2:9">
      <c r="B98" s="106"/>
      <c r="D98" s="36"/>
      <c r="E98" s="22"/>
      <c r="F98" s="22"/>
      <c r="G98" s="39"/>
      <c r="H98" s="17" t="str">
        <f t="shared" si="0"/>
        <v/>
      </c>
      <c r="I98" s="40"/>
    </row>
    <row r="99" spans="2:9" ht="38.25">
      <c r="B99" s="103" t="s">
        <v>2044</v>
      </c>
      <c r="C99" s="55" t="s">
        <v>2045</v>
      </c>
      <c r="D99" s="22" t="s">
        <v>386</v>
      </c>
      <c r="E99" s="22"/>
      <c r="F99" s="22"/>
      <c r="G99" s="39"/>
      <c r="H99" s="17">
        <f t="shared" si="0"/>
        <v>0</v>
      </c>
      <c r="I99" s="40"/>
    </row>
    <row r="100" spans="2:9">
      <c r="B100" s="103"/>
      <c r="D100" s="36"/>
      <c r="E100" s="22"/>
      <c r="F100" s="22"/>
      <c r="G100" s="39"/>
      <c r="H100" s="17" t="str">
        <f t="shared" ref="H100:H144" si="1">IF(D100="","",F100*G100)</f>
        <v/>
      </c>
      <c r="I100" s="40"/>
    </row>
    <row r="101" spans="2:9" ht="14.25">
      <c r="B101" s="103" t="s">
        <v>2046</v>
      </c>
      <c r="C101" s="35" t="s">
        <v>2047</v>
      </c>
      <c r="D101" s="36" t="s">
        <v>124</v>
      </c>
      <c r="E101" s="22"/>
      <c r="F101" s="22"/>
      <c r="G101" s="39"/>
      <c r="H101" s="17">
        <f t="shared" si="1"/>
        <v>0</v>
      </c>
      <c r="I101" s="40"/>
    </row>
    <row r="102" spans="2:9">
      <c r="B102" s="106"/>
      <c r="D102" s="44"/>
      <c r="E102" s="22"/>
      <c r="F102" s="22"/>
      <c r="G102" s="39"/>
      <c r="H102" s="17" t="str">
        <f t="shared" si="1"/>
        <v/>
      </c>
      <c r="I102" s="40"/>
    </row>
    <row r="103" spans="2:9">
      <c r="B103" s="103" t="s">
        <v>2048</v>
      </c>
      <c r="C103" s="35" t="s">
        <v>2049</v>
      </c>
      <c r="D103" s="36"/>
      <c r="E103" s="22"/>
      <c r="F103" s="22"/>
      <c r="G103" s="39"/>
      <c r="H103" s="17" t="str">
        <f t="shared" si="1"/>
        <v/>
      </c>
      <c r="I103" s="40"/>
    </row>
    <row r="104" spans="2:9" ht="14.25">
      <c r="B104" s="106"/>
      <c r="D104" s="22" t="s">
        <v>386</v>
      </c>
      <c r="E104" s="22"/>
      <c r="F104" s="22"/>
      <c r="G104" s="39"/>
      <c r="H104" s="17">
        <f t="shared" si="1"/>
        <v>0</v>
      </c>
      <c r="I104" s="40"/>
    </row>
    <row r="105" spans="2:9">
      <c r="B105" s="103" t="s">
        <v>2050</v>
      </c>
      <c r="C105" s="35" t="s">
        <v>2051</v>
      </c>
      <c r="D105" s="36"/>
      <c r="E105" s="22"/>
      <c r="F105" s="22"/>
      <c r="G105" s="39"/>
      <c r="H105" s="17" t="str">
        <f t="shared" si="1"/>
        <v/>
      </c>
      <c r="I105" s="40"/>
    </row>
    <row r="106" spans="2:9">
      <c r="B106" s="106"/>
      <c r="D106" s="36"/>
      <c r="E106" s="22"/>
      <c r="F106" s="22"/>
      <c r="G106" s="39"/>
      <c r="H106" s="17" t="str">
        <f t="shared" si="1"/>
        <v/>
      </c>
      <c r="I106" s="40"/>
    </row>
    <row r="107" spans="2:9" ht="14.25">
      <c r="B107" s="103" t="s">
        <v>2052</v>
      </c>
      <c r="C107" s="35" t="s">
        <v>2053</v>
      </c>
      <c r="D107" s="22" t="s">
        <v>386</v>
      </c>
      <c r="E107" s="22"/>
      <c r="F107" s="22"/>
      <c r="G107" s="39"/>
      <c r="H107" s="17">
        <f t="shared" si="1"/>
        <v>0</v>
      </c>
      <c r="I107" s="40"/>
    </row>
    <row r="108" spans="2:9">
      <c r="B108" s="106"/>
      <c r="D108" s="36"/>
      <c r="E108" s="22"/>
      <c r="F108" s="22"/>
      <c r="G108" s="39"/>
      <c r="H108" s="17" t="str">
        <f t="shared" si="1"/>
        <v/>
      </c>
      <c r="I108" s="40"/>
    </row>
    <row r="109" spans="2:9" ht="14.25">
      <c r="B109" s="103" t="s">
        <v>2054</v>
      </c>
      <c r="C109" s="35" t="s">
        <v>2055</v>
      </c>
      <c r="D109" s="22" t="s">
        <v>386</v>
      </c>
      <c r="E109" s="22"/>
      <c r="F109" s="22"/>
      <c r="G109" s="39"/>
      <c r="H109" s="17">
        <f t="shared" si="1"/>
        <v>0</v>
      </c>
      <c r="I109" s="40"/>
    </row>
    <row r="110" spans="2:9">
      <c r="B110" s="106"/>
      <c r="D110" s="36"/>
      <c r="E110" s="22"/>
      <c r="F110" s="22"/>
      <c r="G110" s="39"/>
      <c r="H110" s="17" t="str">
        <f t="shared" si="1"/>
        <v/>
      </c>
      <c r="I110" s="40"/>
    </row>
    <row r="111" spans="2:9" ht="14.25">
      <c r="B111" s="103" t="s">
        <v>2056</v>
      </c>
      <c r="C111" s="35" t="s">
        <v>2057</v>
      </c>
      <c r="D111" s="22" t="s">
        <v>386</v>
      </c>
      <c r="E111" s="22"/>
      <c r="F111" s="22"/>
      <c r="G111" s="39"/>
      <c r="H111" s="17">
        <f t="shared" si="1"/>
        <v>0</v>
      </c>
      <c r="I111" s="40"/>
    </row>
    <row r="112" spans="2:9">
      <c r="B112" s="106"/>
      <c r="D112" s="36"/>
      <c r="E112" s="22"/>
      <c r="F112" s="22"/>
      <c r="G112" s="39"/>
      <c r="H112" s="17" t="str">
        <f t="shared" si="1"/>
        <v/>
      </c>
      <c r="I112" s="40"/>
    </row>
    <row r="113" spans="2:9" ht="14.25">
      <c r="B113" s="103" t="s">
        <v>2058</v>
      </c>
      <c r="C113" s="35" t="s">
        <v>2059</v>
      </c>
      <c r="D113" s="36" t="s">
        <v>124</v>
      </c>
      <c r="E113" s="22"/>
      <c r="F113" s="22"/>
      <c r="G113" s="39"/>
      <c r="H113" s="17">
        <f t="shared" si="1"/>
        <v>0</v>
      </c>
      <c r="I113" s="40"/>
    </row>
    <row r="114" spans="2:9">
      <c r="B114" s="103"/>
      <c r="C114" s="35"/>
      <c r="D114" s="36"/>
      <c r="E114" s="22"/>
      <c r="F114" s="22"/>
      <c r="G114" s="39"/>
      <c r="H114" s="17" t="str">
        <f t="shared" si="1"/>
        <v/>
      </c>
      <c r="I114" s="40"/>
    </row>
    <row r="115" spans="2:9">
      <c r="B115" s="103"/>
      <c r="C115" s="35"/>
      <c r="D115" s="36"/>
      <c r="E115" s="22"/>
      <c r="F115" s="22"/>
      <c r="G115" s="39"/>
      <c r="H115" s="17"/>
      <c r="I115" s="40"/>
    </row>
    <row r="116" spans="2:9">
      <c r="B116" s="103"/>
      <c r="C116" s="35"/>
      <c r="D116" s="36"/>
      <c r="E116" s="22"/>
      <c r="F116" s="22"/>
      <c r="G116" s="39"/>
      <c r="H116" s="17"/>
      <c r="I116" s="40"/>
    </row>
    <row r="117" spans="2:9">
      <c r="B117" s="103"/>
      <c r="C117" s="35"/>
      <c r="D117" s="36"/>
      <c r="E117" s="22"/>
      <c r="F117" s="22"/>
      <c r="G117" s="39"/>
      <c r="H117" s="17"/>
      <c r="I117" s="40"/>
    </row>
    <row r="118" spans="2:9">
      <c r="B118" s="103"/>
      <c r="C118" s="35"/>
      <c r="D118" s="36"/>
      <c r="E118" s="22"/>
      <c r="F118" s="22"/>
      <c r="G118" s="39"/>
      <c r="H118" s="17"/>
      <c r="I118" s="40"/>
    </row>
    <row r="119" spans="2:9">
      <c r="B119" s="103"/>
      <c r="C119" s="35"/>
      <c r="D119" s="36"/>
      <c r="E119" s="22"/>
      <c r="F119" s="22"/>
      <c r="G119" s="39"/>
      <c r="H119" s="17"/>
      <c r="I119" s="40"/>
    </row>
    <row r="120" spans="2:9">
      <c r="B120" s="103"/>
      <c r="C120" s="35"/>
      <c r="D120" s="36"/>
      <c r="E120" s="22"/>
      <c r="F120" s="22"/>
      <c r="G120" s="39"/>
      <c r="H120" s="17"/>
      <c r="I120" s="40"/>
    </row>
    <row r="121" spans="2:9">
      <c r="B121" s="103"/>
      <c r="C121" s="35"/>
      <c r="D121" s="36"/>
      <c r="E121" s="22"/>
      <c r="F121" s="22"/>
      <c r="G121" s="39"/>
      <c r="H121" s="17"/>
      <c r="I121" s="40"/>
    </row>
    <row r="122" spans="2:9">
      <c r="B122" s="103"/>
      <c r="C122" s="35"/>
      <c r="D122" s="36"/>
      <c r="E122" s="22"/>
      <c r="F122" s="22"/>
      <c r="G122" s="39"/>
      <c r="H122" s="17"/>
      <c r="I122" s="40"/>
    </row>
    <row r="123" spans="2:9">
      <c r="B123" s="103"/>
      <c r="C123" s="35"/>
      <c r="D123" s="36"/>
      <c r="E123" s="22"/>
      <c r="F123" s="22"/>
      <c r="G123" s="39"/>
      <c r="H123" s="17"/>
      <c r="I123" s="40"/>
    </row>
    <row r="124" spans="2:9">
      <c r="B124" s="103"/>
      <c r="C124" s="35"/>
      <c r="D124" s="36"/>
      <c r="E124" s="22"/>
      <c r="F124" s="22"/>
      <c r="G124" s="39"/>
      <c r="H124" s="17"/>
      <c r="I124" s="40"/>
    </row>
    <row r="125" spans="2:9">
      <c r="B125" s="103"/>
      <c r="C125" s="35"/>
      <c r="D125" s="36"/>
      <c r="E125" s="22"/>
      <c r="F125" s="22"/>
      <c r="G125" s="39"/>
      <c r="H125" s="17"/>
      <c r="I125" s="40"/>
    </row>
    <row r="126" spans="2:9">
      <c r="B126" s="103"/>
      <c r="C126" s="35"/>
      <c r="D126" s="36"/>
      <c r="E126" s="22"/>
      <c r="F126" s="22"/>
      <c r="G126" s="39"/>
      <c r="H126" s="17"/>
      <c r="I126" s="40"/>
    </row>
    <row r="127" spans="2:9">
      <c r="B127" s="103"/>
      <c r="C127" s="35"/>
      <c r="D127" s="36"/>
      <c r="E127" s="22"/>
      <c r="F127" s="22"/>
      <c r="G127" s="39"/>
      <c r="H127" s="17"/>
      <c r="I127" s="40"/>
    </row>
    <row r="128" spans="2:9">
      <c r="B128" s="103"/>
      <c r="C128" s="35"/>
      <c r="D128" s="36"/>
      <c r="E128" s="22"/>
      <c r="F128" s="22"/>
      <c r="G128" s="39"/>
      <c r="H128" s="17"/>
      <c r="I128" s="40"/>
    </row>
    <row r="129" spans="2:9">
      <c r="B129" s="103"/>
      <c r="C129" s="35"/>
      <c r="D129" s="36"/>
      <c r="E129" s="22"/>
      <c r="F129" s="22"/>
      <c r="G129" s="39"/>
      <c r="H129" s="17"/>
      <c r="I129" s="40"/>
    </row>
    <row r="130" spans="2:9">
      <c r="B130" s="103"/>
      <c r="C130" s="35"/>
      <c r="D130" s="36"/>
      <c r="E130" s="22"/>
      <c r="F130" s="22"/>
      <c r="G130" s="39"/>
      <c r="H130" s="17"/>
      <c r="I130" s="40"/>
    </row>
    <row r="131" spans="2:9">
      <c r="B131" s="103"/>
      <c r="C131" s="35"/>
      <c r="D131" s="36"/>
      <c r="E131" s="22"/>
      <c r="F131" s="22"/>
      <c r="G131" s="39"/>
      <c r="H131" s="17"/>
      <c r="I131" s="40"/>
    </row>
    <row r="132" spans="2:9">
      <c r="B132" s="103"/>
      <c r="C132" s="35"/>
      <c r="D132" s="36"/>
      <c r="E132" s="22"/>
      <c r="F132" s="22"/>
      <c r="G132" s="39"/>
      <c r="H132" s="17"/>
      <c r="I132" s="40"/>
    </row>
    <row r="133" spans="2:9">
      <c r="B133" s="103"/>
      <c r="C133" s="35"/>
      <c r="D133" s="36"/>
      <c r="E133" s="22"/>
      <c r="F133" s="22"/>
      <c r="G133" s="39"/>
      <c r="H133" s="17"/>
      <c r="I133" s="40"/>
    </row>
    <row r="134" spans="2:9">
      <c r="B134" s="103"/>
      <c r="C134" s="35"/>
      <c r="D134" s="36"/>
      <c r="E134" s="22"/>
      <c r="F134" s="22"/>
      <c r="G134" s="39"/>
      <c r="H134" s="17"/>
      <c r="I134" s="40"/>
    </row>
    <row r="135" spans="2:9">
      <c r="B135" s="103"/>
      <c r="C135" s="35"/>
      <c r="D135" s="36"/>
      <c r="E135" s="22"/>
      <c r="F135" s="22"/>
      <c r="G135" s="39"/>
      <c r="H135" s="17"/>
      <c r="I135" s="40"/>
    </row>
    <row r="136" spans="2:9">
      <c r="B136" s="103"/>
      <c r="C136" s="35"/>
      <c r="D136" s="36"/>
      <c r="E136" s="22"/>
      <c r="F136" s="22"/>
      <c r="G136" s="39"/>
      <c r="H136" s="17"/>
      <c r="I136" s="40"/>
    </row>
    <row r="137" spans="2:9">
      <c r="B137" s="103"/>
      <c r="C137" s="35"/>
      <c r="D137" s="36"/>
      <c r="E137" s="22"/>
      <c r="F137" s="22"/>
      <c r="G137" s="39"/>
      <c r="H137" s="17"/>
      <c r="I137" s="40"/>
    </row>
    <row r="138" spans="2:9">
      <c r="B138" s="103"/>
      <c r="C138" s="35"/>
      <c r="D138" s="36"/>
      <c r="E138" s="22"/>
      <c r="F138" s="22"/>
      <c r="G138" s="39"/>
      <c r="H138" s="17"/>
      <c r="I138" s="40"/>
    </row>
    <row r="139" spans="2:9">
      <c r="B139" s="103"/>
      <c r="C139" s="35"/>
      <c r="D139" s="36"/>
      <c r="E139" s="22"/>
      <c r="F139" s="22"/>
      <c r="G139" s="39"/>
      <c r="H139" s="17"/>
      <c r="I139" s="40"/>
    </row>
    <row r="140" spans="2:9">
      <c r="B140" s="103"/>
      <c r="C140" s="35"/>
      <c r="D140" s="36"/>
      <c r="E140" s="22"/>
      <c r="F140" s="22"/>
      <c r="G140" s="39"/>
      <c r="H140" s="17"/>
      <c r="I140" s="40"/>
    </row>
    <row r="141" spans="2:9">
      <c r="B141" s="103"/>
      <c r="C141" s="35"/>
      <c r="D141" s="36"/>
      <c r="E141" s="22"/>
      <c r="F141" s="22"/>
      <c r="G141" s="39"/>
      <c r="H141" s="17" t="str">
        <f t="shared" si="1"/>
        <v/>
      </c>
      <c r="I141" s="40"/>
    </row>
    <row r="142" spans="2:9">
      <c r="B142" s="103"/>
      <c r="C142" s="35"/>
      <c r="D142" s="36"/>
      <c r="E142" s="22"/>
      <c r="F142" s="22"/>
      <c r="G142" s="39"/>
      <c r="H142" s="17" t="str">
        <f t="shared" si="1"/>
        <v/>
      </c>
      <c r="I142" s="40"/>
    </row>
    <row r="143" spans="2:9">
      <c r="B143" s="103"/>
      <c r="C143" s="35"/>
      <c r="D143" s="36"/>
      <c r="E143" s="22"/>
      <c r="F143" s="22"/>
      <c r="G143" s="39"/>
      <c r="H143" s="17" t="str">
        <f t="shared" si="1"/>
        <v/>
      </c>
      <c r="I143" s="40"/>
    </row>
    <row r="144" spans="2:9">
      <c r="B144" s="103"/>
      <c r="C144" s="35"/>
      <c r="D144" s="36"/>
      <c r="E144" s="22"/>
      <c r="F144" s="22"/>
      <c r="G144" s="39"/>
      <c r="H144" s="17" t="str">
        <f t="shared" si="1"/>
        <v/>
      </c>
      <c r="I144" s="40"/>
    </row>
    <row r="145" spans="2:9" s="28" customFormat="1" ht="24.75" customHeight="1">
      <c r="B145" s="82" t="str">
        <f>$B$10</f>
        <v>C12.6</v>
      </c>
      <c r="C145" s="29" t="s">
        <v>125</v>
      </c>
      <c r="D145" s="30"/>
      <c r="E145" s="30"/>
      <c r="F145" s="31"/>
      <c r="G145" s="30"/>
      <c r="H145" s="32">
        <f>SUM(H83:H144)</f>
        <v>0</v>
      </c>
      <c r="I145" s="33"/>
    </row>
  </sheetData>
  <mergeCells count="11">
    <mergeCell ref="B78:G78"/>
    <mergeCell ref="H78:H81"/>
    <mergeCell ref="B79:G81"/>
    <mergeCell ref="F1:H1"/>
    <mergeCell ref="B5:G7"/>
    <mergeCell ref="H4:H7"/>
    <mergeCell ref="B4:G4"/>
    <mergeCell ref="B75:E75"/>
    <mergeCell ref="F75:H77"/>
    <mergeCell ref="B76:E76"/>
    <mergeCell ref="B77:E77"/>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B1:L149"/>
  <sheetViews>
    <sheetView view="pageBreakPreview" topLeftCell="A122" zoomScaleNormal="100" zoomScaleSheetLayoutView="100" workbookViewId="0">
      <selection activeCell="C27" sqref="C27"/>
    </sheetView>
  </sheetViews>
  <sheetFormatPr defaultColWidth="6.85546875" defaultRowHeight="12.75"/>
  <cols>
    <col min="1" max="1" width="0.85546875" style="1" customWidth="1"/>
    <col min="2" max="2" width="11.7109375" style="455" customWidth="1"/>
    <col min="3" max="3" width="45.7109375" style="1" customWidth="1"/>
    <col min="4" max="4" width="15.28515625" style="1" customWidth="1"/>
    <col min="5" max="5" width="5.7109375" style="1" customWidth="1"/>
    <col min="6" max="6" width="15.7109375" style="4" customWidth="1"/>
    <col min="7" max="7" width="15.7109375" style="398" customWidth="1"/>
    <col min="8" max="8" width="22" style="399" customWidth="1"/>
    <col min="9" max="9" width="0" style="1" hidden="1" customWidth="1"/>
    <col min="10" max="10" width="21" style="1" hidden="1" customWidth="1"/>
    <col min="11" max="11" width="0" style="1" hidden="1" customWidth="1"/>
    <col min="12" max="12" width="18.28515625" style="1" hidden="1" customWidth="1"/>
    <col min="13" max="36" width="0" style="1" hidden="1" customWidth="1"/>
    <col min="37" max="16384" width="6.85546875" style="1"/>
  </cols>
  <sheetData>
    <row r="1" spans="2:8" ht="21.75" customHeight="1">
      <c r="B1" s="28" t="str">
        <f>Client1</f>
        <v>AIRPORTS COMPANY - SOUTH AFRICA</v>
      </c>
      <c r="F1" s="676" t="str">
        <f>"Contract No. "&amp;ContractNo</f>
        <v>Contract No. KSIA7806/2025/RFP</v>
      </c>
      <c r="G1" s="676"/>
      <c r="H1" s="676"/>
    </row>
    <row r="2" spans="2:8">
      <c r="B2" s="28" t="str">
        <f>Client2</f>
        <v>ACSA</v>
      </c>
    </row>
    <row r="3" spans="2:8">
      <c r="B3" s="73"/>
      <c r="C3" s="73"/>
      <c r="D3" s="73"/>
      <c r="E3" s="73"/>
      <c r="F3" s="72"/>
      <c r="G3" s="400"/>
      <c r="H3" s="401"/>
    </row>
    <row r="4" spans="2:8">
      <c r="B4" s="687" t="s">
        <v>10</v>
      </c>
      <c r="C4" s="688"/>
      <c r="D4" s="688"/>
      <c r="E4" s="688"/>
      <c r="F4" s="688"/>
      <c r="G4" s="688"/>
      <c r="H4" s="684" t="str">
        <f>"CHAPTER "&amp;B10</f>
        <v>CHAPTER C1.5</v>
      </c>
    </row>
    <row r="5" spans="2:8" ht="7.5" customHeight="1">
      <c r="B5" s="680" t="str">
        <f>ContractDescription</f>
        <v>PROCUREMENT OF A CIDB GRADE 9 CE CONTRACTOR THE COMPLETION OF BRAVO TAXIWAY EXTENSION AT KING SHAKA INTERNATIONAL AIRPORT FOR A PERIOD OF 12 MONTHS AT KING SHAKA INTERNATIONAL AIRPORT</v>
      </c>
      <c r="C5" s="681"/>
      <c r="D5" s="681"/>
      <c r="E5" s="681"/>
      <c r="F5" s="681"/>
      <c r="G5" s="681"/>
      <c r="H5" s="694"/>
    </row>
    <row r="6" spans="2:8" ht="22.5" customHeight="1">
      <c r="B6" s="680"/>
      <c r="C6" s="681"/>
      <c r="D6" s="681"/>
      <c r="E6" s="681"/>
      <c r="F6" s="681"/>
      <c r="G6" s="681"/>
      <c r="H6" s="694"/>
    </row>
    <row r="7" spans="2:8" ht="7.5" customHeight="1">
      <c r="B7" s="682"/>
      <c r="C7" s="683"/>
      <c r="D7" s="683"/>
      <c r="E7" s="683"/>
      <c r="F7" s="683"/>
      <c r="G7" s="683"/>
      <c r="H7" s="686"/>
    </row>
    <row r="8" spans="2:8" s="28" customFormat="1" ht="24.95" customHeight="1">
      <c r="B8" s="70" t="s">
        <v>11</v>
      </c>
      <c r="C8" s="519" t="s">
        <v>12</v>
      </c>
      <c r="D8" s="519" t="s">
        <v>13</v>
      </c>
      <c r="E8" s="519" t="s">
        <v>14</v>
      </c>
      <c r="F8" s="11" t="s">
        <v>15</v>
      </c>
      <c r="G8" s="409" t="s">
        <v>16</v>
      </c>
      <c r="H8" s="364" t="s">
        <v>17</v>
      </c>
    </row>
    <row r="9" spans="2:8">
      <c r="B9" s="294"/>
      <c r="C9" s="39"/>
      <c r="D9" s="39"/>
      <c r="E9" s="39"/>
      <c r="F9" s="22"/>
      <c r="G9" s="410"/>
      <c r="H9" s="363" t="str">
        <f>IF(D9="","",F9*G9)</f>
        <v/>
      </c>
    </row>
    <row r="10" spans="2:8">
      <c r="B10" s="295" t="s">
        <v>217</v>
      </c>
      <c r="C10" s="520" t="s">
        <v>218</v>
      </c>
      <c r="D10" s="39"/>
      <c r="E10" s="39"/>
      <c r="F10" s="22"/>
      <c r="G10" s="410"/>
      <c r="H10" s="363" t="str">
        <f t="shared" ref="H10:H90" si="0">IF(D10="","",F10*G10)</f>
        <v/>
      </c>
    </row>
    <row r="11" spans="2:8">
      <c r="B11" s="295"/>
      <c r="C11" s="520"/>
      <c r="D11" s="39"/>
      <c r="E11" s="39"/>
      <c r="F11" s="22"/>
      <c r="G11" s="410"/>
      <c r="H11" s="363"/>
    </row>
    <row r="12" spans="2:8" ht="51">
      <c r="B12" s="295"/>
      <c r="C12" s="520" t="s">
        <v>20</v>
      </c>
      <c r="D12" s="39"/>
      <c r="E12" s="39"/>
      <c r="F12" s="22"/>
      <c r="G12" s="410"/>
      <c r="H12" s="363"/>
    </row>
    <row r="13" spans="2:8">
      <c r="B13" s="294"/>
      <c r="C13" s="39"/>
      <c r="D13" s="39"/>
      <c r="E13" s="39"/>
      <c r="F13" s="22"/>
      <c r="G13" s="410"/>
      <c r="H13" s="363" t="str">
        <f t="shared" si="0"/>
        <v/>
      </c>
    </row>
    <row r="14" spans="2:8" ht="25.5">
      <c r="B14" s="294" t="s">
        <v>219</v>
      </c>
      <c r="C14" s="39" t="s">
        <v>220</v>
      </c>
      <c r="D14" s="39"/>
      <c r="E14" s="39"/>
      <c r="F14" s="22"/>
      <c r="G14" s="410"/>
      <c r="H14" s="363" t="str">
        <f t="shared" si="0"/>
        <v/>
      </c>
    </row>
    <row r="15" spans="2:8">
      <c r="B15" s="294"/>
      <c r="C15" s="39"/>
      <c r="D15" s="39"/>
      <c r="E15" s="39"/>
      <c r="F15" s="22"/>
      <c r="G15" s="410"/>
      <c r="H15" s="363" t="str">
        <f t="shared" si="0"/>
        <v/>
      </c>
    </row>
    <row r="16" spans="2:8" ht="25.5">
      <c r="B16" s="294" t="s">
        <v>221</v>
      </c>
      <c r="C16" s="304" t="s">
        <v>220</v>
      </c>
      <c r="D16" s="39" t="s">
        <v>25</v>
      </c>
      <c r="E16" s="44"/>
      <c r="F16" s="240">
        <v>12</v>
      </c>
      <c r="G16" s="586"/>
      <c r="H16" s="363">
        <f>G16*F16</f>
        <v>0</v>
      </c>
    </row>
    <row r="17" spans="2:8">
      <c r="B17" s="294"/>
      <c r="C17" s="304"/>
      <c r="D17" s="39"/>
      <c r="E17" s="39"/>
      <c r="F17" s="22"/>
      <c r="G17" s="586"/>
      <c r="H17" s="363"/>
    </row>
    <row r="18" spans="2:8">
      <c r="B18" s="294" t="s">
        <v>222</v>
      </c>
      <c r="C18" s="304" t="s">
        <v>223</v>
      </c>
      <c r="D18" s="39" t="s">
        <v>25</v>
      </c>
      <c r="E18" s="44"/>
      <c r="F18" s="240">
        <v>12</v>
      </c>
      <c r="G18" s="587"/>
      <c r="H18" s="363">
        <f t="shared" si="0"/>
        <v>0</v>
      </c>
    </row>
    <row r="19" spans="2:8">
      <c r="B19" s="294"/>
      <c r="C19" s="304"/>
      <c r="D19" s="39"/>
      <c r="E19" s="44"/>
      <c r="F19" s="240"/>
      <c r="G19" s="587"/>
      <c r="H19" s="363" t="str">
        <f t="shared" si="0"/>
        <v/>
      </c>
    </row>
    <row r="20" spans="2:8">
      <c r="B20" s="294" t="s">
        <v>224</v>
      </c>
      <c r="C20" s="304" t="s">
        <v>225</v>
      </c>
      <c r="D20" s="39" t="s">
        <v>226</v>
      </c>
      <c r="E20" s="44"/>
      <c r="F20" s="240">
        <v>12</v>
      </c>
      <c r="G20" s="587"/>
      <c r="H20" s="363">
        <f>G20*F20</f>
        <v>0</v>
      </c>
    </row>
    <row r="21" spans="2:8">
      <c r="B21" s="294"/>
      <c r="C21" s="304"/>
      <c r="D21" s="39"/>
      <c r="E21" s="44"/>
      <c r="F21" s="240"/>
      <c r="G21" s="587"/>
      <c r="H21" s="363"/>
    </row>
    <row r="22" spans="2:8">
      <c r="B22" s="13" t="s">
        <v>227</v>
      </c>
      <c r="C22" s="14" t="s">
        <v>228</v>
      </c>
      <c r="D22" s="22"/>
      <c r="E22" s="22"/>
      <c r="F22" s="240"/>
      <c r="G22" s="586"/>
      <c r="H22" s="367" t="str">
        <f t="shared" ref="H22" si="1">IF(D22="","",F22*G22)</f>
        <v/>
      </c>
    </row>
    <row r="23" spans="2:8">
      <c r="B23" s="294"/>
      <c r="C23" s="304"/>
      <c r="D23" s="39"/>
      <c r="E23" s="44"/>
      <c r="F23" s="240"/>
      <c r="G23" s="587"/>
      <c r="H23" s="363"/>
    </row>
    <row r="24" spans="2:8" ht="25.5">
      <c r="B24" s="294" t="s">
        <v>229</v>
      </c>
      <c r="C24" s="304" t="s">
        <v>230</v>
      </c>
      <c r="D24" s="39"/>
      <c r="E24" s="44"/>
      <c r="F24" s="240"/>
      <c r="G24" s="587"/>
      <c r="H24" s="363"/>
    </row>
    <row r="25" spans="2:8">
      <c r="B25" s="294"/>
      <c r="C25" s="304"/>
      <c r="D25" s="39"/>
      <c r="E25" s="44"/>
      <c r="F25" s="240"/>
      <c r="G25" s="587"/>
      <c r="H25" s="363"/>
    </row>
    <row r="26" spans="2:8" ht="14.25">
      <c r="B26" s="294" t="s">
        <v>231</v>
      </c>
      <c r="C26" s="304" t="s">
        <v>232</v>
      </c>
      <c r="D26" s="22" t="s">
        <v>233</v>
      </c>
      <c r="E26" s="44"/>
      <c r="F26" s="240">
        <v>2000</v>
      </c>
      <c r="G26" s="587"/>
      <c r="H26" s="363">
        <f>G26*F26</f>
        <v>0</v>
      </c>
    </row>
    <row r="27" spans="2:8">
      <c r="B27" s="294"/>
      <c r="C27" s="304"/>
      <c r="D27" s="39"/>
      <c r="E27" s="44"/>
      <c r="F27" s="240"/>
      <c r="G27" s="587"/>
      <c r="H27" s="363"/>
    </row>
    <row r="28" spans="2:8" ht="25.5">
      <c r="B28" s="294" t="s">
        <v>234</v>
      </c>
      <c r="C28" s="304" t="s">
        <v>235</v>
      </c>
      <c r="D28" s="22"/>
      <c r="E28" s="44"/>
      <c r="F28" s="240"/>
      <c r="G28" s="587"/>
      <c r="H28" s="363"/>
    </row>
    <row r="29" spans="2:8">
      <c r="B29" s="294"/>
      <c r="C29" s="304"/>
      <c r="D29" s="22"/>
      <c r="E29" s="44"/>
      <c r="F29" s="240"/>
      <c r="G29" s="587"/>
      <c r="H29" s="363"/>
    </row>
    <row r="30" spans="2:8" ht="25.5">
      <c r="B30" s="294" t="s">
        <v>236</v>
      </c>
      <c r="C30" s="304" t="s">
        <v>237</v>
      </c>
      <c r="D30" s="22" t="s">
        <v>233</v>
      </c>
      <c r="E30" s="44"/>
      <c r="F30" s="240">
        <v>2000</v>
      </c>
      <c r="G30" s="587"/>
      <c r="H30" s="363">
        <f t="shared" ref="H30" si="2">G30*F30</f>
        <v>0</v>
      </c>
    </row>
    <row r="31" spans="2:8">
      <c r="B31" s="294"/>
      <c r="C31" s="304"/>
      <c r="D31" s="39"/>
      <c r="E31" s="44"/>
      <c r="F31" s="240"/>
      <c r="G31" s="587"/>
      <c r="H31" s="363"/>
    </row>
    <row r="32" spans="2:8">
      <c r="B32" s="48" t="s">
        <v>238</v>
      </c>
      <c r="C32" s="14" t="s">
        <v>239</v>
      </c>
      <c r="D32" s="39"/>
      <c r="E32" s="44"/>
      <c r="F32" s="240"/>
      <c r="G32" s="587"/>
      <c r="H32" s="363"/>
    </row>
    <row r="33" spans="2:10">
      <c r="B33" s="294"/>
      <c r="C33" s="304"/>
      <c r="D33" s="39"/>
      <c r="E33" s="44"/>
      <c r="F33" s="240"/>
      <c r="G33" s="587"/>
      <c r="H33" s="363"/>
    </row>
    <row r="34" spans="2:10" ht="25.5">
      <c r="B34" s="48" t="s">
        <v>240</v>
      </c>
      <c r="C34" s="14" t="s">
        <v>241</v>
      </c>
      <c r="D34" s="22" t="s">
        <v>242</v>
      </c>
      <c r="E34" s="22"/>
      <c r="F34" s="22">
        <v>8</v>
      </c>
      <c r="G34" s="587"/>
      <c r="H34" s="367">
        <f t="shared" ref="H34" si="3">IF(D34="","",F34*G34)</f>
        <v>0</v>
      </c>
    </row>
    <row r="35" spans="2:10">
      <c r="B35" s="294"/>
      <c r="C35" s="304"/>
      <c r="D35" s="39"/>
      <c r="E35" s="44"/>
      <c r="F35" s="240"/>
      <c r="G35" s="587"/>
      <c r="H35" s="363"/>
    </row>
    <row r="36" spans="2:10" ht="25.5">
      <c r="B36" s="48" t="s">
        <v>243</v>
      </c>
      <c r="C36" s="14" t="s">
        <v>244</v>
      </c>
      <c r="D36" s="22" t="s">
        <v>245</v>
      </c>
      <c r="E36" s="22"/>
      <c r="F36" s="22">
        <v>1500</v>
      </c>
      <c r="G36" s="587"/>
      <c r="H36" s="367">
        <f t="shared" ref="H36" si="4">IF(D36="","",F36*G36)</f>
        <v>0</v>
      </c>
    </row>
    <row r="37" spans="2:10">
      <c r="B37" s="48"/>
      <c r="C37" s="100"/>
      <c r="D37" s="22"/>
      <c r="E37" s="22"/>
      <c r="F37" s="22"/>
      <c r="G37" s="351"/>
      <c r="H37" s="367"/>
    </row>
    <row r="38" spans="2:10" ht="25.5">
      <c r="B38" s="48" t="s">
        <v>246</v>
      </c>
      <c r="C38" s="14" t="s">
        <v>247</v>
      </c>
      <c r="D38" s="22" t="s">
        <v>248</v>
      </c>
      <c r="E38" s="22"/>
      <c r="F38" s="22">
        <v>200000</v>
      </c>
      <c r="G38" s="351">
        <v>1</v>
      </c>
      <c r="H38" s="367">
        <f t="shared" ref="H38:H40" si="5">IF(D38="","",F38*G38)</f>
        <v>200000</v>
      </c>
    </row>
    <row r="39" spans="2:10">
      <c r="B39" s="48"/>
      <c r="C39" s="14"/>
      <c r="D39" s="22"/>
      <c r="E39" s="22"/>
      <c r="F39" s="22"/>
      <c r="G39" s="351"/>
      <c r="H39" s="367" t="str">
        <f t="shared" si="5"/>
        <v/>
      </c>
    </row>
    <row r="40" spans="2:10" ht="25.5">
      <c r="B40" s="48" t="s">
        <v>249</v>
      </c>
      <c r="C40" s="14" t="s">
        <v>250</v>
      </c>
      <c r="D40" s="22" t="s">
        <v>55</v>
      </c>
      <c r="E40" s="22"/>
      <c r="F40" s="518">
        <f>H38</f>
        <v>200000</v>
      </c>
      <c r="G40" s="587"/>
      <c r="H40" s="367">
        <f t="shared" si="5"/>
        <v>0</v>
      </c>
      <c r="J40" s="1" t="s">
        <v>251</v>
      </c>
    </row>
    <row r="41" spans="2:10">
      <c r="B41" s="294"/>
      <c r="C41" s="39"/>
      <c r="D41" s="39"/>
      <c r="E41" s="39"/>
      <c r="F41" s="22"/>
      <c r="G41" s="351"/>
      <c r="H41" s="363" t="str">
        <f t="shared" si="0"/>
        <v/>
      </c>
    </row>
    <row r="42" spans="2:10" s="28" customFormat="1" ht="20.100000000000001" hidden="1" customHeight="1">
      <c r="B42" s="74" t="str">
        <f>$B$10</f>
        <v>C1.5</v>
      </c>
      <c r="C42" s="29" t="s">
        <v>99</v>
      </c>
      <c r="D42" s="30"/>
      <c r="E42" s="30"/>
      <c r="F42" s="31"/>
      <c r="G42" s="412"/>
      <c r="H42" s="364">
        <f>SUM(H9:H41)</f>
        <v>200000</v>
      </c>
    </row>
    <row r="43" spans="2:10" hidden="1">
      <c r="B43" s="678" t="str">
        <f>Client1</f>
        <v>AIRPORTS COMPANY - SOUTH AFRICA</v>
      </c>
      <c r="C43" s="678"/>
      <c r="D43" s="678"/>
      <c r="E43" s="678"/>
      <c r="F43" s="676" t="str">
        <f>"Contract No. "&amp;ContractNo</f>
        <v>Contract No. KSIA7806/2025/RFP</v>
      </c>
      <c r="G43" s="676"/>
      <c r="H43" s="676"/>
    </row>
    <row r="44" spans="2:10" hidden="1">
      <c r="B44" s="678" t="str">
        <f>Client2</f>
        <v>ACSA</v>
      </c>
      <c r="C44" s="678"/>
      <c r="D44" s="678"/>
      <c r="E44" s="678"/>
      <c r="F44" s="676"/>
      <c r="G44" s="676"/>
      <c r="H44" s="676"/>
    </row>
    <row r="45" spans="2:10" hidden="1">
      <c r="B45" s="679"/>
      <c r="C45" s="679"/>
      <c r="D45" s="679"/>
      <c r="E45" s="679"/>
      <c r="F45" s="677"/>
      <c r="G45" s="677"/>
      <c r="H45" s="677"/>
    </row>
    <row r="46" spans="2:10" hidden="1">
      <c r="B46" s="687" t="s">
        <v>10</v>
      </c>
      <c r="C46" s="688"/>
      <c r="D46" s="688"/>
      <c r="E46" s="688"/>
      <c r="F46" s="688"/>
      <c r="G46" s="688"/>
      <c r="H46" s="684" t="str">
        <f>H4</f>
        <v>CHAPTER C1.5</v>
      </c>
    </row>
    <row r="47" spans="2:10" hidden="1">
      <c r="B47" s="680" t="str">
        <f>ContractDescription</f>
        <v>PROCUREMENT OF A CIDB GRADE 9 CE CONTRACTOR THE COMPLETION OF BRAVO TAXIWAY EXTENSION AT KING SHAKA INTERNATIONAL AIRPORT FOR A PERIOD OF 12 MONTHS AT KING SHAKA INTERNATIONAL AIRPORT</v>
      </c>
      <c r="C47" s="681"/>
      <c r="D47" s="681"/>
      <c r="E47" s="681"/>
      <c r="F47" s="681"/>
      <c r="G47" s="681"/>
      <c r="H47" s="694"/>
    </row>
    <row r="48" spans="2:10" hidden="1">
      <c r="B48" s="680"/>
      <c r="C48" s="681"/>
      <c r="D48" s="681"/>
      <c r="E48" s="681"/>
      <c r="F48" s="681"/>
      <c r="G48" s="681"/>
      <c r="H48" s="694"/>
    </row>
    <row r="49" spans="2:11" hidden="1">
      <c r="B49" s="682"/>
      <c r="C49" s="683"/>
      <c r="D49" s="683"/>
      <c r="E49" s="683"/>
      <c r="F49" s="683"/>
      <c r="G49" s="683"/>
      <c r="H49" s="686"/>
    </row>
    <row r="50" spans="2:11" s="28" customFormat="1" ht="24.95" hidden="1" customHeight="1">
      <c r="B50" s="70" t="s">
        <v>11</v>
      </c>
      <c r="C50" s="519" t="s">
        <v>12</v>
      </c>
      <c r="D50" s="519" t="s">
        <v>13</v>
      </c>
      <c r="E50" s="519" t="s">
        <v>14</v>
      </c>
      <c r="F50" s="11" t="s">
        <v>15</v>
      </c>
      <c r="G50" s="409" t="s">
        <v>16</v>
      </c>
      <c r="H50" s="364" t="s">
        <v>17</v>
      </c>
    </row>
    <row r="51" spans="2:11" s="28" customFormat="1" ht="20.100000000000001" hidden="1" customHeight="1">
      <c r="B51" s="74"/>
      <c r="C51" s="29" t="s">
        <v>140</v>
      </c>
      <c r="D51" s="30"/>
      <c r="E51" s="30"/>
      <c r="F51" s="31"/>
      <c r="G51" s="412"/>
      <c r="H51" s="364">
        <f>H42</f>
        <v>200000</v>
      </c>
    </row>
    <row r="52" spans="2:11">
      <c r="B52" s="294" t="s">
        <v>252</v>
      </c>
      <c r="C52" s="39" t="s">
        <v>253</v>
      </c>
      <c r="D52" s="39"/>
      <c r="E52" s="39"/>
      <c r="F52" s="22"/>
      <c r="G52" s="351"/>
      <c r="H52" s="363"/>
    </row>
    <row r="53" spans="2:11">
      <c r="B53" s="294"/>
      <c r="C53" s="39"/>
      <c r="D53" s="39"/>
      <c r="E53" s="39"/>
      <c r="F53" s="22"/>
      <c r="G53" s="351"/>
      <c r="H53" s="363"/>
    </row>
    <row r="54" spans="2:11">
      <c r="B54" s="294" t="s">
        <v>254</v>
      </c>
      <c r="C54" s="39" t="s">
        <v>255</v>
      </c>
      <c r="D54" s="39"/>
      <c r="E54" s="39"/>
      <c r="F54" s="22"/>
      <c r="G54" s="351"/>
      <c r="H54" s="363" t="str">
        <f t="shared" si="0"/>
        <v/>
      </c>
    </row>
    <row r="55" spans="2:11">
      <c r="B55" s="294"/>
      <c r="C55" s="39"/>
      <c r="D55" s="39"/>
      <c r="E55" s="39"/>
      <c r="F55" s="22"/>
      <c r="G55" s="351"/>
      <c r="H55" s="363" t="str">
        <f t="shared" si="0"/>
        <v/>
      </c>
    </row>
    <row r="56" spans="2:11">
      <c r="B56" s="294" t="s">
        <v>83</v>
      </c>
      <c r="C56" s="39" t="s">
        <v>256</v>
      </c>
      <c r="D56" s="39" t="s">
        <v>85</v>
      </c>
      <c r="E56" s="39"/>
      <c r="F56" s="22">
        <v>350</v>
      </c>
      <c r="G56" s="587"/>
      <c r="H56" s="363">
        <f t="shared" si="0"/>
        <v>0</v>
      </c>
    </row>
    <row r="57" spans="2:11">
      <c r="B57" s="294"/>
      <c r="C57" s="39"/>
      <c r="D57" s="39"/>
      <c r="E57" s="39"/>
      <c r="F57" s="22"/>
      <c r="G57" s="587"/>
      <c r="H57" s="363" t="str">
        <f t="shared" si="0"/>
        <v/>
      </c>
    </row>
    <row r="58" spans="2:11">
      <c r="B58" s="294" t="s">
        <v>86</v>
      </c>
      <c r="C58" s="39" t="s">
        <v>257</v>
      </c>
      <c r="D58" s="39" t="s">
        <v>85</v>
      </c>
      <c r="E58" s="39"/>
      <c r="F58" s="22">
        <v>150</v>
      </c>
      <c r="G58" s="587"/>
      <c r="H58" s="363">
        <f t="shared" si="0"/>
        <v>0</v>
      </c>
    </row>
    <row r="59" spans="2:11">
      <c r="B59" s="294"/>
      <c r="C59" s="39"/>
      <c r="D59" s="39"/>
      <c r="E59" s="39"/>
      <c r="F59" s="22"/>
      <c r="G59" s="587"/>
      <c r="H59" s="363" t="str">
        <f t="shared" si="0"/>
        <v/>
      </c>
    </row>
    <row r="60" spans="2:11">
      <c r="B60" s="294" t="s">
        <v>258</v>
      </c>
      <c r="C60" s="39" t="s">
        <v>259</v>
      </c>
      <c r="D60" s="39" t="s">
        <v>85</v>
      </c>
      <c r="E60" s="39"/>
      <c r="F60" s="154">
        <v>150</v>
      </c>
      <c r="G60" s="587"/>
      <c r="H60" s="363">
        <f t="shared" si="0"/>
        <v>0</v>
      </c>
    </row>
    <row r="61" spans="2:11">
      <c r="B61" s="294"/>
      <c r="C61" s="39"/>
      <c r="D61" s="39"/>
      <c r="E61" s="39"/>
      <c r="F61" s="22"/>
      <c r="G61" s="587"/>
      <c r="H61" s="363" t="str">
        <f t="shared" si="0"/>
        <v/>
      </c>
    </row>
    <row r="62" spans="2:11">
      <c r="B62" s="294" t="s">
        <v>260</v>
      </c>
      <c r="C62" s="39" t="s">
        <v>261</v>
      </c>
      <c r="D62" s="39" t="s">
        <v>262</v>
      </c>
      <c r="E62" s="39" t="s">
        <v>14</v>
      </c>
      <c r="F62" s="22">
        <f>12*4*22</f>
        <v>1056</v>
      </c>
      <c r="G62" s="587"/>
      <c r="H62" s="363">
        <f t="shared" si="0"/>
        <v>0</v>
      </c>
      <c r="J62" s="306"/>
    </row>
    <row r="63" spans="2:11">
      <c r="B63" s="294"/>
      <c r="C63" s="39"/>
      <c r="D63" s="39"/>
      <c r="E63" s="39"/>
      <c r="F63" s="22"/>
      <c r="G63" s="587"/>
      <c r="H63" s="363" t="str">
        <f t="shared" si="0"/>
        <v/>
      </c>
    </row>
    <row r="64" spans="2:11">
      <c r="B64" s="294" t="s">
        <v>263</v>
      </c>
      <c r="C64" s="39" t="s">
        <v>264</v>
      </c>
      <c r="D64" s="39" t="s">
        <v>265</v>
      </c>
      <c r="E64" s="39"/>
      <c r="F64" s="22">
        <v>1</v>
      </c>
      <c r="G64" s="587"/>
      <c r="H64" s="363" t="s">
        <v>266</v>
      </c>
      <c r="K64" s="1" t="s">
        <v>267</v>
      </c>
    </row>
    <row r="65" spans="2:8">
      <c r="B65" s="294"/>
      <c r="C65" s="39"/>
      <c r="D65" s="39"/>
      <c r="E65" s="39"/>
      <c r="F65" s="22"/>
      <c r="G65" s="587"/>
      <c r="H65" s="363"/>
    </row>
    <row r="66" spans="2:8">
      <c r="B66" s="294" t="s">
        <v>268</v>
      </c>
      <c r="C66" s="39" t="s">
        <v>269</v>
      </c>
      <c r="D66" s="39"/>
      <c r="E66" s="39"/>
      <c r="F66" s="22"/>
      <c r="G66" s="587"/>
      <c r="H66" s="363"/>
    </row>
    <row r="67" spans="2:8">
      <c r="B67" s="294"/>
      <c r="C67" s="39"/>
      <c r="D67" s="39"/>
      <c r="E67" s="39"/>
      <c r="F67" s="22"/>
      <c r="G67" s="587"/>
      <c r="H67" s="363"/>
    </row>
    <row r="68" spans="2:8" ht="38.25">
      <c r="B68" s="294" t="s">
        <v>83</v>
      </c>
      <c r="C68" s="39" t="s">
        <v>270</v>
      </c>
      <c r="D68" s="39"/>
      <c r="E68" s="39"/>
      <c r="F68" s="22"/>
      <c r="G68" s="587"/>
      <c r="H68" s="363"/>
    </row>
    <row r="69" spans="2:8">
      <c r="B69" s="294"/>
      <c r="C69" s="39"/>
      <c r="D69" s="39"/>
      <c r="E69" s="39"/>
      <c r="F69" s="22"/>
      <c r="G69" s="587"/>
      <c r="H69" s="363"/>
    </row>
    <row r="70" spans="2:8">
      <c r="B70" s="294" t="s">
        <v>271</v>
      </c>
      <c r="C70" s="39" t="s">
        <v>272</v>
      </c>
      <c r="D70" s="39" t="s">
        <v>85</v>
      </c>
      <c r="E70" s="39"/>
      <c r="F70" s="22">
        <v>4</v>
      </c>
      <c r="G70" s="587"/>
      <c r="H70" s="363">
        <f>G70*F70</f>
        <v>0</v>
      </c>
    </row>
    <row r="71" spans="2:8">
      <c r="B71" s="294"/>
      <c r="C71" s="39"/>
      <c r="D71" s="39"/>
      <c r="E71" s="39"/>
      <c r="F71" s="22"/>
      <c r="G71" s="587"/>
      <c r="H71" s="363"/>
    </row>
    <row r="72" spans="2:8">
      <c r="B72" s="294" t="s">
        <v>273</v>
      </c>
      <c r="C72" s="39" t="s">
        <v>274</v>
      </c>
      <c r="D72" s="39" t="s">
        <v>85</v>
      </c>
      <c r="E72" s="39"/>
      <c r="F72" s="22">
        <v>2</v>
      </c>
      <c r="G72" s="587"/>
      <c r="H72" s="363">
        <f>G72*F72</f>
        <v>0</v>
      </c>
    </row>
    <row r="73" spans="2:8">
      <c r="B73" s="294"/>
      <c r="C73" s="39"/>
      <c r="D73" s="39"/>
      <c r="E73" s="39"/>
      <c r="F73" s="22"/>
      <c r="G73" s="587"/>
      <c r="H73" s="363"/>
    </row>
    <row r="74" spans="2:8">
      <c r="B74" s="294" t="s">
        <v>86</v>
      </c>
      <c r="C74" s="39" t="s">
        <v>275</v>
      </c>
      <c r="D74" s="39" t="s">
        <v>85</v>
      </c>
      <c r="E74" s="39"/>
      <c r="F74" s="22">
        <v>4</v>
      </c>
      <c r="G74" s="587"/>
      <c r="H74" s="363">
        <f>G74*F74</f>
        <v>0</v>
      </c>
    </row>
    <row r="75" spans="2:8">
      <c r="B75" s="294"/>
      <c r="C75" s="39"/>
      <c r="D75" s="39"/>
      <c r="E75" s="39"/>
      <c r="F75" s="22"/>
      <c r="G75" s="587"/>
      <c r="H75" s="363"/>
    </row>
    <row r="76" spans="2:8">
      <c r="B76" s="294" t="s">
        <v>117</v>
      </c>
      <c r="C76" s="39" t="s">
        <v>276</v>
      </c>
      <c r="D76" s="39" t="s">
        <v>85</v>
      </c>
      <c r="E76" s="39"/>
      <c r="F76" s="22">
        <v>15</v>
      </c>
      <c r="G76" s="587"/>
      <c r="H76" s="363">
        <f>G76*F76</f>
        <v>0</v>
      </c>
    </row>
    <row r="77" spans="2:8">
      <c r="B77" s="294"/>
      <c r="C77" s="39"/>
      <c r="D77" s="39"/>
      <c r="E77" s="39"/>
      <c r="F77" s="22"/>
      <c r="G77" s="587"/>
      <c r="H77" s="363"/>
    </row>
    <row r="78" spans="2:8">
      <c r="B78" s="294" t="s">
        <v>119</v>
      </c>
      <c r="C78" s="39" t="s">
        <v>277</v>
      </c>
      <c r="D78" s="39" t="s">
        <v>85</v>
      </c>
      <c r="E78" s="39"/>
      <c r="F78" s="22">
        <v>15</v>
      </c>
      <c r="G78" s="587"/>
      <c r="H78" s="363">
        <f>G78*F78</f>
        <v>0</v>
      </c>
    </row>
    <row r="79" spans="2:8">
      <c r="B79" s="294"/>
      <c r="C79" s="39"/>
      <c r="D79" s="39"/>
      <c r="E79" s="39"/>
      <c r="F79" s="22"/>
      <c r="G79" s="587"/>
      <c r="H79" s="363"/>
    </row>
    <row r="80" spans="2:8">
      <c r="B80" s="294" t="s">
        <v>278</v>
      </c>
      <c r="C80" s="39" t="s">
        <v>279</v>
      </c>
      <c r="D80" s="39"/>
      <c r="E80" s="39"/>
      <c r="F80" s="22"/>
      <c r="G80" s="587"/>
      <c r="H80" s="363"/>
    </row>
    <row r="81" spans="2:8">
      <c r="B81" s="294"/>
      <c r="C81" s="39"/>
      <c r="D81" s="39"/>
      <c r="E81" s="39"/>
      <c r="F81" s="22"/>
      <c r="G81" s="587"/>
      <c r="H81" s="363"/>
    </row>
    <row r="82" spans="2:8" ht="25.5">
      <c r="B82" s="294" t="s">
        <v>83</v>
      </c>
      <c r="C82" s="39" t="s">
        <v>280</v>
      </c>
      <c r="D82" s="39" t="s">
        <v>226</v>
      </c>
      <c r="E82" s="39"/>
      <c r="F82" s="22">
        <v>6</v>
      </c>
      <c r="G82" s="587"/>
      <c r="H82" s="363">
        <f>G82*F82</f>
        <v>0</v>
      </c>
    </row>
    <row r="83" spans="2:8">
      <c r="B83" s="294"/>
      <c r="C83" s="39"/>
      <c r="D83" s="39"/>
      <c r="E83" s="39"/>
      <c r="F83" s="22"/>
      <c r="G83" s="587"/>
      <c r="H83" s="363"/>
    </row>
    <row r="84" spans="2:8">
      <c r="B84" s="294" t="s">
        <v>86</v>
      </c>
      <c r="C84" s="39" t="s">
        <v>275</v>
      </c>
      <c r="D84" s="39" t="s">
        <v>226</v>
      </c>
      <c r="E84" s="39"/>
      <c r="F84" s="22">
        <v>4</v>
      </c>
      <c r="G84" s="587"/>
      <c r="H84" s="363">
        <f>G84*F84</f>
        <v>0</v>
      </c>
    </row>
    <row r="85" spans="2:8">
      <c r="B85" s="294"/>
      <c r="C85" s="39"/>
      <c r="D85" s="39"/>
      <c r="E85" s="39"/>
      <c r="F85" s="22"/>
      <c r="G85" s="587"/>
      <c r="H85" s="363"/>
    </row>
    <row r="86" spans="2:8">
      <c r="B86" s="294" t="s">
        <v>117</v>
      </c>
      <c r="C86" s="39" t="s">
        <v>276</v>
      </c>
      <c r="D86" s="39" t="s">
        <v>226</v>
      </c>
      <c r="E86" s="39"/>
      <c r="F86" s="22">
        <v>15</v>
      </c>
      <c r="G86" s="587"/>
      <c r="H86" s="363">
        <f>G86*F86</f>
        <v>0</v>
      </c>
    </row>
    <row r="87" spans="2:8">
      <c r="B87" s="294"/>
      <c r="C87" s="39"/>
      <c r="D87" s="39"/>
      <c r="E87" s="39"/>
      <c r="F87" s="22"/>
      <c r="G87" s="587"/>
      <c r="H87" s="363"/>
    </row>
    <row r="88" spans="2:8">
      <c r="B88" s="294" t="s">
        <v>119</v>
      </c>
      <c r="C88" s="39" t="s">
        <v>277</v>
      </c>
      <c r="D88" s="39" t="s">
        <v>226</v>
      </c>
      <c r="E88" s="39"/>
      <c r="F88" s="22">
        <v>15</v>
      </c>
      <c r="G88" s="587"/>
      <c r="H88" s="363">
        <f>G88*F88</f>
        <v>0</v>
      </c>
    </row>
    <row r="89" spans="2:8">
      <c r="B89" s="294"/>
      <c r="C89" s="39"/>
      <c r="D89" s="39"/>
      <c r="E89" s="39"/>
      <c r="F89" s="22"/>
      <c r="G89" s="587"/>
      <c r="H89" s="363"/>
    </row>
    <row r="90" spans="2:8">
      <c r="B90" s="294" t="s">
        <v>281</v>
      </c>
      <c r="C90" s="39" t="s">
        <v>282</v>
      </c>
      <c r="D90" s="39" t="s">
        <v>25</v>
      </c>
      <c r="E90" s="39"/>
      <c r="F90" s="22">
        <v>12</v>
      </c>
      <c r="G90" s="587"/>
      <c r="H90" s="363">
        <f t="shared" si="0"/>
        <v>0</v>
      </c>
    </row>
    <row r="91" spans="2:8" s="28" customFormat="1" ht="20.100000000000001" hidden="1" customHeight="1">
      <c r="B91" s="74" t="str">
        <f>$B$10</f>
        <v>C1.5</v>
      </c>
      <c r="C91" s="29" t="s">
        <v>99</v>
      </c>
      <c r="D91" s="30"/>
      <c r="E91" s="30"/>
      <c r="F91" s="31"/>
      <c r="G91" s="412"/>
      <c r="H91" s="364">
        <f>SUM(H51:H90)</f>
        <v>200000</v>
      </c>
    </row>
    <row r="92" spans="2:8" hidden="1">
      <c r="B92" s="678" t="str">
        <f>Client1</f>
        <v>AIRPORTS COMPANY - SOUTH AFRICA</v>
      </c>
      <c r="C92" s="678"/>
      <c r="D92" s="678"/>
      <c r="E92" s="678"/>
      <c r="F92" s="676" t="str">
        <f>"Contract No. "&amp;ContractNo</f>
        <v>Contract No. KSIA7806/2025/RFP</v>
      </c>
      <c r="G92" s="676"/>
      <c r="H92" s="676"/>
    </row>
    <row r="93" spans="2:8" hidden="1">
      <c r="B93" s="678" t="str">
        <f>Client2</f>
        <v>ACSA</v>
      </c>
      <c r="C93" s="678"/>
      <c r="D93" s="678"/>
      <c r="E93" s="678"/>
      <c r="F93" s="676"/>
      <c r="G93" s="676"/>
      <c r="H93" s="676"/>
    </row>
    <row r="94" spans="2:8" hidden="1">
      <c r="B94" s="679"/>
      <c r="C94" s="679"/>
      <c r="D94" s="679"/>
      <c r="E94" s="679"/>
      <c r="F94" s="677"/>
      <c r="G94" s="677"/>
      <c r="H94" s="677"/>
    </row>
    <row r="95" spans="2:8" hidden="1">
      <c r="B95" s="687" t="s">
        <v>10</v>
      </c>
      <c r="C95" s="688"/>
      <c r="D95" s="688"/>
      <c r="E95" s="688"/>
      <c r="F95" s="688"/>
      <c r="G95" s="688"/>
      <c r="H95" s="684" t="s">
        <v>283</v>
      </c>
    </row>
    <row r="96" spans="2:8" hidden="1">
      <c r="B96" s="680" t="str">
        <f>ContractDescription</f>
        <v>PROCUREMENT OF A CIDB GRADE 9 CE CONTRACTOR THE COMPLETION OF BRAVO TAXIWAY EXTENSION AT KING SHAKA INTERNATIONAL AIRPORT FOR A PERIOD OF 12 MONTHS AT KING SHAKA INTERNATIONAL AIRPORT</v>
      </c>
      <c r="C96" s="681"/>
      <c r="D96" s="681"/>
      <c r="E96" s="681"/>
      <c r="F96" s="681"/>
      <c r="G96" s="681"/>
      <c r="H96" s="694"/>
    </row>
    <row r="97" spans="2:8" hidden="1">
      <c r="B97" s="680"/>
      <c r="C97" s="681"/>
      <c r="D97" s="681"/>
      <c r="E97" s="681"/>
      <c r="F97" s="681"/>
      <c r="G97" s="681"/>
      <c r="H97" s="694"/>
    </row>
    <row r="98" spans="2:8" hidden="1">
      <c r="B98" s="682"/>
      <c r="C98" s="683"/>
      <c r="D98" s="683"/>
      <c r="E98" s="683"/>
      <c r="F98" s="683"/>
      <c r="G98" s="683"/>
      <c r="H98" s="686"/>
    </row>
    <row r="99" spans="2:8" s="28" customFormat="1" ht="24.95" hidden="1" customHeight="1">
      <c r="B99" s="70" t="s">
        <v>11</v>
      </c>
      <c r="C99" s="519" t="s">
        <v>12</v>
      </c>
      <c r="D99" s="519" t="s">
        <v>13</v>
      </c>
      <c r="E99" s="519" t="s">
        <v>14</v>
      </c>
      <c r="F99" s="11" t="s">
        <v>15</v>
      </c>
      <c r="G99" s="409" t="s">
        <v>16</v>
      </c>
      <c r="H99" s="364" t="s">
        <v>17</v>
      </c>
    </row>
    <row r="100" spans="2:8" s="28" customFormat="1" ht="20.100000000000001" hidden="1" customHeight="1">
      <c r="B100" s="74"/>
      <c r="C100" s="29" t="s">
        <v>140</v>
      </c>
      <c r="D100" s="30"/>
      <c r="E100" s="30"/>
      <c r="F100" s="31"/>
      <c r="G100" s="412"/>
      <c r="H100" s="364">
        <f>H91</f>
        <v>200000</v>
      </c>
    </row>
    <row r="101" spans="2:8">
      <c r="B101" s="294"/>
      <c r="C101" s="39"/>
      <c r="D101" s="39"/>
      <c r="E101" s="39"/>
      <c r="F101" s="22"/>
      <c r="G101" s="351"/>
      <c r="H101" s="363" t="str">
        <f t="shared" ref="H101:H109" si="6">IF(D101="","",F101*G101)</f>
        <v/>
      </c>
    </row>
    <row r="102" spans="2:8">
      <c r="B102" s="294" t="s">
        <v>284</v>
      </c>
      <c r="C102" s="39" t="s">
        <v>285</v>
      </c>
      <c r="D102" s="39"/>
      <c r="E102" s="39"/>
      <c r="F102" s="22"/>
      <c r="G102" s="351"/>
      <c r="H102" s="363" t="str">
        <f t="shared" si="6"/>
        <v/>
      </c>
    </row>
    <row r="103" spans="2:8">
      <c r="B103" s="294"/>
      <c r="C103" s="39"/>
      <c r="D103" s="39"/>
      <c r="E103" s="39"/>
      <c r="F103" s="22"/>
      <c r="G103" s="351"/>
      <c r="H103" s="363" t="str">
        <f t="shared" si="6"/>
        <v/>
      </c>
    </row>
    <row r="104" spans="2:8">
      <c r="B104" s="294" t="s">
        <v>286</v>
      </c>
      <c r="C104" s="39" t="s">
        <v>287</v>
      </c>
      <c r="D104" s="39" t="s">
        <v>85</v>
      </c>
      <c r="E104" s="39"/>
      <c r="F104" s="22">
        <v>15</v>
      </c>
      <c r="G104" s="587"/>
      <c r="H104" s="363">
        <f t="shared" si="6"/>
        <v>0</v>
      </c>
    </row>
    <row r="105" spans="2:8">
      <c r="B105" s="294"/>
      <c r="C105" s="39"/>
      <c r="D105" s="39"/>
      <c r="E105" s="39"/>
      <c r="F105" s="22"/>
      <c r="G105" s="587"/>
      <c r="H105" s="363" t="str">
        <f t="shared" si="6"/>
        <v/>
      </c>
    </row>
    <row r="106" spans="2:8">
      <c r="B106" s="294" t="s">
        <v>288</v>
      </c>
      <c r="C106" s="39" t="s">
        <v>289</v>
      </c>
      <c r="D106" s="39" t="s">
        <v>290</v>
      </c>
      <c r="E106" s="39"/>
      <c r="F106" s="22">
        <v>12</v>
      </c>
      <c r="G106" s="587"/>
      <c r="H106" s="367">
        <f t="shared" si="6"/>
        <v>0</v>
      </c>
    </row>
    <row r="107" spans="2:8">
      <c r="B107" s="294"/>
      <c r="C107" s="39"/>
      <c r="D107" s="39"/>
      <c r="E107" s="39"/>
      <c r="F107" s="22"/>
      <c r="G107" s="587"/>
      <c r="H107" s="367" t="str">
        <f t="shared" si="6"/>
        <v/>
      </c>
    </row>
    <row r="108" spans="2:8">
      <c r="B108" s="294" t="s">
        <v>291</v>
      </c>
      <c r="C108" s="39" t="s">
        <v>292</v>
      </c>
      <c r="D108" s="39" t="s">
        <v>25</v>
      </c>
      <c r="E108" s="39"/>
      <c r="F108" s="22">
        <v>12</v>
      </c>
      <c r="G108" s="587"/>
      <c r="H108" s="367">
        <f t="shared" si="6"/>
        <v>0</v>
      </c>
    </row>
    <row r="109" spans="2:8">
      <c r="B109" s="294"/>
      <c r="C109" s="39"/>
      <c r="D109" s="39"/>
      <c r="E109" s="39"/>
      <c r="F109" s="22"/>
      <c r="G109" s="587"/>
      <c r="H109" s="363" t="str">
        <f t="shared" si="6"/>
        <v/>
      </c>
    </row>
    <row r="110" spans="2:8" ht="25.5">
      <c r="B110" s="294" t="s">
        <v>293</v>
      </c>
      <c r="C110" s="39" t="s">
        <v>294</v>
      </c>
      <c r="D110" s="39"/>
      <c r="E110" s="39"/>
      <c r="F110" s="22"/>
      <c r="G110" s="587"/>
      <c r="H110" s="363"/>
    </row>
    <row r="111" spans="2:8">
      <c r="B111" s="294"/>
      <c r="C111" s="39"/>
      <c r="D111" s="39"/>
      <c r="E111" s="39"/>
      <c r="F111" s="22"/>
      <c r="G111" s="587"/>
      <c r="H111" s="363"/>
    </row>
    <row r="112" spans="2:8" ht="25.5">
      <c r="B112" s="294" t="s">
        <v>295</v>
      </c>
      <c r="C112" s="39" t="s">
        <v>296</v>
      </c>
      <c r="D112" s="39" t="s">
        <v>248</v>
      </c>
      <c r="E112" s="39"/>
      <c r="F112" s="22">
        <v>250000</v>
      </c>
      <c r="G112" s="351">
        <v>1</v>
      </c>
      <c r="H112" s="363">
        <f>G112*F112</f>
        <v>250000</v>
      </c>
    </row>
    <row r="113" spans="2:12">
      <c r="B113" s="294"/>
      <c r="C113" s="39"/>
      <c r="D113" s="39"/>
      <c r="E113" s="39"/>
      <c r="F113" s="22"/>
      <c r="G113" s="351"/>
      <c r="H113" s="363"/>
    </row>
    <row r="114" spans="2:12" ht="25.5">
      <c r="B114" s="294" t="s">
        <v>297</v>
      </c>
      <c r="C114" s="39" t="s">
        <v>298</v>
      </c>
      <c r="D114" s="39" t="s">
        <v>55</v>
      </c>
      <c r="E114" s="39"/>
      <c r="F114" s="518">
        <f>H112</f>
        <v>250000</v>
      </c>
      <c r="G114" s="587"/>
      <c r="H114" s="363">
        <f>G114*F114</f>
        <v>0</v>
      </c>
    </row>
    <row r="115" spans="2:12">
      <c r="B115" s="294"/>
      <c r="C115" s="39"/>
      <c r="D115" s="39"/>
      <c r="E115" s="39"/>
      <c r="F115" s="22"/>
      <c r="G115" s="587"/>
      <c r="H115" s="363"/>
    </row>
    <row r="116" spans="2:12">
      <c r="B116" s="294" t="s">
        <v>299</v>
      </c>
      <c r="C116" s="39" t="s">
        <v>300</v>
      </c>
      <c r="D116" s="39"/>
      <c r="E116" s="39"/>
      <c r="F116" s="22"/>
      <c r="G116" s="587"/>
      <c r="H116" s="363"/>
    </row>
    <row r="117" spans="2:12">
      <c r="B117" s="294"/>
      <c r="C117" s="39"/>
      <c r="D117" s="39"/>
      <c r="E117" s="39"/>
      <c r="F117" s="22"/>
      <c r="G117" s="587"/>
      <c r="H117" s="363"/>
    </row>
    <row r="118" spans="2:12" ht="38.25">
      <c r="B118" s="294" t="s">
        <v>83</v>
      </c>
      <c r="C118" s="39" t="s">
        <v>301</v>
      </c>
      <c r="D118" s="39" t="s">
        <v>85</v>
      </c>
      <c r="E118" s="39"/>
      <c r="F118" s="22">
        <v>20</v>
      </c>
      <c r="G118" s="587"/>
      <c r="H118" s="363">
        <f>G118*F118</f>
        <v>0</v>
      </c>
    </row>
    <row r="119" spans="2:12">
      <c r="B119" s="294"/>
      <c r="C119" s="39"/>
      <c r="D119" s="39"/>
      <c r="E119" s="39"/>
      <c r="F119" s="22"/>
      <c r="G119" s="587"/>
      <c r="H119" s="363"/>
    </row>
    <row r="120" spans="2:12" ht="25.5">
      <c r="B120" s="294" t="s">
        <v>86</v>
      </c>
      <c r="C120" s="39" t="s">
        <v>302</v>
      </c>
      <c r="D120" s="39" t="s">
        <v>33</v>
      </c>
      <c r="E120" s="39"/>
      <c r="F120" s="22">
        <v>1</v>
      </c>
      <c r="G120" s="587"/>
      <c r="H120" s="363">
        <f t="shared" ref="H120:H128" si="7">G120*F120</f>
        <v>0</v>
      </c>
    </row>
    <row r="121" spans="2:12">
      <c r="B121" s="294"/>
      <c r="C121" s="39"/>
      <c r="D121" s="39"/>
      <c r="E121" s="39"/>
      <c r="F121" s="22"/>
      <c r="G121" s="587"/>
      <c r="H121" s="363"/>
    </row>
    <row r="122" spans="2:12" ht="51">
      <c r="B122" s="294" t="s">
        <v>117</v>
      </c>
      <c r="C122" s="39" t="s">
        <v>303</v>
      </c>
      <c r="D122" s="39" t="s">
        <v>85</v>
      </c>
      <c r="E122" s="39"/>
      <c r="F122" s="22">
        <v>4</v>
      </c>
      <c r="G122" s="587"/>
      <c r="H122" s="363">
        <f t="shared" si="7"/>
        <v>0</v>
      </c>
      <c r="L122" s="1" t="s">
        <v>304</v>
      </c>
    </row>
    <row r="123" spans="2:12">
      <c r="B123" s="294"/>
      <c r="C123" s="39"/>
      <c r="D123" s="39"/>
      <c r="E123" s="39"/>
      <c r="F123" s="22"/>
      <c r="G123" s="587"/>
      <c r="H123" s="363"/>
    </row>
    <row r="124" spans="2:12" ht="25.5">
      <c r="B124" s="294" t="s">
        <v>119</v>
      </c>
      <c r="C124" s="39" t="s">
        <v>305</v>
      </c>
      <c r="D124" s="39" t="s">
        <v>33</v>
      </c>
      <c r="E124" s="39"/>
      <c r="F124" s="22">
        <v>1</v>
      </c>
      <c r="G124" s="587"/>
      <c r="H124" s="363">
        <f t="shared" si="7"/>
        <v>0</v>
      </c>
    </row>
    <row r="125" spans="2:12">
      <c r="B125" s="294"/>
      <c r="C125" s="39"/>
      <c r="D125" s="39"/>
      <c r="E125" s="39"/>
      <c r="F125" s="22"/>
      <c r="G125" s="587"/>
      <c r="H125" s="363"/>
    </row>
    <row r="126" spans="2:12" ht="25.5">
      <c r="B126" s="294" t="s">
        <v>306</v>
      </c>
      <c r="C126" s="39" t="s">
        <v>307</v>
      </c>
      <c r="D126" s="39" t="s">
        <v>85</v>
      </c>
      <c r="E126" s="39"/>
      <c r="F126" s="22">
        <v>6</v>
      </c>
      <c r="G126" s="587"/>
      <c r="H126" s="363">
        <f t="shared" si="7"/>
        <v>0</v>
      </c>
    </row>
    <row r="127" spans="2:12">
      <c r="B127" s="294"/>
      <c r="C127" s="39"/>
      <c r="D127" s="39"/>
      <c r="E127" s="39"/>
      <c r="F127" s="22"/>
      <c r="G127" s="587"/>
      <c r="H127" s="363"/>
    </row>
    <row r="128" spans="2:12" ht="25.5">
      <c r="B128" s="294" t="s">
        <v>308</v>
      </c>
      <c r="C128" s="39" t="s">
        <v>309</v>
      </c>
      <c r="D128" s="39" t="s">
        <v>33</v>
      </c>
      <c r="E128" s="39"/>
      <c r="F128" s="22">
        <v>1</v>
      </c>
      <c r="G128" s="587"/>
      <c r="H128" s="363">
        <f t="shared" si="7"/>
        <v>0</v>
      </c>
    </row>
    <row r="129" spans="2:8">
      <c r="B129" s="294"/>
      <c r="C129" s="39"/>
      <c r="D129" s="39"/>
      <c r="E129" s="39"/>
      <c r="F129" s="22"/>
      <c r="G129" s="587"/>
      <c r="H129" s="363"/>
    </row>
    <row r="130" spans="2:8" ht="38.25">
      <c r="B130" s="294" t="s">
        <v>236</v>
      </c>
      <c r="C130" s="39" t="s">
        <v>310</v>
      </c>
      <c r="D130" s="39" t="s">
        <v>67</v>
      </c>
      <c r="E130" s="39"/>
      <c r="F130" s="22">
        <v>1</v>
      </c>
      <c r="G130" s="587"/>
      <c r="H130" s="363">
        <f>G130*F130</f>
        <v>0</v>
      </c>
    </row>
    <row r="131" spans="2:8">
      <c r="B131" s="294"/>
      <c r="C131" s="39"/>
      <c r="D131" s="39"/>
      <c r="E131" s="39"/>
      <c r="F131" s="22"/>
      <c r="G131" s="587"/>
      <c r="H131" s="363"/>
    </row>
    <row r="132" spans="2:8">
      <c r="B132" s="294"/>
      <c r="C132" s="39"/>
      <c r="D132" s="39"/>
      <c r="E132" s="39"/>
      <c r="F132" s="22"/>
      <c r="G132" s="587"/>
      <c r="H132" s="363"/>
    </row>
    <row r="133" spans="2:8" ht="25.5">
      <c r="B133" s="294" t="s">
        <v>311</v>
      </c>
      <c r="C133" s="39" t="s">
        <v>312</v>
      </c>
      <c r="D133" s="39" t="s">
        <v>33</v>
      </c>
      <c r="E133" s="294"/>
      <c r="F133" s="22">
        <v>1</v>
      </c>
      <c r="G133" s="587"/>
      <c r="H133" s="363">
        <f>G133*F133</f>
        <v>0</v>
      </c>
    </row>
    <row r="134" spans="2:8">
      <c r="B134" s="294"/>
      <c r="C134" s="39"/>
      <c r="D134" s="39"/>
      <c r="E134" s="294"/>
      <c r="F134" s="22"/>
      <c r="G134" s="587"/>
      <c r="H134" s="363"/>
    </row>
    <row r="135" spans="2:8" ht="38.25">
      <c r="B135" s="294" t="s">
        <v>313</v>
      </c>
      <c r="C135" s="39" t="s">
        <v>314</v>
      </c>
      <c r="D135" s="39" t="s">
        <v>33</v>
      </c>
      <c r="E135" s="294"/>
      <c r="F135" s="22">
        <v>1</v>
      </c>
      <c r="G135" s="587"/>
      <c r="H135" s="363">
        <f>G135*F135</f>
        <v>0</v>
      </c>
    </row>
    <row r="136" spans="2:8">
      <c r="B136" s="294"/>
      <c r="C136" s="39"/>
      <c r="D136" s="39"/>
      <c r="E136" s="294"/>
      <c r="F136" s="22"/>
      <c r="G136" s="587"/>
      <c r="H136" s="363"/>
    </row>
    <row r="137" spans="2:8">
      <c r="B137" s="294" t="s">
        <v>315</v>
      </c>
      <c r="C137" s="39" t="s">
        <v>316</v>
      </c>
      <c r="D137" s="39" t="s">
        <v>33</v>
      </c>
      <c r="E137" s="294"/>
      <c r="F137" s="22">
        <v>1</v>
      </c>
      <c r="G137" s="587"/>
      <c r="H137" s="363">
        <f>G137*F137</f>
        <v>0</v>
      </c>
    </row>
    <row r="138" spans="2:8">
      <c r="B138" s="294"/>
      <c r="C138" s="39"/>
      <c r="D138" s="39"/>
      <c r="E138" s="294"/>
      <c r="F138" s="22"/>
      <c r="G138" s="587"/>
      <c r="H138" s="363"/>
    </row>
    <row r="139" spans="2:8">
      <c r="B139" s="294"/>
      <c r="C139" s="39"/>
      <c r="D139" s="39"/>
      <c r="E139" s="39"/>
      <c r="F139" s="22"/>
      <c r="G139" s="587"/>
      <c r="H139" s="363"/>
    </row>
    <row r="140" spans="2:8">
      <c r="B140" s="294" t="s">
        <v>317</v>
      </c>
      <c r="C140" s="39" t="s">
        <v>318</v>
      </c>
      <c r="D140" s="39"/>
      <c r="E140" s="39"/>
      <c r="F140" s="22"/>
      <c r="G140" s="587"/>
      <c r="H140" s="363"/>
    </row>
    <row r="141" spans="2:8">
      <c r="B141" s="294"/>
      <c r="C141" s="39"/>
      <c r="D141" s="39"/>
      <c r="E141" s="39"/>
      <c r="F141" s="22"/>
      <c r="G141" s="587"/>
      <c r="H141" s="363"/>
    </row>
    <row r="142" spans="2:8">
      <c r="B142" s="294" t="s">
        <v>117</v>
      </c>
      <c r="C142" s="39" t="s">
        <v>319</v>
      </c>
      <c r="D142" s="39" t="s">
        <v>85</v>
      </c>
      <c r="E142" s="39"/>
      <c r="F142" s="22">
        <v>30</v>
      </c>
      <c r="G142" s="587"/>
      <c r="H142" s="363">
        <f>G142*F142</f>
        <v>0</v>
      </c>
    </row>
    <row r="143" spans="2:8">
      <c r="B143" s="294"/>
      <c r="C143" s="39"/>
      <c r="D143" s="39"/>
      <c r="E143" s="39"/>
      <c r="F143" s="22"/>
      <c r="G143" s="587"/>
      <c r="H143" s="363"/>
    </row>
    <row r="144" spans="2:8">
      <c r="B144" s="294" t="s">
        <v>320</v>
      </c>
      <c r="C144" s="39" t="s">
        <v>321</v>
      </c>
      <c r="D144" s="39"/>
      <c r="E144" s="39"/>
      <c r="F144" s="22"/>
      <c r="G144" s="587"/>
      <c r="H144" s="363"/>
    </row>
    <row r="145" spans="2:8">
      <c r="B145" s="294"/>
      <c r="C145" s="39"/>
      <c r="D145" s="39"/>
      <c r="E145" s="39"/>
      <c r="F145" s="22"/>
      <c r="G145" s="587"/>
      <c r="H145" s="363"/>
    </row>
    <row r="146" spans="2:8">
      <c r="B146" s="294" t="s">
        <v>117</v>
      </c>
      <c r="C146" s="39" t="s">
        <v>319</v>
      </c>
      <c r="D146" s="39" t="s">
        <v>85</v>
      </c>
      <c r="E146" s="39"/>
      <c r="F146" s="22">
        <v>30</v>
      </c>
      <c r="G146" s="587"/>
      <c r="H146" s="363">
        <f>G146*F146</f>
        <v>0</v>
      </c>
    </row>
    <row r="147" spans="2:8">
      <c r="B147" s="294"/>
      <c r="C147" s="39"/>
      <c r="D147" s="39"/>
      <c r="E147" s="39"/>
      <c r="F147" s="22"/>
      <c r="G147" s="587"/>
      <c r="H147" s="363"/>
    </row>
    <row r="148" spans="2:8">
      <c r="B148" s="294" t="s">
        <v>119</v>
      </c>
      <c r="C148" s="39" t="s">
        <v>322</v>
      </c>
      <c r="D148" s="39" t="s">
        <v>85</v>
      </c>
      <c r="E148" s="39"/>
      <c r="F148" s="22">
        <v>10</v>
      </c>
      <c r="G148" s="587"/>
      <c r="H148" s="363">
        <f>G148*F148</f>
        <v>0</v>
      </c>
    </row>
    <row r="149" spans="2:8" s="28" customFormat="1" ht="24.95" customHeight="1">
      <c r="B149" s="521" t="str">
        <f>B10</f>
        <v>C1.5</v>
      </c>
      <c r="C149" s="29" t="s">
        <v>125</v>
      </c>
      <c r="D149" s="30"/>
      <c r="E149" s="30"/>
      <c r="F149" s="31"/>
      <c r="G149" s="412"/>
      <c r="H149" s="364">
        <f>SUM(H100:H148)</f>
        <v>450000</v>
      </c>
    </row>
  </sheetData>
  <sheetProtection algorithmName="SHA-512" hashValue="2hmRhgDrgxCzB2L02/BYjVX9UFeWem7ZtvounQBpfsYwJCQtiz7stUDHjgasQ7YgR3uFt8lBPCyRTGOdJNbb7g==" saltValue="hlFj6Lmmmn+kV90y+xo5aA==" spinCount="100000" sheet="1" objects="1" scenarios="1"/>
  <mergeCells count="18">
    <mergeCell ref="B92:E92"/>
    <mergeCell ref="F92:H94"/>
    <mergeCell ref="B93:E93"/>
    <mergeCell ref="B94:E94"/>
    <mergeCell ref="B95:G95"/>
    <mergeCell ref="H95:H98"/>
    <mergeCell ref="B96:G98"/>
    <mergeCell ref="F1:H1"/>
    <mergeCell ref="B5:G7"/>
    <mergeCell ref="H4:H7"/>
    <mergeCell ref="B4:G4"/>
    <mergeCell ref="B46:G46"/>
    <mergeCell ref="H46:H49"/>
    <mergeCell ref="B47:G49"/>
    <mergeCell ref="B43:E43"/>
    <mergeCell ref="F43:H45"/>
    <mergeCell ref="B44:E44"/>
    <mergeCell ref="B45:E45"/>
  </mergeCells>
  <phoneticPr fontId="17" type="noConversion"/>
  <pageMargins left="0.43307086614173229" right="0.31496062992125984" top="0.43307086614173229" bottom="0.62992125984251968" header="0.35433070866141736" footer="0.31496062992125984"/>
  <pageSetup paperSize="9" scale="56" firstPageNumber="31" orientation="portrait" cellComments="asDisplayed" useFirstPageNumber="1" r:id="rId1"/>
  <headerFooter>
    <oddHeader xml:space="preserve">&amp;CPREPARED BY NANKHOO CONSULTING ENGINEERS&amp;R&amp;"Arial,Bold Italic"
</oddHeader>
    <oddFooter>&amp;C&amp;F</oddFooter>
  </headerFooter>
  <rowBreaks count="1" manualBreakCount="1">
    <brk id="91" max="8" man="1"/>
  </rowBreaks>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5"/>
  <dimension ref="B1:I67"/>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C12.8</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21"/>
      <c r="C9" s="35"/>
      <c r="D9" s="78"/>
      <c r="E9" s="15"/>
      <c r="F9" s="15"/>
      <c r="G9" s="16"/>
      <c r="H9" s="17" t="str">
        <f t="shared" ref="H9:H66" si="0">IF(D9="","",F9*G9)</f>
        <v/>
      </c>
      <c r="I9" s="18"/>
    </row>
    <row r="10" spans="2:9">
      <c r="B10" s="104" t="s">
        <v>2060</v>
      </c>
      <c r="C10" s="2" t="s">
        <v>2061</v>
      </c>
      <c r="D10" s="22"/>
      <c r="E10" s="22"/>
      <c r="F10" s="22"/>
      <c r="G10" s="39"/>
      <c r="H10" s="17" t="str">
        <f t="shared" si="0"/>
        <v/>
      </c>
      <c r="I10" s="40"/>
    </row>
    <row r="11" spans="2:9">
      <c r="B11" s="102"/>
      <c r="D11" s="22"/>
      <c r="E11" s="22"/>
      <c r="F11" s="22"/>
      <c r="G11" s="39"/>
      <c r="H11" s="17" t="str">
        <f t="shared" si="0"/>
        <v/>
      </c>
      <c r="I11" s="40"/>
    </row>
    <row r="12" spans="2:9">
      <c r="B12" s="103" t="s">
        <v>2062</v>
      </c>
      <c r="C12" s="35" t="s">
        <v>1870</v>
      </c>
      <c r="D12" s="36"/>
      <c r="E12" s="22"/>
      <c r="F12" s="22"/>
      <c r="G12" s="39"/>
      <c r="H12" s="17" t="str">
        <f t="shared" si="0"/>
        <v/>
      </c>
      <c r="I12" s="40"/>
    </row>
    <row r="13" spans="2:9">
      <c r="B13" s="102"/>
      <c r="D13" s="36"/>
      <c r="E13" s="22"/>
      <c r="F13" s="22"/>
      <c r="G13" s="39"/>
      <c r="H13" s="17" t="str">
        <f t="shared" si="0"/>
        <v/>
      </c>
      <c r="I13" s="40"/>
    </row>
    <row r="14" spans="2:9">
      <c r="B14" s="103" t="s">
        <v>2063</v>
      </c>
      <c r="C14" s="35" t="s">
        <v>2064</v>
      </c>
      <c r="D14" s="22" t="s">
        <v>33</v>
      </c>
      <c r="E14" s="22"/>
      <c r="F14" s="22"/>
      <c r="G14" s="39"/>
      <c r="H14" s="17">
        <f t="shared" si="0"/>
        <v>0</v>
      </c>
      <c r="I14" s="40"/>
    </row>
    <row r="15" spans="2:9">
      <c r="B15" s="102"/>
      <c r="D15" s="36"/>
      <c r="E15" s="22"/>
      <c r="F15" s="22"/>
      <c r="G15" s="39"/>
      <c r="H15" s="17" t="str">
        <f t="shared" si="0"/>
        <v/>
      </c>
      <c r="I15" s="40"/>
    </row>
    <row r="16" spans="2:9">
      <c r="B16" s="103" t="s">
        <v>2065</v>
      </c>
      <c r="C16" s="35" t="s">
        <v>2066</v>
      </c>
      <c r="D16" s="22" t="s">
        <v>33</v>
      </c>
      <c r="E16" s="22"/>
      <c r="F16" s="22"/>
      <c r="G16" s="39"/>
      <c r="H16" s="17">
        <f t="shared" si="0"/>
        <v>0</v>
      </c>
      <c r="I16" s="40"/>
    </row>
    <row r="17" spans="2:9">
      <c r="B17" s="102"/>
      <c r="D17" s="36"/>
      <c r="E17" s="22"/>
      <c r="F17" s="22"/>
      <c r="G17" s="39"/>
      <c r="H17" s="17" t="str">
        <f t="shared" si="0"/>
        <v/>
      </c>
      <c r="I17" s="40"/>
    </row>
    <row r="18" spans="2:9">
      <c r="B18" s="103" t="s">
        <v>2067</v>
      </c>
      <c r="C18" s="35" t="s">
        <v>2068</v>
      </c>
      <c r="D18" s="22" t="s">
        <v>33</v>
      </c>
      <c r="E18" s="22"/>
      <c r="F18" s="23"/>
      <c r="G18" s="24"/>
      <c r="H18" s="17">
        <f t="shared" si="0"/>
        <v>0</v>
      </c>
      <c r="I18" s="41"/>
    </row>
    <row r="19" spans="2:9">
      <c r="B19" s="102"/>
      <c r="D19" s="36"/>
      <c r="E19" s="22"/>
      <c r="F19" s="23"/>
      <c r="G19" s="24"/>
      <c r="H19" s="17" t="str">
        <f t="shared" si="0"/>
        <v/>
      </c>
      <c r="I19" s="41"/>
    </row>
    <row r="20" spans="2:9">
      <c r="B20" s="103" t="s">
        <v>2069</v>
      </c>
      <c r="C20" s="35" t="s">
        <v>2070</v>
      </c>
      <c r="D20" s="22" t="s">
        <v>33</v>
      </c>
      <c r="E20" s="22"/>
      <c r="F20" s="23"/>
      <c r="G20" s="24"/>
      <c r="H20" s="17">
        <f t="shared" si="0"/>
        <v>0</v>
      </c>
      <c r="I20" s="41"/>
    </row>
    <row r="21" spans="2:9">
      <c r="B21" s="102"/>
      <c r="D21" s="36"/>
      <c r="E21" s="22"/>
      <c r="F21" s="23"/>
      <c r="G21" s="39"/>
      <c r="H21" s="17" t="str">
        <f t="shared" si="0"/>
        <v/>
      </c>
      <c r="I21" s="40"/>
    </row>
    <row r="22" spans="2:9" ht="23.45" customHeight="1">
      <c r="B22" s="103" t="s">
        <v>2071</v>
      </c>
      <c r="C22" s="53" t="s">
        <v>2072</v>
      </c>
      <c r="D22" s="22" t="s">
        <v>33</v>
      </c>
      <c r="E22" s="22"/>
      <c r="F22" s="23"/>
      <c r="G22" s="42"/>
      <c r="H22" s="17">
        <f t="shared" si="0"/>
        <v>0</v>
      </c>
      <c r="I22" s="40"/>
    </row>
    <row r="23" spans="2:9">
      <c r="B23" s="102"/>
      <c r="D23" s="62"/>
      <c r="E23" s="22"/>
      <c r="F23" s="23"/>
      <c r="G23" s="39"/>
      <c r="H23" s="17" t="str">
        <f t="shared" si="0"/>
        <v/>
      </c>
      <c r="I23" s="43"/>
    </row>
    <row r="24" spans="2:9" ht="38.1" customHeight="1">
      <c r="B24" s="103" t="s">
        <v>2073</v>
      </c>
      <c r="C24" s="51" t="s">
        <v>2074</v>
      </c>
      <c r="D24" s="36" t="s">
        <v>85</v>
      </c>
      <c r="E24" s="36"/>
      <c r="F24" s="23"/>
      <c r="G24" s="44"/>
      <c r="H24" s="17">
        <f t="shared" si="0"/>
        <v>0</v>
      </c>
    </row>
    <row r="25" spans="2:9">
      <c r="B25" s="102"/>
      <c r="C25" s="1"/>
      <c r="D25" s="36"/>
      <c r="E25" s="36"/>
      <c r="F25" s="23"/>
      <c r="G25" s="44"/>
      <c r="H25" s="17" t="str">
        <f t="shared" si="0"/>
        <v/>
      </c>
    </row>
    <row r="26" spans="2:9" ht="36.6" customHeight="1">
      <c r="B26" s="103" t="s">
        <v>2075</v>
      </c>
      <c r="C26" s="51" t="s">
        <v>2076</v>
      </c>
      <c r="D26" s="36" t="s">
        <v>85</v>
      </c>
      <c r="E26" s="36"/>
      <c r="F26" s="23"/>
      <c r="G26" s="37"/>
      <c r="H26" s="17">
        <f t="shared" si="0"/>
        <v>0</v>
      </c>
    </row>
    <row r="27" spans="2:9">
      <c r="B27" s="102"/>
      <c r="C27" s="1"/>
      <c r="D27" s="36"/>
      <c r="E27" s="36"/>
      <c r="F27" s="23"/>
      <c r="G27" s="44"/>
      <c r="H27" s="17" t="str">
        <f t="shared" si="0"/>
        <v/>
      </c>
    </row>
    <row r="28" spans="2:9" ht="24.6" customHeight="1">
      <c r="B28" s="103" t="s">
        <v>2077</v>
      </c>
      <c r="C28" s="55" t="s">
        <v>2078</v>
      </c>
      <c r="D28" s="36" t="s">
        <v>347</v>
      </c>
      <c r="E28" s="36"/>
      <c r="F28" s="23"/>
      <c r="G28" s="42"/>
      <c r="H28" s="17">
        <f t="shared" si="0"/>
        <v>0</v>
      </c>
    </row>
    <row r="29" spans="2:9">
      <c r="B29" s="102"/>
      <c r="C29" s="35"/>
      <c r="D29" s="36"/>
      <c r="E29" s="36"/>
      <c r="F29" s="23"/>
      <c r="G29" s="44"/>
      <c r="H29" s="17" t="str">
        <f t="shared" si="0"/>
        <v/>
      </c>
    </row>
    <row r="30" spans="2:9" ht="27" customHeight="1">
      <c r="B30" s="102" t="s">
        <v>2079</v>
      </c>
      <c r="C30" s="51" t="s">
        <v>2080</v>
      </c>
      <c r="D30" s="36" t="s">
        <v>347</v>
      </c>
      <c r="E30" s="22"/>
      <c r="F30" s="23"/>
      <c r="G30" s="39"/>
      <c r="H30" s="17">
        <f t="shared" si="0"/>
        <v>0</v>
      </c>
      <c r="I30" s="40"/>
    </row>
    <row r="31" spans="2:9">
      <c r="B31" s="102"/>
      <c r="C31" s="55"/>
      <c r="D31" s="36"/>
      <c r="E31" s="22"/>
      <c r="F31" s="23"/>
      <c r="G31" s="39"/>
      <c r="H31" s="17" t="str">
        <f t="shared" si="0"/>
        <v/>
      </c>
      <c r="I31" s="40"/>
    </row>
    <row r="32" spans="2:9" ht="27.6" customHeight="1">
      <c r="B32" s="102" t="s">
        <v>2081</v>
      </c>
      <c r="C32" s="51" t="s">
        <v>2082</v>
      </c>
      <c r="D32" s="36" t="s">
        <v>347</v>
      </c>
      <c r="E32" s="22"/>
      <c r="F32" s="23"/>
      <c r="G32" s="37"/>
      <c r="H32" s="17">
        <f t="shared" si="0"/>
        <v>0</v>
      </c>
      <c r="I32" s="41"/>
    </row>
    <row r="33" spans="2:9">
      <c r="B33" s="102"/>
      <c r="C33" s="35"/>
      <c r="D33" s="36"/>
      <c r="E33" s="15"/>
      <c r="F33" s="26"/>
      <c r="G33" s="27"/>
      <c r="H33" s="17" t="str">
        <f t="shared" si="0"/>
        <v/>
      </c>
      <c r="I33" s="18"/>
    </row>
    <row r="34" spans="2:9" s="35" customFormat="1" ht="27" customHeight="1">
      <c r="B34" s="103" t="s">
        <v>2083</v>
      </c>
      <c r="C34" s="51" t="s">
        <v>2084</v>
      </c>
      <c r="D34" s="36" t="s">
        <v>347</v>
      </c>
      <c r="E34" s="15"/>
      <c r="F34" s="26"/>
      <c r="G34" s="27"/>
      <c r="H34" s="17">
        <f t="shared" si="0"/>
        <v>0</v>
      </c>
      <c r="I34" s="18"/>
    </row>
    <row r="35" spans="2:9">
      <c r="B35" s="102"/>
      <c r="C35" s="35"/>
      <c r="D35" s="36"/>
      <c r="E35" s="22"/>
      <c r="F35" s="23"/>
      <c r="G35" s="37"/>
      <c r="H35" s="17" t="str">
        <f t="shared" si="0"/>
        <v/>
      </c>
      <c r="I35" s="41"/>
    </row>
    <row r="36" spans="2:9" ht="24.95" customHeight="1">
      <c r="B36" s="102" t="s">
        <v>2085</v>
      </c>
      <c r="C36" s="51" t="s">
        <v>2086</v>
      </c>
      <c r="D36" s="36" t="s">
        <v>347</v>
      </c>
      <c r="E36" s="22"/>
      <c r="F36" s="23"/>
      <c r="G36" s="37"/>
      <c r="H36" s="17">
        <f t="shared" si="0"/>
        <v>0</v>
      </c>
      <c r="I36" s="41"/>
    </row>
    <row r="37" spans="2:9">
      <c r="B37" s="102"/>
      <c r="C37" s="35"/>
      <c r="D37" s="22"/>
      <c r="E37" s="22"/>
      <c r="F37" s="23"/>
      <c r="G37" s="45"/>
      <c r="H37" s="17" t="str">
        <f t="shared" si="0"/>
        <v/>
      </c>
      <c r="I37" s="40"/>
    </row>
    <row r="38" spans="2:9" ht="27.6" customHeight="1">
      <c r="B38" s="102" t="s">
        <v>2087</v>
      </c>
      <c r="C38" s="51" t="s">
        <v>2088</v>
      </c>
      <c r="D38" s="36" t="s">
        <v>347</v>
      </c>
      <c r="E38" s="22"/>
      <c r="F38" s="23"/>
      <c r="G38" s="45"/>
      <c r="H38" s="17">
        <f t="shared" si="0"/>
        <v>0</v>
      </c>
      <c r="I38" s="40"/>
    </row>
    <row r="39" spans="2:9">
      <c r="B39" s="102"/>
      <c r="C39" s="34"/>
      <c r="D39" s="22"/>
      <c r="E39" s="22"/>
      <c r="F39" s="23"/>
      <c r="G39" s="42"/>
      <c r="H39" s="17" t="str">
        <f t="shared" si="0"/>
        <v/>
      </c>
      <c r="I39" s="40"/>
    </row>
    <row r="40" spans="2:9">
      <c r="B40" s="103" t="s">
        <v>2089</v>
      </c>
      <c r="C40" s="34" t="s">
        <v>2090</v>
      </c>
      <c r="D40" s="36" t="s">
        <v>347</v>
      </c>
      <c r="E40" s="22"/>
      <c r="F40" s="23"/>
      <c r="G40" s="42"/>
      <c r="H40" s="17">
        <f t="shared" si="0"/>
        <v>0</v>
      </c>
      <c r="I40" s="40"/>
    </row>
    <row r="41" spans="2:9">
      <c r="B41" s="102"/>
      <c r="D41" s="36"/>
      <c r="E41" s="22"/>
      <c r="F41" s="22"/>
      <c r="G41" s="39"/>
      <c r="H41" s="17" t="str">
        <f t="shared" si="0"/>
        <v/>
      </c>
      <c r="I41" s="40"/>
    </row>
    <row r="42" spans="2:9">
      <c r="B42" s="103" t="s">
        <v>2091</v>
      </c>
      <c r="C42" s="1" t="s">
        <v>2092</v>
      </c>
      <c r="D42" s="62" t="s">
        <v>764</v>
      </c>
      <c r="E42" s="22"/>
      <c r="F42" s="22"/>
      <c r="G42" s="39"/>
      <c r="H42" s="17">
        <f t="shared" si="0"/>
        <v>0</v>
      </c>
      <c r="I42" s="40"/>
    </row>
    <row r="43" spans="2:9">
      <c r="B43" s="106"/>
      <c r="C43" s="1"/>
      <c r="D43" s="44"/>
      <c r="E43" s="22"/>
      <c r="F43" s="22"/>
      <c r="G43" s="39"/>
      <c r="H43" s="17" t="str">
        <f t="shared" si="0"/>
        <v/>
      </c>
      <c r="I43" s="40"/>
    </row>
    <row r="44" spans="2:9" ht="14.25">
      <c r="B44" s="103" t="s">
        <v>2093</v>
      </c>
      <c r="C44" s="35" t="s">
        <v>2094</v>
      </c>
      <c r="D44" s="15" t="s">
        <v>386</v>
      </c>
      <c r="E44" s="22"/>
      <c r="F44" s="22"/>
      <c r="G44" s="39"/>
      <c r="H44" s="17">
        <f t="shared" si="0"/>
        <v>0</v>
      </c>
      <c r="I44" s="40"/>
    </row>
    <row r="45" spans="2:9">
      <c r="B45" s="106"/>
      <c r="D45" s="36"/>
      <c r="E45" s="22"/>
      <c r="F45" s="22"/>
      <c r="G45" s="39"/>
      <c r="H45" s="17" t="str">
        <f t="shared" si="0"/>
        <v/>
      </c>
      <c r="I45" s="40"/>
    </row>
    <row r="46" spans="2:9" ht="27.6" customHeight="1">
      <c r="B46" s="103" t="s">
        <v>2095</v>
      </c>
      <c r="C46" s="51" t="s">
        <v>2096</v>
      </c>
      <c r="D46" s="22" t="s">
        <v>52</v>
      </c>
      <c r="E46" s="22"/>
      <c r="F46" s="22"/>
      <c r="G46" s="39"/>
      <c r="H46" s="17">
        <f t="shared" si="0"/>
        <v>0</v>
      </c>
      <c r="I46" s="40"/>
    </row>
    <row r="47" spans="2:9">
      <c r="B47" s="106"/>
      <c r="D47" s="36"/>
      <c r="E47" s="22"/>
      <c r="F47" s="22"/>
      <c r="G47" s="39"/>
      <c r="H47" s="17" t="str">
        <f t="shared" si="0"/>
        <v/>
      </c>
      <c r="I47" s="40"/>
    </row>
    <row r="48" spans="2:9">
      <c r="B48" s="103" t="s">
        <v>2097</v>
      </c>
      <c r="C48" s="1" t="s">
        <v>2098</v>
      </c>
      <c r="D48" s="22" t="s">
        <v>52</v>
      </c>
      <c r="E48" s="22"/>
      <c r="F48" s="22"/>
      <c r="G48" s="39"/>
      <c r="H48" s="17">
        <f t="shared" si="0"/>
        <v>0</v>
      </c>
      <c r="I48" s="40"/>
    </row>
    <row r="49" spans="2:9">
      <c r="B49" s="103"/>
      <c r="C49" s="1"/>
      <c r="D49" s="22"/>
      <c r="E49" s="22"/>
      <c r="F49" s="22"/>
      <c r="G49" s="39"/>
      <c r="H49" s="17" t="str">
        <f t="shared" si="0"/>
        <v/>
      </c>
      <c r="I49" s="40"/>
    </row>
    <row r="50" spans="2:9">
      <c r="B50" s="103"/>
      <c r="C50" s="1"/>
      <c r="D50" s="22"/>
      <c r="E50" s="22"/>
      <c r="F50" s="22"/>
      <c r="G50" s="39"/>
      <c r="H50" s="17" t="str">
        <f t="shared" si="0"/>
        <v/>
      </c>
      <c r="I50" s="40"/>
    </row>
    <row r="51" spans="2:9">
      <c r="B51" s="103"/>
      <c r="C51" s="1"/>
      <c r="D51" s="22"/>
      <c r="E51" s="22"/>
      <c r="F51" s="22"/>
      <c r="G51" s="39"/>
      <c r="H51" s="17" t="str">
        <f t="shared" si="0"/>
        <v/>
      </c>
      <c r="I51" s="40"/>
    </row>
    <row r="52" spans="2:9">
      <c r="B52" s="103"/>
      <c r="C52" s="1"/>
      <c r="D52" s="22"/>
      <c r="E52" s="22"/>
      <c r="F52" s="22"/>
      <c r="G52" s="39"/>
      <c r="H52" s="17" t="str">
        <f t="shared" si="0"/>
        <v/>
      </c>
      <c r="I52" s="40"/>
    </row>
    <row r="53" spans="2:9">
      <c r="B53" s="103"/>
      <c r="C53" s="1"/>
      <c r="D53" s="22"/>
      <c r="E53" s="22"/>
      <c r="F53" s="22"/>
      <c r="G53" s="39"/>
      <c r="H53" s="17" t="str">
        <f t="shared" si="0"/>
        <v/>
      </c>
      <c r="I53" s="40"/>
    </row>
    <row r="54" spans="2:9">
      <c r="B54" s="103"/>
      <c r="C54" s="1"/>
      <c r="D54" s="22"/>
      <c r="E54" s="22"/>
      <c r="F54" s="22"/>
      <c r="G54" s="39"/>
      <c r="H54" s="17" t="str">
        <f t="shared" si="0"/>
        <v/>
      </c>
      <c r="I54" s="40"/>
    </row>
    <row r="55" spans="2:9">
      <c r="B55" s="103"/>
      <c r="C55" s="1"/>
      <c r="D55" s="22"/>
      <c r="E55" s="22"/>
      <c r="F55" s="22"/>
      <c r="G55" s="39"/>
      <c r="H55" s="17" t="str">
        <f t="shared" si="0"/>
        <v/>
      </c>
      <c r="I55" s="40"/>
    </row>
    <row r="56" spans="2:9">
      <c r="B56" s="103"/>
      <c r="C56" s="1"/>
      <c r="D56" s="22"/>
      <c r="E56" s="22"/>
      <c r="F56" s="22"/>
      <c r="G56" s="39"/>
      <c r="H56" s="17" t="str">
        <f t="shared" si="0"/>
        <v/>
      </c>
      <c r="I56" s="40"/>
    </row>
    <row r="57" spans="2:9">
      <c r="B57" s="103"/>
      <c r="C57" s="1"/>
      <c r="D57" s="22"/>
      <c r="E57" s="22"/>
      <c r="F57" s="22"/>
      <c r="G57" s="39"/>
      <c r="H57" s="17" t="str">
        <f t="shared" si="0"/>
        <v/>
      </c>
      <c r="I57" s="40"/>
    </row>
    <row r="58" spans="2:9">
      <c r="B58" s="103"/>
      <c r="C58" s="1"/>
      <c r="D58" s="22"/>
      <c r="E58" s="22"/>
      <c r="F58" s="22"/>
      <c r="G58" s="39"/>
      <c r="H58" s="17" t="str">
        <f t="shared" si="0"/>
        <v/>
      </c>
      <c r="I58" s="40"/>
    </row>
    <row r="59" spans="2:9">
      <c r="B59" s="103"/>
      <c r="C59" s="1"/>
      <c r="D59" s="22"/>
      <c r="E59" s="22"/>
      <c r="F59" s="22"/>
      <c r="G59" s="39"/>
      <c r="H59" s="17" t="str">
        <f t="shared" si="0"/>
        <v/>
      </c>
      <c r="I59" s="40"/>
    </row>
    <row r="60" spans="2:9">
      <c r="B60" s="103"/>
      <c r="C60" s="1"/>
      <c r="D60" s="22"/>
      <c r="E60" s="22"/>
      <c r="F60" s="22"/>
      <c r="G60" s="39"/>
      <c r="H60" s="17" t="str">
        <f t="shared" si="0"/>
        <v/>
      </c>
      <c r="I60" s="40"/>
    </row>
    <row r="61" spans="2:9">
      <c r="B61" s="103"/>
      <c r="C61" s="1"/>
      <c r="D61" s="22"/>
      <c r="E61" s="22"/>
      <c r="F61" s="22"/>
      <c r="G61" s="39"/>
      <c r="H61" s="17" t="str">
        <f t="shared" si="0"/>
        <v/>
      </c>
      <c r="I61" s="40"/>
    </row>
    <row r="62" spans="2:9">
      <c r="B62" s="103"/>
      <c r="C62" s="1"/>
      <c r="D62" s="22"/>
      <c r="E62" s="22"/>
      <c r="F62" s="22"/>
      <c r="G62" s="39"/>
      <c r="H62" s="17" t="str">
        <f t="shared" si="0"/>
        <v/>
      </c>
      <c r="I62" s="40"/>
    </row>
    <row r="63" spans="2:9">
      <c r="B63" s="103"/>
      <c r="C63" s="1"/>
      <c r="D63" s="22"/>
      <c r="E63" s="22"/>
      <c r="F63" s="22"/>
      <c r="G63" s="39"/>
      <c r="H63" s="17" t="str">
        <f t="shared" si="0"/>
        <v/>
      </c>
      <c r="I63" s="40"/>
    </row>
    <row r="64" spans="2:9">
      <c r="B64" s="103"/>
      <c r="C64" s="1"/>
      <c r="D64" s="22"/>
      <c r="E64" s="22"/>
      <c r="F64" s="22"/>
      <c r="G64" s="39"/>
      <c r="H64" s="17" t="str">
        <f t="shared" si="0"/>
        <v/>
      </c>
      <c r="I64" s="40"/>
    </row>
    <row r="65" spans="2:9">
      <c r="B65" s="103"/>
      <c r="C65" s="1"/>
      <c r="D65" s="22"/>
      <c r="E65" s="22"/>
      <c r="F65" s="22"/>
      <c r="G65" s="39"/>
      <c r="H65" s="17" t="str">
        <f t="shared" si="0"/>
        <v/>
      </c>
      <c r="I65" s="40"/>
    </row>
    <row r="66" spans="2:9">
      <c r="B66" s="106"/>
      <c r="C66" s="1"/>
      <c r="D66" s="44"/>
      <c r="E66" s="22"/>
      <c r="F66" s="22"/>
      <c r="G66" s="39"/>
      <c r="H66" s="17" t="str">
        <f t="shared" si="0"/>
        <v/>
      </c>
      <c r="I66" s="40"/>
    </row>
    <row r="67" spans="2:9" s="28" customFormat="1" ht="24.75" customHeight="1">
      <c r="B67" s="82" t="str">
        <f>$B$10</f>
        <v>C12.8</v>
      </c>
      <c r="C67" s="29" t="s">
        <v>125</v>
      </c>
      <c r="D67" s="30"/>
      <c r="E67" s="30"/>
      <c r="F67" s="31"/>
      <c r="G67" s="30"/>
      <c r="H67" s="32">
        <f>SUM(H9:H66)</f>
        <v>0</v>
      </c>
      <c r="I67"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6"/>
  <dimension ref="B1:I52"/>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C12.9</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21"/>
      <c r="C9" s="35"/>
      <c r="D9" s="78"/>
      <c r="E9" s="15"/>
      <c r="F9" s="15"/>
      <c r="G9" s="16"/>
      <c r="H9" s="17" t="str">
        <f>IF(D9="","",F9*G9)</f>
        <v/>
      </c>
      <c r="I9" s="18"/>
    </row>
    <row r="10" spans="2:9">
      <c r="B10" s="107" t="s">
        <v>2099</v>
      </c>
      <c r="C10" s="76" t="s">
        <v>2100</v>
      </c>
      <c r="D10" s="15"/>
      <c r="E10" s="15"/>
      <c r="F10" s="15"/>
      <c r="G10" s="16"/>
      <c r="H10" s="17" t="str">
        <f t="shared" ref="H10:H51" si="0">IF(D10="","",F10*G10)</f>
        <v/>
      </c>
      <c r="I10" s="18"/>
    </row>
    <row r="11" spans="2:9">
      <c r="B11" s="102"/>
      <c r="D11" s="22"/>
      <c r="E11" s="22"/>
      <c r="F11" s="22"/>
      <c r="G11" s="39"/>
      <c r="H11" s="17" t="str">
        <f t="shared" si="0"/>
        <v/>
      </c>
      <c r="I11" s="40"/>
    </row>
    <row r="12" spans="2:9" ht="24.95" customHeight="1">
      <c r="B12" s="103" t="s">
        <v>2101</v>
      </c>
      <c r="C12" s="344" t="s">
        <v>2102</v>
      </c>
      <c r="D12" s="36" t="s">
        <v>124</v>
      </c>
      <c r="E12" s="22"/>
      <c r="F12" s="22"/>
      <c r="G12" s="39"/>
      <c r="H12" s="17">
        <f t="shared" si="0"/>
        <v>0</v>
      </c>
      <c r="I12" s="40"/>
    </row>
    <row r="13" spans="2:9">
      <c r="B13" s="102"/>
      <c r="D13" s="36"/>
      <c r="E13" s="22"/>
      <c r="F13" s="22"/>
      <c r="G13" s="39"/>
      <c r="H13" s="17" t="str">
        <f t="shared" si="0"/>
        <v/>
      </c>
      <c r="I13" s="40"/>
    </row>
    <row r="14" spans="2:9" ht="42.6" customHeight="1">
      <c r="B14" s="103" t="s">
        <v>2103</v>
      </c>
      <c r="C14" s="344" t="s">
        <v>2104</v>
      </c>
      <c r="D14" s="36" t="s">
        <v>124</v>
      </c>
      <c r="E14" s="22"/>
      <c r="F14" s="22"/>
      <c r="G14" s="39"/>
      <c r="H14" s="17">
        <f t="shared" si="0"/>
        <v>0</v>
      </c>
      <c r="I14" s="40"/>
    </row>
    <row r="15" spans="2:9">
      <c r="B15" s="102"/>
      <c r="D15" s="36"/>
      <c r="E15" s="22"/>
      <c r="F15" s="22"/>
      <c r="G15" s="39"/>
      <c r="H15" s="17" t="str">
        <f t="shared" si="0"/>
        <v/>
      </c>
      <c r="I15" s="40"/>
    </row>
    <row r="16" spans="2:9" ht="14.25">
      <c r="B16" s="103" t="s">
        <v>2105</v>
      </c>
      <c r="C16" s="343" t="s">
        <v>2106</v>
      </c>
      <c r="D16" s="22" t="s">
        <v>1844</v>
      </c>
      <c r="E16" s="22"/>
      <c r="F16" s="22"/>
      <c r="G16" s="39"/>
      <c r="H16" s="17">
        <f t="shared" si="0"/>
        <v>0</v>
      </c>
      <c r="I16" s="40"/>
    </row>
    <row r="17" spans="2:9">
      <c r="B17" s="102"/>
      <c r="D17" s="36"/>
      <c r="E17" s="22"/>
      <c r="F17" s="22"/>
      <c r="G17" s="39"/>
      <c r="H17" s="17" t="str">
        <f t="shared" si="0"/>
        <v/>
      </c>
      <c r="I17" s="40"/>
    </row>
    <row r="18" spans="2:9" ht="73.5" customHeight="1">
      <c r="B18" s="103" t="s">
        <v>2107</v>
      </c>
      <c r="C18" s="344" t="s">
        <v>2108</v>
      </c>
      <c r="D18" s="36" t="s">
        <v>124</v>
      </c>
      <c r="E18" s="22"/>
      <c r="F18" s="23"/>
      <c r="G18" s="24"/>
      <c r="H18" s="17">
        <f t="shared" si="0"/>
        <v>0</v>
      </c>
      <c r="I18" s="41"/>
    </row>
    <row r="19" spans="2:9">
      <c r="B19" s="102"/>
      <c r="D19" s="36"/>
      <c r="E19" s="22"/>
      <c r="F19" s="23"/>
      <c r="G19" s="24"/>
      <c r="H19" s="17" t="str">
        <f t="shared" si="0"/>
        <v/>
      </c>
      <c r="I19" s="41"/>
    </row>
    <row r="20" spans="2:9" ht="48.6" customHeight="1">
      <c r="B20" s="103" t="s">
        <v>2109</v>
      </c>
      <c r="C20" s="344" t="s">
        <v>2110</v>
      </c>
      <c r="D20" s="22" t="s">
        <v>347</v>
      </c>
      <c r="E20" s="22"/>
      <c r="F20" s="23"/>
      <c r="G20" s="24"/>
      <c r="H20" s="17">
        <f t="shared" si="0"/>
        <v>0</v>
      </c>
      <c r="I20" s="41"/>
    </row>
    <row r="21" spans="2:9">
      <c r="B21" s="102"/>
      <c r="D21" s="36"/>
      <c r="E21" s="22"/>
      <c r="F21" s="23"/>
      <c r="G21" s="39"/>
      <c r="H21" s="17" t="str">
        <f t="shared" si="0"/>
        <v/>
      </c>
      <c r="I21" s="40"/>
    </row>
    <row r="22" spans="2:9" ht="50.1" customHeight="1">
      <c r="B22" s="103" t="s">
        <v>2111</v>
      </c>
      <c r="C22" s="344" t="s">
        <v>2112</v>
      </c>
      <c r="D22" s="22" t="s">
        <v>347</v>
      </c>
      <c r="E22" s="22"/>
      <c r="F22" s="23"/>
      <c r="G22" s="42"/>
      <c r="H22" s="17">
        <f t="shared" si="0"/>
        <v>0</v>
      </c>
      <c r="I22" s="40"/>
    </row>
    <row r="23" spans="2:9">
      <c r="B23" s="102"/>
      <c r="D23" s="62"/>
      <c r="E23" s="22"/>
      <c r="F23" s="23"/>
      <c r="G23" s="39"/>
      <c r="H23" s="17" t="str">
        <f t="shared" si="0"/>
        <v/>
      </c>
      <c r="I23" s="43"/>
    </row>
    <row r="24" spans="2:9" ht="38.1" customHeight="1">
      <c r="B24" s="103" t="s">
        <v>2113</v>
      </c>
      <c r="C24" s="344" t="s">
        <v>2114</v>
      </c>
      <c r="D24" s="36" t="s">
        <v>124</v>
      </c>
      <c r="E24" s="36"/>
      <c r="F24" s="23"/>
      <c r="G24" s="44"/>
      <c r="H24" s="17">
        <f t="shared" si="0"/>
        <v>0</v>
      </c>
    </row>
    <row r="25" spans="2:9">
      <c r="B25" s="102"/>
      <c r="C25" s="1"/>
      <c r="D25" s="36"/>
      <c r="E25" s="36"/>
      <c r="F25" s="23"/>
      <c r="G25" s="44"/>
      <c r="H25" s="17" t="str">
        <f t="shared" si="0"/>
        <v/>
      </c>
    </row>
    <row r="26" spans="2:9" ht="53.45" customHeight="1">
      <c r="B26" s="103" t="s">
        <v>2115</v>
      </c>
      <c r="C26" s="344" t="s">
        <v>2116</v>
      </c>
      <c r="D26" s="36" t="s">
        <v>347</v>
      </c>
      <c r="E26" s="36"/>
      <c r="F26" s="23"/>
      <c r="G26" s="37"/>
      <c r="H26" s="17">
        <f t="shared" si="0"/>
        <v>0</v>
      </c>
    </row>
    <row r="27" spans="2:9">
      <c r="B27" s="102"/>
      <c r="C27" s="1"/>
      <c r="D27" s="36"/>
      <c r="E27" s="36"/>
      <c r="F27" s="23"/>
      <c r="G27" s="44"/>
      <c r="H27" s="17" t="str">
        <f t="shared" si="0"/>
        <v/>
      </c>
    </row>
    <row r="28" spans="2:9" ht="42.6" customHeight="1">
      <c r="B28" s="103" t="s">
        <v>2117</v>
      </c>
      <c r="C28" s="344" t="s">
        <v>2118</v>
      </c>
      <c r="D28" s="36" t="s">
        <v>347</v>
      </c>
      <c r="E28" s="36"/>
      <c r="F28" s="23"/>
      <c r="G28" s="42"/>
      <c r="H28" s="17">
        <f t="shared" si="0"/>
        <v>0</v>
      </c>
    </row>
    <row r="29" spans="2:9">
      <c r="B29" s="102"/>
      <c r="C29" s="35"/>
      <c r="D29" s="36"/>
      <c r="E29" s="36"/>
      <c r="F29" s="23"/>
      <c r="G29" s="44"/>
      <c r="H29" s="17" t="str">
        <f t="shared" si="0"/>
        <v/>
      </c>
    </row>
    <row r="30" spans="2:9" ht="33.950000000000003" customHeight="1">
      <c r="B30" s="102" t="s">
        <v>2119</v>
      </c>
      <c r="C30" s="344" t="s">
        <v>2120</v>
      </c>
      <c r="D30" s="36" t="s">
        <v>124</v>
      </c>
      <c r="E30" s="22"/>
      <c r="F30" s="23"/>
      <c r="G30" s="39"/>
      <c r="H30" s="17">
        <f t="shared" si="0"/>
        <v>0</v>
      </c>
      <c r="I30" s="40"/>
    </row>
    <row r="31" spans="2:9">
      <c r="B31" s="102"/>
      <c r="C31" s="55"/>
      <c r="D31" s="36"/>
      <c r="E31" s="22"/>
      <c r="F31" s="23"/>
      <c r="G31" s="39"/>
      <c r="H31" s="17" t="str">
        <f t="shared" si="0"/>
        <v/>
      </c>
      <c r="I31" s="40"/>
    </row>
    <row r="32" spans="2:9" ht="39" customHeight="1">
      <c r="B32" s="102" t="s">
        <v>2121</v>
      </c>
      <c r="C32" s="344" t="s">
        <v>2122</v>
      </c>
      <c r="D32" s="36" t="s">
        <v>347</v>
      </c>
      <c r="E32" s="22"/>
      <c r="F32" s="23"/>
      <c r="G32" s="37"/>
      <c r="H32" s="17">
        <f t="shared" si="0"/>
        <v>0</v>
      </c>
      <c r="I32" s="41"/>
    </row>
    <row r="33" spans="2:9">
      <c r="B33" s="102"/>
      <c r="C33" s="35"/>
      <c r="D33" s="36"/>
      <c r="E33" s="15"/>
      <c r="F33" s="26"/>
      <c r="G33" s="27"/>
      <c r="H33" s="17" t="str">
        <f t="shared" si="0"/>
        <v/>
      </c>
      <c r="I33" s="18"/>
    </row>
    <row r="34" spans="2:9" s="35" customFormat="1" ht="39" customHeight="1">
      <c r="B34" s="103" t="s">
        <v>2123</v>
      </c>
      <c r="C34" s="344" t="s">
        <v>2124</v>
      </c>
      <c r="D34" s="36" t="s">
        <v>347</v>
      </c>
      <c r="E34" s="15"/>
      <c r="F34" s="26"/>
      <c r="G34" s="27"/>
      <c r="H34" s="17">
        <f t="shared" si="0"/>
        <v>0</v>
      </c>
      <c r="I34" s="18"/>
    </row>
    <row r="35" spans="2:9" s="35" customFormat="1">
      <c r="B35" s="103"/>
      <c r="C35" s="53"/>
      <c r="D35" s="36"/>
      <c r="E35" s="15"/>
      <c r="F35" s="26"/>
      <c r="G35" s="27"/>
      <c r="H35" s="17"/>
      <c r="I35" s="18"/>
    </row>
    <row r="36" spans="2:9" s="35" customFormat="1">
      <c r="B36" s="103"/>
      <c r="C36" s="53"/>
      <c r="D36" s="36"/>
      <c r="E36" s="15"/>
      <c r="F36" s="26"/>
      <c r="G36" s="27"/>
      <c r="H36" s="17"/>
      <c r="I36" s="18"/>
    </row>
    <row r="37" spans="2:9" s="35" customFormat="1">
      <c r="B37" s="103"/>
      <c r="C37" s="53"/>
      <c r="D37" s="36"/>
      <c r="E37" s="15"/>
      <c r="F37" s="26"/>
      <c r="G37" s="27"/>
      <c r="H37" s="17"/>
      <c r="I37" s="18"/>
    </row>
    <row r="38" spans="2:9" s="35" customFormat="1">
      <c r="B38" s="103"/>
      <c r="C38" s="53"/>
      <c r="D38" s="36"/>
      <c r="E38" s="15"/>
      <c r="F38" s="26"/>
      <c r="G38" s="27"/>
      <c r="H38" s="17"/>
      <c r="I38" s="18"/>
    </row>
    <row r="39" spans="2:9" s="35" customFormat="1">
      <c r="B39" s="103"/>
      <c r="C39" s="53"/>
      <c r="D39" s="36"/>
      <c r="E39" s="15"/>
      <c r="F39" s="26"/>
      <c r="G39" s="27"/>
      <c r="H39" s="17"/>
      <c r="I39" s="18"/>
    </row>
    <row r="40" spans="2:9" s="35" customFormat="1">
      <c r="B40" s="103"/>
      <c r="C40" s="53"/>
      <c r="D40" s="36"/>
      <c r="E40" s="15"/>
      <c r="F40" s="26"/>
      <c r="G40" s="27"/>
      <c r="H40" s="17"/>
      <c r="I40" s="18"/>
    </row>
    <row r="41" spans="2:9" s="35" customFormat="1">
      <c r="B41" s="103"/>
      <c r="C41" s="53"/>
      <c r="D41" s="36"/>
      <c r="E41" s="15"/>
      <c r="F41" s="26"/>
      <c r="G41" s="27"/>
      <c r="H41" s="17"/>
      <c r="I41" s="18"/>
    </row>
    <row r="42" spans="2:9" s="35" customFormat="1">
      <c r="B42" s="103"/>
      <c r="C42" s="53"/>
      <c r="D42" s="36"/>
      <c r="E42" s="15"/>
      <c r="F42" s="26"/>
      <c r="G42" s="27"/>
      <c r="H42" s="17"/>
      <c r="I42" s="18"/>
    </row>
    <row r="43" spans="2:9" s="35" customFormat="1">
      <c r="B43" s="103"/>
      <c r="C43" s="53"/>
      <c r="D43" s="36"/>
      <c r="E43" s="15"/>
      <c r="F43" s="26"/>
      <c r="G43" s="27"/>
      <c r="H43" s="17"/>
      <c r="I43" s="18"/>
    </row>
    <row r="44" spans="2:9" s="35" customFormat="1">
      <c r="B44" s="103"/>
      <c r="C44" s="53"/>
      <c r="D44" s="36"/>
      <c r="E44" s="15"/>
      <c r="F44" s="26"/>
      <c r="G44" s="27"/>
      <c r="H44" s="17"/>
      <c r="I44" s="18"/>
    </row>
    <row r="45" spans="2:9" s="35" customFormat="1">
      <c r="B45" s="103"/>
      <c r="C45" s="53"/>
      <c r="D45" s="36"/>
      <c r="E45" s="15"/>
      <c r="F45" s="26"/>
      <c r="G45" s="27"/>
      <c r="H45" s="17"/>
      <c r="I45" s="18"/>
    </row>
    <row r="46" spans="2:9" s="35" customFormat="1">
      <c r="B46" s="103"/>
      <c r="C46" s="53"/>
      <c r="D46" s="36"/>
      <c r="E46" s="15"/>
      <c r="F46" s="26"/>
      <c r="G46" s="27"/>
      <c r="H46" s="17"/>
      <c r="I46" s="18"/>
    </row>
    <row r="47" spans="2:9" s="35" customFormat="1">
      <c r="B47" s="103"/>
      <c r="C47" s="53"/>
      <c r="D47" s="36"/>
      <c r="E47" s="15"/>
      <c r="F47" s="26"/>
      <c r="G47" s="27"/>
      <c r="H47" s="17"/>
      <c r="I47" s="18"/>
    </row>
    <row r="48" spans="2:9" s="35" customFormat="1">
      <c r="B48" s="103"/>
      <c r="C48" s="53"/>
      <c r="D48" s="36"/>
      <c r="E48" s="15"/>
      <c r="F48" s="26"/>
      <c r="G48" s="27"/>
      <c r="H48" s="17"/>
      <c r="I48" s="18"/>
    </row>
    <row r="49" spans="2:9" s="35" customFormat="1">
      <c r="B49" s="103"/>
      <c r="C49" s="53"/>
      <c r="D49" s="36"/>
      <c r="E49" s="15"/>
      <c r="F49" s="26"/>
      <c r="G49" s="27"/>
      <c r="H49" s="17"/>
      <c r="I49" s="18"/>
    </row>
    <row r="50" spans="2:9" s="35" customFormat="1">
      <c r="B50" s="103"/>
      <c r="C50" s="53"/>
      <c r="D50" s="36"/>
      <c r="E50" s="15"/>
      <c r="F50" s="26"/>
      <c r="G50" s="27"/>
      <c r="H50" s="17"/>
      <c r="I50" s="18"/>
    </row>
    <row r="51" spans="2:9">
      <c r="B51" s="102"/>
      <c r="C51" s="35"/>
      <c r="D51" s="36"/>
      <c r="E51" s="22"/>
      <c r="F51" s="23"/>
      <c r="G51" s="37"/>
      <c r="H51" s="17" t="str">
        <f t="shared" si="0"/>
        <v/>
      </c>
      <c r="I51" s="41"/>
    </row>
    <row r="52" spans="2:9" s="28" customFormat="1" ht="24.75" customHeight="1">
      <c r="B52" s="119" t="str">
        <f>$B$10</f>
        <v>C12.9</v>
      </c>
      <c r="C52" s="29" t="s">
        <v>125</v>
      </c>
      <c r="D52" s="30"/>
      <c r="E52" s="30"/>
      <c r="F52" s="31"/>
      <c r="G52" s="30"/>
      <c r="H52" s="32">
        <f>SUM(H9:H51)</f>
        <v>0</v>
      </c>
      <c r="I52"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7"/>
  <dimension ref="B1:I78"/>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C12.10</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20"/>
      <c r="C9" s="76"/>
      <c r="D9" s="78"/>
      <c r="E9" s="15"/>
      <c r="F9" s="15"/>
      <c r="G9" s="16"/>
      <c r="H9" s="17" t="str">
        <f>IF(D9="","",F9*G9)</f>
        <v/>
      </c>
      <c r="I9" s="18"/>
    </row>
    <row r="10" spans="2:9">
      <c r="B10" s="107" t="s">
        <v>2125</v>
      </c>
      <c r="C10" s="76" t="s">
        <v>2126</v>
      </c>
      <c r="D10" s="15"/>
      <c r="E10" s="15"/>
      <c r="F10" s="15"/>
      <c r="G10" s="16"/>
      <c r="H10" s="17" t="str">
        <f t="shared" ref="H10:H73" si="0">IF(D10="","",F10*G10)</f>
        <v/>
      </c>
      <c r="I10" s="18"/>
    </row>
    <row r="11" spans="2:9">
      <c r="B11" s="102"/>
      <c r="D11" s="22"/>
      <c r="E11" s="22"/>
      <c r="F11" s="22"/>
      <c r="G11" s="39"/>
      <c r="H11" s="17" t="str">
        <f t="shared" si="0"/>
        <v/>
      </c>
      <c r="I11" s="40"/>
    </row>
    <row r="12" spans="2:9" ht="24.95" customHeight="1">
      <c r="B12" s="103" t="s">
        <v>2127</v>
      </c>
      <c r="C12" s="53" t="s">
        <v>2128</v>
      </c>
      <c r="D12" s="15" t="s">
        <v>386</v>
      </c>
      <c r="E12" s="22"/>
      <c r="F12" s="22"/>
      <c r="G12" s="39"/>
      <c r="H12" s="17">
        <f t="shared" si="0"/>
        <v>0</v>
      </c>
      <c r="I12" s="40"/>
    </row>
    <row r="13" spans="2:9">
      <c r="B13" s="102"/>
      <c r="D13" s="36"/>
      <c r="E13" s="22"/>
      <c r="F13" s="22"/>
      <c r="G13" s="39"/>
      <c r="H13" s="17" t="str">
        <f t="shared" si="0"/>
        <v/>
      </c>
      <c r="I13" s="40"/>
    </row>
    <row r="14" spans="2:9" ht="14.25">
      <c r="B14" s="103" t="s">
        <v>2129</v>
      </c>
      <c r="C14" s="114" t="s">
        <v>2130</v>
      </c>
      <c r="D14" s="36" t="s">
        <v>124</v>
      </c>
      <c r="E14" s="22"/>
      <c r="F14" s="22"/>
      <c r="G14" s="39"/>
      <c r="H14" s="17">
        <f t="shared" si="0"/>
        <v>0</v>
      </c>
      <c r="I14" s="40"/>
    </row>
    <row r="15" spans="2:9">
      <c r="B15" s="102"/>
      <c r="D15" s="36"/>
      <c r="E15" s="22"/>
      <c r="F15" s="22"/>
      <c r="G15" s="39"/>
      <c r="H15" s="17" t="str">
        <f t="shared" si="0"/>
        <v/>
      </c>
      <c r="I15" s="40"/>
    </row>
    <row r="16" spans="2:9">
      <c r="B16" s="103" t="s">
        <v>2131</v>
      </c>
      <c r="C16" s="34" t="s">
        <v>2132</v>
      </c>
      <c r="D16" s="22" t="s">
        <v>347</v>
      </c>
      <c r="E16" s="22"/>
      <c r="F16" s="22"/>
      <c r="G16" s="39"/>
      <c r="H16" s="17">
        <f t="shared" si="0"/>
        <v>0</v>
      </c>
      <c r="I16" s="40"/>
    </row>
    <row r="17" spans="2:9">
      <c r="B17" s="102"/>
      <c r="D17" s="36"/>
      <c r="E17" s="22"/>
      <c r="F17" s="22"/>
      <c r="G17" s="39"/>
      <c r="H17" s="17" t="str">
        <f t="shared" si="0"/>
        <v/>
      </c>
      <c r="I17" s="40"/>
    </row>
    <row r="18" spans="2:9" ht="14.25">
      <c r="B18" s="103" t="s">
        <v>2133</v>
      </c>
      <c r="C18" s="34" t="s">
        <v>2134</v>
      </c>
      <c r="D18" s="36" t="s">
        <v>124</v>
      </c>
      <c r="E18" s="22"/>
      <c r="F18" s="23"/>
      <c r="G18" s="24"/>
      <c r="H18" s="17">
        <f t="shared" si="0"/>
        <v>0</v>
      </c>
      <c r="I18" s="41"/>
    </row>
    <row r="19" spans="2:9">
      <c r="B19" s="102"/>
      <c r="D19" s="36"/>
      <c r="E19" s="22"/>
      <c r="F19" s="23"/>
      <c r="G19" s="24"/>
      <c r="H19" s="17" t="str">
        <f t="shared" si="0"/>
        <v/>
      </c>
      <c r="I19" s="41"/>
    </row>
    <row r="20" spans="2:9">
      <c r="B20" s="103" t="s">
        <v>2135</v>
      </c>
      <c r="C20" s="34" t="s">
        <v>2136</v>
      </c>
      <c r="D20" s="22" t="s">
        <v>347</v>
      </c>
      <c r="E20" s="22"/>
      <c r="F20" s="23"/>
      <c r="G20" s="24"/>
      <c r="H20" s="17">
        <f t="shared" si="0"/>
        <v>0</v>
      </c>
      <c r="I20" s="41"/>
    </row>
    <row r="21" spans="2:9">
      <c r="B21" s="102"/>
      <c r="D21" s="36"/>
      <c r="E21" s="22"/>
      <c r="F21" s="23"/>
      <c r="G21" s="39"/>
      <c r="H21" s="17" t="str">
        <f t="shared" si="0"/>
        <v/>
      </c>
      <c r="I21" s="40"/>
    </row>
    <row r="22" spans="2:9" ht="14.25">
      <c r="B22" s="103" t="s">
        <v>2137</v>
      </c>
      <c r="C22" s="34" t="s">
        <v>2138</v>
      </c>
      <c r="D22" s="36" t="s">
        <v>124</v>
      </c>
      <c r="E22" s="22"/>
      <c r="F22" s="23"/>
      <c r="G22" s="42"/>
      <c r="H22" s="17">
        <f t="shared" si="0"/>
        <v>0</v>
      </c>
      <c r="I22" s="40"/>
    </row>
    <row r="23" spans="2:9">
      <c r="B23" s="102"/>
      <c r="D23" s="62"/>
      <c r="E23" s="22"/>
      <c r="F23" s="23"/>
      <c r="G23" s="39"/>
      <c r="H23" s="17" t="str">
        <f t="shared" si="0"/>
        <v/>
      </c>
      <c r="I23" s="43"/>
    </row>
    <row r="24" spans="2:9">
      <c r="B24" s="103" t="s">
        <v>2139</v>
      </c>
      <c r="C24" s="34" t="s">
        <v>2140</v>
      </c>
      <c r="D24" s="36" t="s">
        <v>347</v>
      </c>
      <c r="E24" s="36"/>
      <c r="F24" s="23"/>
      <c r="G24" s="44"/>
      <c r="H24" s="17">
        <f t="shared" si="0"/>
        <v>0</v>
      </c>
    </row>
    <row r="25" spans="2:9">
      <c r="B25" s="103"/>
      <c r="C25" s="34"/>
      <c r="D25" s="36"/>
      <c r="E25" s="36"/>
      <c r="F25" s="23"/>
      <c r="G25" s="44"/>
      <c r="H25" s="17" t="str">
        <f t="shared" si="0"/>
        <v/>
      </c>
    </row>
    <row r="26" spans="2:9">
      <c r="B26" s="103"/>
      <c r="C26" s="34"/>
      <c r="D26" s="36"/>
      <c r="E26" s="36"/>
      <c r="F26" s="23"/>
      <c r="G26" s="44"/>
      <c r="H26" s="17" t="str">
        <f t="shared" si="0"/>
        <v/>
      </c>
    </row>
    <row r="27" spans="2:9">
      <c r="B27" s="103"/>
      <c r="C27" s="34"/>
      <c r="D27" s="36"/>
      <c r="E27" s="36"/>
      <c r="F27" s="23"/>
      <c r="G27" s="44"/>
      <c r="H27" s="17" t="str">
        <f t="shared" si="0"/>
        <v/>
      </c>
    </row>
    <row r="28" spans="2:9">
      <c r="B28" s="103"/>
      <c r="C28" s="34"/>
      <c r="D28" s="36"/>
      <c r="E28" s="36"/>
      <c r="F28" s="23"/>
      <c r="G28" s="44"/>
      <c r="H28" s="17" t="str">
        <f t="shared" si="0"/>
        <v/>
      </c>
    </row>
    <row r="29" spans="2:9">
      <c r="B29" s="103"/>
      <c r="C29" s="34"/>
      <c r="D29" s="36"/>
      <c r="E29" s="36"/>
      <c r="F29" s="23"/>
      <c r="G29" s="44"/>
      <c r="H29" s="17" t="str">
        <f t="shared" si="0"/>
        <v/>
      </c>
    </row>
    <row r="30" spans="2:9">
      <c r="B30" s="103"/>
      <c r="C30" s="34"/>
      <c r="D30" s="36"/>
      <c r="E30" s="36"/>
      <c r="F30" s="23"/>
      <c r="G30" s="44"/>
      <c r="H30" s="17" t="str">
        <f t="shared" si="0"/>
        <v/>
      </c>
    </row>
    <row r="31" spans="2:9">
      <c r="B31" s="103"/>
      <c r="C31" s="34"/>
      <c r="D31" s="36"/>
      <c r="E31" s="36"/>
      <c r="F31" s="23"/>
      <c r="G31" s="44"/>
      <c r="H31" s="17" t="str">
        <f t="shared" si="0"/>
        <v/>
      </c>
    </row>
    <row r="32" spans="2:9">
      <c r="B32" s="103"/>
      <c r="C32" s="34"/>
      <c r="D32" s="36"/>
      <c r="E32" s="36"/>
      <c r="F32" s="23"/>
      <c r="G32" s="44"/>
      <c r="H32" s="17" t="str">
        <f t="shared" si="0"/>
        <v/>
      </c>
    </row>
    <row r="33" spans="2:8">
      <c r="B33" s="103"/>
      <c r="C33" s="34"/>
      <c r="D33" s="36"/>
      <c r="E33" s="36"/>
      <c r="F33" s="23"/>
      <c r="G33" s="44"/>
      <c r="H33" s="17" t="str">
        <f t="shared" si="0"/>
        <v/>
      </c>
    </row>
    <row r="34" spans="2:8">
      <c r="B34" s="103"/>
      <c r="C34" s="34"/>
      <c r="D34" s="36"/>
      <c r="E34" s="36"/>
      <c r="F34" s="23"/>
      <c r="G34" s="44"/>
      <c r="H34" s="17" t="str">
        <f t="shared" si="0"/>
        <v/>
      </c>
    </row>
    <row r="35" spans="2:8">
      <c r="B35" s="103"/>
      <c r="C35" s="34"/>
      <c r="D35" s="36"/>
      <c r="E35" s="36"/>
      <c r="F35" s="23"/>
      <c r="G35" s="44"/>
      <c r="H35" s="17" t="str">
        <f t="shared" si="0"/>
        <v/>
      </c>
    </row>
    <row r="36" spans="2:8">
      <c r="B36" s="103"/>
      <c r="C36" s="34"/>
      <c r="D36" s="36"/>
      <c r="E36" s="36"/>
      <c r="F36" s="23"/>
      <c r="G36" s="44"/>
      <c r="H36" s="17" t="str">
        <f t="shared" si="0"/>
        <v/>
      </c>
    </row>
    <row r="37" spans="2:8">
      <c r="B37" s="103"/>
      <c r="C37" s="34"/>
      <c r="D37" s="36"/>
      <c r="E37" s="36"/>
      <c r="F37" s="23"/>
      <c r="G37" s="44"/>
      <c r="H37" s="17" t="str">
        <f t="shared" si="0"/>
        <v/>
      </c>
    </row>
    <row r="38" spans="2:8">
      <c r="B38" s="103"/>
      <c r="C38" s="34"/>
      <c r="D38" s="36"/>
      <c r="E38" s="36"/>
      <c r="F38" s="23"/>
      <c r="G38" s="44"/>
      <c r="H38" s="17" t="str">
        <f t="shared" si="0"/>
        <v/>
      </c>
    </row>
    <row r="39" spans="2:8">
      <c r="B39" s="103"/>
      <c r="C39" s="34"/>
      <c r="D39" s="36"/>
      <c r="E39" s="36"/>
      <c r="F39" s="23"/>
      <c r="G39" s="44"/>
      <c r="H39" s="17" t="str">
        <f t="shared" si="0"/>
        <v/>
      </c>
    </row>
    <row r="40" spans="2:8">
      <c r="B40" s="103"/>
      <c r="C40" s="34"/>
      <c r="D40" s="36"/>
      <c r="E40" s="36"/>
      <c r="F40" s="23"/>
      <c r="G40" s="44"/>
      <c r="H40" s="17" t="str">
        <f t="shared" si="0"/>
        <v/>
      </c>
    </row>
    <row r="41" spans="2:8">
      <c r="B41" s="103"/>
      <c r="C41" s="34"/>
      <c r="D41" s="36"/>
      <c r="E41" s="36"/>
      <c r="F41" s="23"/>
      <c r="G41" s="44"/>
      <c r="H41" s="17" t="str">
        <f t="shared" si="0"/>
        <v/>
      </c>
    </row>
    <row r="42" spans="2:8">
      <c r="B42" s="103"/>
      <c r="C42" s="34"/>
      <c r="D42" s="36"/>
      <c r="E42" s="36"/>
      <c r="F42" s="23"/>
      <c r="G42" s="44"/>
      <c r="H42" s="17" t="str">
        <f t="shared" si="0"/>
        <v/>
      </c>
    </row>
    <row r="43" spans="2:8">
      <c r="B43" s="103"/>
      <c r="C43" s="34"/>
      <c r="D43" s="36"/>
      <c r="E43" s="36"/>
      <c r="F43" s="23"/>
      <c r="G43" s="44"/>
      <c r="H43" s="17" t="str">
        <f t="shared" si="0"/>
        <v/>
      </c>
    </row>
    <row r="44" spans="2:8">
      <c r="B44" s="103"/>
      <c r="C44" s="34"/>
      <c r="D44" s="36"/>
      <c r="E44" s="36"/>
      <c r="F44" s="23"/>
      <c r="G44" s="44"/>
      <c r="H44" s="17" t="str">
        <f t="shared" si="0"/>
        <v/>
      </c>
    </row>
    <row r="45" spans="2:8">
      <c r="B45" s="103"/>
      <c r="C45" s="34"/>
      <c r="D45" s="36"/>
      <c r="E45" s="36"/>
      <c r="F45" s="23"/>
      <c r="G45" s="44"/>
      <c r="H45" s="17" t="str">
        <f t="shared" si="0"/>
        <v/>
      </c>
    </row>
    <row r="46" spans="2:8">
      <c r="B46" s="103"/>
      <c r="C46" s="34"/>
      <c r="D46" s="36"/>
      <c r="E46" s="36"/>
      <c r="F46" s="23"/>
      <c r="G46" s="44"/>
      <c r="H46" s="17" t="str">
        <f t="shared" si="0"/>
        <v/>
      </c>
    </row>
    <row r="47" spans="2:8">
      <c r="B47" s="103"/>
      <c r="C47" s="34"/>
      <c r="D47" s="36"/>
      <c r="E47" s="36"/>
      <c r="F47" s="23"/>
      <c r="G47" s="44"/>
      <c r="H47" s="17" t="str">
        <f t="shared" si="0"/>
        <v/>
      </c>
    </row>
    <row r="48" spans="2:8">
      <c r="B48" s="103"/>
      <c r="C48" s="34"/>
      <c r="D48" s="36"/>
      <c r="E48" s="36"/>
      <c r="F48" s="23"/>
      <c r="G48" s="44"/>
      <c r="H48" s="17" t="str">
        <f t="shared" si="0"/>
        <v/>
      </c>
    </row>
    <row r="49" spans="2:8">
      <c r="B49" s="103"/>
      <c r="C49" s="34"/>
      <c r="D49" s="36"/>
      <c r="E49" s="36"/>
      <c r="F49" s="23"/>
      <c r="G49" s="44"/>
      <c r="H49" s="17" t="str">
        <f t="shared" si="0"/>
        <v/>
      </c>
    </row>
    <row r="50" spans="2:8">
      <c r="B50" s="103"/>
      <c r="C50" s="34"/>
      <c r="D50" s="36"/>
      <c r="E50" s="36"/>
      <c r="F50" s="23"/>
      <c r="G50" s="44"/>
      <c r="H50" s="17" t="str">
        <f t="shared" si="0"/>
        <v/>
      </c>
    </row>
    <row r="51" spans="2:8">
      <c r="B51" s="103"/>
      <c r="C51" s="34"/>
      <c r="D51" s="36"/>
      <c r="E51" s="36"/>
      <c r="F51" s="23"/>
      <c r="G51" s="44"/>
      <c r="H51" s="17" t="str">
        <f t="shared" si="0"/>
        <v/>
      </c>
    </row>
    <row r="52" spans="2:8">
      <c r="B52" s="103"/>
      <c r="C52" s="34"/>
      <c r="D52" s="36"/>
      <c r="E52" s="36"/>
      <c r="F52" s="23"/>
      <c r="G52" s="44"/>
      <c r="H52" s="17" t="str">
        <f t="shared" si="0"/>
        <v/>
      </c>
    </row>
    <row r="53" spans="2:8">
      <c r="B53" s="103"/>
      <c r="C53" s="34"/>
      <c r="D53" s="36"/>
      <c r="E53" s="36"/>
      <c r="F53" s="23"/>
      <c r="G53" s="44"/>
      <c r="H53" s="17" t="str">
        <f t="shared" si="0"/>
        <v/>
      </c>
    </row>
    <row r="54" spans="2:8">
      <c r="B54" s="103"/>
      <c r="C54" s="34"/>
      <c r="D54" s="36"/>
      <c r="E54" s="36"/>
      <c r="F54" s="23"/>
      <c r="G54" s="44"/>
      <c r="H54" s="17" t="str">
        <f t="shared" si="0"/>
        <v/>
      </c>
    </row>
    <row r="55" spans="2:8">
      <c r="B55" s="103"/>
      <c r="C55" s="34"/>
      <c r="D55" s="36"/>
      <c r="E55" s="36"/>
      <c r="F55" s="23"/>
      <c r="G55" s="44"/>
      <c r="H55" s="17" t="str">
        <f t="shared" si="0"/>
        <v/>
      </c>
    </row>
    <row r="56" spans="2:8">
      <c r="B56" s="103"/>
      <c r="C56" s="34"/>
      <c r="D56" s="36"/>
      <c r="E56" s="36"/>
      <c r="F56" s="23"/>
      <c r="G56" s="44"/>
      <c r="H56" s="17" t="str">
        <f t="shared" si="0"/>
        <v/>
      </c>
    </row>
    <row r="57" spans="2:8">
      <c r="B57" s="103"/>
      <c r="C57" s="34"/>
      <c r="D57" s="36"/>
      <c r="E57" s="36"/>
      <c r="F57" s="23"/>
      <c r="G57" s="44"/>
      <c r="H57" s="17" t="str">
        <f t="shared" si="0"/>
        <v/>
      </c>
    </row>
    <row r="58" spans="2:8">
      <c r="B58" s="103"/>
      <c r="C58" s="34"/>
      <c r="D58" s="36"/>
      <c r="E58" s="36"/>
      <c r="F58" s="23"/>
      <c r="G58" s="44"/>
      <c r="H58" s="17" t="str">
        <f t="shared" si="0"/>
        <v/>
      </c>
    </row>
    <row r="59" spans="2:8">
      <c r="B59" s="103"/>
      <c r="C59" s="34"/>
      <c r="D59" s="36"/>
      <c r="E59" s="36"/>
      <c r="F59" s="23"/>
      <c r="G59" s="44"/>
      <c r="H59" s="17" t="str">
        <f t="shared" si="0"/>
        <v/>
      </c>
    </row>
    <row r="60" spans="2:8">
      <c r="B60" s="103"/>
      <c r="C60" s="34"/>
      <c r="D60" s="36"/>
      <c r="E60" s="36"/>
      <c r="F60" s="23"/>
      <c r="G60" s="44"/>
      <c r="H60" s="17" t="str">
        <f t="shared" si="0"/>
        <v/>
      </c>
    </row>
    <row r="61" spans="2:8">
      <c r="B61" s="103"/>
      <c r="C61" s="34"/>
      <c r="D61" s="36"/>
      <c r="E61" s="36"/>
      <c r="F61" s="23"/>
      <c r="G61" s="44"/>
      <c r="H61" s="17" t="str">
        <f t="shared" si="0"/>
        <v/>
      </c>
    </row>
    <row r="62" spans="2:8">
      <c r="B62" s="103"/>
      <c r="C62" s="34"/>
      <c r="D62" s="36"/>
      <c r="E62" s="36"/>
      <c r="F62" s="23"/>
      <c r="G62" s="44"/>
      <c r="H62" s="17" t="str">
        <f t="shared" si="0"/>
        <v/>
      </c>
    </row>
    <row r="63" spans="2:8">
      <c r="B63" s="103"/>
      <c r="C63" s="34"/>
      <c r="D63" s="36"/>
      <c r="E63" s="36"/>
      <c r="F63" s="23"/>
      <c r="G63" s="44"/>
      <c r="H63" s="17" t="str">
        <f t="shared" si="0"/>
        <v/>
      </c>
    </row>
    <row r="64" spans="2:8">
      <c r="B64" s="103"/>
      <c r="C64" s="34"/>
      <c r="D64" s="36"/>
      <c r="E64" s="36"/>
      <c r="F64" s="23"/>
      <c r="G64" s="44"/>
      <c r="H64" s="17" t="str">
        <f t="shared" si="0"/>
        <v/>
      </c>
    </row>
    <row r="65" spans="2:9">
      <c r="B65" s="103"/>
      <c r="C65" s="34"/>
      <c r="D65" s="36"/>
      <c r="E65" s="36"/>
      <c r="F65" s="23"/>
      <c r="G65" s="44"/>
      <c r="H65" s="17" t="str">
        <f t="shared" si="0"/>
        <v/>
      </c>
    </row>
    <row r="66" spans="2:9">
      <c r="B66" s="103"/>
      <c r="C66" s="34"/>
      <c r="D66" s="36"/>
      <c r="E66" s="36"/>
      <c r="F66" s="23"/>
      <c r="G66" s="44"/>
      <c r="H66" s="17" t="str">
        <f t="shared" si="0"/>
        <v/>
      </c>
    </row>
    <row r="67" spans="2:9">
      <c r="B67" s="103"/>
      <c r="C67" s="34"/>
      <c r="D67" s="36"/>
      <c r="E67" s="36"/>
      <c r="F67" s="23"/>
      <c r="G67" s="44"/>
      <c r="H67" s="17" t="str">
        <f t="shared" si="0"/>
        <v/>
      </c>
    </row>
    <row r="68" spans="2:9">
      <c r="B68" s="103"/>
      <c r="C68" s="34"/>
      <c r="D68" s="36"/>
      <c r="E68" s="36"/>
      <c r="F68" s="23"/>
      <c r="G68" s="44"/>
      <c r="H68" s="17" t="str">
        <f t="shared" si="0"/>
        <v/>
      </c>
    </row>
    <row r="69" spans="2:9">
      <c r="B69" s="103"/>
      <c r="C69" s="34"/>
      <c r="D69" s="36"/>
      <c r="E69" s="36"/>
      <c r="F69" s="23"/>
      <c r="G69" s="44"/>
      <c r="H69" s="17" t="str">
        <f t="shared" si="0"/>
        <v/>
      </c>
    </row>
    <row r="70" spans="2:9">
      <c r="B70" s="103"/>
      <c r="C70" s="34"/>
      <c r="D70" s="36"/>
      <c r="E70" s="36"/>
      <c r="F70" s="23"/>
      <c r="G70" s="44"/>
      <c r="H70" s="17" t="str">
        <f t="shared" si="0"/>
        <v/>
      </c>
    </row>
    <row r="71" spans="2:9">
      <c r="B71" s="103"/>
      <c r="C71" s="34"/>
      <c r="D71" s="36"/>
      <c r="E71" s="36"/>
      <c r="F71" s="23"/>
      <c r="G71" s="44"/>
      <c r="H71" s="17" t="str">
        <f t="shared" si="0"/>
        <v/>
      </c>
    </row>
    <row r="72" spans="2:9">
      <c r="B72" s="103"/>
      <c r="C72" s="34"/>
      <c r="D72" s="36"/>
      <c r="E72" s="36"/>
      <c r="F72" s="23"/>
      <c r="G72" s="44"/>
      <c r="H72" s="17" t="str">
        <f t="shared" si="0"/>
        <v/>
      </c>
    </row>
    <row r="73" spans="2:9">
      <c r="B73" s="103"/>
      <c r="C73" s="34"/>
      <c r="D73" s="36"/>
      <c r="E73" s="36"/>
      <c r="F73" s="23"/>
      <c r="G73" s="44"/>
      <c r="H73" s="17" t="str">
        <f t="shared" si="0"/>
        <v/>
      </c>
    </row>
    <row r="74" spans="2:9">
      <c r="B74" s="103"/>
      <c r="C74" s="34"/>
      <c r="D74" s="36"/>
      <c r="E74" s="36"/>
      <c r="F74" s="23"/>
      <c r="G74" s="44"/>
      <c r="H74" s="17" t="str">
        <f t="shared" ref="H74:H77" si="1">IF(D74="","",F74*G74)</f>
        <v/>
      </c>
    </row>
    <row r="75" spans="2:9">
      <c r="B75" s="103"/>
      <c r="C75" s="34"/>
      <c r="D75" s="36"/>
      <c r="E75" s="36"/>
      <c r="F75" s="23"/>
      <c r="G75" s="44"/>
      <c r="H75" s="17" t="str">
        <f t="shared" si="1"/>
        <v/>
      </c>
    </row>
    <row r="76" spans="2:9">
      <c r="B76" s="103"/>
      <c r="C76" s="34"/>
      <c r="D76" s="36"/>
      <c r="E76" s="36"/>
      <c r="F76" s="23"/>
      <c r="G76" s="44"/>
      <c r="H76" s="17" t="str">
        <f t="shared" si="1"/>
        <v/>
      </c>
    </row>
    <row r="77" spans="2:9">
      <c r="B77" s="102"/>
      <c r="C77" s="1"/>
      <c r="D77" s="36"/>
      <c r="E77" s="36"/>
      <c r="F77" s="23"/>
      <c r="G77" s="44"/>
      <c r="H77" s="17" t="str">
        <f t="shared" si="1"/>
        <v/>
      </c>
    </row>
    <row r="78" spans="2:9" s="28" customFormat="1" ht="24.75" customHeight="1">
      <c r="B78" s="119" t="str">
        <f>$B$10</f>
        <v>C12.10</v>
      </c>
      <c r="C78" s="29" t="s">
        <v>125</v>
      </c>
      <c r="D78" s="30"/>
      <c r="E78" s="30"/>
      <c r="F78" s="31"/>
      <c r="G78" s="30"/>
      <c r="H78" s="32">
        <f>SUM(H9:H77)</f>
        <v>0</v>
      </c>
      <c r="I78"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8"/>
  <dimension ref="B1:I71"/>
  <sheetViews>
    <sheetView workbookViewId="0"/>
  </sheetViews>
  <sheetFormatPr defaultColWidth="6.85546875" defaultRowHeight="12.75"/>
  <cols>
    <col min="1" max="1" width="0.85546875" style="1" customWidth="1"/>
    <col min="2" max="2" width="11.7109375" style="34" customWidth="1"/>
    <col min="3" max="3" width="45.7109375" style="52"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92"/>
      <c r="D3" s="72"/>
      <c r="E3" s="72"/>
      <c r="F3" s="72"/>
      <c r="G3" s="73"/>
      <c r="H3" s="91"/>
    </row>
    <row r="4" spans="2:9">
      <c r="B4" s="695" t="s">
        <v>456</v>
      </c>
      <c r="C4" s="696"/>
      <c r="D4" s="696"/>
      <c r="E4" s="696"/>
      <c r="F4" s="696"/>
      <c r="G4" s="696"/>
      <c r="H4" s="776" t="str">
        <f>"CHAPTER "&amp;B10</f>
        <v>CHAPTER C12.12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7"/>
      <c r="I5" s="8"/>
    </row>
    <row r="6" spans="2:9" ht="12.75" customHeight="1">
      <c r="B6" s="690"/>
      <c r="C6" s="691"/>
      <c r="D6" s="691"/>
      <c r="E6" s="691"/>
      <c r="F6" s="691"/>
      <c r="G6" s="691"/>
      <c r="H6" s="777"/>
      <c r="I6" s="8"/>
    </row>
    <row r="7" spans="2:9" ht="7.5" customHeight="1">
      <c r="B7" s="692"/>
      <c r="C7" s="693"/>
      <c r="D7" s="693"/>
      <c r="E7" s="693"/>
      <c r="F7" s="693"/>
      <c r="G7" s="693"/>
      <c r="H7" s="778"/>
      <c r="I7" s="8"/>
    </row>
    <row r="8" spans="2:9" s="9" customFormat="1" ht="24.95" customHeight="1">
      <c r="B8" s="10" t="s">
        <v>11</v>
      </c>
      <c r="C8" s="11" t="s">
        <v>12</v>
      </c>
      <c r="D8" s="11" t="s">
        <v>13</v>
      </c>
      <c r="E8" s="11" t="s">
        <v>14</v>
      </c>
      <c r="F8" s="11" t="s">
        <v>15</v>
      </c>
      <c r="G8" s="11" t="s">
        <v>16</v>
      </c>
      <c r="H8" s="11" t="s">
        <v>17</v>
      </c>
      <c r="I8" s="12"/>
    </row>
    <row r="9" spans="2:9">
      <c r="B9" s="107"/>
      <c r="C9" s="123"/>
      <c r="D9" s="78"/>
      <c r="E9" s="15"/>
      <c r="F9" s="15"/>
      <c r="G9" s="16"/>
      <c r="H9" s="17" t="str">
        <f>IF(D9="","",F9*G9)</f>
        <v/>
      </c>
      <c r="I9" s="18"/>
    </row>
    <row r="10" spans="2:9">
      <c r="B10" s="107" t="s">
        <v>2141</v>
      </c>
      <c r="C10" s="124" t="s">
        <v>2142</v>
      </c>
      <c r="D10" s="15"/>
      <c r="E10" s="15"/>
      <c r="F10" s="15"/>
      <c r="G10" s="16"/>
      <c r="H10" s="17" t="str">
        <f t="shared" ref="H10:H70" si="0">IF(D10="","",F10*G10)</f>
        <v/>
      </c>
      <c r="I10" s="18"/>
    </row>
    <row r="11" spans="2:9">
      <c r="B11" s="107"/>
      <c r="C11" s="124"/>
      <c r="D11" s="15"/>
      <c r="E11" s="15"/>
      <c r="F11" s="15"/>
      <c r="G11" s="16"/>
      <c r="H11" s="17" t="str">
        <f t="shared" si="0"/>
        <v/>
      </c>
      <c r="I11" s="18"/>
    </row>
    <row r="12" spans="2:9">
      <c r="B12" s="103" t="s">
        <v>2143</v>
      </c>
      <c r="C12" s="125" t="s">
        <v>2144</v>
      </c>
      <c r="D12" s="15" t="s">
        <v>33</v>
      </c>
      <c r="E12" s="15"/>
      <c r="F12" s="15"/>
      <c r="G12" s="16"/>
      <c r="H12" s="17">
        <f t="shared" si="0"/>
        <v>0</v>
      </c>
      <c r="I12" s="18"/>
    </row>
    <row r="13" spans="2:9">
      <c r="B13" s="106"/>
      <c r="C13" s="125"/>
      <c r="D13" s="15"/>
      <c r="E13" s="15"/>
      <c r="F13" s="15"/>
      <c r="G13" s="16"/>
      <c r="H13" s="17" t="str">
        <f t="shared" si="0"/>
        <v/>
      </c>
      <c r="I13" s="18"/>
    </row>
    <row r="14" spans="2:9" ht="57.6" customHeight="1">
      <c r="B14" s="106" t="s">
        <v>2145</v>
      </c>
      <c r="C14" s="125" t="s">
        <v>2146</v>
      </c>
      <c r="D14" s="15" t="s">
        <v>85</v>
      </c>
      <c r="E14" s="15"/>
      <c r="F14" s="15"/>
      <c r="G14" s="16"/>
      <c r="H14" s="17">
        <f t="shared" si="0"/>
        <v>0</v>
      </c>
      <c r="I14" s="18"/>
    </row>
    <row r="15" spans="2:9">
      <c r="B15" s="106"/>
      <c r="C15" s="125"/>
      <c r="D15" s="15"/>
      <c r="E15" s="15"/>
      <c r="F15" s="15"/>
      <c r="G15" s="16"/>
      <c r="H15" s="17" t="str">
        <f t="shared" si="0"/>
        <v/>
      </c>
      <c r="I15" s="18"/>
    </row>
    <row r="16" spans="2:9" ht="25.5">
      <c r="B16" s="103" t="s">
        <v>2147</v>
      </c>
      <c r="C16" s="125" t="s">
        <v>2148</v>
      </c>
      <c r="D16" s="15" t="s">
        <v>2149</v>
      </c>
      <c r="E16" s="15"/>
      <c r="F16" s="15"/>
      <c r="G16" s="16"/>
      <c r="H16" s="17">
        <f t="shared" si="0"/>
        <v>0</v>
      </c>
      <c r="I16" s="18"/>
    </row>
    <row r="17" spans="2:9">
      <c r="B17" s="106"/>
      <c r="C17" s="125"/>
      <c r="D17" s="15"/>
      <c r="E17" s="15"/>
      <c r="F17" s="15"/>
      <c r="G17" s="16"/>
      <c r="H17" s="17" t="str">
        <f t="shared" si="0"/>
        <v/>
      </c>
      <c r="I17" s="18"/>
    </row>
    <row r="18" spans="2:9" ht="36.6" customHeight="1">
      <c r="B18" s="103" t="s">
        <v>2150</v>
      </c>
      <c r="C18" s="125" t="s">
        <v>2151</v>
      </c>
      <c r="D18" s="15" t="s">
        <v>347</v>
      </c>
      <c r="E18" s="15"/>
      <c r="F18" s="15"/>
      <c r="G18" s="16"/>
      <c r="H18" s="17">
        <f t="shared" si="0"/>
        <v>0</v>
      </c>
      <c r="I18" s="18"/>
    </row>
    <row r="19" spans="2:9">
      <c r="B19" s="106"/>
      <c r="C19" s="125"/>
      <c r="D19" s="15"/>
      <c r="E19" s="15"/>
      <c r="F19" s="15"/>
      <c r="G19" s="16"/>
      <c r="H19" s="17" t="str">
        <f t="shared" si="0"/>
        <v/>
      </c>
      <c r="I19" s="18"/>
    </row>
    <row r="20" spans="2:9" ht="33" customHeight="1">
      <c r="B20" s="103" t="s">
        <v>2152</v>
      </c>
      <c r="C20" s="126" t="s">
        <v>2153</v>
      </c>
      <c r="D20" s="15" t="s">
        <v>347</v>
      </c>
      <c r="E20" s="15"/>
      <c r="F20" s="15"/>
      <c r="G20" s="16"/>
      <c r="H20" s="17">
        <f t="shared" si="0"/>
        <v>0</v>
      </c>
      <c r="I20" s="18"/>
    </row>
    <row r="21" spans="2:9">
      <c r="B21" s="103"/>
      <c r="C21" s="126"/>
      <c r="D21" s="15"/>
      <c r="E21" s="15"/>
      <c r="F21" s="15"/>
      <c r="G21" s="16"/>
      <c r="H21" s="17" t="str">
        <f t="shared" si="0"/>
        <v/>
      </c>
      <c r="I21" s="18"/>
    </row>
    <row r="22" spans="2:9">
      <c r="B22" s="103" t="s">
        <v>2154</v>
      </c>
      <c r="C22" s="125" t="s">
        <v>2155</v>
      </c>
      <c r="D22" s="15" t="s">
        <v>33</v>
      </c>
      <c r="E22" s="15"/>
      <c r="F22" s="15"/>
      <c r="G22" s="16"/>
      <c r="H22" s="17">
        <f t="shared" si="0"/>
        <v>0</v>
      </c>
      <c r="I22" s="18"/>
    </row>
    <row r="23" spans="2:9">
      <c r="B23" s="106"/>
      <c r="C23" s="126"/>
      <c r="D23" s="15"/>
      <c r="E23" s="15"/>
      <c r="F23" s="15"/>
      <c r="G23" s="16"/>
      <c r="H23" s="17" t="str">
        <f t="shared" si="0"/>
        <v/>
      </c>
      <c r="I23" s="18"/>
    </row>
    <row r="24" spans="2:9">
      <c r="B24" s="106" t="s">
        <v>2156</v>
      </c>
      <c r="C24" s="125" t="s">
        <v>2157</v>
      </c>
      <c r="D24" s="15" t="s">
        <v>33</v>
      </c>
      <c r="E24" s="22"/>
      <c r="F24" s="22"/>
      <c r="G24" s="39"/>
      <c r="H24" s="17">
        <f t="shared" si="0"/>
        <v>0</v>
      </c>
      <c r="I24" s="40"/>
    </row>
    <row r="25" spans="2:9">
      <c r="B25" s="106"/>
      <c r="C25" s="125"/>
      <c r="D25" s="22"/>
      <c r="E25" s="22"/>
      <c r="F25" s="22"/>
      <c r="G25" s="39"/>
      <c r="H25" s="17" t="str">
        <f t="shared" si="0"/>
        <v/>
      </c>
      <c r="I25" s="40"/>
    </row>
    <row r="26" spans="2:9">
      <c r="B26" s="106" t="s">
        <v>2158</v>
      </c>
      <c r="C26" s="127" t="s">
        <v>2159</v>
      </c>
      <c r="D26" s="22"/>
      <c r="E26" s="22"/>
      <c r="F26" s="22"/>
      <c r="G26" s="39"/>
      <c r="H26" s="17" t="str">
        <f t="shared" si="0"/>
        <v/>
      </c>
      <c r="I26" s="40"/>
    </row>
    <row r="27" spans="2:9">
      <c r="B27" s="106"/>
      <c r="C27" s="125"/>
      <c r="D27" s="22"/>
      <c r="E27" s="22"/>
      <c r="F27" s="22"/>
      <c r="G27" s="39"/>
      <c r="H27" s="17" t="str">
        <f t="shared" si="0"/>
        <v/>
      </c>
      <c r="I27" s="40"/>
    </row>
    <row r="28" spans="2:9">
      <c r="B28" s="106" t="s">
        <v>2160</v>
      </c>
      <c r="C28" s="127" t="s">
        <v>2161</v>
      </c>
      <c r="D28" s="15" t="s">
        <v>33</v>
      </c>
      <c r="E28" s="22"/>
      <c r="F28" s="22"/>
      <c r="G28" s="39"/>
      <c r="H28" s="17">
        <f t="shared" si="0"/>
        <v>0</v>
      </c>
      <c r="I28" s="40"/>
    </row>
    <row r="29" spans="2:9">
      <c r="B29" s="106"/>
      <c r="C29" s="125"/>
      <c r="D29" s="22"/>
      <c r="E29" s="22"/>
      <c r="F29" s="22"/>
      <c r="G29" s="39"/>
      <c r="H29" s="17" t="str">
        <f t="shared" si="0"/>
        <v/>
      </c>
      <c r="I29" s="40"/>
    </row>
    <row r="30" spans="2:9">
      <c r="B30" s="106" t="s">
        <v>2162</v>
      </c>
      <c r="C30" s="127" t="s">
        <v>2163</v>
      </c>
      <c r="D30" s="15" t="s">
        <v>33</v>
      </c>
      <c r="E30" s="22"/>
      <c r="F30" s="22"/>
      <c r="G30" s="39"/>
      <c r="H30" s="17">
        <f t="shared" si="0"/>
        <v>0</v>
      </c>
      <c r="I30" s="40"/>
    </row>
    <row r="31" spans="2:9">
      <c r="B31" s="106"/>
      <c r="C31" s="51"/>
      <c r="D31" s="15"/>
      <c r="E31" s="22"/>
      <c r="F31" s="22"/>
      <c r="G31" s="39"/>
      <c r="H31" s="17"/>
      <c r="I31" s="40"/>
    </row>
    <row r="32" spans="2:9">
      <c r="B32" s="106"/>
      <c r="C32" s="51"/>
      <c r="D32" s="15"/>
      <c r="E32" s="22"/>
      <c r="F32" s="22"/>
      <c r="G32" s="39"/>
      <c r="H32" s="17"/>
      <c r="I32" s="40"/>
    </row>
    <row r="33" spans="2:9">
      <c r="B33" s="106"/>
      <c r="C33" s="51"/>
      <c r="D33" s="15"/>
      <c r="E33" s="22"/>
      <c r="F33" s="22"/>
      <c r="G33" s="39"/>
      <c r="H33" s="17"/>
      <c r="I33" s="40"/>
    </row>
    <row r="34" spans="2:9">
      <c r="B34" s="106"/>
      <c r="C34" s="51"/>
      <c r="D34" s="15"/>
      <c r="E34" s="22"/>
      <c r="F34" s="22"/>
      <c r="G34" s="39"/>
      <c r="H34" s="17"/>
      <c r="I34" s="40"/>
    </row>
    <row r="35" spans="2:9">
      <c r="B35" s="106"/>
      <c r="C35" s="51"/>
      <c r="D35" s="15"/>
      <c r="E35" s="22"/>
      <c r="F35" s="22"/>
      <c r="G35" s="39"/>
      <c r="H35" s="17"/>
      <c r="I35" s="40"/>
    </row>
    <row r="36" spans="2:9">
      <c r="B36" s="106"/>
      <c r="C36" s="51"/>
      <c r="D36" s="15"/>
      <c r="E36" s="22"/>
      <c r="F36" s="22"/>
      <c r="G36" s="39"/>
      <c r="H36" s="17"/>
      <c r="I36" s="40"/>
    </row>
    <row r="37" spans="2:9">
      <c r="B37" s="106"/>
      <c r="C37" s="51"/>
      <c r="D37" s="15"/>
      <c r="E37" s="22"/>
      <c r="F37" s="22"/>
      <c r="G37" s="39"/>
      <c r="H37" s="17"/>
      <c r="I37" s="40"/>
    </row>
    <row r="38" spans="2:9">
      <c r="B38" s="106"/>
      <c r="C38" s="51"/>
      <c r="D38" s="15"/>
      <c r="E38" s="22"/>
      <c r="F38" s="22"/>
      <c r="G38" s="39"/>
      <c r="H38" s="17"/>
      <c r="I38" s="40"/>
    </row>
    <row r="39" spans="2:9">
      <c r="B39" s="106"/>
      <c r="C39" s="51"/>
      <c r="D39" s="15"/>
      <c r="E39" s="22"/>
      <c r="F39" s="22"/>
      <c r="G39" s="39"/>
      <c r="H39" s="17"/>
      <c r="I39" s="40"/>
    </row>
    <row r="40" spans="2:9">
      <c r="B40" s="106"/>
      <c r="C40" s="51"/>
      <c r="D40" s="15"/>
      <c r="E40" s="22"/>
      <c r="F40" s="22"/>
      <c r="G40" s="39"/>
      <c r="H40" s="17"/>
      <c r="I40" s="40"/>
    </row>
    <row r="41" spans="2:9">
      <c r="B41" s="106"/>
      <c r="C41" s="51"/>
      <c r="D41" s="15"/>
      <c r="E41" s="22"/>
      <c r="F41" s="22"/>
      <c r="G41" s="39"/>
      <c r="H41" s="17"/>
      <c r="I41" s="40"/>
    </row>
    <row r="42" spans="2:9">
      <c r="B42" s="106"/>
      <c r="C42" s="51"/>
      <c r="D42" s="15"/>
      <c r="E42" s="22"/>
      <c r="F42" s="22"/>
      <c r="G42" s="39"/>
      <c r="H42" s="17"/>
      <c r="I42" s="40"/>
    </row>
    <row r="43" spans="2:9">
      <c r="B43" s="106"/>
      <c r="C43" s="51"/>
      <c r="D43" s="15"/>
      <c r="E43" s="22"/>
      <c r="F43" s="22"/>
      <c r="G43" s="39"/>
      <c r="H43" s="17"/>
      <c r="I43" s="40"/>
    </row>
    <row r="44" spans="2:9">
      <c r="B44" s="106"/>
      <c r="C44" s="51"/>
      <c r="D44" s="15"/>
      <c r="E44" s="22"/>
      <c r="F44" s="22"/>
      <c r="G44" s="39"/>
      <c r="H44" s="17"/>
      <c r="I44" s="40"/>
    </row>
    <row r="45" spans="2:9">
      <c r="B45" s="106"/>
      <c r="C45" s="51"/>
      <c r="D45" s="15"/>
      <c r="E45" s="22"/>
      <c r="F45" s="22"/>
      <c r="G45" s="39"/>
      <c r="H45" s="17"/>
      <c r="I45" s="40"/>
    </row>
    <row r="46" spans="2:9">
      <c r="B46" s="106"/>
      <c r="C46" s="51"/>
      <c r="D46" s="15"/>
      <c r="E46" s="22"/>
      <c r="F46" s="22"/>
      <c r="G46" s="39"/>
      <c r="H46" s="17"/>
      <c r="I46" s="40"/>
    </row>
    <row r="47" spans="2:9">
      <c r="B47" s="106"/>
      <c r="C47" s="51"/>
      <c r="D47" s="15"/>
      <c r="E47" s="22"/>
      <c r="F47" s="22"/>
      <c r="G47" s="39"/>
      <c r="H47" s="17"/>
      <c r="I47" s="40"/>
    </row>
    <row r="48" spans="2:9">
      <c r="B48" s="106"/>
      <c r="C48" s="51"/>
      <c r="D48" s="15"/>
      <c r="E48" s="22"/>
      <c r="F48" s="22"/>
      <c r="G48" s="39"/>
      <c r="H48" s="17"/>
      <c r="I48" s="40"/>
    </row>
    <row r="49" spans="2:9">
      <c r="B49" s="106"/>
      <c r="C49" s="51"/>
      <c r="D49" s="15"/>
      <c r="E49" s="22"/>
      <c r="F49" s="22"/>
      <c r="G49" s="39"/>
      <c r="H49" s="17"/>
      <c r="I49" s="40"/>
    </row>
    <row r="50" spans="2:9">
      <c r="B50" s="106"/>
      <c r="C50" s="51"/>
      <c r="D50" s="15"/>
      <c r="E50" s="22"/>
      <c r="F50" s="22"/>
      <c r="G50" s="39"/>
      <c r="H50" s="17"/>
      <c r="I50" s="40"/>
    </row>
    <row r="51" spans="2:9">
      <c r="B51" s="106"/>
      <c r="C51" s="51"/>
      <c r="D51" s="15"/>
      <c r="E51" s="22"/>
      <c r="F51" s="22"/>
      <c r="G51" s="39"/>
      <c r="H51" s="17"/>
      <c r="I51" s="40"/>
    </row>
    <row r="52" spans="2:9">
      <c r="B52" s="106"/>
      <c r="C52" s="51"/>
      <c r="D52" s="15"/>
      <c r="E52" s="22"/>
      <c r="F52" s="22"/>
      <c r="G52" s="39"/>
      <c r="H52" s="17"/>
      <c r="I52" s="40"/>
    </row>
    <row r="53" spans="2:9">
      <c r="B53" s="106"/>
      <c r="C53" s="51"/>
      <c r="D53" s="15"/>
      <c r="E53" s="22"/>
      <c r="F53" s="22"/>
      <c r="G53" s="39"/>
      <c r="H53" s="17"/>
      <c r="I53" s="40"/>
    </row>
    <row r="54" spans="2:9">
      <c r="B54" s="106"/>
      <c r="C54" s="51"/>
      <c r="D54" s="15"/>
      <c r="E54" s="22"/>
      <c r="F54" s="22"/>
      <c r="G54" s="39"/>
      <c r="H54" s="17"/>
      <c r="I54" s="40"/>
    </row>
    <row r="55" spans="2:9">
      <c r="B55" s="106"/>
      <c r="C55" s="51"/>
      <c r="D55" s="15"/>
      <c r="E55" s="22"/>
      <c r="F55" s="22"/>
      <c r="G55" s="39"/>
      <c r="H55" s="17"/>
      <c r="I55" s="40"/>
    </row>
    <row r="56" spans="2:9">
      <c r="B56" s="106"/>
      <c r="C56" s="51"/>
      <c r="D56" s="15"/>
      <c r="E56" s="22"/>
      <c r="F56" s="22"/>
      <c r="G56" s="39"/>
      <c r="H56" s="17"/>
      <c r="I56" s="40"/>
    </row>
    <row r="57" spans="2:9">
      <c r="B57" s="106"/>
      <c r="C57" s="51"/>
      <c r="D57" s="15"/>
      <c r="E57" s="22"/>
      <c r="F57" s="22"/>
      <c r="G57" s="39"/>
      <c r="H57" s="17"/>
      <c r="I57" s="40"/>
    </row>
    <row r="58" spans="2:9">
      <c r="B58" s="106"/>
      <c r="C58" s="51"/>
      <c r="D58" s="15"/>
      <c r="E58" s="22"/>
      <c r="F58" s="22"/>
      <c r="G58" s="39"/>
      <c r="H58" s="17"/>
      <c r="I58" s="40"/>
    </row>
    <row r="59" spans="2:9">
      <c r="B59" s="106"/>
      <c r="C59" s="51"/>
      <c r="D59" s="15"/>
      <c r="E59" s="22"/>
      <c r="F59" s="22"/>
      <c r="G59" s="39"/>
      <c r="H59" s="17"/>
      <c r="I59" s="40"/>
    </row>
    <row r="60" spans="2:9">
      <c r="B60" s="106"/>
      <c r="C60" s="51"/>
      <c r="D60" s="15"/>
      <c r="E60" s="22"/>
      <c r="F60" s="22"/>
      <c r="G60" s="39"/>
      <c r="H60" s="17"/>
      <c r="I60" s="40"/>
    </row>
    <row r="61" spans="2:9">
      <c r="B61" s="106"/>
      <c r="C61" s="51"/>
      <c r="D61" s="15"/>
      <c r="E61" s="22"/>
      <c r="F61" s="22"/>
      <c r="G61" s="39"/>
      <c r="H61" s="17"/>
      <c r="I61" s="40"/>
    </row>
    <row r="62" spans="2:9">
      <c r="B62" s="106"/>
      <c r="C62" s="51"/>
      <c r="D62" s="15"/>
      <c r="E62" s="22"/>
      <c r="F62" s="22"/>
      <c r="G62" s="39"/>
      <c r="H62" s="17"/>
      <c r="I62" s="40"/>
    </row>
    <row r="63" spans="2:9">
      <c r="B63" s="106"/>
      <c r="C63" s="51"/>
      <c r="D63" s="15"/>
      <c r="E63" s="22"/>
      <c r="F63" s="22"/>
      <c r="G63" s="39"/>
      <c r="H63" s="17"/>
      <c r="I63" s="40"/>
    </row>
    <row r="64" spans="2:9">
      <c r="B64" s="106"/>
      <c r="C64" s="51"/>
      <c r="D64" s="15"/>
      <c r="E64" s="22"/>
      <c r="F64" s="22"/>
      <c r="G64" s="39"/>
      <c r="H64" s="17"/>
      <c r="I64" s="40"/>
    </row>
    <row r="65" spans="2:9">
      <c r="B65" s="106"/>
      <c r="C65" s="51"/>
      <c r="D65" s="15"/>
      <c r="E65" s="22"/>
      <c r="F65" s="22"/>
      <c r="G65" s="39"/>
      <c r="H65" s="17"/>
      <c r="I65" s="40"/>
    </row>
    <row r="66" spans="2:9">
      <c r="B66" s="106"/>
      <c r="C66" s="51"/>
      <c r="D66" s="15"/>
      <c r="E66" s="22"/>
      <c r="F66" s="22"/>
      <c r="G66" s="39"/>
      <c r="H66" s="17"/>
      <c r="I66" s="40"/>
    </row>
    <row r="67" spans="2:9">
      <c r="B67" s="106"/>
      <c r="C67" s="51"/>
      <c r="D67" s="15"/>
      <c r="E67" s="22"/>
      <c r="F67" s="22"/>
      <c r="G67" s="39"/>
      <c r="H67" s="17"/>
      <c r="I67" s="40"/>
    </row>
    <row r="68" spans="2:9">
      <c r="B68" s="106"/>
      <c r="C68" s="51"/>
      <c r="D68" s="15"/>
      <c r="E68" s="22"/>
      <c r="F68" s="22"/>
      <c r="G68" s="39"/>
      <c r="H68" s="17"/>
      <c r="I68" s="40"/>
    </row>
    <row r="69" spans="2:9">
      <c r="B69" s="106"/>
      <c r="C69" s="51"/>
      <c r="D69" s="15"/>
      <c r="E69" s="22"/>
      <c r="F69" s="22"/>
      <c r="G69" s="39"/>
      <c r="H69" s="17"/>
      <c r="I69" s="40"/>
    </row>
    <row r="70" spans="2:9">
      <c r="B70" s="117"/>
      <c r="D70" s="75"/>
      <c r="E70" s="22"/>
      <c r="F70" s="22"/>
      <c r="G70" s="37"/>
      <c r="H70" s="17" t="str">
        <f t="shared" si="0"/>
        <v/>
      </c>
      <c r="I70" s="40"/>
    </row>
    <row r="71" spans="2:9" s="28" customFormat="1" ht="24.75" customHeight="1">
      <c r="B71" s="119" t="str">
        <f>$B$10</f>
        <v>C12.12</v>
      </c>
      <c r="C71" s="29" t="s">
        <v>125</v>
      </c>
      <c r="D71" s="30"/>
      <c r="E71" s="30"/>
      <c r="F71" s="31"/>
      <c r="G71" s="30"/>
      <c r="H71" s="32">
        <f>SUM(H9:H70)</f>
        <v>0</v>
      </c>
      <c r="I71"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6"/>
  <dimension ref="B1:I198"/>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59"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160"/>
      <c r="H3" s="91"/>
    </row>
    <row r="4" spans="2:9">
      <c r="B4" s="695" t="s">
        <v>456</v>
      </c>
      <c r="C4" s="696"/>
      <c r="D4" s="696"/>
      <c r="E4" s="696"/>
      <c r="F4" s="696"/>
      <c r="G4" s="696"/>
      <c r="H4" s="770" t="str">
        <f>"CHAPTER "&amp;B10</f>
        <v>CHAPTER C13.1</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61" t="s">
        <v>16</v>
      </c>
      <c r="H8" s="11" t="s">
        <v>17</v>
      </c>
      <c r="I8" s="12"/>
    </row>
    <row r="9" spans="2:9">
      <c r="B9" s="48"/>
      <c r="C9" s="14"/>
      <c r="D9" s="15"/>
      <c r="E9" s="15"/>
      <c r="F9" s="15"/>
      <c r="G9" s="162"/>
      <c r="H9" s="17" t="str">
        <f>IF(D9="","",F9*G9)</f>
        <v/>
      </c>
      <c r="I9" s="18"/>
    </row>
    <row r="10" spans="2:9">
      <c r="B10" s="69" t="s">
        <v>2164</v>
      </c>
      <c r="C10" s="20" t="s">
        <v>2165</v>
      </c>
      <c r="D10" s="22"/>
      <c r="E10" s="22"/>
      <c r="F10" s="22"/>
      <c r="G10" s="163"/>
      <c r="H10" s="17" t="str">
        <f t="shared" ref="H10:H84" si="0">IF(D10="","",F10*G10)</f>
        <v/>
      </c>
      <c r="I10" s="40"/>
    </row>
    <row r="11" spans="2:9">
      <c r="B11" s="48"/>
      <c r="C11" s="14"/>
      <c r="D11" s="22"/>
      <c r="E11" s="22"/>
      <c r="F11" s="22"/>
      <c r="G11" s="163"/>
      <c r="H11" s="17" t="str">
        <f t="shared" si="0"/>
        <v/>
      </c>
      <c r="I11" s="40"/>
    </row>
    <row r="12" spans="2:9" ht="51">
      <c r="B12" s="48" t="s">
        <v>2166</v>
      </c>
      <c r="C12" s="14" t="s">
        <v>2167</v>
      </c>
      <c r="D12" s="22" t="s">
        <v>33</v>
      </c>
      <c r="E12" s="22"/>
      <c r="F12" s="22"/>
      <c r="G12" s="163"/>
      <c r="H12" s="17">
        <f t="shared" si="0"/>
        <v>0</v>
      </c>
      <c r="I12" s="40"/>
    </row>
    <row r="13" spans="2:9">
      <c r="B13" s="48"/>
      <c r="C13" s="14"/>
      <c r="D13" s="22"/>
      <c r="E13" s="22"/>
      <c r="F13" s="22"/>
      <c r="G13" s="163"/>
      <c r="H13" s="17" t="str">
        <f t="shared" si="0"/>
        <v/>
      </c>
      <c r="I13" s="40"/>
    </row>
    <row r="14" spans="2:9">
      <c r="B14" s="48" t="s">
        <v>2168</v>
      </c>
      <c r="C14" s="14" t="s">
        <v>2169</v>
      </c>
      <c r="D14" s="22"/>
      <c r="E14" s="22"/>
      <c r="F14" s="23"/>
      <c r="G14" s="164"/>
      <c r="H14" s="17" t="str">
        <f t="shared" si="0"/>
        <v/>
      </c>
      <c r="I14" s="41"/>
    </row>
    <row r="15" spans="2:9">
      <c r="B15" s="48"/>
      <c r="C15" s="14"/>
      <c r="D15" s="22"/>
      <c r="E15" s="22"/>
      <c r="F15" s="23"/>
      <c r="G15" s="164"/>
      <c r="H15" s="17" t="str">
        <f t="shared" si="0"/>
        <v/>
      </c>
      <c r="I15" s="41"/>
    </row>
    <row r="16" spans="2:9" ht="25.5">
      <c r="B16" s="48" t="s">
        <v>2170</v>
      </c>
      <c r="C16" s="14" t="s">
        <v>2171</v>
      </c>
      <c r="D16" s="22" t="s">
        <v>52</v>
      </c>
      <c r="E16" s="22"/>
      <c r="F16" s="23"/>
      <c r="G16" s="164"/>
      <c r="H16" s="17">
        <f t="shared" si="0"/>
        <v>0</v>
      </c>
      <c r="I16" s="41"/>
    </row>
    <row r="17" spans="2:9">
      <c r="B17" s="48"/>
      <c r="C17" s="14"/>
      <c r="D17" s="22"/>
      <c r="E17" s="22"/>
      <c r="F17" s="23"/>
      <c r="G17" s="164"/>
      <c r="H17" s="17" t="str">
        <f t="shared" si="0"/>
        <v/>
      </c>
      <c r="I17" s="41"/>
    </row>
    <row r="18" spans="2:9" ht="25.5">
      <c r="B18" s="48" t="s">
        <v>2172</v>
      </c>
      <c r="C18" s="14" t="s">
        <v>2173</v>
      </c>
      <c r="D18" s="22" t="s">
        <v>55</v>
      </c>
      <c r="E18" s="22"/>
      <c r="F18" s="23"/>
      <c r="G18" s="163"/>
      <c r="H18" s="17">
        <f t="shared" si="0"/>
        <v>0</v>
      </c>
      <c r="I18" s="40"/>
    </row>
    <row r="19" spans="2:9">
      <c r="B19" s="48"/>
      <c r="C19" s="14"/>
      <c r="D19" s="22"/>
      <c r="E19" s="22"/>
      <c r="F19" s="23"/>
      <c r="G19" s="152"/>
      <c r="H19" s="17" t="str">
        <f t="shared" si="0"/>
        <v/>
      </c>
      <c r="I19" s="40"/>
    </row>
    <row r="20" spans="2:9">
      <c r="B20" s="48" t="s">
        <v>2174</v>
      </c>
      <c r="C20" s="14" t="s">
        <v>2175</v>
      </c>
      <c r="D20" s="22"/>
      <c r="E20" s="36"/>
      <c r="F20" s="23"/>
      <c r="G20" s="165"/>
      <c r="H20" s="17" t="str">
        <f t="shared" si="0"/>
        <v/>
      </c>
    </row>
    <row r="21" spans="2:9">
      <c r="B21" s="48"/>
      <c r="C21" s="1"/>
      <c r="D21" s="22"/>
      <c r="E21" s="36"/>
      <c r="F21" s="23"/>
      <c r="G21" s="165"/>
      <c r="H21" s="17" t="str">
        <f t="shared" si="0"/>
        <v/>
      </c>
    </row>
    <row r="22" spans="2:9" ht="25.5">
      <c r="B22" s="48" t="s">
        <v>2176</v>
      </c>
      <c r="C22" s="14" t="s">
        <v>2177</v>
      </c>
      <c r="D22" s="22"/>
      <c r="E22" s="36"/>
      <c r="F22" s="23"/>
      <c r="G22" s="166"/>
      <c r="H22" s="17" t="str">
        <f t="shared" si="0"/>
        <v/>
      </c>
    </row>
    <row r="23" spans="2:9">
      <c r="B23" s="48"/>
      <c r="C23" s="14"/>
      <c r="D23" s="22"/>
      <c r="E23" s="36"/>
      <c r="F23" s="23"/>
      <c r="G23" s="165"/>
      <c r="H23" s="17" t="str">
        <f t="shared" si="0"/>
        <v/>
      </c>
    </row>
    <row r="24" spans="2:9" ht="14.25">
      <c r="B24" s="48" t="s">
        <v>83</v>
      </c>
      <c r="C24" s="14" t="s">
        <v>2178</v>
      </c>
      <c r="D24" s="22" t="s">
        <v>386</v>
      </c>
      <c r="E24" s="36"/>
      <c r="F24" s="23">
        <v>1221</v>
      </c>
      <c r="G24" s="152">
        <v>60</v>
      </c>
      <c r="H24" s="17">
        <f t="shared" si="0"/>
        <v>73260</v>
      </c>
    </row>
    <row r="25" spans="2:9">
      <c r="B25" s="48"/>
      <c r="C25" s="14"/>
      <c r="D25" s="22"/>
      <c r="E25" s="36"/>
      <c r="F25" s="23"/>
      <c r="G25" s="165"/>
      <c r="H25" s="17" t="str">
        <f t="shared" si="0"/>
        <v/>
      </c>
    </row>
    <row r="26" spans="2:9" ht="14.25">
      <c r="B26" s="48" t="s">
        <v>86</v>
      </c>
      <c r="C26" s="14" t="s">
        <v>2179</v>
      </c>
      <c r="D26" s="22" t="s">
        <v>386</v>
      </c>
      <c r="E26" s="22"/>
      <c r="F26" s="23">
        <v>1221</v>
      </c>
      <c r="G26" s="166">
        <v>80</v>
      </c>
      <c r="H26" s="17">
        <f t="shared" si="0"/>
        <v>97680</v>
      </c>
      <c r="I26" s="41"/>
    </row>
    <row r="27" spans="2:9">
      <c r="B27" s="48"/>
      <c r="C27" s="14"/>
      <c r="D27" s="22"/>
      <c r="E27" s="15"/>
      <c r="F27" s="26"/>
      <c r="G27" s="162"/>
      <c r="H27" s="17" t="str">
        <f t="shared" si="0"/>
        <v/>
      </c>
      <c r="I27" s="18"/>
    </row>
    <row r="28" spans="2:9" s="35" customFormat="1" ht="14.25">
      <c r="B28" s="48" t="s">
        <v>117</v>
      </c>
      <c r="C28" s="14" t="s">
        <v>2180</v>
      </c>
      <c r="D28" s="22" t="s">
        <v>386</v>
      </c>
      <c r="E28" s="15"/>
      <c r="F28" s="157">
        <v>610</v>
      </c>
      <c r="G28" s="167">
        <v>120</v>
      </c>
      <c r="H28" s="17">
        <f t="shared" si="0"/>
        <v>73200</v>
      </c>
      <c r="I28" s="18"/>
    </row>
    <row r="29" spans="2:9">
      <c r="B29" s="48"/>
      <c r="C29" s="14"/>
      <c r="D29" s="22"/>
      <c r="E29" s="22"/>
      <c r="F29" s="23"/>
      <c r="G29" s="166"/>
      <c r="H29" s="17" t="str">
        <f t="shared" si="0"/>
        <v/>
      </c>
      <c r="I29" s="41"/>
    </row>
    <row r="30" spans="2:9" ht="25.5">
      <c r="B30" s="48" t="s">
        <v>2181</v>
      </c>
      <c r="C30" s="14" t="s">
        <v>2182</v>
      </c>
      <c r="D30" s="22" t="s">
        <v>386</v>
      </c>
      <c r="E30" s="22"/>
      <c r="F30" s="23">
        <v>457</v>
      </c>
      <c r="G30" s="166">
        <v>150</v>
      </c>
      <c r="H30" s="17">
        <f t="shared" si="0"/>
        <v>68550</v>
      </c>
      <c r="I30" s="41"/>
    </row>
    <row r="31" spans="2:9">
      <c r="B31" s="48"/>
      <c r="C31" s="14"/>
      <c r="D31" s="22"/>
      <c r="E31" s="22"/>
      <c r="F31" s="23"/>
      <c r="G31" s="163"/>
      <c r="H31" s="17" t="str">
        <f t="shared" si="0"/>
        <v/>
      </c>
      <c r="I31" s="40"/>
    </row>
    <row r="32" spans="2:9" ht="38.25">
      <c r="B32" s="48" t="s">
        <v>2183</v>
      </c>
      <c r="C32" s="14" t="s">
        <v>2184</v>
      </c>
      <c r="D32" s="22" t="s">
        <v>386</v>
      </c>
      <c r="E32" s="22"/>
      <c r="F32" s="23">
        <v>300</v>
      </c>
      <c r="G32" s="163">
        <v>50</v>
      </c>
      <c r="H32" s="17">
        <f t="shared" si="0"/>
        <v>15000</v>
      </c>
      <c r="I32" s="40"/>
    </row>
    <row r="33" spans="2:9">
      <c r="B33" s="48"/>
      <c r="C33" s="14"/>
      <c r="D33" s="22"/>
      <c r="E33" s="22"/>
      <c r="F33" s="23"/>
      <c r="G33" s="152"/>
      <c r="H33" s="17" t="str">
        <f t="shared" si="0"/>
        <v/>
      </c>
      <c r="I33" s="40"/>
    </row>
    <row r="34" spans="2:9" ht="14.25">
      <c r="B34" s="48" t="s">
        <v>2185</v>
      </c>
      <c r="C34" s="14" t="s">
        <v>2186</v>
      </c>
      <c r="D34" s="22" t="s">
        <v>386</v>
      </c>
      <c r="E34" s="22"/>
      <c r="F34" s="23">
        <v>50</v>
      </c>
      <c r="G34" s="152">
        <v>220</v>
      </c>
      <c r="H34" s="17">
        <f t="shared" si="0"/>
        <v>11000</v>
      </c>
      <c r="I34" s="40"/>
    </row>
    <row r="35" spans="2:9">
      <c r="B35" s="48"/>
      <c r="C35" s="14"/>
      <c r="D35" s="22"/>
      <c r="E35" s="22"/>
      <c r="F35" s="22"/>
      <c r="G35" s="163"/>
      <c r="H35" s="17" t="str">
        <f t="shared" si="0"/>
        <v/>
      </c>
      <c r="I35" s="40"/>
    </row>
    <row r="36" spans="2:9" ht="25.5">
      <c r="B36" s="48" t="s">
        <v>2187</v>
      </c>
      <c r="C36" s="14" t="s">
        <v>2188</v>
      </c>
      <c r="D36" s="22" t="s">
        <v>386</v>
      </c>
      <c r="E36" s="22"/>
      <c r="F36" s="22"/>
      <c r="G36" s="163"/>
      <c r="H36" s="17">
        <f t="shared" si="0"/>
        <v>0</v>
      </c>
      <c r="I36" s="40"/>
    </row>
    <row r="37" spans="2:9">
      <c r="B37" s="48"/>
      <c r="C37" s="14"/>
      <c r="D37" s="22"/>
      <c r="E37" s="22"/>
      <c r="F37" s="22"/>
      <c r="G37" s="166"/>
      <c r="H37" s="17" t="str">
        <f t="shared" si="0"/>
        <v/>
      </c>
      <c r="I37" s="40"/>
    </row>
    <row r="38" spans="2:9">
      <c r="B38" s="48" t="s">
        <v>2189</v>
      </c>
      <c r="C38" s="14" t="s">
        <v>2190</v>
      </c>
      <c r="D38" s="22"/>
      <c r="E38" s="22"/>
      <c r="F38" s="22"/>
      <c r="G38" s="166"/>
      <c r="H38" s="17" t="str">
        <f t="shared" si="0"/>
        <v/>
      </c>
      <c r="I38" s="40"/>
    </row>
    <row r="39" spans="2:9">
      <c r="B39" s="48"/>
      <c r="C39" s="14"/>
      <c r="D39" s="22"/>
      <c r="E39" s="22"/>
      <c r="F39" s="22"/>
      <c r="G39" s="166"/>
      <c r="H39" s="17" t="str">
        <f t="shared" si="0"/>
        <v/>
      </c>
      <c r="I39" s="40"/>
    </row>
    <row r="40" spans="2:9" ht="25.5">
      <c r="B40" s="48" t="s">
        <v>2191</v>
      </c>
      <c r="C40" s="14" t="s">
        <v>2192</v>
      </c>
      <c r="D40" s="22"/>
      <c r="E40" s="22"/>
      <c r="F40" s="22"/>
      <c r="G40" s="166"/>
      <c r="H40" s="17" t="str">
        <f t="shared" si="0"/>
        <v/>
      </c>
      <c r="I40" s="40"/>
    </row>
    <row r="41" spans="2:9">
      <c r="B41" s="48"/>
      <c r="C41" s="14"/>
      <c r="D41" s="22"/>
      <c r="E41" s="22"/>
      <c r="F41" s="22"/>
      <c r="G41" s="166"/>
      <c r="H41" s="17" t="str">
        <f t="shared" si="0"/>
        <v/>
      </c>
      <c r="I41" s="40"/>
    </row>
    <row r="42" spans="2:9" ht="14.25">
      <c r="B42" s="48" t="s">
        <v>83</v>
      </c>
      <c r="C42" s="14" t="s">
        <v>2178</v>
      </c>
      <c r="D42" s="22" t="s">
        <v>386</v>
      </c>
      <c r="E42" s="22"/>
      <c r="F42" s="22"/>
      <c r="G42" s="166"/>
      <c r="H42" s="17">
        <f t="shared" si="0"/>
        <v>0</v>
      </c>
      <c r="I42" s="40"/>
    </row>
    <row r="43" spans="2:9">
      <c r="B43" s="48"/>
      <c r="C43" s="14"/>
      <c r="D43" s="22"/>
      <c r="E43" s="22"/>
      <c r="F43" s="22"/>
      <c r="G43" s="166"/>
      <c r="H43" s="17" t="str">
        <f t="shared" si="0"/>
        <v/>
      </c>
      <c r="I43" s="40"/>
    </row>
    <row r="44" spans="2:9" ht="25.5">
      <c r="B44" s="48" t="s">
        <v>2193</v>
      </c>
      <c r="C44" s="14" t="s">
        <v>2194</v>
      </c>
      <c r="D44" s="22" t="s">
        <v>386</v>
      </c>
      <c r="E44" s="22"/>
      <c r="F44" s="22"/>
      <c r="G44" s="166"/>
      <c r="H44" s="17">
        <f t="shared" si="0"/>
        <v>0</v>
      </c>
      <c r="I44" s="40"/>
    </row>
    <row r="45" spans="2:9">
      <c r="B45" s="48"/>
      <c r="C45" s="14"/>
      <c r="D45" s="22"/>
      <c r="E45" s="22"/>
      <c r="F45" s="22"/>
      <c r="G45" s="168"/>
      <c r="H45" s="17" t="str">
        <f t="shared" si="0"/>
        <v/>
      </c>
      <c r="I45" s="40"/>
    </row>
    <row r="46" spans="2:9" ht="38.25">
      <c r="B46" s="48" t="s">
        <v>2195</v>
      </c>
      <c r="C46" s="14" t="s">
        <v>2196</v>
      </c>
      <c r="D46" s="22" t="s">
        <v>386</v>
      </c>
      <c r="E46" s="22"/>
      <c r="F46" s="22"/>
      <c r="G46" s="168"/>
      <c r="H46" s="17">
        <f t="shared" si="0"/>
        <v>0</v>
      </c>
      <c r="I46" s="40"/>
    </row>
    <row r="47" spans="2:9">
      <c r="B47" s="48"/>
      <c r="C47" s="14"/>
      <c r="D47" s="22"/>
      <c r="E47" s="22"/>
      <c r="F47" s="22"/>
      <c r="G47" s="166"/>
      <c r="H47" s="17" t="str">
        <f t="shared" si="0"/>
        <v/>
      </c>
      <c r="I47" s="40"/>
    </row>
    <row r="48" spans="2:9" ht="25.5">
      <c r="B48" s="48" t="s">
        <v>2197</v>
      </c>
      <c r="C48" s="14" t="s">
        <v>2198</v>
      </c>
      <c r="D48" s="22" t="s">
        <v>386</v>
      </c>
      <c r="E48" s="22"/>
      <c r="F48" s="22"/>
      <c r="G48" s="166"/>
      <c r="H48" s="17">
        <f t="shared" si="0"/>
        <v>0</v>
      </c>
      <c r="I48" s="40"/>
    </row>
    <row r="49" spans="2:9" ht="12" customHeight="1">
      <c r="B49" s="48"/>
      <c r="C49" s="14"/>
      <c r="D49" s="22"/>
      <c r="E49" s="22"/>
      <c r="F49" s="22"/>
      <c r="G49" s="166"/>
      <c r="H49" s="17" t="str">
        <f t="shared" si="0"/>
        <v/>
      </c>
      <c r="I49" s="40"/>
    </row>
    <row r="50" spans="2:9">
      <c r="B50" s="48" t="s">
        <v>2199</v>
      </c>
      <c r="C50" s="14" t="s">
        <v>1590</v>
      </c>
      <c r="D50" s="22"/>
      <c r="E50" s="22"/>
      <c r="F50" s="22"/>
      <c r="G50" s="166"/>
      <c r="H50" s="17" t="str">
        <f t="shared" si="0"/>
        <v/>
      </c>
      <c r="I50" s="40"/>
    </row>
    <row r="51" spans="2:9" ht="12" customHeight="1">
      <c r="B51" s="48"/>
      <c r="C51" s="14"/>
      <c r="D51" s="22"/>
      <c r="E51" s="22"/>
      <c r="F51" s="22"/>
      <c r="G51" s="166"/>
      <c r="H51" s="17" t="str">
        <f t="shared" si="0"/>
        <v/>
      </c>
      <c r="I51" s="40"/>
    </row>
    <row r="52" spans="2:9">
      <c r="B52" s="48" t="s">
        <v>2200</v>
      </c>
      <c r="C52" s="14" t="s">
        <v>1592</v>
      </c>
      <c r="D52" s="22" t="s">
        <v>33</v>
      </c>
      <c r="E52" s="22"/>
      <c r="F52" s="22"/>
      <c r="G52" s="166"/>
      <c r="H52" s="17">
        <f t="shared" si="0"/>
        <v>0</v>
      </c>
      <c r="I52" s="40"/>
    </row>
    <row r="53" spans="2:9" ht="12" customHeight="1">
      <c r="B53" s="48"/>
      <c r="C53" s="14"/>
      <c r="D53" s="36"/>
      <c r="E53" s="36"/>
      <c r="F53" s="36"/>
      <c r="G53" s="166"/>
      <c r="H53" s="17" t="str">
        <f t="shared" si="0"/>
        <v/>
      </c>
    </row>
    <row r="54" spans="2:9">
      <c r="B54" s="48" t="s">
        <v>2201</v>
      </c>
      <c r="C54" s="14" t="s">
        <v>2202</v>
      </c>
      <c r="D54" s="22" t="s">
        <v>33</v>
      </c>
      <c r="E54" s="22"/>
      <c r="F54" s="22"/>
      <c r="G54" s="166"/>
      <c r="H54" s="17">
        <f t="shared" si="0"/>
        <v>0</v>
      </c>
      <c r="I54" s="40"/>
    </row>
    <row r="55" spans="2:9" ht="12" customHeight="1">
      <c r="B55" s="48"/>
      <c r="C55" s="14"/>
      <c r="D55" s="36"/>
      <c r="E55" s="36"/>
      <c r="F55" s="36"/>
      <c r="G55" s="166"/>
      <c r="H55" s="17" t="str">
        <f t="shared" si="0"/>
        <v/>
      </c>
      <c r="I55" s="47"/>
    </row>
    <row r="56" spans="2:9">
      <c r="B56" s="48" t="s">
        <v>2203</v>
      </c>
      <c r="C56" s="14" t="s">
        <v>2204</v>
      </c>
      <c r="D56" s="36"/>
      <c r="E56" s="36"/>
      <c r="F56" s="36"/>
      <c r="G56" s="166"/>
      <c r="H56" s="17" t="str">
        <f t="shared" si="0"/>
        <v/>
      </c>
    </row>
    <row r="57" spans="2:9" ht="12" customHeight="1">
      <c r="B57" s="48"/>
      <c r="C57" s="14"/>
      <c r="D57" s="22"/>
      <c r="E57" s="22"/>
      <c r="F57" s="22"/>
      <c r="G57" s="166"/>
      <c r="H57" s="17" t="str">
        <f t="shared" si="0"/>
        <v/>
      </c>
      <c r="I57" s="40"/>
    </row>
    <row r="58" spans="2:9" ht="14.25">
      <c r="B58" s="48" t="s">
        <v>2205</v>
      </c>
      <c r="C58" s="14" t="s">
        <v>2206</v>
      </c>
      <c r="D58" s="22" t="s">
        <v>386</v>
      </c>
      <c r="E58" s="22"/>
      <c r="F58" s="22"/>
      <c r="G58" s="166"/>
      <c r="H58" s="17">
        <f t="shared" si="0"/>
        <v>0</v>
      </c>
      <c r="I58" s="40"/>
    </row>
    <row r="59" spans="2:9" ht="12" customHeight="1">
      <c r="B59" s="48"/>
      <c r="C59" s="14"/>
      <c r="D59" s="22"/>
      <c r="E59" s="22"/>
      <c r="F59" s="22"/>
      <c r="G59" s="166"/>
      <c r="H59" s="17" t="str">
        <f t="shared" si="0"/>
        <v/>
      </c>
      <c r="I59" s="40"/>
    </row>
    <row r="60" spans="2:9" ht="14.25">
      <c r="B60" s="48" t="s">
        <v>2207</v>
      </c>
      <c r="C60" s="14" t="s">
        <v>2208</v>
      </c>
      <c r="D60" s="22" t="s">
        <v>386</v>
      </c>
      <c r="E60" s="22"/>
      <c r="F60" s="22"/>
      <c r="G60" s="166"/>
      <c r="H60" s="17">
        <f t="shared" si="0"/>
        <v>0</v>
      </c>
      <c r="I60" s="40"/>
    </row>
    <row r="61" spans="2:9" ht="12" customHeight="1">
      <c r="B61" s="48"/>
      <c r="C61" s="14"/>
      <c r="D61" s="22"/>
      <c r="E61" s="22"/>
      <c r="F61" s="22"/>
      <c r="G61" s="166"/>
      <c r="H61" s="17" t="str">
        <f t="shared" si="0"/>
        <v/>
      </c>
      <c r="I61" s="40"/>
    </row>
    <row r="62" spans="2:9" ht="14.25">
      <c r="B62" s="48" t="s">
        <v>2209</v>
      </c>
      <c r="C62" s="14" t="s">
        <v>2210</v>
      </c>
      <c r="D62" s="22" t="s">
        <v>386</v>
      </c>
      <c r="E62" s="22"/>
      <c r="F62" s="22"/>
      <c r="G62" s="166"/>
      <c r="H62" s="17">
        <f t="shared" si="0"/>
        <v>0</v>
      </c>
      <c r="I62" s="40"/>
    </row>
    <row r="63" spans="2:9" ht="12" customHeight="1">
      <c r="B63" s="48"/>
      <c r="C63" s="14"/>
      <c r="D63" s="22"/>
      <c r="E63" s="22"/>
      <c r="F63" s="22"/>
      <c r="G63" s="166"/>
      <c r="H63" s="17" t="str">
        <f t="shared" si="0"/>
        <v/>
      </c>
      <c r="I63" s="40"/>
    </row>
    <row r="64" spans="2:9" s="28" customFormat="1" ht="19.5" customHeight="1">
      <c r="B64" s="101" t="str">
        <f>$B$10</f>
        <v>C13.1</v>
      </c>
      <c r="C64" s="29" t="s">
        <v>99</v>
      </c>
      <c r="D64" s="30"/>
      <c r="E64" s="30"/>
      <c r="F64" s="31"/>
      <c r="G64" s="169"/>
      <c r="H64" s="32">
        <f>SUM(H9:H63)</f>
        <v>338690</v>
      </c>
      <c r="I64" s="33"/>
    </row>
    <row r="65" spans="2:9">
      <c r="B65" s="736" t="str">
        <f>Client1</f>
        <v>AIRPORTS COMPANY - SOUTH AFRICA</v>
      </c>
      <c r="C65" s="736"/>
      <c r="D65" s="736"/>
      <c r="E65" s="736"/>
      <c r="F65" s="737" t="str">
        <f>"Contract No. "&amp;ContractNo</f>
        <v>Contract No. KSIA7806/2025/RFP</v>
      </c>
      <c r="G65" s="737"/>
      <c r="H65" s="737"/>
    </row>
    <row r="66" spans="2:9">
      <c r="B66" s="736" t="str">
        <f>Client2</f>
        <v>ACSA</v>
      </c>
      <c r="C66" s="736"/>
      <c r="D66" s="736"/>
      <c r="E66" s="736"/>
      <c r="F66" s="737"/>
      <c r="G66" s="737"/>
      <c r="H66" s="737"/>
    </row>
    <row r="67" spans="2:9">
      <c r="B67" s="739"/>
      <c r="C67" s="739"/>
      <c r="D67" s="739"/>
      <c r="E67" s="739"/>
      <c r="F67" s="738"/>
      <c r="G67" s="738"/>
      <c r="H67" s="738"/>
    </row>
    <row r="68" spans="2:9">
      <c r="B68" s="695" t="s">
        <v>456</v>
      </c>
      <c r="C68" s="696"/>
      <c r="D68" s="696"/>
      <c r="E68" s="696"/>
      <c r="F68" s="696"/>
      <c r="G68" s="696"/>
      <c r="H68" s="740" t="str">
        <f>$H$4</f>
        <v>CHAPTER C13.1</v>
      </c>
      <c r="I68" s="6"/>
    </row>
    <row r="69" spans="2:9">
      <c r="B69" s="690" t="str">
        <f>ContractDescription</f>
        <v>PROCUREMENT OF A CIDB GRADE 9 CE CONTRACTOR THE COMPLETION OF BRAVO TAXIWAY EXTENSION AT KING SHAKA INTERNATIONAL AIRPORT FOR A PERIOD OF 12 MONTHS AT KING SHAKA INTERNATIONAL AIRPORT</v>
      </c>
      <c r="C69" s="691"/>
      <c r="D69" s="691"/>
      <c r="E69" s="691"/>
      <c r="F69" s="691"/>
      <c r="G69" s="691"/>
      <c r="H69" s="737"/>
      <c r="I69" s="8"/>
    </row>
    <row r="70" spans="2:9">
      <c r="B70" s="690"/>
      <c r="C70" s="691"/>
      <c r="D70" s="691"/>
      <c r="E70" s="691"/>
      <c r="F70" s="691"/>
      <c r="G70" s="691"/>
      <c r="H70" s="737"/>
      <c r="I70" s="8"/>
    </row>
    <row r="71" spans="2:9">
      <c r="B71" s="692"/>
      <c r="C71" s="693"/>
      <c r="D71" s="693"/>
      <c r="E71" s="693"/>
      <c r="F71" s="693"/>
      <c r="G71" s="693"/>
      <c r="H71" s="738"/>
      <c r="I71" s="8"/>
    </row>
    <row r="72" spans="2:9" s="9" customFormat="1" ht="24.95" customHeight="1">
      <c r="B72" s="70" t="s">
        <v>11</v>
      </c>
      <c r="C72" s="11" t="s">
        <v>12</v>
      </c>
      <c r="D72" s="11" t="s">
        <v>13</v>
      </c>
      <c r="E72" s="11" t="s">
        <v>14</v>
      </c>
      <c r="F72" s="11" t="s">
        <v>15</v>
      </c>
      <c r="G72" s="161" t="s">
        <v>16</v>
      </c>
      <c r="H72" s="11" t="s">
        <v>17</v>
      </c>
      <c r="I72" s="12"/>
    </row>
    <row r="73" spans="2:9" s="28" customFormat="1" ht="19.5" customHeight="1">
      <c r="B73" s="74"/>
      <c r="C73" s="29" t="s">
        <v>140</v>
      </c>
      <c r="D73" s="30"/>
      <c r="E73" s="30"/>
      <c r="F73" s="31"/>
      <c r="G73" s="169"/>
      <c r="H73" s="32">
        <f>H64</f>
        <v>338690</v>
      </c>
      <c r="I73" s="33"/>
    </row>
    <row r="74" spans="2:9">
      <c r="B74" s="48"/>
      <c r="C74" s="14"/>
      <c r="D74" s="22"/>
      <c r="E74" s="22"/>
      <c r="F74" s="22"/>
      <c r="G74" s="166"/>
      <c r="H74" s="17"/>
      <c r="I74" s="40"/>
    </row>
    <row r="75" spans="2:9">
      <c r="B75" s="48" t="s">
        <v>2211</v>
      </c>
      <c r="C75" s="14" t="s">
        <v>2212</v>
      </c>
      <c r="D75" s="22"/>
      <c r="E75" s="22"/>
      <c r="F75" s="22"/>
      <c r="G75" s="166"/>
      <c r="H75" s="17" t="str">
        <f t="shared" si="0"/>
        <v/>
      </c>
      <c r="I75" s="40"/>
    </row>
    <row r="76" spans="2:9">
      <c r="B76" s="48"/>
      <c r="C76" s="14"/>
      <c r="D76" s="22"/>
      <c r="E76" s="22"/>
      <c r="F76" s="22"/>
      <c r="G76" s="166"/>
      <c r="H76" s="17" t="str">
        <f t="shared" si="0"/>
        <v/>
      </c>
      <c r="I76" s="40"/>
    </row>
    <row r="77" spans="2:9" ht="14.25">
      <c r="B77" s="48" t="s">
        <v>2213</v>
      </c>
      <c r="C77" s="14" t="s">
        <v>2206</v>
      </c>
      <c r="D77" s="22" t="s">
        <v>386</v>
      </c>
      <c r="E77" s="22"/>
      <c r="F77" s="22"/>
      <c r="G77" s="166"/>
      <c r="H77" s="17">
        <f t="shared" si="0"/>
        <v>0</v>
      </c>
      <c r="I77" s="40"/>
    </row>
    <row r="78" spans="2:9">
      <c r="B78" s="48"/>
      <c r="C78" s="14"/>
      <c r="D78" s="22"/>
      <c r="E78" s="22"/>
      <c r="F78" s="22"/>
      <c r="G78" s="166"/>
      <c r="H78" s="17" t="str">
        <f t="shared" si="0"/>
        <v/>
      </c>
      <c r="I78" s="40"/>
    </row>
    <row r="79" spans="2:9" ht="14.25">
      <c r="B79" s="48" t="s">
        <v>2214</v>
      </c>
      <c r="C79" s="14" t="s">
        <v>2208</v>
      </c>
      <c r="D79" s="22" t="s">
        <v>386</v>
      </c>
      <c r="E79" s="22"/>
      <c r="F79" s="22"/>
      <c r="G79" s="166"/>
      <c r="H79" s="17">
        <f t="shared" si="0"/>
        <v>0</v>
      </c>
      <c r="I79" s="40"/>
    </row>
    <row r="80" spans="2:9">
      <c r="B80" s="48"/>
      <c r="C80" s="14"/>
      <c r="D80" s="22"/>
      <c r="E80" s="22"/>
      <c r="F80" s="22"/>
      <c r="G80" s="166"/>
      <c r="H80" s="17" t="str">
        <f t="shared" si="0"/>
        <v/>
      </c>
      <c r="I80" s="40"/>
    </row>
    <row r="81" spans="2:9" ht="14.25">
      <c r="B81" s="48" t="s">
        <v>2215</v>
      </c>
      <c r="C81" s="14" t="s">
        <v>2210</v>
      </c>
      <c r="D81" s="22" t="s">
        <v>386</v>
      </c>
      <c r="E81" s="22"/>
      <c r="F81" s="22"/>
      <c r="G81" s="166"/>
      <c r="H81" s="17">
        <f t="shared" si="0"/>
        <v>0</v>
      </c>
      <c r="I81" s="40"/>
    </row>
    <row r="82" spans="2:9">
      <c r="B82" s="48"/>
      <c r="C82" s="14"/>
      <c r="D82" s="22"/>
      <c r="E82" s="22"/>
      <c r="F82" s="22"/>
      <c r="G82" s="166"/>
      <c r="H82" s="17" t="str">
        <f t="shared" si="0"/>
        <v/>
      </c>
      <c r="I82" s="40"/>
    </row>
    <row r="83" spans="2:9" ht="14.25">
      <c r="B83" s="48" t="s">
        <v>2216</v>
      </c>
      <c r="C83" s="14" t="s">
        <v>2217</v>
      </c>
      <c r="D83" s="22" t="s">
        <v>386</v>
      </c>
      <c r="E83" s="22"/>
      <c r="F83" s="22"/>
      <c r="G83" s="166"/>
      <c r="H83" s="17">
        <f t="shared" si="0"/>
        <v>0</v>
      </c>
      <c r="I83" s="40"/>
    </row>
    <row r="84" spans="2:9">
      <c r="B84" s="48"/>
      <c r="C84" s="14"/>
      <c r="D84" s="22"/>
      <c r="E84" s="22"/>
      <c r="F84" s="22"/>
      <c r="G84" s="166"/>
      <c r="H84" s="17" t="str">
        <f t="shared" si="0"/>
        <v/>
      </c>
      <c r="I84" s="40"/>
    </row>
    <row r="85" spans="2:9" ht="38.25">
      <c r="B85" s="48" t="s">
        <v>2218</v>
      </c>
      <c r="C85" s="14" t="s">
        <v>2219</v>
      </c>
      <c r="D85" s="22" t="s">
        <v>2220</v>
      </c>
      <c r="E85" s="22"/>
      <c r="F85" s="22"/>
      <c r="G85" s="166"/>
      <c r="H85" s="17">
        <f t="shared" ref="H85:H169" si="1">IF(D85="","",F85*G85)</f>
        <v>0</v>
      </c>
      <c r="I85" s="40"/>
    </row>
    <row r="86" spans="2:9">
      <c r="B86" s="48"/>
      <c r="C86" s="14"/>
      <c r="D86" s="22"/>
      <c r="E86" s="22"/>
      <c r="F86" s="22"/>
      <c r="G86" s="166"/>
      <c r="H86" s="17" t="str">
        <f t="shared" si="1"/>
        <v/>
      </c>
      <c r="I86" s="40"/>
    </row>
    <row r="87" spans="2:9" ht="38.25">
      <c r="B87" s="48" t="s">
        <v>2221</v>
      </c>
      <c r="C87" s="14" t="s">
        <v>2222</v>
      </c>
      <c r="D87" s="22" t="s">
        <v>2220</v>
      </c>
      <c r="E87" s="22"/>
      <c r="F87" s="22"/>
      <c r="G87" s="166"/>
      <c r="H87" s="17">
        <f t="shared" si="1"/>
        <v>0</v>
      </c>
      <c r="I87" s="40"/>
    </row>
    <row r="88" spans="2:9">
      <c r="B88" s="48"/>
      <c r="C88" s="14"/>
      <c r="D88" s="22"/>
      <c r="E88" s="22"/>
      <c r="F88" s="22"/>
      <c r="G88" s="166"/>
      <c r="H88" s="17" t="str">
        <f t="shared" si="1"/>
        <v/>
      </c>
      <c r="I88" s="40"/>
    </row>
    <row r="89" spans="2:9" ht="14.25">
      <c r="B89" s="48" t="s">
        <v>2223</v>
      </c>
      <c r="C89" s="14" t="s">
        <v>2224</v>
      </c>
      <c r="D89" s="22" t="s">
        <v>124</v>
      </c>
      <c r="E89" s="22"/>
      <c r="F89" s="22"/>
      <c r="G89" s="166"/>
      <c r="H89" s="17">
        <f t="shared" si="1"/>
        <v>0</v>
      </c>
      <c r="I89" s="40"/>
    </row>
    <row r="90" spans="2:9">
      <c r="B90" s="48"/>
      <c r="C90" s="14"/>
      <c r="D90" s="22"/>
      <c r="E90" s="22"/>
      <c r="F90" s="22"/>
      <c r="G90" s="166"/>
      <c r="H90" s="17" t="str">
        <f t="shared" si="1"/>
        <v/>
      </c>
      <c r="I90" s="40"/>
    </row>
    <row r="91" spans="2:9" ht="25.5">
      <c r="B91" s="48" t="s">
        <v>2225</v>
      </c>
      <c r="C91" s="14" t="s">
        <v>2226</v>
      </c>
      <c r="D91" s="22" t="s">
        <v>124</v>
      </c>
      <c r="E91" s="22"/>
      <c r="F91" s="22"/>
      <c r="G91" s="166"/>
      <c r="H91" s="17">
        <f t="shared" si="1"/>
        <v>0</v>
      </c>
      <c r="I91" s="40"/>
    </row>
    <row r="92" spans="2:9">
      <c r="B92" s="48"/>
      <c r="C92" s="14"/>
      <c r="D92" s="22"/>
      <c r="E92" s="22"/>
      <c r="F92" s="22"/>
      <c r="G92" s="166"/>
      <c r="H92" s="17" t="str">
        <f t="shared" si="1"/>
        <v/>
      </c>
      <c r="I92" s="40"/>
    </row>
    <row r="93" spans="2:9">
      <c r="B93" s="48" t="s">
        <v>2227</v>
      </c>
      <c r="C93" s="14" t="s">
        <v>2228</v>
      </c>
      <c r="D93" s="22"/>
      <c r="E93" s="22"/>
      <c r="F93" s="22"/>
      <c r="G93" s="166"/>
      <c r="H93" s="17" t="str">
        <f t="shared" si="1"/>
        <v/>
      </c>
      <c r="I93" s="40"/>
    </row>
    <row r="94" spans="2:9">
      <c r="B94" s="48"/>
      <c r="C94" s="14"/>
      <c r="D94" s="22"/>
      <c r="E94" s="22"/>
      <c r="F94" s="22"/>
      <c r="G94" s="166"/>
      <c r="H94" s="17" t="str">
        <f t="shared" si="1"/>
        <v/>
      </c>
      <c r="I94" s="40"/>
    </row>
    <row r="95" spans="2:9" ht="14.25">
      <c r="B95" s="48" t="s">
        <v>2229</v>
      </c>
      <c r="C95" s="14" t="s">
        <v>2230</v>
      </c>
      <c r="D95" s="22" t="s">
        <v>386</v>
      </c>
      <c r="E95" s="22"/>
      <c r="F95" s="22"/>
      <c r="G95" s="166"/>
      <c r="H95" s="17">
        <f t="shared" si="1"/>
        <v>0</v>
      </c>
      <c r="I95" s="40"/>
    </row>
    <row r="96" spans="2:9">
      <c r="B96" s="48"/>
      <c r="C96" s="14"/>
      <c r="D96" s="22"/>
      <c r="E96" s="22"/>
      <c r="F96" s="22"/>
      <c r="G96" s="166"/>
      <c r="H96" s="17"/>
      <c r="I96" s="40"/>
    </row>
    <row r="97" spans="2:9" ht="14.25">
      <c r="B97" s="48" t="s">
        <v>2231</v>
      </c>
      <c r="C97" s="14" t="s">
        <v>2232</v>
      </c>
      <c r="D97" s="22" t="s">
        <v>386</v>
      </c>
      <c r="E97" s="22"/>
      <c r="F97" s="22"/>
      <c r="G97" s="166"/>
      <c r="H97" s="17">
        <f t="shared" si="1"/>
        <v>0</v>
      </c>
      <c r="I97" s="40"/>
    </row>
    <row r="98" spans="2:9">
      <c r="B98" s="48"/>
      <c r="C98" s="14"/>
      <c r="D98" s="22"/>
      <c r="E98" s="22"/>
      <c r="F98" s="22"/>
      <c r="G98" s="166"/>
      <c r="H98" s="17"/>
      <c r="I98" s="40"/>
    </row>
    <row r="99" spans="2:9" ht="14.25">
      <c r="B99" s="48" t="s">
        <v>2233</v>
      </c>
      <c r="C99" s="14" t="s">
        <v>2234</v>
      </c>
      <c r="D99" s="22" t="s">
        <v>386</v>
      </c>
      <c r="E99" s="22"/>
      <c r="F99" s="22"/>
      <c r="G99" s="166"/>
      <c r="H99" s="17">
        <f t="shared" si="1"/>
        <v>0</v>
      </c>
      <c r="I99" s="40"/>
    </row>
    <row r="100" spans="2:9">
      <c r="B100" s="48"/>
      <c r="C100" s="14"/>
      <c r="D100" s="22"/>
      <c r="E100" s="22"/>
      <c r="F100" s="22"/>
      <c r="G100" s="166"/>
      <c r="H100" s="17"/>
      <c r="I100" s="40"/>
    </row>
    <row r="101" spans="2:9" ht="14.25">
      <c r="B101" s="48" t="s">
        <v>2235</v>
      </c>
      <c r="C101" s="14" t="s">
        <v>2236</v>
      </c>
      <c r="D101" s="22" t="s">
        <v>386</v>
      </c>
      <c r="E101" s="22"/>
      <c r="F101" s="22"/>
      <c r="G101" s="166"/>
      <c r="H101" s="17">
        <f t="shared" si="1"/>
        <v>0</v>
      </c>
      <c r="I101" s="40"/>
    </row>
    <row r="102" spans="2:9">
      <c r="B102" s="48"/>
      <c r="C102" s="14"/>
      <c r="D102" s="22"/>
      <c r="E102" s="22"/>
      <c r="F102" s="22"/>
      <c r="G102" s="166"/>
      <c r="H102" s="17"/>
      <c r="I102" s="40"/>
    </row>
    <row r="103" spans="2:9" ht="25.5">
      <c r="B103" s="48" t="s">
        <v>2237</v>
      </c>
      <c r="C103" s="14" t="s">
        <v>2238</v>
      </c>
      <c r="D103" s="22" t="s">
        <v>386</v>
      </c>
      <c r="E103" s="22"/>
      <c r="F103" s="22"/>
      <c r="G103" s="166"/>
      <c r="H103" s="17">
        <f t="shared" si="1"/>
        <v>0</v>
      </c>
      <c r="I103" s="40"/>
    </row>
    <row r="104" spans="2:9">
      <c r="B104" s="48"/>
      <c r="C104" s="14"/>
      <c r="D104" s="22"/>
      <c r="E104" s="22"/>
      <c r="F104" s="22"/>
      <c r="G104" s="166"/>
      <c r="H104" s="17"/>
      <c r="I104" s="40"/>
    </row>
    <row r="105" spans="2:9" ht="14.25">
      <c r="B105" s="48" t="s">
        <v>2239</v>
      </c>
      <c r="C105" s="14" t="s">
        <v>2240</v>
      </c>
      <c r="D105" s="22" t="s">
        <v>386</v>
      </c>
      <c r="E105" s="22"/>
      <c r="F105" s="22"/>
      <c r="G105" s="166"/>
      <c r="H105" s="17">
        <f t="shared" si="1"/>
        <v>0</v>
      </c>
      <c r="I105" s="40"/>
    </row>
    <row r="106" spans="2:9">
      <c r="B106" s="48"/>
      <c r="C106" s="14"/>
      <c r="D106" s="22"/>
      <c r="E106" s="22"/>
      <c r="F106" s="22"/>
      <c r="G106" s="166"/>
      <c r="H106" s="17" t="str">
        <f t="shared" si="1"/>
        <v/>
      </c>
      <c r="I106" s="40"/>
    </row>
    <row r="107" spans="2:9" ht="25.5">
      <c r="B107" s="48" t="s">
        <v>2241</v>
      </c>
      <c r="C107" s="14" t="s">
        <v>2242</v>
      </c>
      <c r="D107" s="22"/>
      <c r="E107" s="22"/>
      <c r="F107" s="22"/>
      <c r="G107" s="166"/>
      <c r="H107" s="17" t="str">
        <f t="shared" si="1"/>
        <v/>
      </c>
      <c r="I107" s="40"/>
    </row>
    <row r="108" spans="2:9">
      <c r="B108" s="48"/>
      <c r="C108" s="14"/>
      <c r="D108" s="22"/>
      <c r="E108" s="22"/>
      <c r="F108" s="22"/>
      <c r="G108" s="166"/>
      <c r="H108" s="17" t="str">
        <f t="shared" si="1"/>
        <v/>
      </c>
      <c r="I108" s="40"/>
    </row>
    <row r="109" spans="2:9" ht="14.25">
      <c r="B109" s="48" t="s">
        <v>2243</v>
      </c>
      <c r="C109" s="14" t="s">
        <v>2230</v>
      </c>
      <c r="D109" s="22" t="s">
        <v>386</v>
      </c>
      <c r="E109" s="22"/>
      <c r="F109" s="22"/>
      <c r="G109" s="166"/>
      <c r="H109" s="17">
        <f t="shared" si="1"/>
        <v>0</v>
      </c>
      <c r="I109" s="40"/>
    </row>
    <row r="110" spans="2:9">
      <c r="B110" s="48"/>
      <c r="C110" s="14"/>
      <c r="D110" s="22"/>
      <c r="E110" s="22"/>
      <c r="F110" s="22"/>
      <c r="G110" s="166"/>
      <c r="H110" s="17"/>
      <c r="I110" s="40"/>
    </row>
    <row r="111" spans="2:9" ht="14.25">
      <c r="B111" s="48" t="s">
        <v>2244</v>
      </c>
      <c r="C111" s="14" t="s">
        <v>2232</v>
      </c>
      <c r="D111" s="22" t="s">
        <v>386</v>
      </c>
      <c r="E111" s="22"/>
      <c r="F111" s="22"/>
      <c r="G111" s="166"/>
      <c r="H111" s="17">
        <f t="shared" si="1"/>
        <v>0</v>
      </c>
      <c r="I111" s="40"/>
    </row>
    <row r="112" spans="2:9">
      <c r="B112" s="48"/>
      <c r="C112" s="14"/>
      <c r="D112" s="22"/>
      <c r="E112" s="22"/>
      <c r="F112" s="22"/>
      <c r="G112" s="166"/>
      <c r="H112" s="17"/>
      <c r="I112" s="40"/>
    </row>
    <row r="113" spans="2:9" ht="14.25">
      <c r="B113" s="48" t="s">
        <v>2245</v>
      </c>
      <c r="C113" s="14" t="s">
        <v>2234</v>
      </c>
      <c r="D113" s="22" t="s">
        <v>386</v>
      </c>
      <c r="E113" s="22"/>
      <c r="F113" s="22"/>
      <c r="G113" s="166"/>
      <c r="H113" s="17">
        <f t="shared" si="1"/>
        <v>0</v>
      </c>
      <c r="I113" s="40"/>
    </row>
    <row r="114" spans="2:9" ht="12" customHeight="1">
      <c r="B114" s="48"/>
      <c r="C114" s="14"/>
      <c r="D114" s="22"/>
      <c r="E114" s="22"/>
      <c r="F114" s="22"/>
      <c r="G114" s="166"/>
      <c r="H114" s="17"/>
      <c r="I114" s="40"/>
    </row>
    <row r="115" spans="2:9" ht="14.25">
      <c r="B115" s="48" t="s">
        <v>2246</v>
      </c>
      <c r="C115" s="14" t="s">
        <v>2236</v>
      </c>
      <c r="D115" s="22" t="s">
        <v>386</v>
      </c>
      <c r="E115" s="22"/>
      <c r="F115" s="22"/>
      <c r="G115" s="166"/>
      <c r="H115" s="17">
        <f t="shared" si="1"/>
        <v>0</v>
      </c>
      <c r="I115" s="40"/>
    </row>
    <row r="116" spans="2:9" ht="12" customHeight="1">
      <c r="B116" s="48"/>
      <c r="C116" s="14"/>
      <c r="D116" s="22"/>
      <c r="E116" s="22"/>
      <c r="F116" s="22"/>
      <c r="G116" s="166"/>
      <c r="H116" s="17"/>
      <c r="I116" s="40"/>
    </row>
    <row r="117" spans="2:9" ht="25.5">
      <c r="B117" s="48" t="s">
        <v>2247</v>
      </c>
      <c r="C117" s="14" t="s">
        <v>2238</v>
      </c>
      <c r="D117" s="22" t="s">
        <v>386</v>
      </c>
      <c r="E117" s="22"/>
      <c r="F117" s="22"/>
      <c r="G117" s="166"/>
      <c r="H117" s="17">
        <f t="shared" si="1"/>
        <v>0</v>
      </c>
      <c r="I117" s="40"/>
    </row>
    <row r="118" spans="2:9" ht="12" customHeight="1">
      <c r="B118" s="48"/>
      <c r="C118" s="14"/>
      <c r="D118" s="22"/>
      <c r="E118" s="22"/>
      <c r="F118" s="22"/>
      <c r="G118" s="166"/>
      <c r="H118" s="17"/>
      <c r="I118" s="40"/>
    </row>
    <row r="119" spans="2:9" ht="14.25">
      <c r="B119" s="48" t="s">
        <v>2248</v>
      </c>
      <c r="C119" s="14" t="s">
        <v>2240</v>
      </c>
      <c r="D119" s="22" t="s">
        <v>386</v>
      </c>
      <c r="E119" s="22"/>
      <c r="F119" s="22"/>
      <c r="G119" s="166"/>
      <c r="H119" s="17">
        <f t="shared" si="1"/>
        <v>0</v>
      </c>
      <c r="I119" s="40"/>
    </row>
    <row r="120" spans="2:9" ht="12" customHeight="1">
      <c r="B120" s="48"/>
      <c r="C120" s="14"/>
      <c r="D120" s="22"/>
      <c r="E120" s="22"/>
      <c r="F120" s="22"/>
      <c r="G120" s="166"/>
      <c r="H120" s="17" t="str">
        <f t="shared" si="1"/>
        <v/>
      </c>
      <c r="I120" s="40"/>
    </row>
    <row r="121" spans="2:9" ht="25.5">
      <c r="B121" s="48" t="s">
        <v>2249</v>
      </c>
      <c r="C121" s="14" t="s">
        <v>2250</v>
      </c>
      <c r="D121" s="22" t="s">
        <v>33</v>
      </c>
      <c r="E121" s="22"/>
      <c r="F121" s="22"/>
      <c r="G121" s="166"/>
      <c r="H121" s="17">
        <f t="shared" si="1"/>
        <v>0</v>
      </c>
      <c r="I121" s="40"/>
    </row>
    <row r="122" spans="2:9" ht="12" customHeight="1">
      <c r="B122" s="48"/>
      <c r="C122" s="14"/>
      <c r="D122" s="22"/>
      <c r="E122" s="22"/>
      <c r="F122" s="22"/>
      <c r="G122" s="166"/>
      <c r="H122" s="17" t="str">
        <f t="shared" si="1"/>
        <v/>
      </c>
      <c r="I122" s="40"/>
    </row>
    <row r="123" spans="2:9" ht="25.5">
      <c r="B123" s="48" t="s">
        <v>2251</v>
      </c>
      <c r="C123" s="14" t="s">
        <v>2252</v>
      </c>
      <c r="D123" s="22" t="s">
        <v>85</v>
      </c>
      <c r="E123" s="22"/>
      <c r="F123" s="22"/>
      <c r="G123" s="166"/>
      <c r="H123" s="17">
        <f t="shared" si="1"/>
        <v>0</v>
      </c>
      <c r="I123" s="40"/>
    </row>
    <row r="124" spans="2:9" ht="12" customHeight="1">
      <c r="B124" s="48"/>
      <c r="C124" s="14"/>
      <c r="D124" s="22"/>
      <c r="E124" s="22"/>
      <c r="F124" s="22"/>
      <c r="G124" s="166"/>
      <c r="H124" s="17" t="str">
        <f t="shared" si="1"/>
        <v/>
      </c>
      <c r="I124" s="40"/>
    </row>
    <row r="125" spans="2:9" ht="25.5">
      <c r="B125" s="48" t="s">
        <v>2253</v>
      </c>
      <c r="C125" s="14" t="s">
        <v>2254</v>
      </c>
      <c r="D125" s="22" t="s">
        <v>347</v>
      </c>
      <c r="E125" s="22"/>
      <c r="F125" s="22"/>
      <c r="G125" s="166"/>
      <c r="H125" s="17">
        <f t="shared" si="1"/>
        <v>0</v>
      </c>
      <c r="I125" s="40"/>
    </row>
    <row r="126" spans="2:9" ht="12" customHeight="1">
      <c r="B126" s="48"/>
      <c r="C126" s="14"/>
      <c r="D126" s="22"/>
      <c r="E126" s="22"/>
      <c r="F126" s="22"/>
      <c r="G126" s="166"/>
      <c r="H126" s="17" t="str">
        <f t="shared" si="1"/>
        <v/>
      </c>
      <c r="I126" s="40"/>
    </row>
    <row r="127" spans="2:9" ht="25.5">
      <c r="B127" s="48" t="s">
        <v>2255</v>
      </c>
      <c r="C127" s="14" t="s">
        <v>2256</v>
      </c>
      <c r="D127" s="22" t="s">
        <v>764</v>
      </c>
      <c r="E127" s="22"/>
      <c r="F127" s="22"/>
      <c r="G127" s="166"/>
      <c r="H127" s="17">
        <f t="shared" si="1"/>
        <v>0</v>
      </c>
      <c r="I127" s="40"/>
    </row>
    <row r="128" spans="2:9" ht="12" customHeight="1">
      <c r="B128" s="48"/>
      <c r="C128" s="14"/>
      <c r="D128" s="22"/>
      <c r="E128" s="22"/>
      <c r="F128" s="22"/>
      <c r="G128" s="166"/>
      <c r="H128" s="17" t="str">
        <f t="shared" si="1"/>
        <v/>
      </c>
      <c r="I128" s="40"/>
    </row>
    <row r="129" spans="2:9" s="28" customFormat="1" ht="19.5" customHeight="1">
      <c r="B129" s="101" t="str">
        <f>$B$10</f>
        <v>C13.1</v>
      </c>
      <c r="C129" s="29" t="s">
        <v>99</v>
      </c>
      <c r="D129" s="30"/>
      <c r="E129" s="30"/>
      <c r="F129" s="31"/>
      <c r="G129" s="169"/>
      <c r="H129" s="32">
        <f>SUM(H73:H128)</f>
        <v>338690</v>
      </c>
      <c r="I129" s="33"/>
    </row>
    <row r="130" spans="2:9">
      <c r="B130" s="736" t="str">
        <f>Client1</f>
        <v>AIRPORTS COMPANY - SOUTH AFRICA</v>
      </c>
      <c r="C130" s="736"/>
      <c r="D130" s="736"/>
      <c r="E130" s="736"/>
      <c r="F130" s="737" t="str">
        <f>"Contract No. "&amp;ContractNo</f>
        <v>Contract No. KSIA7806/2025/RFP</v>
      </c>
      <c r="G130" s="737"/>
      <c r="H130" s="737"/>
    </row>
    <row r="131" spans="2:9">
      <c r="B131" s="736" t="str">
        <f>Client2</f>
        <v>ACSA</v>
      </c>
      <c r="C131" s="736"/>
      <c r="D131" s="736"/>
      <c r="E131" s="736"/>
      <c r="F131" s="737"/>
      <c r="G131" s="737"/>
      <c r="H131" s="737"/>
    </row>
    <row r="132" spans="2:9">
      <c r="B132" s="739"/>
      <c r="C132" s="739"/>
      <c r="D132" s="739"/>
      <c r="E132" s="739"/>
      <c r="F132" s="738"/>
      <c r="G132" s="738"/>
      <c r="H132" s="738"/>
    </row>
    <row r="133" spans="2:9">
      <c r="B133" s="695" t="s">
        <v>456</v>
      </c>
      <c r="C133" s="696"/>
      <c r="D133" s="696"/>
      <c r="E133" s="696"/>
      <c r="F133" s="696"/>
      <c r="G133" s="696"/>
      <c r="H133" s="740" t="str">
        <f>$H$4</f>
        <v>CHAPTER C13.1</v>
      </c>
      <c r="I133" s="6"/>
    </row>
    <row r="134" spans="2:9">
      <c r="B134" s="690" t="str">
        <f>ContractDescription</f>
        <v>PROCUREMENT OF A CIDB GRADE 9 CE CONTRACTOR THE COMPLETION OF BRAVO TAXIWAY EXTENSION AT KING SHAKA INTERNATIONAL AIRPORT FOR A PERIOD OF 12 MONTHS AT KING SHAKA INTERNATIONAL AIRPORT</v>
      </c>
      <c r="C134" s="691"/>
      <c r="D134" s="691"/>
      <c r="E134" s="691"/>
      <c r="F134" s="691"/>
      <c r="G134" s="691"/>
      <c r="H134" s="737"/>
      <c r="I134" s="8"/>
    </row>
    <row r="135" spans="2:9">
      <c r="B135" s="690"/>
      <c r="C135" s="691"/>
      <c r="D135" s="691"/>
      <c r="E135" s="691"/>
      <c r="F135" s="691"/>
      <c r="G135" s="691"/>
      <c r="H135" s="737"/>
      <c r="I135" s="8"/>
    </row>
    <row r="136" spans="2:9">
      <c r="B136" s="692"/>
      <c r="C136" s="693"/>
      <c r="D136" s="693"/>
      <c r="E136" s="693"/>
      <c r="F136" s="693"/>
      <c r="G136" s="693"/>
      <c r="H136" s="738"/>
      <c r="I136" s="8"/>
    </row>
    <row r="137" spans="2:9" s="9" customFormat="1" ht="24.95" customHeight="1">
      <c r="B137" s="70" t="s">
        <v>11</v>
      </c>
      <c r="C137" s="11" t="s">
        <v>12</v>
      </c>
      <c r="D137" s="11" t="s">
        <v>13</v>
      </c>
      <c r="E137" s="11" t="s">
        <v>14</v>
      </c>
      <c r="F137" s="11" t="s">
        <v>15</v>
      </c>
      <c r="G137" s="161" t="s">
        <v>16</v>
      </c>
      <c r="H137" s="11" t="s">
        <v>17</v>
      </c>
      <c r="I137" s="12"/>
    </row>
    <row r="138" spans="2:9" s="28" customFormat="1" ht="19.5" customHeight="1">
      <c r="B138" s="74"/>
      <c r="C138" s="29" t="s">
        <v>140</v>
      </c>
      <c r="D138" s="30"/>
      <c r="E138" s="30"/>
      <c r="F138" s="31"/>
      <c r="G138" s="169"/>
      <c r="H138" s="32">
        <f>H129</f>
        <v>338690</v>
      </c>
      <c r="I138" s="33"/>
    </row>
    <row r="139" spans="2:9" ht="11.85" customHeight="1">
      <c r="B139" s="48"/>
      <c r="C139" s="14"/>
      <c r="D139" s="22"/>
      <c r="E139" s="22"/>
      <c r="F139" s="22"/>
      <c r="G139" s="166"/>
      <c r="H139" s="17"/>
      <c r="I139" s="40"/>
    </row>
    <row r="140" spans="2:9">
      <c r="B140" s="48" t="s">
        <v>2257</v>
      </c>
      <c r="C140" s="14" t="s">
        <v>2258</v>
      </c>
      <c r="D140" s="22"/>
      <c r="E140" s="22"/>
      <c r="F140" s="22"/>
      <c r="G140" s="166"/>
      <c r="H140" s="17" t="str">
        <f t="shared" si="1"/>
        <v/>
      </c>
      <c r="I140" s="40"/>
    </row>
    <row r="141" spans="2:9" ht="11.85" customHeight="1">
      <c r="B141" s="48"/>
      <c r="C141" s="14"/>
      <c r="D141" s="22"/>
      <c r="E141" s="22"/>
      <c r="F141" s="22"/>
      <c r="G141" s="166"/>
      <c r="H141" s="17" t="str">
        <f t="shared" si="1"/>
        <v/>
      </c>
      <c r="I141" s="40"/>
    </row>
    <row r="142" spans="2:9" ht="25.5">
      <c r="B142" s="48" t="s">
        <v>2259</v>
      </c>
      <c r="C142" s="14" t="s">
        <v>2260</v>
      </c>
      <c r="D142" s="22" t="s">
        <v>347</v>
      </c>
      <c r="E142" s="22"/>
      <c r="F142" s="22"/>
      <c r="G142" s="166"/>
      <c r="H142" s="17">
        <f t="shared" si="1"/>
        <v>0</v>
      </c>
      <c r="I142" s="40"/>
    </row>
    <row r="143" spans="2:9" ht="11.85" customHeight="1">
      <c r="B143" s="48"/>
      <c r="C143" s="14"/>
      <c r="D143" s="22"/>
      <c r="E143" s="22"/>
      <c r="F143" s="22"/>
      <c r="G143" s="166"/>
      <c r="H143" s="17" t="str">
        <f t="shared" si="1"/>
        <v/>
      </c>
      <c r="I143" s="40"/>
    </row>
    <row r="144" spans="2:9" ht="38.25">
      <c r="B144" s="48" t="s">
        <v>2261</v>
      </c>
      <c r="C144" s="14" t="s">
        <v>2262</v>
      </c>
      <c r="D144" s="22" t="s">
        <v>764</v>
      </c>
      <c r="E144" s="22"/>
      <c r="F144" s="22"/>
      <c r="G144" s="166"/>
      <c r="H144" s="17">
        <f t="shared" si="1"/>
        <v>0</v>
      </c>
      <c r="I144" s="40"/>
    </row>
    <row r="145" spans="2:9" ht="11.85" customHeight="1">
      <c r="B145" s="48"/>
      <c r="C145" s="14"/>
      <c r="D145" s="22"/>
      <c r="E145" s="22"/>
      <c r="F145" s="22"/>
      <c r="G145" s="166"/>
      <c r="H145" s="17" t="str">
        <f t="shared" si="1"/>
        <v/>
      </c>
      <c r="I145" s="40"/>
    </row>
    <row r="146" spans="2:9" ht="25.5">
      <c r="B146" s="48" t="s">
        <v>2263</v>
      </c>
      <c r="C146" s="14" t="s">
        <v>2264</v>
      </c>
      <c r="D146" s="22" t="s">
        <v>124</v>
      </c>
      <c r="E146" s="22"/>
      <c r="F146" s="22"/>
      <c r="G146" s="166"/>
      <c r="H146" s="17">
        <f t="shared" si="1"/>
        <v>0</v>
      </c>
      <c r="I146" s="40"/>
    </row>
    <row r="147" spans="2:9" ht="11.85" customHeight="1">
      <c r="B147" s="48"/>
      <c r="C147" s="14"/>
      <c r="D147" s="22"/>
      <c r="E147" s="22"/>
      <c r="F147" s="22"/>
      <c r="G147" s="166"/>
      <c r="H147" s="17" t="str">
        <f t="shared" si="1"/>
        <v/>
      </c>
      <c r="I147" s="40"/>
    </row>
    <row r="148" spans="2:9" ht="25.5">
      <c r="B148" s="48" t="s">
        <v>2265</v>
      </c>
      <c r="C148" s="14" t="s">
        <v>2266</v>
      </c>
      <c r="D148" s="22" t="s">
        <v>124</v>
      </c>
      <c r="E148" s="22"/>
      <c r="F148" s="22"/>
      <c r="G148" s="166"/>
      <c r="H148" s="17">
        <f t="shared" si="1"/>
        <v>0</v>
      </c>
      <c r="I148" s="40"/>
    </row>
    <row r="149" spans="2:9" ht="11.85" customHeight="1">
      <c r="B149" s="48"/>
      <c r="C149" s="14"/>
      <c r="D149" s="22"/>
      <c r="E149" s="22"/>
      <c r="F149" s="22"/>
      <c r="G149" s="166"/>
      <c r="H149" s="17" t="str">
        <f t="shared" si="1"/>
        <v/>
      </c>
      <c r="I149" s="40"/>
    </row>
    <row r="150" spans="2:9" ht="14.25">
      <c r="B150" s="48" t="s">
        <v>2267</v>
      </c>
      <c r="C150" s="14" t="s">
        <v>2268</v>
      </c>
      <c r="D150" s="22" t="s">
        <v>124</v>
      </c>
      <c r="E150" s="22"/>
      <c r="F150" s="22"/>
      <c r="G150" s="166"/>
      <c r="H150" s="17">
        <f t="shared" si="1"/>
        <v>0</v>
      </c>
      <c r="I150" s="40"/>
    </row>
    <row r="151" spans="2:9" ht="11.85" customHeight="1">
      <c r="B151" s="48"/>
      <c r="C151" s="14"/>
      <c r="D151" s="22"/>
      <c r="E151" s="22"/>
      <c r="F151" s="22"/>
      <c r="G151" s="166"/>
      <c r="H151" s="17" t="str">
        <f t="shared" si="1"/>
        <v/>
      </c>
      <c r="I151" s="40"/>
    </row>
    <row r="152" spans="2:9">
      <c r="B152" s="48" t="s">
        <v>2269</v>
      </c>
      <c r="C152" s="14" t="s">
        <v>2270</v>
      </c>
      <c r="D152" s="22"/>
      <c r="E152" s="22"/>
      <c r="F152" s="22"/>
      <c r="G152" s="166"/>
      <c r="H152" s="17" t="str">
        <f t="shared" si="1"/>
        <v/>
      </c>
      <c r="I152" s="40"/>
    </row>
    <row r="153" spans="2:9" ht="11.85" customHeight="1">
      <c r="B153" s="48"/>
      <c r="C153" s="14"/>
      <c r="D153" s="22"/>
      <c r="E153" s="22"/>
      <c r="F153" s="22"/>
      <c r="G153" s="166"/>
      <c r="H153" s="17" t="str">
        <f t="shared" si="1"/>
        <v/>
      </c>
      <c r="I153" s="40"/>
    </row>
    <row r="154" spans="2:9" ht="14.25">
      <c r="B154" s="48" t="s">
        <v>83</v>
      </c>
      <c r="C154" s="14" t="s">
        <v>2271</v>
      </c>
      <c r="D154" s="22" t="s">
        <v>124</v>
      </c>
      <c r="E154" s="22"/>
      <c r="F154" s="22"/>
      <c r="G154" s="166"/>
      <c r="H154" s="17">
        <f t="shared" si="1"/>
        <v>0</v>
      </c>
      <c r="I154" s="40"/>
    </row>
    <row r="155" spans="2:9" ht="11.85" customHeight="1">
      <c r="B155" s="48"/>
      <c r="C155" s="14"/>
      <c r="D155" s="22"/>
      <c r="E155" s="22"/>
      <c r="F155" s="22"/>
      <c r="G155" s="166"/>
      <c r="H155" s="17" t="str">
        <f t="shared" si="1"/>
        <v/>
      </c>
      <c r="I155" s="40"/>
    </row>
    <row r="156" spans="2:9" ht="14.25">
      <c r="B156" s="48" t="s">
        <v>86</v>
      </c>
      <c r="C156" s="14" t="s">
        <v>2272</v>
      </c>
      <c r="D156" s="22" t="s">
        <v>124</v>
      </c>
      <c r="E156" s="22"/>
      <c r="F156" s="22"/>
      <c r="G156" s="166"/>
      <c r="H156" s="17">
        <f t="shared" si="1"/>
        <v>0</v>
      </c>
      <c r="I156" s="40"/>
    </row>
    <row r="157" spans="2:9" ht="11.85" customHeight="1">
      <c r="B157" s="48"/>
      <c r="C157" s="14"/>
      <c r="D157" s="22"/>
      <c r="E157" s="22"/>
      <c r="F157" s="22"/>
      <c r="G157" s="166"/>
      <c r="H157" s="17" t="str">
        <f t="shared" si="1"/>
        <v/>
      </c>
      <c r="I157" s="40"/>
    </row>
    <row r="158" spans="2:9" ht="14.25">
      <c r="B158" s="48" t="s">
        <v>117</v>
      </c>
      <c r="C158" s="14" t="s">
        <v>2273</v>
      </c>
      <c r="D158" s="22" t="s">
        <v>124</v>
      </c>
      <c r="E158" s="22"/>
      <c r="F158" s="22"/>
      <c r="G158" s="166"/>
      <c r="H158" s="17">
        <f t="shared" si="1"/>
        <v>0</v>
      </c>
      <c r="I158" s="40"/>
    </row>
    <row r="159" spans="2:9" ht="11.85" customHeight="1">
      <c r="B159" s="48"/>
      <c r="C159" s="14"/>
      <c r="D159" s="22"/>
      <c r="E159" s="22"/>
      <c r="F159" s="22"/>
      <c r="G159" s="166"/>
      <c r="H159" s="17" t="str">
        <f t="shared" si="1"/>
        <v/>
      </c>
      <c r="I159" s="40"/>
    </row>
    <row r="160" spans="2:9">
      <c r="B160" s="48" t="s">
        <v>2274</v>
      </c>
      <c r="C160" s="14" t="s">
        <v>2275</v>
      </c>
      <c r="D160" s="22" t="s">
        <v>33</v>
      </c>
      <c r="E160" s="22"/>
      <c r="F160" s="22"/>
      <c r="G160" s="166"/>
      <c r="H160" s="17">
        <f t="shared" si="1"/>
        <v>0</v>
      </c>
      <c r="I160" s="40"/>
    </row>
    <row r="161" spans="2:9" ht="11.85" customHeight="1">
      <c r="B161" s="48"/>
      <c r="C161" s="14"/>
      <c r="D161" s="22"/>
      <c r="E161" s="22"/>
      <c r="F161" s="22"/>
      <c r="G161" s="166"/>
      <c r="H161" s="17" t="str">
        <f t="shared" si="1"/>
        <v/>
      </c>
      <c r="I161" s="40"/>
    </row>
    <row r="162" spans="2:9" ht="14.25">
      <c r="B162" s="48" t="s">
        <v>2276</v>
      </c>
      <c r="C162" s="14" t="s">
        <v>2277</v>
      </c>
      <c r="D162" s="22" t="s">
        <v>124</v>
      </c>
      <c r="E162" s="22"/>
      <c r="F162" s="22"/>
      <c r="G162" s="166"/>
      <c r="H162" s="17">
        <f t="shared" si="1"/>
        <v>0</v>
      </c>
      <c r="I162" s="40"/>
    </row>
    <row r="163" spans="2:9" ht="11.85" customHeight="1">
      <c r="B163" s="48"/>
      <c r="C163" s="14"/>
      <c r="D163" s="22"/>
      <c r="E163" s="22"/>
      <c r="F163" s="22"/>
      <c r="G163" s="166"/>
      <c r="H163" s="17" t="str">
        <f t="shared" si="1"/>
        <v/>
      </c>
      <c r="I163" s="40"/>
    </row>
    <row r="164" spans="2:9">
      <c r="B164" s="48" t="s">
        <v>2278</v>
      </c>
      <c r="C164" s="14" t="s">
        <v>2279</v>
      </c>
      <c r="D164" s="22"/>
      <c r="E164" s="22"/>
      <c r="F164" s="22"/>
      <c r="G164" s="166"/>
      <c r="H164" s="17" t="str">
        <f t="shared" si="1"/>
        <v/>
      </c>
      <c r="I164" s="40"/>
    </row>
    <row r="165" spans="2:9" ht="11.85" customHeight="1">
      <c r="B165" s="48"/>
      <c r="C165" s="14"/>
      <c r="D165" s="22"/>
      <c r="E165" s="22"/>
      <c r="F165" s="22"/>
      <c r="G165" s="166"/>
      <c r="H165" s="17" t="str">
        <f t="shared" si="1"/>
        <v/>
      </c>
      <c r="I165" s="40"/>
    </row>
    <row r="166" spans="2:9">
      <c r="B166" s="48" t="s">
        <v>2280</v>
      </c>
      <c r="C166" s="14" t="s">
        <v>2281</v>
      </c>
      <c r="D166" s="22" t="s">
        <v>903</v>
      </c>
      <c r="E166" s="22"/>
      <c r="F166" s="22"/>
      <c r="G166" s="166"/>
      <c r="H166" s="17">
        <f t="shared" si="1"/>
        <v>0</v>
      </c>
      <c r="I166" s="40"/>
    </row>
    <row r="167" spans="2:9" ht="11.85" customHeight="1">
      <c r="B167" s="48"/>
      <c r="C167" s="14"/>
      <c r="D167" s="22"/>
      <c r="E167" s="22"/>
      <c r="F167" s="22"/>
      <c r="G167" s="166"/>
      <c r="H167" s="17" t="str">
        <f t="shared" si="1"/>
        <v/>
      </c>
      <c r="I167" s="40"/>
    </row>
    <row r="168" spans="2:9">
      <c r="B168" s="48" t="s">
        <v>2282</v>
      </c>
      <c r="C168" s="14" t="s">
        <v>1646</v>
      </c>
      <c r="D168" s="22" t="s">
        <v>903</v>
      </c>
      <c r="E168" s="22"/>
      <c r="F168" s="22"/>
      <c r="G168" s="166"/>
      <c r="H168" s="17">
        <f t="shared" si="1"/>
        <v>0</v>
      </c>
      <c r="I168" s="40"/>
    </row>
    <row r="169" spans="2:9" ht="11.85" customHeight="1">
      <c r="B169" s="48"/>
      <c r="C169" s="14"/>
      <c r="D169" s="22"/>
      <c r="E169" s="22"/>
      <c r="F169" s="22"/>
      <c r="G169" s="166"/>
      <c r="H169" s="17" t="str">
        <f t="shared" si="1"/>
        <v/>
      </c>
      <c r="I169" s="40"/>
    </row>
    <row r="170" spans="2:9" ht="25.5">
      <c r="B170" s="48" t="s">
        <v>2283</v>
      </c>
      <c r="C170" s="14" t="s">
        <v>2284</v>
      </c>
      <c r="D170" s="22" t="s">
        <v>386</v>
      </c>
      <c r="E170" s="22"/>
      <c r="F170" s="22"/>
      <c r="G170" s="166"/>
      <c r="H170" s="17">
        <f t="shared" ref="H170:H197" si="2">IF(D170="","",F170*G170)</f>
        <v>0</v>
      </c>
      <c r="I170" s="40"/>
    </row>
    <row r="171" spans="2:9" ht="11.85" customHeight="1">
      <c r="B171" s="48"/>
      <c r="C171" s="14"/>
      <c r="D171" s="22"/>
      <c r="E171" s="22"/>
      <c r="F171" s="22"/>
      <c r="G171" s="166"/>
      <c r="H171" s="17" t="str">
        <f t="shared" si="2"/>
        <v/>
      </c>
      <c r="I171" s="40"/>
    </row>
    <row r="172" spans="2:9" ht="13.5" customHeight="1">
      <c r="B172" s="48" t="s">
        <v>2285</v>
      </c>
      <c r="C172" s="14" t="s">
        <v>2286</v>
      </c>
      <c r="D172" s="22" t="s">
        <v>85</v>
      </c>
      <c r="E172" s="22"/>
      <c r="F172" s="22"/>
      <c r="G172" s="166"/>
      <c r="H172" s="17">
        <f t="shared" si="2"/>
        <v>0</v>
      </c>
      <c r="I172" s="40"/>
    </row>
    <row r="173" spans="2:9" ht="11.85" customHeight="1">
      <c r="B173" s="48"/>
      <c r="C173" s="14"/>
      <c r="D173" s="22"/>
      <c r="E173" s="22"/>
      <c r="F173" s="22"/>
      <c r="G173" s="166"/>
      <c r="H173" s="17" t="str">
        <f t="shared" si="2"/>
        <v/>
      </c>
      <c r="I173" s="40"/>
    </row>
    <row r="174" spans="2:9" ht="38.25">
      <c r="B174" s="48" t="s">
        <v>2287</v>
      </c>
      <c r="C174" s="14" t="s">
        <v>2288</v>
      </c>
      <c r="D174" s="22"/>
      <c r="E174" s="22"/>
      <c r="F174" s="22"/>
      <c r="G174" s="166"/>
      <c r="H174" s="17" t="str">
        <f t="shared" si="2"/>
        <v/>
      </c>
      <c r="I174" s="40"/>
    </row>
    <row r="175" spans="2:9" ht="11.85" customHeight="1">
      <c r="B175" s="48"/>
      <c r="C175" s="14"/>
      <c r="D175" s="22"/>
      <c r="E175" s="22"/>
      <c r="F175" s="22"/>
      <c r="G175" s="166"/>
      <c r="H175" s="17" t="str">
        <f t="shared" si="2"/>
        <v/>
      </c>
      <c r="I175" s="40"/>
    </row>
    <row r="176" spans="2:9">
      <c r="B176" s="48" t="s">
        <v>2289</v>
      </c>
      <c r="C176" s="14" t="s">
        <v>2290</v>
      </c>
      <c r="D176" s="22" t="s">
        <v>347</v>
      </c>
      <c r="E176" s="22"/>
      <c r="F176" s="22"/>
      <c r="G176" s="166"/>
      <c r="H176" s="17">
        <f t="shared" si="2"/>
        <v>0</v>
      </c>
      <c r="I176" s="40"/>
    </row>
    <row r="177" spans="2:9" ht="11.85" customHeight="1">
      <c r="B177" s="48"/>
      <c r="C177" s="14"/>
      <c r="D177" s="22"/>
      <c r="E177" s="22"/>
      <c r="F177" s="22"/>
      <c r="G177" s="166"/>
      <c r="H177" s="17" t="str">
        <f t="shared" si="2"/>
        <v/>
      </c>
      <c r="I177" s="40"/>
    </row>
    <row r="178" spans="2:9">
      <c r="B178" s="48" t="s">
        <v>2291</v>
      </c>
      <c r="C178" s="14" t="s">
        <v>2292</v>
      </c>
      <c r="D178" s="22" t="s">
        <v>347</v>
      </c>
      <c r="E178" s="22"/>
      <c r="F178" s="22"/>
      <c r="G178" s="166"/>
      <c r="H178" s="17">
        <f t="shared" si="2"/>
        <v>0</v>
      </c>
      <c r="I178" s="40"/>
    </row>
    <row r="179" spans="2:9" ht="11.85" customHeight="1">
      <c r="B179" s="48"/>
      <c r="C179" s="14"/>
      <c r="D179" s="22"/>
      <c r="E179" s="22"/>
      <c r="F179" s="22"/>
      <c r="G179" s="166"/>
      <c r="H179" s="17" t="str">
        <f t="shared" si="2"/>
        <v/>
      </c>
      <c r="I179" s="40"/>
    </row>
    <row r="180" spans="2:9">
      <c r="B180" s="48" t="s">
        <v>2293</v>
      </c>
      <c r="C180" s="14" t="s">
        <v>2294</v>
      </c>
      <c r="D180" s="22" t="s">
        <v>347</v>
      </c>
      <c r="E180" s="22"/>
      <c r="F180" s="22"/>
      <c r="G180" s="166"/>
      <c r="H180" s="17">
        <f t="shared" si="2"/>
        <v>0</v>
      </c>
      <c r="I180" s="40"/>
    </row>
    <row r="181" spans="2:9" ht="11.85" customHeight="1">
      <c r="B181" s="48"/>
      <c r="C181" s="14"/>
      <c r="D181" s="22"/>
      <c r="E181" s="22"/>
      <c r="F181" s="22"/>
      <c r="G181" s="166"/>
      <c r="H181" s="17" t="str">
        <f t="shared" si="2"/>
        <v/>
      </c>
      <c r="I181" s="40"/>
    </row>
    <row r="182" spans="2:9">
      <c r="B182" s="48" t="s">
        <v>2295</v>
      </c>
      <c r="C182" s="14" t="s">
        <v>2296</v>
      </c>
      <c r="D182" s="22"/>
      <c r="E182" s="22"/>
      <c r="F182" s="22"/>
      <c r="G182" s="166"/>
      <c r="H182" s="17" t="str">
        <f t="shared" si="2"/>
        <v/>
      </c>
      <c r="I182" s="40"/>
    </row>
    <row r="183" spans="2:9" ht="11.85" customHeight="1">
      <c r="B183" s="48"/>
      <c r="C183" s="14"/>
      <c r="D183" s="22"/>
      <c r="E183" s="22"/>
      <c r="F183" s="22"/>
      <c r="G183" s="166"/>
      <c r="H183" s="17" t="str">
        <f t="shared" si="2"/>
        <v/>
      </c>
      <c r="I183" s="40"/>
    </row>
    <row r="184" spans="2:9" ht="25.5">
      <c r="B184" s="48" t="s">
        <v>2297</v>
      </c>
      <c r="C184" s="14" t="s">
        <v>2177</v>
      </c>
      <c r="D184" s="22"/>
      <c r="E184" s="22"/>
      <c r="F184" s="22"/>
      <c r="G184" s="166"/>
      <c r="H184" s="17" t="str">
        <f t="shared" si="2"/>
        <v/>
      </c>
      <c r="I184" s="40"/>
    </row>
    <row r="185" spans="2:9" ht="11.85" customHeight="1">
      <c r="B185" s="48"/>
      <c r="C185" s="14"/>
      <c r="D185" s="22"/>
      <c r="E185" s="22"/>
      <c r="F185" s="22"/>
      <c r="G185" s="166"/>
      <c r="H185" s="17" t="str">
        <f t="shared" si="2"/>
        <v/>
      </c>
      <c r="I185" s="40"/>
    </row>
    <row r="186" spans="2:9" ht="14.25">
      <c r="B186" s="48" t="s">
        <v>83</v>
      </c>
      <c r="C186" s="14" t="s">
        <v>2298</v>
      </c>
      <c r="D186" s="22" t="s">
        <v>386</v>
      </c>
      <c r="E186" s="22"/>
      <c r="F186" s="22"/>
      <c r="G186" s="166"/>
      <c r="H186" s="17">
        <f t="shared" si="2"/>
        <v>0</v>
      </c>
      <c r="I186" s="40"/>
    </row>
    <row r="187" spans="2:9" ht="11.85" customHeight="1">
      <c r="B187" s="48"/>
      <c r="C187" s="14"/>
      <c r="D187" s="22"/>
      <c r="E187" s="22"/>
      <c r="F187" s="22"/>
      <c r="G187" s="166"/>
      <c r="H187" s="17" t="str">
        <f t="shared" si="2"/>
        <v/>
      </c>
      <c r="I187" s="40"/>
    </row>
    <row r="188" spans="2:9" ht="14.25">
      <c r="B188" s="48" t="s">
        <v>86</v>
      </c>
      <c r="C188" s="14" t="s">
        <v>2299</v>
      </c>
      <c r="D188" s="22" t="s">
        <v>386</v>
      </c>
      <c r="E188" s="22"/>
      <c r="F188" s="22"/>
      <c r="G188" s="166"/>
      <c r="H188" s="17">
        <f t="shared" si="2"/>
        <v>0</v>
      </c>
      <c r="I188" s="40"/>
    </row>
    <row r="189" spans="2:9" ht="11.85" customHeight="1">
      <c r="B189" s="48"/>
      <c r="C189" s="14"/>
      <c r="D189" s="22"/>
      <c r="E189" s="22"/>
      <c r="F189" s="22"/>
      <c r="G189" s="166"/>
      <c r="H189" s="17" t="str">
        <f t="shared" si="2"/>
        <v/>
      </c>
      <c r="I189" s="40"/>
    </row>
    <row r="190" spans="2:9" ht="14.25">
      <c r="B190" s="48" t="s">
        <v>117</v>
      </c>
      <c r="C190" s="14" t="s">
        <v>2300</v>
      </c>
      <c r="D190" s="22" t="s">
        <v>386</v>
      </c>
      <c r="E190" s="22"/>
      <c r="F190" s="22"/>
      <c r="G190" s="166"/>
      <c r="H190" s="17">
        <f t="shared" si="2"/>
        <v>0</v>
      </c>
      <c r="I190" s="40"/>
    </row>
    <row r="191" spans="2:9" ht="11.85" customHeight="1">
      <c r="B191" s="48"/>
      <c r="C191" s="14"/>
      <c r="D191" s="22"/>
      <c r="E191" s="22"/>
      <c r="F191" s="22"/>
      <c r="G191" s="166"/>
      <c r="H191" s="17" t="str">
        <f t="shared" si="2"/>
        <v/>
      </c>
      <c r="I191" s="40"/>
    </row>
    <row r="192" spans="2:9" ht="25.5">
      <c r="B192" s="48" t="s">
        <v>2301</v>
      </c>
      <c r="C192" s="14" t="s">
        <v>2302</v>
      </c>
      <c r="D192" s="22" t="s">
        <v>386</v>
      </c>
      <c r="E192" s="22"/>
      <c r="F192" s="22"/>
      <c r="G192" s="166"/>
      <c r="H192" s="17">
        <f t="shared" si="2"/>
        <v>0</v>
      </c>
      <c r="I192" s="40"/>
    </row>
    <row r="193" spans="2:9" ht="11.85" customHeight="1">
      <c r="B193" s="48"/>
      <c r="C193" s="14"/>
      <c r="D193" s="22"/>
      <c r="E193" s="22"/>
      <c r="F193" s="22"/>
      <c r="G193" s="166"/>
      <c r="H193" s="17" t="str">
        <f t="shared" si="2"/>
        <v/>
      </c>
      <c r="I193" s="40"/>
    </row>
    <row r="194" spans="2:9" ht="14.25">
      <c r="B194" s="48" t="s">
        <v>2303</v>
      </c>
      <c r="C194" s="14" t="s">
        <v>2304</v>
      </c>
      <c r="D194" s="22" t="s">
        <v>386</v>
      </c>
      <c r="E194" s="22"/>
      <c r="F194" s="22"/>
      <c r="G194" s="166"/>
      <c r="H194" s="17">
        <f t="shared" si="2"/>
        <v>0</v>
      </c>
      <c r="I194" s="40"/>
    </row>
    <row r="195" spans="2:9" ht="11.85" customHeight="1">
      <c r="B195" s="48"/>
      <c r="C195" s="14"/>
      <c r="D195" s="22"/>
      <c r="E195" s="22"/>
      <c r="F195" s="22"/>
      <c r="G195" s="166"/>
      <c r="H195" s="17" t="str">
        <f t="shared" si="2"/>
        <v/>
      </c>
      <c r="I195" s="40"/>
    </row>
    <row r="196" spans="2:9">
      <c r="B196" s="48" t="s">
        <v>2305</v>
      </c>
      <c r="C196" s="14" t="s">
        <v>2306</v>
      </c>
      <c r="D196" s="22" t="s">
        <v>85</v>
      </c>
      <c r="E196" s="22"/>
      <c r="F196" s="22"/>
      <c r="G196" s="166"/>
      <c r="H196" s="17">
        <f t="shared" si="2"/>
        <v>0</v>
      </c>
      <c r="I196" s="40"/>
    </row>
    <row r="197" spans="2:9" ht="11.85" customHeight="1">
      <c r="B197" s="48"/>
      <c r="C197" s="14"/>
      <c r="D197" s="22"/>
      <c r="E197" s="22"/>
      <c r="F197" s="22"/>
      <c r="G197" s="166"/>
      <c r="H197" s="17" t="str">
        <f t="shared" si="2"/>
        <v/>
      </c>
      <c r="I197" s="40"/>
    </row>
    <row r="198" spans="2:9" s="28" customFormat="1" ht="24.75" customHeight="1">
      <c r="B198" s="119" t="str">
        <f>$B$10</f>
        <v>C13.1</v>
      </c>
      <c r="C198" s="29" t="s">
        <v>125</v>
      </c>
      <c r="D198" s="30"/>
      <c r="E198" s="30"/>
      <c r="F198" s="31"/>
      <c r="G198" s="169"/>
      <c r="H198" s="32">
        <f>SUM(H138:H197)</f>
        <v>338690</v>
      </c>
      <c r="I198" s="33"/>
    </row>
  </sheetData>
  <mergeCells count="18">
    <mergeCell ref="F1:H1"/>
    <mergeCell ref="B5:G7"/>
    <mergeCell ref="H4:H7"/>
    <mergeCell ref="B4:G4"/>
    <mergeCell ref="B65:E65"/>
    <mergeCell ref="F65:H67"/>
    <mergeCell ref="B66:E66"/>
    <mergeCell ref="B67:E67"/>
    <mergeCell ref="B133:G133"/>
    <mergeCell ref="H133:H136"/>
    <mergeCell ref="B134:G136"/>
    <mergeCell ref="B68:G68"/>
    <mergeCell ref="H68:H71"/>
    <mergeCell ref="B69:G71"/>
    <mergeCell ref="B130:E130"/>
    <mergeCell ref="F130:H132"/>
    <mergeCell ref="B131:E131"/>
    <mergeCell ref="B132:E132"/>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27"/>
  <dimension ref="B1:I60"/>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6" t="str">
        <f>"CHAPTER "&amp;B10</f>
        <v>CHAPTER C13.2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7"/>
      <c r="I5" s="8"/>
    </row>
    <row r="6" spans="2:9" ht="12.75" customHeight="1">
      <c r="B6" s="690"/>
      <c r="C6" s="691"/>
      <c r="D6" s="691"/>
      <c r="E6" s="691"/>
      <c r="F6" s="691"/>
      <c r="G6" s="691"/>
      <c r="H6" s="777"/>
      <c r="I6" s="8"/>
    </row>
    <row r="7" spans="2:9" ht="7.5" customHeight="1">
      <c r="B7" s="692"/>
      <c r="C7" s="693"/>
      <c r="D7" s="693"/>
      <c r="E7" s="693"/>
      <c r="F7" s="693"/>
      <c r="G7" s="693"/>
      <c r="H7" s="778"/>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2307</v>
      </c>
      <c r="C10" s="20" t="s">
        <v>2308</v>
      </c>
      <c r="D10" s="22"/>
      <c r="E10" s="22"/>
      <c r="F10" s="22"/>
      <c r="G10" s="39"/>
      <c r="H10" s="17" t="str">
        <f t="shared" ref="H10:H59" si="0">IF(D10="","",F10*G10)</f>
        <v/>
      </c>
      <c r="I10" s="40"/>
    </row>
    <row r="11" spans="2:9">
      <c r="B11" s="48"/>
      <c r="C11" s="14"/>
      <c r="D11" s="22"/>
      <c r="E11" s="22"/>
      <c r="F11" s="22"/>
      <c r="G11" s="39"/>
      <c r="H11" s="17" t="str">
        <f t="shared" si="0"/>
        <v/>
      </c>
      <c r="I11" s="40"/>
    </row>
    <row r="12" spans="2:9" ht="38.25">
      <c r="B12" s="48" t="s">
        <v>2309</v>
      </c>
      <c r="C12" s="14" t="s">
        <v>2310</v>
      </c>
      <c r="D12" s="22" t="s">
        <v>124</v>
      </c>
      <c r="E12" s="22"/>
      <c r="F12" s="22"/>
      <c r="G12" s="39"/>
      <c r="H12" s="17">
        <f t="shared" si="0"/>
        <v>0</v>
      </c>
      <c r="I12" s="40"/>
    </row>
    <row r="13" spans="2:9">
      <c r="B13" s="48"/>
      <c r="C13" s="14"/>
      <c r="D13" s="22"/>
      <c r="E13" s="22"/>
      <c r="F13" s="22"/>
      <c r="G13" s="39"/>
      <c r="H13" s="17" t="str">
        <f t="shared" si="0"/>
        <v/>
      </c>
      <c r="I13" s="40"/>
    </row>
    <row r="14" spans="2:9" ht="38.25">
      <c r="B14" s="48" t="s">
        <v>2311</v>
      </c>
      <c r="C14" s="14" t="s">
        <v>2312</v>
      </c>
      <c r="D14" s="22" t="s">
        <v>124</v>
      </c>
      <c r="E14" s="22"/>
      <c r="F14" s="23"/>
      <c r="G14" s="24"/>
      <c r="H14" s="17">
        <f t="shared" si="0"/>
        <v>0</v>
      </c>
      <c r="I14" s="41"/>
    </row>
    <row r="15" spans="2:9">
      <c r="B15" s="48"/>
      <c r="C15" s="14"/>
      <c r="D15" s="22"/>
      <c r="E15" s="22"/>
      <c r="F15" s="23"/>
      <c r="G15" s="24"/>
      <c r="H15" s="17" t="str">
        <f t="shared" si="0"/>
        <v/>
      </c>
      <c r="I15" s="41"/>
    </row>
    <row r="16" spans="2:9" ht="38.25">
      <c r="B16" s="48" t="s">
        <v>2313</v>
      </c>
      <c r="C16" s="14" t="s">
        <v>2314</v>
      </c>
      <c r="D16" s="22" t="s">
        <v>124</v>
      </c>
      <c r="E16" s="22"/>
      <c r="F16" s="23"/>
      <c r="G16" s="24"/>
      <c r="H16" s="17">
        <f t="shared" si="0"/>
        <v>0</v>
      </c>
      <c r="I16" s="41"/>
    </row>
    <row r="17" spans="2:9">
      <c r="B17" s="48"/>
      <c r="C17" s="14"/>
      <c r="D17" s="22"/>
      <c r="E17" s="22"/>
      <c r="F17" s="23"/>
      <c r="G17" s="24"/>
      <c r="H17" s="17" t="str">
        <f t="shared" si="0"/>
        <v/>
      </c>
      <c r="I17" s="41"/>
    </row>
    <row r="18" spans="2:9" ht="38.25">
      <c r="B18" s="48" t="s">
        <v>2315</v>
      </c>
      <c r="C18" s="14" t="s">
        <v>2316</v>
      </c>
      <c r="D18" s="22" t="s">
        <v>124</v>
      </c>
      <c r="E18" s="22"/>
      <c r="F18" s="23"/>
      <c r="G18" s="39"/>
      <c r="H18" s="17">
        <f t="shared" si="0"/>
        <v>0</v>
      </c>
      <c r="I18" s="40"/>
    </row>
    <row r="19" spans="2:9">
      <c r="B19" s="48"/>
      <c r="C19" s="14"/>
      <c r="D19" s="22"/>
      <c r="E19" s="22"/>
      <c r="F19" s="23"/>
      <c r="G19" s="42"/>
      <c r="H19" s="17" t="str">
        <f t="shared" si="0"/>
        <v/>
      </c>
      <c r="I19" s="40"/>
    </row>
    <row r="20" spans="2:9">
      <c r="B20" s="48" t="s">
        <v>2317</v>
      </c>
      <c r="C20" s="14" t="s">
        <v>2318</v>
      </c>
      <c r="D20" s="22"/>
      <c r="E20" s="36"/>
      <c r="F20" s="23"/>
      <c r="G20" s="44"/>
      <c r="H20" s="17" t="str">
        <f t="shared" si="0"/>
        <v/>
      </c>
    </row>
    <row r="21" spans="2:9">
      <c r="B21" s="48"/>
      <c r="C21" s="1"/>
      <c r="D21" s="22"/>
      <c r="E21" s="36"/>
      <c r="F21" s="23"/>
      <c r="G21" s="44"/>
      <c r="H21" s="17" t="str">
        <f t="shared" si="0"/>
        <v/>
      </c>
    </row>
    <row r="22" spans="2:9" ht="25.5">
      <c r="B22" s="48" t="s">
        <v>2319</v>
      </c>
      <c r="C22" s="14" t="s">
        <v>2320</v>
      </c>
      <c r="D22" s="22" t="s">
        <v>124</v>
      </c>
      <c r="E22" s="36"/>
      <c r="F22" s="23"/>
      <c r="G22" s="37"/>
      <c r="H22" s="17">
        <f t="shared" si="0"/>
        <v>0</v>
      </c>
    </row>
    <row r="23" spans="2:9">
      <c r="B23" s="48"/>
      <c r="C23" s="14"/>
      <c r="D23" s="22"/>
      <c r="E23" s="36"/>
      <c r="F23" s="23"/>
      <c r="G23" s="44"/>
      <c r="H23" s="17" t="str">
        <f t="shared" si="0"/>
        <v/>
      </c>
    </row>
    <row r="24" spans="2:9" ht="25.5">
      <c r="B24" s="48" t="s">
        <v>2321</v>
      </c>
      <c r="C24" s="14" t="s">
        <v>2322</v>
      </c>
      <c r="D24" s="22" t="s">
        <v>124</v>
      </c>
      <c r="E24" s="36"/>
      <c r="F24" s="23"/>
      <c r="G24" s="42"/>
      <c r="H24" s="17">
        <f t="shared" si="0"/>
        <v>0</v>
      </c>
    </row>
    <row r="25" spans="2:9">
      <c r="B25" s="48"/>
      <c r="C25" s="14"/>
      <c r="D25" s="22"/>
      <c r="E25" s="36"/>
      <c r="F25" s="23"/>
      <c r="G25" s="44"/>
      <c r="H25" s="17" t="str">
        <f t="shared" si="0"/>
        <v/>
      </c>
    </row>
    <row r="26" spans="2:9" ht="25.5">
      <c r="B26" s="48" t="s">
        <v>2323</v>
      </c>
      <c r="C26" s="14" t="s">
        <v>2324</v>
      </c>
      <c r="D26" s="22" t="s">
        <v>124</v>
      </c>
      <c r="E26" s="22"/>
      <c r="F26" s="23"/>
      <c r="G26" s="37"/>
      <c r="H26" s="17">
        <f t="shared" si="0"/>
        <v>0</v>
      </c>
      <c r="I26" s="41"/>
    </row>
    <row r="27" spans="2:9">
      <c r="B27" s="48"/>
      <c r="C27" s="14"/>
      <c r="D27" s="22"/>
      <c r="E27" s="15"/>
      <c r="F27" s="26"/>
      <c r="G27" s="27"/>
      <c r="H27" s="17" t="str">
        <f t="shared" si="0"/>
        <v/>
      </c>
      <c r="I27" s="18"/>
    </row>
    <row r="28" spans="2:9" s="35" customFormat="1" ht="25.5">
      <c r="B28" s="48" t="s">
        <v>2325</v>
      </c>
      <c r="C28" s="14" t="s">
        <v>2326</v>
      </c>
      <c r="D28" s="15" t="s">
        <v>33</v>
      </c>
      <c r="E28" s="15"/>
      <c r="F28" s="26"/>
      <c r="G28" s="27"/>
      <c r="H28" s="17">
        <f t="shared" si="0"/>
        <v>0</v>
      </c>
      <c r="I28" s="18"/>
    </row>
    <row r="29" spans="2:9">
      <c r="B29" s="48"/>
      <c r="C29" s="14"/>
      <c r="D29" s="22"/>
      <c r="E29" s="22"/>
      <c r="F29" s="23"/>
      <c r="G29" s="37"/>
      <c r="H29" s="17" t="str">
        <f t="shared" si="0"/>
        <v/>
      </c>
      <c r="I29" s="41"/>
    </row>
    <row r="30" spans="2:9" ht="25.5">
      <c r="B30" s="48" t="s">
        <v>2327</v>
      </c>
      <c r="C30" s="14" t="s">
        <v>2328</v>
      </c>
      <c r="D30" s="22" t="s">
        <v>85</v>
      </c>
      <c r="E30" s="22"/>
      <c r="F30" s="23"/>
      <c r="G30" s="37"/>
      <c r="H30" s="17">
        <f t="shared" si="0"/>
        <v>0</v>
      </c>
      <c r="I30" s="41"/>
    </row>
    <row r="31" spans="2:9">
      <c r="B31" s="48"/>
      <c r="C31" s="14"/>
      <c r="D31" s="22"/>
      <c r="E31" s="22"/>
      <c r="F31" s="23"/>
      <c r="G31" s="45"/>
      <c r="H31" s="17" t="str">
        <f t="shared" si="0"/>
        <v/>
      </c>
      <c r="I31" s="40"/>
    </row>
    <row r="32" spans="2:9" ht="38.25">
      <c r="B32" s="48" t="s">
        <v>2329</v>
      </c>
      <c r="C32" s="14" t="s">
        <v>2330</v>
      </c>
      <c r="D32" s="22" t="s">
        <v>347</v>
      </c>
      <c r="E32" s="22"/>
      <c r="F32" s="23"/>
      <c r="G32" s="45"/>
      <c r="H32" s="17">
        <f t="shared" si="0"/>
        <v>0</v>
      </c>
      <c r="I32" s="40"/>
    </row>
    <row r="33" spans="2:9">
      <c r="B33" s="48"/>
      <c r="C33" s="14"/>
      <c r="D33" s="22"/>
      <c r="E33" s="22"/>
      <c r="F33" s="23"/>
      <c r="G33" s="42"/>
      <c r="H33" s="17" t="str">
        <f t="shared" si="0"/>
        <v/>
      </c>
      <c r="I33" s="40"/>
    </row>
    <row r="34" spans="2:9" ht="51">
      <c r="B34" s="48" t="s">
        <v>2331</v>
      </c>
      <c r="C34" s="14" t="s">
        <v>2332</v>
      </c>
      <c r="D34" s="22" t="s">
        <v>33</v>
      </c>
      <c r="E34" s="22"/>
      <c r="F34" s="23"/>
      <c r="G34" s="42"/>
      <c r="H34" s="17">
        <f t="shared" si="0"/>
        <v>0</v>
      </c>
      <c r="I34" s="40"/>
    </row>
    <row r="35" spans="2:9">
      <c r="B35" s="21"/>
      <c r="C35" s="14"/>
      <c r="D35" s="22"/>
      <c r="E35" s="22"/>
      <c r="F35" s="22"/>
      <c r="G35" s="39"/>
      <c r="H35" s="17" t="str">
        <f t="shared" si="0"/>
        <v/>
      </c>
      <c r="I35" s="40"/>
    </row>
    <row r="36" spans="2:9">
      <c r="B36" s="13"/>
      <c r="C36" s="14"/>
      <c r="D36" s="22"/>
      <c r="E36" s="22"/>
      <c r="F36" s="22"/>
      <c r="G36" s="39"/>
      <c r="H36" s="17" t="str">
        <f t="shared" si="0"/>
        <v/>
      </c>
      <c r="I36" s="40"/>
    </row>
    <row r="37" spans="2:9">
      <c r="B37" s="13"/>
      <c r="C37" s="14"/>
      <c r="D37" s="22"/>
      <c r="E37" s="22"/>
      <c r="F37" s="22"/>
      <c r="G37" s="37"/>
      <c r="H37" s="17" t="str">
        <f t="shared" si="0"/>
        <v/>
      </c>
      <c r="I37" s="40"/>
    </row>
    <row r="38" spans="2:9">
      <c r="B38" s="13"/>
      <c r="C38" s="14"/>
      <c r="D38" s="22"/>
      <c r="E38" s="22"/>
      <c r="F38" s="22"/>
      <c r="G38" s="37"/>
      <c r="H38" s="17" t="str">
        <f t="shared" si="0"/>
        <v/>
      </c>
      <c r="I38" s="40"/>
    </row>
    <row r="39" spans="2:9">
      <c r="B39" s="21"/>
      <c r="C39" s="14"/>
      <c r="D39" s="22"/>
      <c r="E39" s="22"/>
      <c r="F39" s="22"/>
      <c r="G39" s="37"/>
      <c r="H39" s="17" t="str">
        <f t="shared" si="0"/>
        <v/>
      </c>
      <c r="I39" s="40"/>
    </row>
    <row r="40" spans="2:9">
      <c r="B40" s="21"/>
      <c r="C40" s="14"/>
      <c r="D40" s="22"/>
      <c r="E40" s="22"/>
      <c r="F40" s="22"/>
      <c r="G40" s="37"/>
      <c r="H40" s="17" t="str">
        <f t="shared" si="0"/>
        <v/>
      </c>
      <c r="I40" s="40"/>
    </row>
    <row r="41" spans="2:9">
      <c r="B41" s="21"/>
      <c r="C41" s="14"/>
      <c r="D41" s="22"/>
      <c r="E41" s="22"/>
      <c r="F41" s="22"/>
      <c r="G41" s="37"/>
      <c r="H41" s="17" t="str">
        <f t="shared" si="0"/>
        <v/>
      </c>
      <c r="I41" s="40"/>
    </row>
    <row r="42" spans="2:9">
      <c r="B42" s="13"/>
      <c r="C42" s="14"/>
      <c r="D42" s="22"/>
      <c r="E42" s="22"/>
      <c r="F42" s="22"/>
      <c r="G42" s="37"/>
      <c r="H42" s="17" t="str">
        <f t="shared" si="0"/>
        <v/>
      </c>
      <c r="I42" s="40"/>
    </row>
    <row r="43" spans="2:9">
      <c r="B43" s="13"/>
      <c r="C43" s="14"/>
      <c r="D43" s="22"/>
      <c r="E43" s="22"/>
      <c r="F43" s="22"/>
      <c r="G43" s="37"/>
      <c r="H43" s="17" t="str">
        <f t="shared" si="0"/>
        <v/>
      </c>
      <c r="I43" s="40"/>
    </row>
    <row r="44" spans="2:9">
      <c r="B44" s="13"/>
      <c r="C44" s="14"/>
      <c r="D44" s="22"/>
      <c r="E44" s="22"/>
      <c r="F44" s="22"/>
      <c r="G44" s="37"/>
      <c r="H44" s="17" t="str">
        <f t="shared" si="0"/>
        <v/>
      </c>
      <c r="I44" s="40"/>
    </row>
    <row r="45" spans="2:9">
      <c r="B45" s="13"/>
      <c r="C45" s="14"/>
      <c r="D45" s="22"/>
      <c r="E45" s="22"/>
      <c r="F45" s="22"/>
      <c r="G45" s="46"/>
      <c r="H45" s="17" t="str">
        <f t="shared" si="0"/>
        <v/>
      </c>
      <c r="I45" s="40"/>
    </row>
    <row r="46" spans="2:9">
      <c r="B46" s="13"/>
      <c r="C46" s="14"/>
      <c r="D46" s="22"/>
      <c r="E46" s="22"/>
      <c r="F46" s="22"/>
      <c r="G46" s="46"/>
      <c r="H46" s="17" t="str">
        <f t="shared" si="0"/>
        <v/>
      </c>
      <c r="I46" s="40"/>
    </row>
    <row r="47" spans="2:9">
      <c r="B47" s="13"/>
      <c r="C47" s="14"/>
      <c r="D47" s="22"/>
      <c r="E47" s="22"/>
      <c r="F47" s="22"/>
      <c r="G47" s="37"/>
      <c r="H47" s="17" t="str">
        <f t="shared" si="0"/>
        <v/>
      </c>
      <c r="I47" s="40"/>
    </row>
    <row r="48" spans="2:9">
      <c r="B48" s="13"/>
      <c r="C48" s="14"/>
      <c r="D48" s="22"/>
      <c r="E48" s="22"/>
      <c r="F48" s="22"/>
      <c r="G48" s="37"/>
      <c r="H48" s="17" t="str">
        <f t="shared" si="0"/>
        <v/>
      </c>
      <c r="I48" s="40"/>
    </row>
    <row r="49" spans="2:9">
      <c r="B49" s="13"/>
      <c r="C49" s="14"/>
      <c r="D49" s="22"/>
      <c r="E49" s="22"/>
      <c r="F49" s="22"/>
      <c r="G49" s="37"/>
      <c r="H49" s="17" t="str">
        <f t="shared" si="0"/>
        <v/>
      </c>
      <c r="I49" s="40"/>
    </row>
    <row r="50" spans="2:9">
      <c r="B50" s="13"/>
      <c r="C50" s="14"/>
      <c r="D50" s="22"/>
      <c r="E50" s="22"/>
      <c r="F50" s="22"/>
      <c r="G50" s="37"/>
      <c r="H50" s="17" t="str">
        <f t="shared" si="0"/>
        <v/>
      </c>
      <c r="I50" s="40"/>
    </row>
    <row r="51" spans="2:9">
      <c r="B51" s="13"/>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36"/>
      <c r="E53" s="36"/>
      <c r="F53" s="36"/>
      <c r="G53" s="37"/>
      <c r="H53" s="17" t="str">
        <f t="shared" si="0"/>
        <v/>
      </c>
    </row>
    <row r="54" spans="2:9">
      <c r="B54" s="13"/>
      <c r="C54" s="14"/>
      <c r="D54" s="22"/>
      <c r="E54" s="22"/>
      <c r="F54" s="22"/>
      <c r="G54" s="37"/>
      <c r="H54" s="17" t="str">
        <f t="shared" si="0"/>
        <v/>
      </c>
      <c r="I54" s="40"/>
    </row>
    <row r="55" spans="2:9">
      <c r="B55" s="13"/>
      <c r="C55" s="14"/>
      <c r="D55" s="36"/>
      <c r="E55" s="36"/>
      <c r="F55" s="36"/>
      <c r="G55" s="37"/>
      <c r="H55" s="17" t="str">
        <f t="shared" si="0"/>
        <v/>
      </c>
      <c r="I55" s="47"/>
    </row>
    <row r="56" spans="2:9">
      <c r="B56" s="13"/>
      <c r="C56" s="14"/>
      <c r="D56" s="36"/>
      <c r="E56" s="36"/>
      <c r="F56" s="36"/>
      <c r="G56" s="37"/>
      <c r="H56" s="17" t="str">
        <f t="shared" si="0"/>
        <v/>
      </c>
    </row>
    <row r="57" spans="2:9">
      <c r="B57" s="13"/>
      <c r="C57" s="14"/>
      <c r="D57" s="22"/>
      <c r="E57" s="22"/>
      <c r="F57" s="22"/>
      <c r="G57" s="37"/>
      <c r="H57" s="17" t="str">
        <f t="shared" si="0"/>
        <v/>
      </c>
      <c r="I57" s="40"/>
    </row>
    <row r="58" spans="2:9">
      <c r="B58" s="13"/>
      <c r="C58" s="14"/>
      <c r="D58" s="22"/>
      <c r="E58" s="22"/>
      <c r="F58" s="22"/>
      <c r="G58" s="37"/>
      <c r="H58" s="17" t="str">
        <f t="shared" si="0"/>
        <v/>
      </c>
      <c r="I58" s="40"/>
    </row>
    <row r="59" spans="2:9">
      <c r="B59" s="13"/>
      <c r="C59" s="14"/>
      <c r="D59" s="22"/>
      <c r="E59" s="22"/>
      <c r="F59" s="22"/>
      <c r="G59" s="37"/>
      <c r="H59" s="17" t="str">
        <f t="shared" si="0"/>
        <v/>
      </c>
      <c r="I59" s="40"/>
    </row>
    <row r="60" spans="2:9" s="28" customFormat="1" ht="24.75" customHeight="1">
      <c r="B60" s="119" t="str">
        <f>$B$10</f>
        <v>C13.2</v>
      </c>
      <c r="C60" s="29" t="s">
        <v>125</v>
      </c>
      <c r="D60" s="30"/>
      <c r="E60" s="30"/>
      <c r="F60" s="31"/>
      <c r="G60" s="30"/>
      <c r="H60" s="32">
        <f>SUM(H9:H59)</f>
        <v>0</v>
      </c>
      <c r="I60"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28"/>
  <dimension ref="A1:I75"/>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1:9">
      <c r="B1" s="2" t="str">
        <f>Client1</f>
        <v>AIRPORTS COMPANY - SOUTH AFRICA</v>
      </c>
      <c r="F1" s="732" t="str">
        <f>"Contract No. "&amp;ContractNo</f>
        <v>Contract No. KSIA7806/2025/RFP</v>
      </c>
      <c r="G1" s="732"/>
      <c r="H1" s="732"/>
    </row>
    <row r="2" spans="1:9">
      <c r="B2" s="90" t="str">
        <f>Client2</f>
        <v>ACSA</v>
      </c>
    </row>
    <row r="3" spans="1:9">
      <c r="B3" s="71"/>
      <c r="C3" s="71"/>
      <c r="D3" s="72"/>
      <c r="E3" s="72"/>
      <c r="F3" s="72"/>
      <c r="G3" s="73"/>
      <c r="H3" s="91"/>
    </row>
    <row r="4" spans="1:9">
      <c r="B4" s="695" t="s">
        <v>456</v>
      </c>
      <c r="C4" s="696"/>
      <c r="D4" s="696"/>
      <c r="E4" s="696"/>
      <c r="F4" s="696"/>
      <c r="G4" s="696"/>
      <c r="H4" s="770" t="str">
        <f>"CHAPTER "&amp;B10</f>
        <v>CHAPTER C13.3</v>
      </c>
      <c r="I4" s="6"/>
    </row>
    <row r="5" spans="1: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1:9" ht="12.75" customHeight="1">
      <c r="B6" s="690"/>
      <c r="C6" s="691"/>
      <c r="D6" s="691"/>
      <c r="E6" s="691"/>
      <c r="F6" s="691"/>
      <c r="G6" s="691"/>
      <c r="H6" s="771"/>
      <c r="I6" s="8"/>
    </row>
    <row r="7" spans="1:9" ht="7.5" customHeight="1">
      <c r="B7" s="692"/>
      <c r="C7" s="693"/>
      <c r="D7" s="693"/>
      <c r="E7" s="693"/>
      <c r="F7" s="693"/>
      <c r="G7" s="693"/>
      <c r="H7" s="772"/>
      <c r="I7" s="8"/>
    </row>
    <row r="8" spans="1:9" s="9" customFormat="1" ht="24.95" customHeight="1">
      <c r="B8" s="10" t="s">
        <v>11</v>
      </c>
      <c r="C8" s="11" t="s">
        <v>12</v>
      </c>
      <c r="D8" s="11" t="s">
        <v>13</v>
      </c>
      <c r="E8" s="11" t="s">
        <v>14</v>
      </c>
      <c r="F8" s="11" t="s">
        <v>15</v>
      </c>
      <c r="G8" s="11" t="s">
        <v>16</v>
      </c>
      <c r="H8" s="11" t="s">
        <v>17</v>
      </c>
      <c r="I8" s="12"/>
    </row>
    <row r="9" spans="1:9">
      <c r="A9" s="5"/>
      <c r="B9" s="48"/>
      <c r="C9" s="14"/>
      <c r="D9" s="15"/>
      <c r="E9" s="15"/>
      <c r="F9" s="15"/>
      <c r="G9" s="16"/>
      <c r="H9" s="17" t="str">
        <f>IF(D9="","",F9*G9)</f>
        <v/>
      </c>
      <c r="I9" s="18"/>
    </row>
    <row r="10" spans="1:9">
      <c r="A10" s="5"/>
      <c r="B10" s="69" t="s">
        <v>2333</v>
      </c>
      <c r="C10" s="20" t="s">
        <v>2334</v>
      </c>
      <c r="D10" s="22"/>
      <c r="E10" s="22"/>
      <c r="F10" s="22"/>
      <c r="G10" s="39"/>
      <c r="H10" s="17" t="str">
        <f t="shared" ref="H10:H74" si="0">IF(D10="","",F10*G10)</f>
        <v/>
      </c>
      <c r="I10" s="40"/>
    </row>
    <row r="11" spans="1:9">
      <c r="A11" s="5"/>
      <c r="B11" s="48"/>
      <c r="C11" s="14"/>
      <c r="D11" s="22"/>
      <c r="E11" s="22"/>
      <c r="F11" s="22"/>
      <c r="G11" s="39"/>
      <c r="H11" s="17" t="str">
        <f t="shared" si="0"/>
        <v/>
      </c>
      <c r="I11" s="40"/>
    </row>
    <row r="12" spans="1:9">
      <c r="A12" s="5"/>
      <c r="B12" s="48" t="s">
        <v>2335</v>
      </c>
      <c r="C12" s="14" t="s">
        <v>2336</v>
      </c>
      <c r="D12" s="22"/>
      <c r="E12" s="22"/>
      <c r="F12" s="22"/>
      <c r="G12" s="39"/>
      <c r="H12" s="17" t="str">
        <f t="shared" si="0"/>
        <v/>
      </c>
      <c r="I12" s="40"/>
    </row>
    <row r="13" spans="1:9">
      <c r="A13" s="5"/>
      <c r="B13" s="48"/>
      <c r="C13" s="14"/>
      <c r="D13" s="22"/>
      <c r="E13" s="22"/>
      <c r="F13" s="22"/>
      <c r="G13" s="39"/>
      <c r="H13" s="17" t="str">
        <f t="shared" si="0"/>
        <v/>
      </c>
      <c r="I13" s="40"/>
    </row>
    <row r="14" spans="1:9" ht="25.5">
      <c r="A14" s="5"/>
      <c r="B14" s="48" t="s">
        <v>2337</v>
      </c>
      <c r="C14" s="14" t="s">
        <v>2338</v>
      </c>
      <c r="D14" s="22"/>
      <c r="E14" s="22"/>
      <c r="F14" s="23"/>
      <c r="G14" s="24"/>
      <c r="H14" s="17" t="str">
        <f t="shared" si="0"/>
        <v/>
      </c>
      <c r="I14" s="41"/>
    </row>
    <row r="15" spans="1:9">
      <c r="A15" s="5"/>
      <c r="B15" s="48"/>
      <c r="C15" s="14"/>
      <c r="D15" s="22"/>
      <c r="E15" s="22"/>
      <c r="F15" s="23"/>
      <c r="G15" s="24"/>
      <c r="H15" s="17" t="str">
        <f t="shared" si="0"/>
        <v/>
      </c>
      <c r="I15" s="41"/>
    </row>
    <row r="16" spans="1:9">
      <c r="A16" s="5"/>
      <c r="B16" s="48" t="s">
        <v>83</v>
      </c>
      <c r="C16" s="14" t="s">
        <v>2281</v>
      </c>
      <c r="D16" s="22" t="s">
        <v>903</v>
      </c>
      <c r="E16" s="22"/>
      <c r="F16" s="23">
        <v>15</v>
      </c>
      <c r="G16" s="24">
        <v>11000</v>
      </c>
      <c r="H16" s="17">
        <f t="shared" si="0"/>
        <v>165000</v>
      </c>
      <c r="I16" s="41"/>
    </row>
    <row r="17" spans="1:9">
      <c r="A17" s="5"/>
      <c r="B17" s="48"/>
      <c r="C17" s="14"/>
      <c r="D17" s="22"/>
      <c r="E17" s="22"/>
      <c r="F17" s="23"/>
      <c r="G17" s="24"/>
      <c r="H17" s="17" t="str">
        <f t="shared" si="0"/>
        <v/>
      </c>
      <c r="I17" s="41"/>
    </row>
    <row r="18" spans="1:9">
      <c r="A18" s="5"/>
      <c r="B18" s="48" t="s">
        <v>86</v>
      </c>
      <c r="C18" s="14" t="s">
        <v>2339</v>
      </c>
      <c r="D18" s="22" t="s">
        <v>903</v>
      </c>
      <c r="E18" s="22"/>
      <c r="F18" s="23">
        <v>145</v>
      </c>
      <c r="G18" s="24">
        <v>11000</v>
      </c>
      <c r="H18" s="17">
        <f t="shared" si="0"/>
        <v>1595000</v>
      </c>
      <c r="I18" s="41"/>
    </row>
    <row r="19" spans="1:9">
      <c r="A19" s="5"/>
      <c r="B19" s="48"/>
      <c r="C19" s="14"/>
      <c r="D19" s="22"/>
      <c r="E19" s="22"/>
      <c r="F19" s="23"/>
      <c r="G19" s="24"/>
      <c r="H19" s="17" t="str">
        <f t="shared" si="0"/>
        <v/>
      </c>
      <c r="I19" s="41"/>
    </row>
    <row r="20" spans="1:9">
      <c r="A20" s="5"/>
      <c r="B20" s="48" t="s">
        <v>117</v>
      </c>
      <c r="C20" s="14" t="s">
        <v>2340</v>
      </c>
      <c r="D20" s="22" t="s">
        <v>764</v>
      </c>
      <c r="E20" s="22"/>
      <c r="F20" s="23">
        <v>330</v>
      </c>
      <c r="G20" s="39">
        <v>15</v>
      </c>
      <c r="H20" s="17">
        <f t="shared" si="0"/>
        <v>4950</v>
      </c>
      <c r="I20" s="40"/>
    </row>
    <row r="21" spans="1:9">
      <c r="A21" s="5"/>
      <c r="B21" s="48"/>
      <c r="C21" s="14"/>
      <c r="D21" s="22"/>
      <c r="E21" s="22"/>
      <c r="F21" s="23"/>
      <c r="G21" s="39"/>
      <c r="H21" s="17" t="str">
        <f t="shared" si="0"/>
        <v/>
      </c>
      <c r="I21" s="40"/>
    </row>
    <row r="22" spans="1:9">
      <c r="A22" s="148"/>
      <c r="B22" s="134" t="s">
        <v>119</v>
      </c>
      <c r="C22" s="130" t="s">
        <v>2341</v>
      </c>
      <c r="D22" s="135" t="s">
        <v>903</v>
      </c>
      <c r="E22" s="135"/>
      <c r="F22" s="136"/>
      <c r="G22" s="144"/>
      <c r="H22" s="139">
        <f t="shared" si="0"/>
        <v>0</v>
      </c>
      <c r="I22" s="40"/>
    </row>
    <row r="23" spans="1:9">
      <c r="A23" s="148"/>
      <c r="B23" s="134"/>
      <c r="C23" s="130"/>
      <c r="D23" s="135"/>
      <c r="E23" s="135"/>
      <c r="F23" s="136"/>
      <c r="G23" s="144"/>
      <c r="H23" s="139" t="str">
        <f t="shared" si="0"/>
        <v/>
      </c>
      <c r="I23" s="40"/>
    </row>
    <row r="24" spans="1:9">
      <c r="A24" s="148"/>
      <c r="B24" s="134" t="s">
        <v>306</v>
      </c>
      <c r="C24" s="130" t="s">
        <v>2342</v>
      </c>
      <c r="D24" s="135" t="s">
        <v>903</v>
      </c>
      <c r="E24" s="141"/>
      <c r="F24" s="136"/>
      <c r="G24" s="147"/>
      <c r="H24" s="139">
        <f t="shared" si="0"/>
        <v>0</v>
      </c>
    </row>
    <row r="25" spans="1:9">
      <c r="A25" s="148"/>
      <c r="B25" s="134"/>
      <c r="C25" s="146"/>
      <c r="D25" s="135"/>
      <c r="E25" s="141"/>
      <c r="F25" s="136"/>
      <c r="G25" s="147"/>
      <c r="H25" s="139" t="str">
        <f t="shared" si="0"/>
        <v/>
      </c>
    </row>
    <row r="26" spans="1:9">
      <c r="A26" s="148"/>
      <c r="B26" s="134" t="s">
        <v>2343</v>
      </c>
      <c r="C26" s="130" t="s">
        <v>2344</v>
      </c>
      <c r="D26" s="135" t="s">
        <v>903</v>
      </c>
      <c r="E26" s="141"/>
      <c r="F26" s="136"/>
      <c r="G26" s="138"/>
      <c r="H26" s="139">
        <f t="shared" si="0"/>
        <v>0</v>
      </c>
    </row>
    <row r="27" spans="1:9">
      <c r="A27" s="148"/>
      <c r="B27" s="134"/>
      <c r="C27" s="130"/>
      <c r="D27" s="135"/>
      <c r="E27" s="141"/>
      <c r="F27" s="136"/>
      <c r="G27" s="147"/>
      <c r="H27" s="139" t="str">
        <f t="shared" si="0"/>
        <v/>
      </c>
    </row>
    <row r="28" spans="1:9" ht="25.5">
      <c r="A28" s="148"/>
      <c r="B28" s="134" t="s">
        <v>2345</v>
      </c>
      <c r="C28" s="130" t="s">
        <v>2346</v>
      </c>
      <c r="D28" s="135" t="s">
        <v>85</v>
      </c>
      <c r="E28" s="141"/>
      <c r="F28" s="136"/>
      <c r="G28" s="144"/>
      <c r="H28" s="139">
        <f t="shared" si="0"/>
        <v>0</v>
      </c>
    </row>
    <row r="29" spans="1:9">
      <c r="A29" s="148"/>
      <c r="B29" s="134"/>
      <c r="C29" s="130"/>
      <c r="D29" s="135"/>
      <c r="E29" s="141"/>
      <c r="F29" s="136"/>
      <c r="G29" s="147"/>
      <c r="H29" s="139" t="str">
        <f t="shared" si="0"/>
        <v/>
      </c>
    </row>
    <row r="30" spans="1:9" ht="25.5">
      <c r="A30" s="148"/>
      <c r="B30" s="134" t="s">
        <v>2347</v>
      </c>
      <c r="C30" s="130" t="s">
        <v>2348</v>
      </c>
      <c r="D30" s="135" t="s">
        <v>903</v>
      </c>
      <c r="E30" s="135"/>
      <c r="F30" s="136"/>
      <c r="G30" s="138"/>
      <c r="H30" s="139">
        <f t="shared" si="0"/>
        <v>0</v>
      </c>
      <c r="I30" s="41"/>
    </row>
    <row r="31" spans="1:9">
      <c r="A31" s="148"/>
      <c r="B31" s="134"/>
      <c r="C31" s="130"/>
      <c r="D31" s="135"/>
      <c r="E31" s="131"/>
      <c r="F31" s="132"/>
      <c r="G31" s="133"/>
      <c r="H31" s="139" t="str">
        <f t="shared" si="0"/>
        <v/>
      </c>
      <c r="I31" s="18"/>
    </row>
    <row r="32" spans="1:9" s="35" customFormat="1" ht="25.5">
      <c r="A32" s="153"/>
      <c r="B32" s="134" t="s">
        <v>2349</v>
      </c>
      <c r="C32" s="130" t="s">
        <v>2350</v>
      </c>
      <c r="D32" s="131" t="s">
        <v>903</v>
      </c>
      <c r="E32" s="131"/>
      <c r="F32" s="132"/>
      <c r="G32" s="133"/>
      <c r="H32" s="139">
        <f t="shared" si="0"/>
        <v>0</v>
      </c>
      <c r="I32" s="18"/>
    </row>
    <row r="33" spans="1:9">
      <c r="A33" s="5"/>
      <c r="B33" s="48"/>
      <c r="C33" s="14"/>
      <c r="D33" s="22"/>
      <c r="E33" s="22"/>
      <c r="F33" s="23"/>
      <c r="G33" s="37"/>
      <c r="H33" s="17" t="str">
        <f t="shared" si="0"/>
        <v/>
      </c>
      <c r="I33" s="41"/>
    </row>
    <row r="34" spans="1:9">
      <c r="A34" s="5"/>
      <c r="B34" s="48"/>
      <c r="C34" s="14"/>
      <c r="D34" s="22"/>
      <c r="E34" s="22"/>
      <c r="F34" s="23"/>
      <c r="G34" s="37"/>
      <c r="H34" s="17" t="str">
        <f t="shared" si="0"/>
        <v/>
      </c>
      <c r="I34" s="41"/>
    </row>
    <row r="35" spans="1:9">
      <c r="A35" s="5"/>
      <c r="B35" s="48"/>
      <c r="C35" s="14"/>
      <c r="D35" s="22"/>
      <c r="E35" s="22"/>
      <c r="F35" s="23"/>
      <c r="G35" s="45"/>
      <c r="H35" s="17" t="str">
        <f t="shared" si="0"/>
        <v/>
      </c>
      <c r="I35" s="40"/>
    </row>
    <row r="36" spans="1:9">
      <c r="A36" s="5"/>
      <c r="B36" s="48"/>
      <c r="C36" s="14"/>
      <c r="D36" s="22"/>
      <c r="E36" s="22"/>
      <c r="F36" s="23"/>
      <c r="G36" s="45"/>
      <c r="H36" s="17" t="str">
        <f t="shared" si="0"/>
        <v/>
      </c>
      <c r="I36" s="40"/>
    </row>
    <row r="37" spans="1:9">
      <c r="A37" s="5"/>
      <c r="B37" s="48"/>
      <c r="C37" s="14"/>
      <c r="D37" s="22"/>
      <c r="E37" s="22"/>
      <c r="F37" s="23"/>
      <c r="G37" s="42"/>
      <c r="H37" s="17" t="str">
        <f t="shared" si="0"/>
        <v/>
      </c>
      <c r="I37" s="40"/>
    </row>
    <row r="38" spans="1:9">
      <c r="A38" s="5"/>
      <c r="B38" s="48"/>
      <c r="C38" s="14"/>
      <c r="D38" s="22"/>
      <c r="E38" s="22"/>
      <c r="F38" s="23"/>
      <c r="G38" s="42"/>
      <c r="H38" s="17" t="str">
        <f t="shared" si="0"/>
        <v/>
      </c>
      <c r="I38" s="40"/>
    </row>
    <row r="39" spans="1:9">
      <c r="A39" s="5"/>
      <c r="B39" s="48"/>
      <c r="C39" s="14"/>
      <c r="D39" s="22"/>
      <c r="E39" s="22"/>
      <c r="F39" s="22"/>
      <c r="G39" s="39"/>
      <c r="H39" s="17" t="str">
        <f t="shared" si="0"/>
        <v/>
      </c>
      <c r="I39" s="40"/>
    </row>
    <row r="40" spans="1:9">
      <c r="A40" s="5"/>
      <c r="B40" s="48"/>
      <c r="C40" s="14"/>
      <c r="D40" s="22"/>
      <c r="E40" s="22"/>
      <c r="F40" s="22"/>
      <c r="G40" s="39"/>
      <c r="H40" s="17" t="str">
        <f t="shared" si="0"/>
        <v/>
      </c>
      <c r="I40" s="40"/>
    </row>
    <row r="41" spans="1:9">
      <c r="A41" s="5"/>
      <c r="B41" s="48"/>
      <c r="C41" s="14"/>
      <c r="D41" s="22"/>
      <c r="E41" s="22"/>
      <c r="F41" s="22"/>
      <c r="G41" s="37"/>
      <c r="H41" s="17" t="str">
        <f t="shared" si="0"/>
        <v/>
      </c>
      <c r="I41" s="40"/>
    </row>
    <row r="42" spans="1:9">
      <c r="A42" s="5"/>
      <c r="B42" s="48"/>
      <c r="C42" s="14"/>
      <c r="D42" s="22"/>
      <c r="E42" s="22"/>
      <c r="F42" s="22"/>
      <c r="G42" s="37"/>
      <c r="H42" s="17" t="str">
        <f t="shared" si="0"/>
        <v/>
      </c>
      <c r="I42" s="40"/>
    </row>
    <row r="43" spans="1:9">
      <c r="A43" s="5"/>
      <c r="B43" s="48"/>
      <c r="C43" s="14"/>
      <c r="D43" s="22"/>
      <c r="E43" s="22"/>
      <c r="F43" s="22"/>
      <c r="G43" s="37"/>
      <c r="H43" s="17" t="str">
        <f t="shared" si="0"/>
        <v/>
      </c>
      <c r="I43" s="40"/>
    </row>
    <row r="44" spans="1:9">
      <c r="A44" s="5"/>
      <c r="B44" s="48"/>
      <c r="C44" s="14"/>
      <c r="D44" s="22"/>
      <c r="E44" s="22"/>
      <c r="F44" s="22"/>
      <c r="G44" s="37"/>
      <c r="H44" s="17" t="str">
        <f t="shared" si="0"/>
        <v/>
      </c>
      <c r="I44" s="40"/>
    </row>
    <row r="45" spans="1:9">
      <c r="A45" s="5"/>
      <c r="B45" s="48"/>
      <c r="C45" s="14"/>
      <c r="D45" s="22"/>
      <c r="E45" s="22"/>
      <c r="F45" s="22"/>
      <c r="G45" s="37"/>
      <c r="H45" s="17" t="str">
        <f t="shared" si="0"/>
        <v/>
      </c>
      <c r="I45" s="40"/>
    </row>
    <row r="46" spans="1:9">
      <c r="A46" s="5"/>
      <c r="B46" s="48"/>
      <c r="C46" s="14"/>
      <c r="D46" s="22"/>
      <c r="E46" s="22"/>
      <c r="F46" s="22"/>
      <c r="G46" s="37"/>
      <c r="H46" s="17" t="str">
        <f t="shared" si="0"/>
        <v/>
      </c>
      <c r="I46" s="40"/>
    </row>
    <row r="47" spans="1:9">
      <c r="A47" s="5"/>
      <c r="B47" s="48"/>
      <c r="C47" s="14"/>
      <c r="D47" s="22"/>
      <c r="E47" s="22"/>
      <c r="F47" s="22"/>
      <c r="G47" s="37"/>
      <c r="H47" s="17" t="str">
        <f t="shared" si="0"/>
        <v/>
      </c>
      <c r="I47" s="40"/>
    </row>
    <row r="48" spans="1:9">
      <c r="A48" s="5"/>
      <c r="B48" s="48"/>
      <c r="C48" s="14"/>
      <c r="D48" s="22"/>
      <c r="E48" s="22"/>
      <c r="F48" s="22"/>
      <c r="G48" s="37"/>
      <c r="H48" s="17" t="str">
        <f t="shared" si="0"/>
        <v/>
      </c>
      <c r="I48" s="40"/>
    </row>
    <row r="49" spans="1:9">
      <c r="A49" s="5"/>
      <c r="B49" s="48"/>
      <c r="C49" s="14"/>
      <c r="D49" s="22"/>
      <c r="E49" s="22"/>
      <c r="F49" s="22"/>
      <c r="G49" s="46"/>
      <c r="H49" s="17" t="str">
        <f t="shared" si="0"/>
        <v/>
      </c>
      <c r="I49" s="40"/>
    </row>
    <row r="50" spans="1:9">
      <c r="A50" s="5"/>
      <c r="B50" s="48"/>
      <c r="C50" s="14"/>
      <c r="D50" s="22"/>
      <c r="E50" s="22"/>
      <c r="F50" s="22"/>
      <c r="G50" s="46"/>
      <c r="H50" s="17" t="str">
        <f t="shared" si="0"/>
        <v/>
      </c>
      <c r="I50" s="40"/>
    </row>
    <row r="51" spans="1:9">
      <c r="A51" s="5"/>
      <c r="B51" s="48"/>
      <c r="C51" s="14"/>
      <c r="D51" s="22"/>
      <c r="E51" s="22"/>
      <c r="F51" s="22"/>
      <c r="G51" s="37"/>
      <c r="H51" s="17" t="str">
        <f t="shared" si="0"/>
        <v/>
      </c>
      <c r="I51" s="40"/>
    </row>
    <row r="52" spans="1:9">
      <c r="A52" s="5"/>
      <c r="B52" s="48"/>
      <c r="C52" s="14"/>
      <c r="D52" s="22"/>
      <c r="E52" s="22"/>
      <c r="F52" s="22"/>
      <c r="G52" s="37"/>
      <c r="H52" s="17" t="str">
        <f t="shared" si="0"/>
        <v/>
      </c>
      <c r="I52" s="40"/>
    </row>
    <row r="53" spans="1:9">
      <c r="A53" s="5"/>
      <c r="B53" s="48"/>
      <c r="C53" s="14"/>
      <c r="D53" s="22"/>
      <c r="E53" s="22"/>
      <c r="F53" s="22"/>
      <c r="G53" s="37"/>
      <c r="H53" s="17" t="str">
        <f t="shared" si="0"/>
        <v/>
      </c>
      <c r="I53" s="40"/>
    </row>
    <row r="54" spans="1:9">
      <c r="A54" s="5"/>
      <c r="B54" s="48"/>
      <c r="C54" s="14"/>
      <c r="D54" s="22"/>
      <c r="E54" s="22"/>
      <c r="F54" s="22"/>
      <c r="G54" s="37"/>
      <c r="H54" s="17" t="str">
        <f t="shared" si="0"/>
        <v/>
      </c>
      <c r="I54" s="40"/>
    </row>
    <row r="55" spans="1:9">
      <c r="A55" s="5"/>
      <c r="B55" s="48"/>
      <c r="C55" s="14"/>
      <c r="D55" s="22"/>
      <c r="E55" s="22"/>
      <c r="F55" s="22"/>
      <c r="G55" s="37"/>
      <c r="H55" s="17" t="str">
        <f t="shared" si="0"/>
        <v/>
      </c>
      <c r="I55" s="40"/>
    </row>
    <row r="56" spans="1:9">
      <c r="A56" s="5"/>
      <c r="B56" s="48"/>
      <c r="C56" s="14"/>
      <c r="D56" s="22"/>
      <c r="E56" s="22"/>
      <c r="F56" s="22"/>
      <c r="G56" s="37"/>
      <c r="H56" s="17" t="str">
        <f t="shared" si="0"/>
        <v/>
      </c>
      <c r="I56" s="40"/>
    </row>
    <row r="57" spans="1:9">
      <c r="A57" s="5"/>
      <c r="B57" s="48"/>
      <c r="C57" s="14"/>
      <c r="D57" s="36"/>
      <c r="E57" s="36"/>
      <c r="F57" s="36"/>
      <c r="G57" s="37"/>
      <c r="H57" s="17" t="str">
        <f t="shared" si="0"/>
        <v/>
      </c>
    </row>
    <row r="58" spans="1:9">
      <c r="A58" s="5"/>
      <c r="B58" s="48"/>
      <c r="C58" s="14"/>
      <c r="D58" s="22"/>
      <c r="E58" s="22"/>
      <c r="F58" s="22"/>
      <c r="G58" s="37"/>
      <c r="H58" s="17" t="str">
        <f t="shared" si="0"/>
        <v/>
      </c>
      <c r="I58" s="40"/>
    </row>
    <row r="59" spans="1:9">
      <c r="A59" s="5"/>
      <c r="B59" s="48"/>
      <c r="C59" s="14"/>
      <c r="D59" s="36"/>
      <c r="E59" s="36"/>
      <c r="F59" s="36"/>
      <c r="G59" s="37"/>
      <c r="H59" s="17" t="str">
        <f t="shared" si="0"/>
        <v/>
      </c>
      <c r="I59" s="47"/>
    </row>
    <row r="60" spans="1:9">
      <c r="A60" s="5"/>
      <c r="B60" s="48"/>
      <c r="C60" s="14"/>
      <c r="D60" s="36"/>
      <c r="E60" s="36"/>
      <c r="F60" s="36"/>
      <c r="G60" s="37"/>
      <c r="H60" s="17" t="str">
        <f t="shared" si="0"/>
        <v/>
      </c>
    </row>
    <row r="61" spans="1:9">
      <c r="A61" s="5"/>
      <c r="B61" s="48"/>
      <c r="C61" s="14"/>
      <c r="D61" s="22"/>
      <c r="E61" s="22"/>
      <c r="F61" s="22"/>
      <c r="G61" s="37"/>
      <c r="H61" s="17" t="str">
        <f t="shared" si="0"/>
        <v/>
      </c>
      <c r="I61" s="40"/>
    </row>
    <row r="62" spans="1:9">
      <c r="A62" s="5"/>
      <c r="B62" s="48"/>
      <c r="C62" s="14"/>
      <c r="D62" s="22"/>
      <c r="E62" s="22"/>
      <c r="F62" s="22"/>
      <c r="G62" s="37"/>
      <c r="H62" s="17" t="str">
        <f t="shared" si="0"/>
        <v/>
      </c>
      <c r="I62" s="40"/>
    </row>
    <row r="63" spans="1:9">
      <c r="A63" s="5"/>
      <c r="B63" s="48"/>
      <c r="C63" s="14"/>
      <c r="D63" s="22"/>
      <c r="E63" s="22"/>
      <c r="F63" s="22"/>
      <c r="G63" s="37"/>
      <c r="H63" s="17" t="str">
        <f t="shared" si="0"/>
        <v/>
      </c>
      <c r="I63" s="40"/>
    </row>
    <row r="64" spans="1:9">
      <c r="A64" s="5"/>
      <c r="B64" s="48"/>
      <c r="C64" s="14"/>
      <c r="D64" s="22"/>
      <c r="E64" s="22"/>
      <c r="F64" s="22"/>
      <c r="G64" s="37"/>
      <c r="H64" s="17" t="str">
        <f t="shared" si="0"/>
        <v/>
      </c>
      <c r="I64" s="40"/>
    </row>
    <row r="65" spans="1:9">
      <c r="A65" s="5"/>
      <c r="B65" s="48"/>
      <c r="C65" s="14"/>
      <c r="D65" s="22"/>
      <c r="E65" s="22"/>
      <c r="F65" s="22"/>
      <c r="G65" s="37"/>
      <c r="H65" s="17" t="str">
        <f t="shared" si="0"/>
        <v/>
      </c>
      <c r="I65" s="40"/>
    </row>
    <row r="66" spans="1:9">
      <c r="A66" s="5"/>
      <c r="B66" s="48"/>
      <c r="C66" s="14"/>
      <c r="D66" s="22"/>
      <c r="E66" s="22"/>
      <c r="F66" s="22"/>
      <c r="G66" s="37"/>
      <c r="H66" s="17" t="str">
        <f t="shared" si="0"/>
        <v/>
      </c>
      <c r="I66" s="40"/>
    </row>
    <row r="67" spans="1:9">
      <c r="A67" s="5"/>
      <c r="B67" s="48"/>
      <c r="C67" s="14"/>
      <c r="D67" s="22"/>
      <c r="E67" s="22"/>
      <c r="F67" s="22"/>
      <c r="G67" s="37"/>
      <c r="H67" s="17" t="str">
        <f t="shared" si="0"/>
        <v/>
      </c>
      <c r="I67" s="40"/>
    </row>
    <row r="68" spans="1:9">
      <c r="A68" s="5"/>
      <c r="B68" s="48"/>
      <c r="C68" s="14"/>
      <c r="D68" s="22"/>
      <c r="E68" s="22"/>
      <c r="F68" s="22"/>
      <c r="G68" s="37"/>
      <c r="H68" s="17" t="str">
        <f t="shared" si="0"/>
        <v/>
      </c>
      <c r="I68" s="40"/>
    </row>
    <row r="69" spans="1:9">
      <c r="A69" s="5"/>
      <c r="B69" s="48"/>
      <c r="C69" s="14"/>
      <c r="D69" s="22"/>
      <c r="E69" s="22"/>
      <c r="F69" s="22"/>
      <c r="G69" s="37"/>
      <c r="H69" s="17" t="str">
        <f t="shared" si="0"/>
        <v/>
      </c>
      <c r="I69" s="40"/>
    </row>
    <row r="70" spans="1:9">
      <c r="A70" s="5"/>
      <c r="B70" s="48"/>
      <c r="C70" s="14"/>
      <c r="D70" s="22"/>
      <c r="E70" s="22"/>
      <c r="F70" s="22"/>
      <c r="G70" s="37"/>
      <c r="H70" s="17"/>
      <c r="I70" s="40"/>
    </row>
    <row r="71" spans="1:9">
      <c r="A71" s="5"/>
      <c r="B71" s="48"/>
      <c r="C71" s="14"/>
      <c r="D71" s="22"/>
      <c r="E71" s="22"/>
      <c r="F71" s="22"/>
      <c r="G71" s="37"/>
      <c r="H71" s="17" t="str">
        <f t="shared" si="0"/>
        <v/>
      </c>
      <c r="I71" s="40"/>
    </row>
    <row r="72" spans="1:9">
      <c r="A72" s="5"/>
      <c r="B72" s="48"/>
      <c r="C72" s="14"/>
      <c r="D72" s="22"/>
      <c r="E72" s="22"/>
      <c r="F72" s="22"/>
      <c r="G72" s="37"/>
      <c r="H72" s="17" t="str">
        <f t="shared" si="0"/>
        <v/>
      </c>
      <c r="I72" s="40"/>
    </row>
    <row r="73" spans="1:9">
      <c r="A73" s="5"/>
      <c r="B73" s="48"/>
      <c r="C73" s="14"/>
      <c r="D73" s="22"/>
      <c r="E73" s="22"/>
      <c r="F73" s="22"/>
      <c r="G73" s="37"/>
      <c r="H73" s="17" t="str">
        <f t="shared" si="0"/>
        <v/>
      </c>
      <c r="I73" s="40"/>
    </row>
    <row r="74" spans="1:9">
      <c r="A74" s="5"/>
      <c r="B74" s="48"/>
      <c r="C74" s="14"/>
      <c r="D74" s="22"/>
      <c r="E74" s="22"/>
      <c r="F74" s="22"/>
      <c r="G74" s="37"/>
      <c r="H74" s="17" t="str">
        <f t="shared" si="0"/>
        <v/>
      </c>
      <c r="I74" s="40"/>
    </row>
    <row r="75" spans="1:9" s="28" customFormat="1" ht="24.75" customHeight="1">
      <c r="B75" s="119" t="str">
        <f>$B$10</f>
        <v>C13.3</v>
      </c>
      <c r="C75" s="29" t="s">
        <v>125</v>
      </c>
      <c r="D75" s="30"/>
      <c r="E75" s="30"/>
      <c r="F75" s="31"/>
      <c r="G75" s="30"/>
      <c r="H75" s="32">
        <f>SUM(H9:H74)</f>
        <v>1764950</v>
      </c>
      <c r="I75"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29"/>
  <dimension ref="B1:I200"/>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C13.4</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c r="B10" s="69" t="s">
        <v>2351</v>
      </c>
      <c r="C10" s="20" t="s">
        <v>2352</v>
      </c>
      <c r="D10" s="22"/>
      <c r="E10" s="22"/>
      <c r="F10" s="22"/>
      <c r="G10" s="39"/>
      <c r="H10" s="17" t="str">
        <f t="shared" ref="H10:H103" si="0">IF(D10="","",F10*G10)</f>
        <v/>
      </c>
      <c r="I10" s="40"/>
    </row>
    <row r="11" spans="2:9">
      <c r="B11" s="48"/>
      <c r="C11" s="14"/>
      <c r="D11" s="22"/>
      <c r="E11" s="22"/>
      <c r="F11" s="22"/>
      <c r="G11" s="39"/>
      <c r="H11" s="17" t="str">
        <f t="shared" si="0"/>
        <v/>
      </c>
      <c r="I11" s="40"/>
    </row>
    <row r="12" spans="2:9" ht="25.5">
      <c r="B12" s="48" t="s">
        <v>2353</v>
      </c>
      <c r="C12" s="14" t="s">
        <v>2354</v>
      </c>
      <c r="D12" s="22"/>
      <c r="E12" s="22"/>
      <c r="F12" s="22"/>
      <c r="G12" s="39"/>
      <c r="H12" s="17" t="str">
        <f t="shared" si="0"/>
        <v/>
      </c>
      <c r="I12" s="40"/>
    </row>
    <row r="13" spans="2:9">
      <c r="B13" s="48"/>
      <c r="C13" s="14"/>
      <c r="D13" s="22"/>
      <c r="E13" s="22"/>
      <c r="F13" s="22"/>
      <c r="G13" s="39"/>
      <c r="H13" s="17" t="str">
        <f t="shared" si="0"/>
        <v/>
      </c>
      <c r="I13" s="40"/>
    </row>
    <row r="14" spans="2:9">
      <c r="B14" s="48" t="s">
        <v>2355</v>
      </c>
      <c r="C14" s="14" t="s">
        <v>2356</v>
      </c>
      <c r="D14" s="22"/>
      <c r="E14" s="22"/>
      <c r="F14" s="23"/>
      <c r="G14" s="24"/>
      <c r="H14" s="17" t="str">
        <f t="shared" si="0"/>
        <v/>
      </c>
      <c r="I14" s="41"/>
    </row>
    <row r="15" spans="2:9">
      <c r="B15" s="48"/>
      <c r="C15" s="14"/>
      <c r="D15" s="22"/>
      <c r="E15" s="22"/>
      <c r="F15" s="23"/>
      <c r="G15" s="24"/>
      <c r="H15" s="17" t="str">
        <f t="shared" si="0"/>
        <v/>
      </c>
      <c r="I15" s="41"/>
    </row>
    <row r="16" spans="2:9">
      <c r="B16" s="48"/>
      <c r="C16" s="172" t="s">
        <v>2357</v>
      </c>
      <c r="D16" s="173" t="s">
        <v>337</v>
      </c>
      <c r="E16" s="173" t="s">
        <v>14</v>
      </c>
      <c r="F16" s="174">
        <v>240</v>
      </c>
      <c r="G16" s="158">
        <v>2300</v>
      </c>
      <c r="H16" s="17"/>
      <c r="I16" s="41"/>
    </row>
    <row r="17" spans="2:9">
      <c r="B17" s="48"/>
      <c r="C17" s="172"/>
      <c r="D17" s="173"/>
      <c r="E17" s="173"/>
      <c r="F17" s="174"/>
      <c r="G17" s="158"/>
      <c r="H17" s="17"/>
      <c r="I17" s="41"/>
    </row>
    <row r="18" spans="2:9">
      <c r="B18" s="48"/>
      <c r="C18" s="172" t="s">
        <v>2358</v>
      </c>
      <c r="D18" s="173" t="s">
        <v>337</v>
      </c>
      <c r="E18" s="173" t="s">
        <v>14</v>
      </c>
      <c r="F18" s="174">
        <v>222</v>
      </c>
      <c r="G18" s="158">
        <v>2300</v>
      </c>
      <c r="H18" s="17"/>
      <c r="I18" s="41"/>
    </row>
    <row r="19" spans="2:9">
      <c r="B19" s="48"/>
      <c r="C19" s="172"/>
      <c r="D19" s="173"/>
      <c r="E19" s="173"/>
      <c r="F19" s="174"/>
      <c r="G19" s="158"/>
      <c r="H19" s="17"/>
      <c r="I19" s="41"/>
    </row>
    <row r="20" spans="2:9">
      <c r="B20" s="48"/>
      <c r="C20" s="172" t="s">
        <v>2359</v>
      </c>
      <c r="D20" s="173" t="s">
        <v>337</v>
      </c>
      <c r="E20" s="173" t="s">
        <v>14</v>
      </c>
      <c r="F20" s="174">
        <v>54</v>
      </c>
      <c r="G20" s="158">
        <v>2300</v>
      </c>
      <c r="H20" s="17"/>
      <c r="I20" s="41"/>
    </row>
    <row r="21" spans="2:9">
      <c r="B21" s="48"/>
      <c r="C21" s="172"/>
      <c r="D21" s="173"/>
      <c r="E21" s="173"/>
      <c r="F21" s="174"/>
      <c r="G21" s="158"/>
      <c r="H21" s="17"/>
      <c r="I21" s="41"/>
    </row>
    <row r="22" spans="2:9">
      <c r="B22" s="48"/>
      <c r="C22" s="172" t="s">
        <v>2360</v>
      </c>
      <c r="D22" s="173" t="s">
        <v>337</v>
      </c>
      <c r="E22" s="173" t="s">
        <v>14</v>
      </c>
      <c r="F22" s="174">
        <v>48</v>
      </c>
      <c r="G22" s="158">
        <v>2300</v>
      </c>
      <c r="H22" s="17"/>
      <c r="I22" s="41"/>
    </row>
    <row r="23" spans="2:9">
      <c r="B23" s="48"/>
      <c r="C23" s="172"/>
      <c r="D23" s="173"/>
      <c r="E23" s="173"/>
      <c r="F23" s="174"/>
      <c r="G23" s="158"/>
      <c r="H23" s="17"/>
      <c r="I23" s="41"/>
    </row>
    <row r="24" spans="2:9">
      <c r="B24" s="48"/>
      <c r="C24" s="172" t="s">
        <v>2361</v>
      </c>
      <c r="D24" s="173" t="s">
        <v>337</v>
      </c>
      <c r="E24" s="173" t="s">
        <v>14</v>
      </c>
      <c r="F24" s="174">
        <v>163</v>
      </c>
      <c r="G24" s="158">
        <v>2300</v>
      </c>
      <c r="H24" s="17"/>
      <c r="I24" s="41"/>
    </row>
    <row r="25" spans="2:9">
      <c r="B25" s="48"/>
      <c r="C25" s="172"/>
      <c r="D25" s="173"/>
      <c r="E25" s="173"/>
      <c r="F25" s="174"/>
      <c r="G25" s="158"/>
      <c r="H25" s="17"/>
      <c r="I25" s="41"/>
    </row>
    <row r="26" spans="2:9">
      <c r="B26" s="48"/>
      <c r="C26" s="172" t="s">
        <v>2362</v>
      </c>
      <c r="D26" s="173" t="s">
        <v>337</v>
      </c>
      <c r="E26" s="173" t="s">
        <v>14</v>
      </c>
      <c r="F26" s="174">
        <v>46</v>
      </c>
      <c r="G26" s="158">
        <v>2300</v>
      </c>
      <c r="H26" s="17"/>
      <c r="I26" s="41"/>
    </row>
    <row r="27" spans="2:9">
      <c r="B27" s="48"/>
      <c r="C27" s="156"/>
      <c r="D27" s="170"/>
      <c r="E27" s="170"/>
      <c r="F27" s="154"/>
      <c r="G27" s="158"/>
      <c r="H27" s="17"/>
      <c r="I27" s="41"/>
    </row>
    <row r="28" spans="2:9">
      <c r="B28" s="48"/>
      <c r="C28" s="156" t="s">
        <v>2363</v>
      </c>
      <c r="D28" s="170" t="s">
        <v>724</v>
      </c>
      <c r="E28" s="170" t="s">
        <v>14</v>
      </c>
      <c r="F28" s="154">
        <v>13</v>
      </c>
      <c r="G28" s="158">
        <v>2300</v>
      </c>
      <c r="H28" s="17"/>
      <c r="I28" s="41"/>
    </row>
    <row r="29" spans="2:9">
      <c r="B29" s="48"/>
      <c r="C29" s="156"/>
      <c r="D29" s="170"/>
      <c r="E29" s="170"/>
      <c r="F29" s="171"/>
      <c r="G29" s="158"/>
      <c r="H29" s="17"/>
      <c r="I29" s="41"/>
    </row>
    <row r="30" spans="2:9" s="146" customFormat="1" ht="51">
      <c r="B30" s="134" t="s">
        <v>83</v>
      </c>
      <c r="C30" s="130" t="s">
        <v>2364</v>
      </c>
      <c r="D30" s="135" t="s">
        <v>386</v>
      </c>
      <c r="E30" s="135"/>
      <c r="F30" s="136"/>
      <c r="G30" s="137"/>
      <c r="H30" s="139">
        <f t="shared" si="0"/>
        <v>0</v>
      </c>
      <c r="I30" s="143"/>
    </row>
    <row r="31" spans="2:9" s="146" customFormat="1">
      <c r="B31" s="134"/>
      <c r="C31" s="130"/>
      <c r="D31" s="135"/>
      <c r="E31" s="135"/>
      <c r="F31" s="136"/>
      <c r="G31" s="137"/>
      <c r="H31" s="139" t="str">
        <f t="shared" si="0"/>
        <v/>
      </c>
      <c r="I31" s="143"/>
    </row>
    <row r="32" spans="2:9" s="146" customFormat="1" ht="14.25">
      <c r="B32" s="134" t="s">
        <v>86</v>
      </c>
      <c r="C32" s="130" t="s">
        <v>2365</v>
      </c>
      <c r="D32" s="135" t="s">
        <v>386</v>
      </c>
      <c r="E32" s="135"/>
      <c r="F32" s="136"/>
      <c r="G32" s="142"/>
      <c r="H32" s="139">
        <f t="shared" si="0"/>
        <v>0</v>
      </c>
      <c r="I32" s="140"/>
    </row>
    <row r="33" spans="2:9">
      <c r="B33" s="48"/>
      <c r="C33" s="14"/>
      <c r="D33" s="22"/>
      <c r="E33" s="22"/>
      <c r="F33" s="23"/>
      <c r="G33" s="42"/>
      <c r="H33" s="17" t="str">
        <f t="shared" si="0"/>
        <v/>
      </c>
      <c r="I33" s="40"/>
    </row>
    <row r="34" spans="2:9" s="146" customFormat="1">
      <c r="B34" s="134" t="s">
        <v>2366</v>
      </c>
      <c r="C34" s="130" t="s">
        <v>2367</v>
      </c>
      <c r="D34" s="135"/>
      <c r="E34" s="141"/>
      <c r="F34" s="136"/>
      <c r="G34" s="147"/>
      <c r="H34" s="139" t="str">
        <f t="shared" si="0"/>
        <v/>
      </c>
      <c r="I34" s="148"/>
    </row>
    <row r="35" spans="2:9" s="146" customFormat="1">
      <c r="B35" s="134"/>
      <c r="D35" s="135"/>
      <c r="E35" s="141"/>
      <c r="F35" s="136"/>
      <c r="G35" s="147"/>
      <c r="H35" s="139" t="str">
        <f t="shared" si="0"/>
        <v/>
      </c>
      <c r="I35" s="148"/>
    </row>
    <row r="36" spans="2:9" s="146" customFormat="1" ht="63.75">
      <c r="B36" s="134" t="s">
        <v>83</v>
      </c>
      <c r="C36" s="130" t="s">
        <v>2368</v>
      </c>
      <c r="D36" s="135" t="s">
        <v>386</v>
      </c>
      <c r="E36" s="141"/>
      <c r="F36" s="136"/>
      <c r="G36" s="138"/>
      <c r="H36" s="139">
        <f t="shared" si="0"/>
        <v>0</v>
      </c>
      <c r="I36" s="148"/>
    </row>
    <row r="37" spans="2:9" s="146" customFormat="1">
      <c r="B37" s="134"/>
      <c r="C37" s="130"/>
      <c r="D37" s="135"/>
      <c r="E37" s="141"/>
      <c r="F37" s="136"/>
      <c r="G37" s="147"/>
      <c r="H37" s="139" t="str">
        <f t="shared" si="0"/>
        <v/>
      </c>
      <c r="I37" s="148"/>
    </row>
    <row r="38" spans="2:9" s="146" customFormat="1" ht="14.25">
      <c r="B38" s="134" t="s">
        <v>86</v>
      </c>
      <c r="C38" s="130" t="s">
        <v>2365</v>
      </c>
      <c r="D38" s="135" t="s">
        <v>386</v>
      </c>
      <c r="E38" s="141"/>
      <c r="F38" s="136"/>
      <c r="G38" s="144"/>
      <c r="H38" s="139">
        <f t="shared" si="0"/>
        <v>0</v>
      </c>
      <c r="I38" s="148"/>
    </row>
    <row r="39" spans="2:9" s="146" customFormat="1">
      <c r="B39" s="134"/>
      <c r="C39" s="130"/>
      <c r="D39" s="135"/>
      <c r="E39" s="141"/>
      <c r="F39" s="136"/>
      <c r="G39" s="147"/>
      <c r="H39" s="139" t="str">
        <f t="shared" si="0"/>
        <v/>
      </c>
      <c r="I39" s="148"/>
    </row>
    <row r="40" spans="2:9" s="146" customFormat="1">
      <c r="B40" s="134" t="s">
        <v>2369</v>
      </c>
      <c r="C40" s="130" t="s">
        <v>2370</v>
      </c>
      <c r="D40" s="135"/>
      <c r="E40" s="135"/>
      <c r="F40" s="136"/>
      <c r="G40" s="138"/>
      <c r="H40" s="139" t="str">
        <f t="shared" si="0"/>
        <v/>
      </c>
      <c r="I40" s="143"/>
    </row>
    <row r="41" spans="2:9" s="146" customFormat="1">
      <c r="B41" s="134"/>
      <c r="C41" s="130"/>
      <c r="D41" s="135"/>
      <c r="E41" s="131"/>
      <c r="F41" s="132"/>
      <c r="G41" s="133"/>
      <c r="H41" s="139" t="str">
        <f t="shared" si="0"/>
        <v/>
      </c>
      <c r="I41" s="145"/>
    </row>
    <row r="42" spans="2:9" s="149" customFormat="1" ht="51">
      <c r="B42" s="134" t="s">
        <v>83</v>
      </c>
      <c r="C42" s="130" t="s">
        <v>2371</v>
      </c>
      <c r="D42" s="135" t="s">
        <v>386</v>
      </c>
      <c r="E42" s="131"/>
      <c r="F42" s="132"/>
      <c r="G42" s="133"/>
      <c r="H42" s="139">
        <f t="shared" si="0"/>
        <v>0</v>
      </c>
      <c r="I42" s="145"/>
    </row>
    <row r="43" spans="2:9" s="146" customFormat="1">
      <c r="B43" s="134"/>
      <c r="C43" s="130"/>
      <c r="D43" s="135"/>
      <c r="E43" s="135"/>
      <c r="F43" s="136"/>
      <c r="G43" s="138"/>
      <c r="H43" s="139" t="str">
        <f t="shared" si="0"/>
        <v/>
      </c>
      <c r="I43" s="143"/>
    </row>
    <row r="44" spans="2:9" s="146" customFormat="1" ht="14.25">
      <c r="B44" s="134" t="s">
        <v>86</v>
      </c>
      <c r="C44" s="130" t="s">
        <v>2372</v>
      </c>
      <c r="D44" s="135" t="s">
        <v>386</v>
      </c>
      <c r="E44" s="135"/>
      <c r="F44" s="136"/>
      <c r="G44" s="138"/>
      <c r="H44" s="139">
        <f t="shared" si="0"/>
        <v>0</v>
      </c>
      <c r="I44" s="143"/>
    </row>
    <row r="45" spans="2:9" s="146" customFormat="1">
      <c r="B45" s="134"/>
      <c r="C45" s="130"/>
      <c r="D45" s="135"/>
      <c r="E45" s="135"/>
      <c r="F45" s="136"/>
      <c r="G45" s="150"/>
      <c r="H45" s="139" t="str">
        <f t="shared" si="0"/>
        <v/>
      </c>
      <c r="I45" s="140"/>
    </row>
    <row r="46" spans="2:9" s="146" customFormat="1" ht="25.5">
      <c r="B46" s="134" t="s">
        <v>2373</v>
      </c>
      <c r="C46" s="130" t="s">
        <v>2374</v>
      </c>
      <c r="D46" s="135"/>
      <c r="E46" s="135"/>
      <c r="F46" s="136"/>
      <c r="G46" s="150"/>
      <c r="H46" s="139" t="str">
        <f t="shared" si="0"/>
        <v/>
      </c>
      <c r="I46" s="140"/>
    </row>
    <row r="47" spans="2:9" s="146" customFormat="1">
      <c r="B47" s="134"/>
      <c r="C47" s="130"/>
      <c r="D47" s="135"/>
      <c r="E47" s="135"/>
      <c r="F47" s="136"/>
      <c r="G47" s="144"/>
      <c r="H47" s="139" t="str">
        <f t="shared" si="0"/>
        <v/>
      </c>
      <c r="I47" s="140"/>
    </row>
    <row r="48" spans="2:9" s="146" customFormat="1" ht="14.25">
      <c r="B48" s="134" t="s">
        <v>2375</v>
      </c>
      <c r="C48" s="130" t="s">
        <v>2376</v>
      </c>
      <c r="D48" s="135" t="s">
        <v>386</v>
      </c>
      <c r="E48" s="135"/>
      <c r="F48" s="136"/>
      <c r="G48" s="144"/>
      <c r="H48" s="139">
        <f t="shared" si="0"/>
        <v>0</v>
      </c>
      <c r="I48" s="140"/>
    </row>
    <row r="49" spans="2:9" s="146" customFormat="1">
      <c r="B49" s="134"/>
      <c r="C49" s="130"/>
      <c r="D49" s="135"/>
      <c r="E49" s="135"/>
      <c r="F49" s="135"/>
      <c r="G49" s="142"/>
      <c r="H49" s="139" t="str">
        <f t="shared" si="0"/>
        <v/>
      </c>
      <c r="I49" s="140"/>
    </row>
    <row r="50" spans="2:9" s="146" customFormat="1" ht="14.25">
      <c r="B50" s="134" t="s">
        <v>2377</v>
      </c>
      <c r="C50" s="130" t="s">
        <v>2378</v>
      </c>
      <c r="D50" s="135" t="s">
        <v>386</v>
      </c>
      <c r="E50" s="135"/>
      <c r="F50" s="135"/>
      <c r="G50" s="142"/>
      <c r="H50" s="139">
        <f t="shared" si="0"/>
        <v>0</v>
      </c>
      <c r="I50" s="140"/>
    </row>
    <row r="51" spans="2:9" s="146" customFormat="1">
      <c r="B51" s="134"/>
      <c r="C51" s="130"/>
      <c r="D51" s="135"/>
      <c r="E51" s="135"/>
      <c r="F51" s="135"/>
      <c r="G51" s="138"/>
      <c r="H51" s="139" t="str">
        <f t="shared" si="0"/>
        <v/>
      </c>
      <c r="I51" s="140"/>
    </row>
    <row r="52" spans="2:9" s="146" customFormat="1" ht="25.5">
      <c r="B52" s="134" t="s">
        <v>2379</v>
      </c>
      <c r="C52" s="130" t="s">
        <v>2380</v>
      </c>
      <c r="D52" s="135"/>
      <c r="E52" s="135"/>
      <c r="F52" s="135"/>
      <c r="G52" s="138"/>
      <c r="H52" s="139" t="str">
        <f t="shared" si="0"/>
        <v/>
      </c>
      <c r="I52" s="140"/>
    </row>
    <row r="53" spans="2:9" s="146" customFormat="1">
      <c r="B53" s="134"/>
      <c r="C53" s="130"/>
      <c r="D53" s="135"/>
      <c r="E53" s="135"/>
      <c r="F53" s="135"/>
      <c r="G53" s="138"/>
      <c r="H53" s="139" t="str">
        <f t="shared" si="0"/>
        <v/>
      </c>
      <c r="I53" s="140"/>
    </row>
    <row r="54" spans="2:9" s="146" customFormat="1">
      <c r="B54" s="134" t="s">
        <v>2381</v>
      </c>
      <c r="C54" s="130" t="s">
        <v>2356</v>
      </c>
      <c r="D54" s="135"/>
      <c r="E54" s="135"/>
      <c r="F54" s="135"/>
      <c r="G54" s="138"/>
      <c r="H54" s="139" t="str">
        <f t="shared" si="0"/>
        <v/>
      </c>
      <c r="I54" s="140"/>
    </row>
    <row r="55" spans="2:9" s="146" customFormat="1">
      <c r="B55" s="134"/>
      <c r="C55" s="130"/>
      <c r="D55" s="135"/>
      <c r="E55" s="135"/>
      <c r="F55" s="135"/>
      <c r="G55" s="138"/>
      <c r="H55" s="139" t="str">
        <f t="shared" si="0"/>
        <v/>
      </c>
      <c r="I55" s="140"/>
    </row>
    <row r="56" spans="2:9" s="146" customFormat="1" ht="51">
      <c r="B56" s="134" t="s">
        <v>83</v>
      </c>
      <c r="C56" s="130" t="s">
        <v>2364</v>
      </c>
      <c r="D56" s="135" t="s">
        <v>386</v>
      </c>
      <c r="E56" s="135"/>
      <c r="F56" s="135"/>
      <c r="G56" s="138"/>
      <c r="H56" s="139">
        <f t="shared" si="0"/>
        <v>0</v>
      </c>
      <c r="I56" s="140"/>
    </row>
    <row r="57" spans="2:9" s="146" customFormat="1">
      <c r="B57" s="134"/>
      <c r="C57" s="130"/>
      <c r="D57" s="135"/>
      <c r="E57" s="135"/>
      <c r="F57" s="135"/>
      <c r="G57" s="138"/>
      <c r="H57" s="139" t="str">
        <f t="shared" si="0"/>
        <v/>
      </c>
      <c r="I57" s="140"/>
    </row>
    <row r="58" spans="2:9" s="146" customFormat="1" ht="14.25">
      <c r="B58" s="134" t="s">
        <v>86</v>
      </c>
      <c r="C58" s="130" t="s">
        <v>2382</v>
      </c>
      <c r="D58" s="135" t="s">
        <v>386</v>
      </c>
      <c r="E58" s="135"/>
      <c r="F58" s="135"/>
      <c r="G58" s="138"/>
      <c r="H58" s="139">
        <f t="shared" si="0"/>
        <v>0</v>
      </c>
      <c r="I58" s="140"/>
    </row>
    <row r="59" spans="2:9" s="146" customFormat="1">
      <c r="B59" s="134"/>
      <c r="C59" s="130"/>
      <c r="D59" s="135"/>
      <c r="E59" s="135"/>
      <c r="F59" s="135"/>
      <c r="G59" s="138"/>
      <c r="H59" s="139" t="str">
        <f t="shared" si="0"/>
        <v/>
      </c>
      <c r="I59" s="140"/>
    </row>
    <row r="60" spans="2:9" s="146" customFormat="1">
      <c r="B60" s="134" t="s">
        <v>2383</v>
      </c>
      <c r="C60" s="130" t="s">
        <v>2367</v>
      </c>
      <c r="D60" s="135"/>
      <c r="E60" s="135"/>
      <c r="F60" s="135"/>
      <c r="G60" s="138"/>
      <c r="H60" s="139" t="str">
        <f t="shared" si="0"/>
        <v/>
      </c>
      <c r="I60" s="140"/>
    </row>
    <row r="61" spans="2:9" s="146" customFormat="1">
      <c r="B61" s="134"/>
      <c r="C61" s="130"/>
      <c r="D61" s="135"/>
      <c r="E61" s="135"/>
      <c r="F61" s="135"/>
      <c r="G61" s="138"/>
      <c r="H61" s="139" t="str">
        <f t="shared" si="0"/>
        <v/>
      </c>
      <c r="I61" s="140"/>
    </row>
    <row r="62" spans="2:9" s="146" customFormat="1" ht="63.75">
      <c r="B62" s="134" t="s">
        <v>83</v>
      </c>
      <c r="C62" s="130" t="s">
        <v>2368</v>
      </c>
      <c r="D62" s="135" t="s">
        <v>386</v>
      </c>
      <c r="E62" s="135"/>
      <c r="F62" s="135"/>
      <c r="G62" s="138"/>
      <c r="H62" s="139">
        <f t="shared" si="0"/>
        <v>0</v>
      </c>
      <c r="I62" s="140"/>
    </row>
    <row r="63" spans="2:9" s="146" customFormat="1">
      <c r="B63" s="134"/>
      <c r="C63" s="130"/>
      <c r="D63" s="135"/>
      <c r="E63" s="135"/>
      <c r="F63" s="135"/>
      <c r="G63" s="138"/>
      <c r="H63" s="139" t="str">
        <f t="shared" si="0"/>
        <v/>
      </c>
      <c r="I63" s="140"/>
    </row>
    <row r="64" spans="2:9" s="146" customFormat="1" ht="14.25">
      <c r="B64" s="134" t="s">
        <v>86</v>
      </c>
      <c r="C64" s="130" t="s">
        <v>2382</v>
      </c>
      <c r="D64" s="135" t="s">
        <v>386</v>
      </c>
      <c r="E64" s="135"/>
      <c r="F64" s="135"/>
      <c r="G64" s="138"/>
      <c r="H64" s="139">
        <f t="shared" si="0"/>
        <v>0</v>
      </c>
      <c r="I64" s="140"/>
    </row>
    <row r="65" spans="2:9" s="146" customFormat="1">
      <c r="B65" s="134"/>
      <c r="C65" s="130"/>
      <c r="D65" s="135"/>
      <c r="E65" s="135"/>
      <c r="F65" s="135"/>
      <c r="G65" s="138"/>
      <c r="H65" s="139"/>
      <c r="I65" s="140"/>
    </row>
    <row r="66" spans="2:9" s="146" customFormat="1">
      <c r="B66" s="134"/>
      <c r="C66" s="130"/>
      <c r="D66" s="135"/>
      <c r="E66" s="135"/>
      <c r="F66" s="135"/>
      <c r="G66" s="138"/>
      <c r="H66" s="139"/>
      <c r="I66" s="140"/>
    </row>
    <row r="67" spans="2:9" s="146" customFormat="1">
      <c r="B67" s="134"/>
      <c r="C67" s="130"/>
      <c r="D67" s="135"/>
      <c r="E67" s="135"/>
      <c r="F67" s="135"/>
      <c r="G67" s="138"/>
      <c r="H67" s="139"/>
      <c r="I67" s="140"/>
    </row>
    <row r="68" spans="2:9" s="146" customFormat="1">
      <c r="B68" s="134"/>
      <c r="C68" s="130"/>
      <c r="D68" s="135"/>
      <c r="E68" s="135"/>
      <c r="F68" s="135"/>
      <c r="G68" s="138"/>
      <c r="H68" s="139"/>
      <c r="I68" s="140"/>
    </row>
    <row r="69" spans="2:9" s="146" customFormat="1">
      <c r="B69" s="134"/>
      <c r="C69" s="130"/>
      <c r="D69" s="135"/>
      <c r="E69" s="135"/>
      <c r="F69" s="135"/>
      <c r="G69" s="138"/>
      <c r="H69" s="139" t="str">
        <f t="shared" si="0"/>
        <v/>
      </c>
      <c r="I69" s="140"/>
    </row>
    <row r="70" spans="2:9">
      <c r="B70" s="48"/>
      <c r="C70" s="14"/>
      <c r="D70" s="22"/>
      <c r="E70" s="22"/>
      <c r="F70" s="22"/>
      <c r="G70" s="37"/>
      <c r="H70" s="17"/>
      <c r="I70" s="40"/>
    </row>
    <row r="71" spans="2:9" s="28" customFormat="1" ht="19.5" customHeight="1">
      <c r="B71" s="101" t="str">
        <f>$B$10</f>
        <v>C13.4</v>
      </c>
      <c r="C71" s="29" t="s">
        <v>99</v>
      </c>
      <c r="D71" s="30"/>
      <c r="E71" s="30"/>
      <c r="F71" s="31"/>
      <c r="G71" s="30"/>
      <c r="H71" s="32">
        <f>SUM(H9:H70)</f>
        <v>0</v>
      </c>
      <c r="I71" s="33"/>
    </row>
    <row r="72" spans="2:9">
      <c r="B72" s="736" t="str">
        <f>Client1</f>
        <v>AIRPORTS COMPANY - SOUTH AFRICA</v>
      </c>
      <c r="C72" s="736"/>
      <c r="D72" s="736"/>
      <c r="E72" s="736"/>
      <c r="F72" s="737" t="str">
        <f>"Contract No. "&amp;ContractNo</f>
        <v>Contract No. KSIA7806/2025/RFP</v>
      </c>
      <c r="G72" s="737"/>
      <c r="H72" s="737"/>
    </row>
    <row r="73" spans="2:9">
      <c r="B73" s="736" t="str">
        <f>Client2</f>
        <v>ACSA</v>
      </c>
      <c r="C73" s="736"/>
      <c r="D73" s="736"/>
      <c r="E73" s="736"/>
      <c r="F73" s="737"/>
      <c r="G73" s="737"/>
      <c r="H73" s="737"/>
    </row>
    <row r="74" spans="2:9">
      <c r="B74" s="739"/>
      <c r="C74" s="739"/>
      <c r="D74" s="739"/>
      <c r="E74" s="739"/>
      <c r="F74" s="738"/>
      <c r="G74" s="738"/>
      <c r="H74" s="738"/>
    </row>
    <row r="75" spans="2:9">
      <c r="B75" s="695" t="s">
        <v>456</v>
      </c>
      <c r="C75" s="696"/>
      <c r="D75" s="696"/>
      <c r="E75" s="696"/>
      <c r="F75" s="696"/>
      <c r="G75" s="696"/>
      <c r="H75" s="740" t="str">
        <f>$H$4</f>
        <v>CHAPTER C13.4</v>
      </c>
      <c r="I75" s="6"/>
    </row>
    <row r="76" spans="2:9">
      <c r="B76" s="690" t="str">
        <f>ContractDescription</f>
        <v>PROCUREMENT OF A CIDB GRADE 9 CE CONTRACTOR THE COMPLETION OF BRAVO TAXIWAY EXTENSION AT KING SHAKA INTERNATIONAL AIRPORT FOR A PERIOD OF 12 MONTHS AT KING SHAKA INTERNATIONAL AIRPORT</v>
      </c>
      <c r="C76" s="691"/>
      <c r="D76" s="691"/>
      <c r="E76" s="691"/>
      <c r="F76" s="691"/>
      <c r="G76" s="691"/>
      <c r="H76" s="737"/>
      <c r="I76" s="8"/>
    </row>
    <row r="77" spans="2:9">
      <c r="B77" s="690"/>
      <c r="C77" s="691"/>
      <c r="D77" s="691"/>
      <c r="E77" s="691"/>
      <c r="F77" s="691"/>
      <c r="G77" s="691"/>
      <c r="H77" s="737"/>
      <c r="I77" s="8"/>
    </row>
    <row r="78" spans="2:9">
      <c r="B78" s="692"/>
      <c r="C78" s="693"/>
      <c r="D78" s="693"/>
      <c r="E78" s="693"/>
      <c r="F78" s="693"/>
      <c r="G78" s="693"/>
      <c r="H78" s="738"/>
      <c r="I78" s="8"/>
    </row>
    <row r="79" spans="2:9" s="9" customFormat="1" ht="24.95" customHeight="1">
      <c r="B79" s="70" t="s">
        <v>11</v>
      </c>
      <c r="C79" s="11" t="s">
        <v>12</v>
      </c>
      <c r="D79" s="11" t="s">
        <v>13</v>
      </c>
      <c r="E79" s="11" t="s">
        <v>14</v>
      </c>
      <c r="F79" s="11" t="s">
        <v>15</v>
      </c>
      <c r="G79" s="11" t="s">
        <v>16</v>
      </c>
      <c r="H79" s="11" t="s">
        <v>17</v>
      </c>
      <c r="I79" s="12"/>
    </row>
    <row r="80" spans="2:9" s="28" customFormat="1" ht="19.5" customHeight="1">
      <c r="B80" s="74"/>
      <c r="C80" s="29" t="s">
        <v>140</v>
      </c>
      <c r="D80" s="30"/>
      <c r="E80" s="30"/>
      <c r="F80" s="31"/>
      <c r="G80" s="30"/>
      <c r="H80" s="32">
        <f>H71</f>
        <v>0</v>
      </c>
      <c r="I80" s="33"/>
    </row>
    <row r="81" spans="2:9" s="146" customFormat="1">
      <c r="B81" s="134"/>
      <c r="C81" s="130"/>
      <c r="D81" s="135"/>
      <c r="E81" s="135"/>
      <c r="F81" s="135"/>
      <c r="G81" s="138"/>
      <c r="H81" s="139"/>
      <c r="I81" s="140"/>
    </row>
    <row r="82" spans="2:9" s="146" customFormat="1">
      <c r="B82" s="134" t="s">
        <v>2384</v>
      </c>
      <c r="C82" s="130" t="s">
        <v>2370</v>
      </c>
      <c r="D82" s="135"/>
      <c r="E82" s="135"/>
      <c r="F82" s="135"/>
      <c r="G82" s="138"/>
      <c r="H82" s="139" t="str">
        <f t="shared" si="0"/>
        <v/>
      </c>
      <c r="I82" s="140"/>
    </row>
    <row r="83" spans="2:9" s="146" customFormat="1">
      <c r="B83" s="134"/>
      <c r="C83" s="130"/>
      <c r="D83" s="135"/>
      <c r="E83" s="135"/>
      <c r="F83" s="135"/>
      <c r="G83" s="138"/>
      <c r="H83" s="139" t="str">
        <f t="shared" si="0"/>
        <v/>
      </c>
      <c r="I83" s="140"/>
    </row>
    <row r="84" spans="2:9" s="146" customFormat="1" ht="51">
      <c r="B84" s="134" t="s">
        <v>83</v>
      </c>
      <c r="C84" s="130" t="s">
        <v>2371</v>
      </c>
      <c r="D84" s="135" t="s">
        <v>386</v>
      </c>
      <c r="E84" s="135"/>
      <c r="F84" s="135"/>
      <c r="G84" s="138"/>
      <c r="H84" s="139">
        <f t="shared" si="0"/>
        <v>0</v>
      </c>
      <c r="I84" s="140"/>
    </row>
    <row r="85" spans="2:9" s="146" customFormat="1">
      <c r="B85" s="134"/>
      <c r="C85" s="130"/>
      <c r="D85" s="141"/>
      <c r="E85" s="141"/>
      <c r="F85" s="141"/>
      <c r="G85" s="138"/>
      <c r="H85" s="139" t="str">
        <f t="shared" si="0"/>
        <v/>
      </c>
      <c r="I85" s="148"/>
    </row>
    <row r="86" spans="2:9" s="146" customFormat="1" ht="14.25">
      <c r="B86" s="134" t="s">
        <v>86</v>
      </c>
      <c r="C86" s="130" t="s">
        <v>2382</v>
      </c>
      <c r="D86" s="135" t="s">
        <v>386</v>
      </c>
      <c r="E86" s="135"/>
      <c r="F86" s="135"/>
      <c r="G86" s="138"/>
      <c r="H86" s="139">
        <f t="shared" si="0"/>
        <v>0</v>
      </c>
      <c r="I86" s="140"/>
    </row>
    <row r="87" spans="2:9" s="146" customFormat="1">
      <c r="B87" s="134"/>
      <c r="C87" s="130"/>
      <c r="D87" s="141"/>
      <c r="E87" s="141"/>
      <c r="F87" s="141"/>
      <c r="G87" s="138"/>
      <c r="H87" s="139" t="str">
        <f t="shared" si="0"/>
        <v/>
      </c>
      <c r="I87" s="151"/>
    </row>
    <row r="88" spans="2:9" s="146" customFormat="1" ht="38.25">
      <c r="B88" s="134" t="s">
        <v>2385</v>
      </c>
      <c r="C88" s="130" t="s">
        <v>2386</v>
      </c>
      <c r="D88" s="141"/>
      <c r="E88" s="141"/>
      <c r="F88" s="141"/>
      <c r="G88" s="138"/>
      <c r="H88" s="139" t="str">
        <f t="shared" si="0"/>
        <v/>
      </c>
      <c r="I88" s="148"/>
    </row>
    <row r="89" spans="2:9" s="146" customFormat="1">
      <c r="B89" s="134"/>
      <c r="C89" s="130"/>
      <c r="D89" s="135"/>
      <c r="E89" s="135"/>
      <c r="F89" s="135"/>
      <c r="G89" s="138"/>
      <c r="H89" s="139" t="str">
        <f t="shared" si="0"/>
        <v/>
      </c>
      <c r="I89" s="140"/>
    </row>
    <row r="90" spans="2:9" s="146" customFormat="1" ht="25.5">
      <c r="B90" s="134" t="s">
        <v>2387</v>
      </c>
      <c r="C90" s="130" t="s">
        <v>2388</v>
      </c>
      <c r="D90" s="135" t="s">
        <v>386</v>
      </c>
      <c r="E90" s="135"/>
      <c r="F90" s="135"/>
      <c r="G90" s="138"/>
      <c r="H90" s="139">
        <f t="shared" si="0"/>
        <v>0</v>
      </c>
      <c r="I90" s="140"/>
    </row>
    <row r="91" spans="2:9" s="146" customFormat="1">
      <c r="B91" s="134"/>
      <c r="C91" s="130"/>
      <c r="D91" s="135"/>
      <c r="E91" s="135"/>
      <c r="F91" s="135"/>
      <c r="G91" s="138"/>
      <c r="H91" s="139" t="str">
        <f t="shared" si="0"/>
        <v/>
      </c>
      <c r="I91" s="140"/>
    </row>
    <row r="92" spans="2:9" s="146" customFormat="1" ht="25.5">
      <c r="B92" s="134" t="s">
        <v>2389</v>
      </c>
      <c r="C92" s="130" t="s">
        <v>2390</v>
      </c>
      <c r="D92" s="135"/>
      <c r="E92" s="135"/>
      <c r="F92" s="135"/>
      <c r="G92" s="138"/>
      <c r="H92" s="139" t="str">
        <f t="shared" si="0"/>
        <v/>
      </c>
      <c r="I92" s="140"/>
    </row>
    <row r="93" spans="2:9" s="146" customFormat="1">
      <c r="B93" s="134"/>
      <c r="C93" s="130"/>
      <c r="D93" s="135"/>
      <c r="E93" s="135"/>
      <c r="F93" s="135"/>
      <c r="G93" s="138"/>
      <c r="H93" s="139" t="str">
        <f t="shared" si="0"/>
        <v/>
      </c>
      <c r="I93" s="140"/>
    </row>
    <row r="94" spans="2:9" s="146" customFormat="1" ht="25.5">
      <c r="B94" s="134" t="s">
        <v>2391</v>
      </c>
      <c r="C94" s="130" t="s">
        <v>2392</v>
      </c>
      <c r="D94" s="135" t="s">
        <v>124</v>
      </c>
      <c r="E94" s="135"/>
      <c r="F94" s="135"/>
      <c r="G94" s="138"/>
      <c r="H94" s="139">
        <f t="shared" si="0"/>
        <v>0</v>
      </c>
      <c r="I94" s="140"/>
    </row>
    <row r="95" spans="2:9" s="146" customFormat="1">
      <c r="B95" s="134"/>
      <c r="C95" s="130"/>
      <c r="D95" s="135"/>
      <c r="E95" s="135"/>
      <c r="F95" s="135"/>
      <c r="G95" s="138"/>
      <c r="H95" s="139" t="str">
        <f t="shared" si="0"/>
        <v/>
      </c>
      <c r="I95" s="140"/>
    </row>
    <row r="96" spans="2:9" s="146" customFormat="1" ht="25.5">
      <c r="B96" s="134" t="s">
        <v>2393</v>
      </c>
      <c r="C96" s="130" t="s">
        <v>2394</v>
      </c>
      <c r="D96" s="135" t="s">
        <v>124</v>
      </c>
      <c r="E96" s="135"/>
      <c r="F96" s="135"/>
      <c r="G96" s="138"/>
      <c r="H96" s="139">
        <f t="shared" si="0"/>
        <v>0</v>
      </c>
      <c r="I96" s="140"/>
    </row>
    <row r="97" spans="2:9" s="146" customFormat="1">
      <c r="B97" s="134"/>
      <c r="C97" s="130"/>
      <c r="D97" s="135"/>
      <c r="E97" s="135"/>
      <c r="F97" s="135"/>
      <c r="G97" s="138"/>
      <c r="H97" s="139" t="str">
        <f t="shared" si="0"/>
        <v/>
      </c>
      <c r="I97" s="140"/>
    </row>
    <row r="98" spans="2:9" s="146" customFormat="1" ht="27.75" customHeight="1">
      <c r="B98" s="134" t="s">
        <v>2395</v>
      </c>
      <c r="C98" s="130" t="s">
        <v>2396</v>
      </c>
      <c r="D98" s="135"/>
      <c r="E98" s="135"/>
      <c r="F98" s="135"/>
      <c r="G98" s="138"/>
      <c r="H98" s="139" t="str">
        <f t="shared" si="0"/>
        <v/>
      </c>
      <c r="I98" s="140"/>
    </row>
    <row r="99" spans="2:9" s="146" customFormat="1">
      <c r="B99" s="134"/>
      <c r="C99" s="130"/>
      <c r="D99" s="135"/>
      <c r="E99" s="135"/>
      <c r="F99" s="135"/>
      <c r="G99" s="138"/>
      <c r="H99" s="139" t="str">
        <f t="shared" si="0"/>
        <v/>
      </c>
      <c r="I99" s="140"/>
    </row>
    <row r="100" spans="2:9" s="146" customFormat="1" ht="25.5">
      <c r="B100" s="134" t="s">
        <v>2397</v>
      </c>
      <c r="C100" s="130" t="s">
        <v>2398</v>
      </c>
      <c r="D100" s="135" t="s">
        <v>124</v>
      </c>
      <c r="E100" s="135"/>
      <c r="F100" s="135"/>
      <c r="G100" s="138"/>
      <c r="H100" s="139">
        <f t="shared" si="0"/>
        <v>0</v>
      </c>
      <c r="I100" s="140"/>
    </row>
    <row r="101" spans="2:9" s="146" customFormat="1">
      <c r="B101" s="134"/>
      <c r="C101" s="130"/>
      <c r="D101" s="135"/>
      <c r="E101" s="135"/>
      <c r="F101" s="135"/>
      <c r="G101" s="138"/>
      <c r="H101" s="139" t="str">
        <f t="shared" si="0"/>
        <v/>
      </c>
      <c r="I101" s="140"/>
    </row>
    <row r="102" spans="2:9" s="146" customFormat="1">
      <c r="B102" s="134" t="s">
        <v>2399</v>
      </c>
      <c r="C102" s="130" t="s">
        <v>2400</v>
      </c>
      <c r="D102" s="135"/>
      <c r="E102" s="135"/>
      <c r="F102" s="135"/>
      <c r="G102" s="138"/>
      <c r="H102" s="139" t="str">
        <f t="shared" si="0"/>
        <v/>
      </c>
      <c r="I102" s="140"/>
    </row>
    <row r="103" spans="2:9" s="146" customFormat="1">
      <c r="B103" s="134"/>
      <c r="C103" s="130"/>
      <c r="D103" s="135"/>
      <c r="E103" s="135"/>
      <c r="F103" s="135"/>
      <c r="G103" s="138"/>
      <c r="H103" s="139" t="str">
        <f t="shared" si="0"/>
        <v/>
      </c>
      <c r="I103" s="140"/>
    </row>
    <row r="104" spans="2:9" s="146" customFormat="1">
      <c r="B104" s="134" t="s">
        <v>2401</v>
      </c>
      <c r="C104" s="130" t="s">
        <v>2402</v>
      </c>
      <c r="D104" s="135"/>
      <c r="E104" s="135"/>
      <c r="F104" s="135"/>
      <c r="G104" s="138"/>
      <c r="H104" s="139" t="str">
        <f t="shared" ref="H104:H160" si="1">IF(D104="","",F104*G104)</f>
        <v/>
      </c>
      <c r="I104" s="140"/>
    </row>
    <row r="105" spans="2:9" s="146" customFormat="1">
      <c r="B105" s="134"/>
      <c r="C105" s="130"/>
      <c r="D105" s="135"/>
      <c r="E105" s="135"/>
      <c r="F105" s="135"/>
      <c r="G105" s="138"/>
      <c r="H105" s="139" t="str">
        <f t="shared" si="1"/>
        <v/>
      </c>
      <c r="I105" s="140"/>
    </row>
    <row r="106" spans="2:9" s="146" customFormat="1" ht="25.5">
      <c r="B106" s="134" t="s">
        <v>83</v>
      </c>
      <c r="C106" s="130" t="s">
        <v>2403</v>
      </c>
      <c r="D106" s="135" t="s">
        <v>386</v>
      </c>
      <c r="E106" s="135"/>
      <c r="F106" s="135"/>
      <c r="G106" s="138"/>
      <c r="H106" s="139">
        <f t="shared" si="1"/>
        <v>0</v>
      </c>
      <c r="I106" s="140"/>
    </row>
    <row r="107" spans="2:9" s="146" customFormat="1">
      <c r="B107" s="134"/>
      <c r="C107" s="130"/>
      <c r="D107" s="135"/>
      <c r="E107" s="135"/>
      <c r="F107" s="135"/>
      <c r="G107" s="138"/>
      <c r="H107" s="139" t="str">
        <f t="shared" si="1"/>
        <v/>
      </c>
      <c r="I107" s="140"/>
    </row>
    <row r="108" spans="2:9" s="146" customFormat="1" ht="25.5">
      <c r="B108" s="134" t="s">
        <v>86</v>
      </c>
      <c r="C108" s="130" t="s">
        <v>2404</v>
      </c>
      <c r="D108" s="135" t="s">
        <v>386</v>
      </c>
      <c r="E108" s="135"/>
      <c r="F108" s="135"/>
      <c r="G108" s="138"/>
      <c r="H108" s="139">
        <f t="shared" si="1"/>
        <v>0</v>
      </c>
      <c r="I108" s="140"/>
    </row>
    <row r="109" spans="2:9" s="146" customFormat="1">
      <c r="B109" s="134"/>
      <c r="C109" s="130"/>
      <c r="D109" s="135"/>
      <c r="E109" s="135"/>
      <c r="F109" s="135"/>
      <c r="G109" s="138"/>
      <c r="H109" s="139" t="str">
        <f t="shared" si="1"/>
        <v/>
      </c>
      <c r="I109" s="140"/>
    </row>
    <row r="110" spans="2:9" s="146" customFormat="1">
      <c r="B110" s="134" t="s">
        <v>2405</v>
      </c>
      <c r="C110" s="130" t="s">
        <v>2406</v>
      </c>
      <c r="D110" s="135"/>
      <c r="E110" s="135"/>
      <c r="F110" s="135"/>
      <c r="G110" s="138"/>
      <c r="H110" s="139" t="str">
        <f t="shared" si="1"/>
        <v/>
      </c>
      <c r="I110" s="140"/>
    </row>
    <row r="111" spans="2:9" s="146" customFormat="1">
      <c r="B111" s="134"/>
      <c r="C111" s="130"/>
      <c r="D111" s="135"/>
      <c r="E111" s="135"/>
      <c r="F111" s="135"/>
      <c r="G111" s="138"/>
      <c r="H111" s="139" t="str">
        <f t="shared" si="1"/>
        <v/>
      </c>
      <c r="I111" s="140"/>
    </row>
    <row r="112" spans="2:9" s="146" customFormat="1" ht="25.5">
      <c r="B112" s="134" t="s">
        <v>83</v>
      </c>
      <c r="C112" s="130" t="s">
        <v>2407</v>
      </c>
      <c r="D112" s="135" t="s">
        <v>85</v>
      </c>
      <c r="E112" s="135"/>
      <c r="F112" s="135"/>
      <c r="G112" s="138"/>
      <c r="H112" s="139">
        <f t="shared" si="1"/>
        <v>0</v>
      </c>
      <c r="I112" s="140"/>
    </row>
    <row r="113" spans="2:9" s="146" customFormat="1">
      <c r="B113" s="134"/>
      <c r="C113" s="130"/>
      <c r="D113" s="135"/>
      <c r="E113" s="135"/>
      <c r="F113" s="135"/>
      <c r="G113" s="138"/>
      <c r="H113" s="139" t="str">
        <f t="shared" si="1"/>
        <v/>
      </c>
      <c r="I113" s="140"/>
    </row>
    <row r="114" spans="2:9" s="146" customFormat="1" ht="25.5">
      <c r="B114" s="134" t="s">
        <v>86</v>
      </c>
      <c r="C114" s="130" t="s">
        <v>2408</v>
      </c>
      <c r="D114" s="135" t="s">
        <v>85</v>
      </c>
      <c r="E114" s="135"/>
      <c r="F114" s="135"/>
      <c r="G114" s="138"/>
      <c r="H114" s="139">
        <f t="shared" si="1"/>
        <v>0</v>
      </c>
      <c r="I114" s="140"/>
    </row>
    <row r="115" spans="2:9" s="146" customFormat="1">
      <c r="B115" s="134"/>
      <c r="C115" s="130"/>
      <c r="D115" s="135"/>
      <c r="E115" s="135"/>
      <c r="F115" s="135"/>
      <c r="G115" s="138"/>
      <c r="H115" s="139" t="str">
        <f t="shared" si="1"/>
        <v/>
      </c>
      <c r="I115" s="140"/>
    </row>
    <row r="116" spans="2:9" s="146" customFormat="1">
      <c r="B116" s="134" t="s">
        <v>2409</v>
      </c>
      <c r="C116" s="130" t="s">
        <v>2410</v>
      </c>
      <c r="D116" s="135"/>
      <c r="E116" s="135"/>
      <c r="F116" s="135"/>
      <c r="G116" s="138"/>
      <c r="H116" s="139" t="str">
        <f t="shared" si="1"/>
        <v/>
      </c>
      <c r="I116" s="140"/>
    </row>
    <row r="117" spans="2:9" s="146" customFormat="1">
      <c r="B117" s="134"/>
      <c r="C117" s="130"/>
      <c r="D117" s="135"/>
      <c r="E117" s="135"/>
      <c r="F117" s="135"/>
      <c r="G117" s="138"/>
      <c r="H117" s="139" t="str">
        <f t="shared" si="1"/>
        <v/>
      </c>
      <c r="I117" s="140"/>
    </row>
    <row r="118" spans="2:9" s="146" customFormat="1" ht="25.5">
      <c r="B118" s="134" t="s">
        <v>2411</v>
      </c>
      <c r="C118" s="130" t="s">
        <v>2412</v>
      </c>
      <c r="D118" s="135" t="s">
        <v>386</v>
      </c>
      <c r="E118" s="135"/>
      <c r="F118" s="135"/>
      <c r="G118" s="138"/>
      <c r="H118" s="139">
        <f t="shared" si="1"/>
        <v>0</v>
      </c>
      <c r="I118" s="140"/>
    </row>
    <row r="119" spans="2:9" s="146" customFormat="1">
      <c r="B119" s="134"/>
      <c r="C119" s="130"/>
      <c r="D119" s="135"/>
      <c r="E119" s="135"/>
      <c r="F119" s="135"/>
      <c r="G119" s="138"/>
      <c r="H119" s="139" t="str">
        <f t="shared" si="1"/>
        <v/>
      </c>
      <c r="I119" s="140"/>
    </row>
    <row r="120" spans="2:9" s="146" customFormat="1" ht="14.25">
      <c r="B120" s="134" t="s">
        <v>2413</v>
      </c>
      <c r="C120" s="130" t="s">
        <v>2414</v>
      </c>
      <c r="D120" s="135" t="s">
        <v>386</v>
      </c>
      <c r="E120" s="135"/>
      <c r="F120" s="135"/>
      <c r="G120" s="138"/>
      <c r="H120" s="139">
        <f t="shared" si="1"/>
        <v>0</v>
      </c>
      <c r="I120" s="140"/>
    </row>
    <row r="121" spans="2:9" s="146" customFormat="1">
      <c r="B121" s="134"/>
      <c r="C121" s="130"/>
      <c r="D121" s="135"/>
      <c r="E121" s="135"/>
      <c r="F121" s="135"/>
      <c r="G121" s="138"/>
      <c r="H121" s="139" t="str">
        <f t="shared" si="1"/>
        <v/>
      </c>
      <c r="I121" s="140"/>
    </row>
    <row r="122" spans="2:9" s="146" customFormat="1" ht="25.5">
      <c r="B122" s="134" t="s">
        <v>2415</v>
      </c>
      <c r="C122" s="130" t="s">
        <v>2416</v>
      </c>
      <c r="D122" s="135" t="s">
        <v>85</v>
      </c>
      <c r="E122" s="135"/>
      <c r="F122" s="135"/>
      <c r="G122" s="138"/>
      <c r="H122" s="139">
        <f t="shared" si="1"/>
        <v>0</v>
      </c>
      <c r="I122" s="140"/>
    </row>
    <row r="123" spans="2:9" s="146" customFormat="1">
      <c r="B123" s="134"/>
      <c r="C123" s="130"/>
      <c r="D123" s="135"/>
      <c r="E123" s="135"/>
      <c r="F123" s="135"/>
      <c r="G123" s="138"/>
      <c r="H123" s="139" t="str">
        <f t="shared" si="1"/>
        <v/>
      </c>
      <c r="I123" s="140"/>
    </row>
    <row r="124" spans="2:9" s="146" customFormat="1" ht="38.25">
      <c r="B124" s="134" t="s">
        <v>2417</v>
      </c>
      <c r="C124" s="130" t="s">
        <v>2418</v>
      </c>
      <c r="D124" s="135" t="s">
        <v>85</v>
      </c>
      <c r="E124" s="135"/>
      <c r="F124" s="135"/>
      <c r="G124" s="138"/>
      <c r="H124" s="139">
        <f t="shared" si="1"/>
        <v>0</v>
      </c>
      <c r="I124" s="140"/>
    </row>
    <row r="125" spans="2:9" s="146" customFormat="1">
      <c r="B125" s="134"/>
      <c r="C125" s="130"/>
      <c r="D125" s="135"/>
      <c r="E125" s="135"/>
      <c r="F125" s="135"/>
      <c r="G125" s="138"/>
      <c r="H125" s="139"/>
      <c r="I125" s="140"/>
    </row>
    <row r="126" spans="2:9" s="146" customFormat="1">
      <c r="B126" s="134"/>
      <c r="C126" s="130"/>
      <c r="D126" s="135"/>
      <c r="E126" s="135"/>
      <c r="F126" s="135"/>
      <c r="G126" s="138"/>
      <c r="H126" s="139"/>
      <c r="I126" s="140"/>
    </row>
    <row r="127" spans="2:9" s="146" customFormat="1">
      <c r="B127" s="134"/>
      <c r="C127" s="130"/>
      <c r="D127" s="135"/>
      <c r="E127" s="135"/>
      <c r="F127" s="135"/>
      <c r="G127" s="138"/>
      <c r="H127" s="139"/>
      <c r="I127" s="140"/>
    </row>
    <row r="128" spans="2:9" s="146" customFormat="1">
      <c r="B128" s="134"/>
      <c r="C128" s="130"/>
      <c r="D128" s="135"/>
      <c r="E128" s="135"/>
      <c r="F128" s="135"/>
      <c r="G128" s="138"/>
      <c r="H128" s="139"/>
      <c r="I128" s="140"/>
    </row>
    <row r="129" spans="2:9" s="146" customFormat="1">
      <c r="B129" s="134"/>
      <c r="C129" s="130"/>
      <c r="D129" s="135"/>
      <c r="E129" s="135"/>
      <c r="F129" s="135"/>
      <c r="G129" s="138"/>
      <c r="H129" s="139" t="str">
        <f t="shared" si="1"/>
        <v/>
      </c>
      <c r="I129" s="140"/>
    </row>
    <row r="130" spans="2:9" s="28" customFormat="1" ht="19.5" customHeight="1">
      <c r="B130" s="101" t="str">
        <f>$B$10</f>
        <v>C13.4</v>
      </c>
      <c r="C130" s="29" t="s">
        <v>99</v>
      </c>
      <c r="D130" s="30"/>
      <c r="E130" s="30"/>
      <c r="F130" s="31"/>
      <c r="G130" s="30"/>
      <c r="H130" s="32">
        <f>SUM(H80:H129)</f>
        <v>0</v>
      </c>
      <c r="I130" s="33"/>
    </row>
    <row r="131" spans="2:9">
      <c r="B131" s="736" t="str">
        <f>Client1</f>
        <v>AIRPORTS COMPANY - SOUTH AFRICA</v>
      </c>
      <c r="C131" s="736"/>
      <c r="D131" s="736"/>
      <c r="E131" s="736"/>
      <c r="F131" s="737" t="str">
        <f>"Contract No. "&amp;ContractNo</f>
        <v>Contract No. KSIA7806/2025/RFP</v>
      </c>
      <c r="G131" s="737"/>
      <c r="H131" s="737"/>
    </row>
    <row r="132" spans="2:9">
      <c r="B132" s="736" t="str">
        <f>Client2</f>
        <v>ACSA</v>
      </c>
      <c r="C132" s="736"/>
      <c r="D132" s="736"/>
      <c r="E132" s="736"/>
      <c r="F132" s="737"/>
      <c r="G132" s="737"/>
      <c r="H132" s="737"/>
    </row>
    <row r="133" spans="2:9">
      <c r="B133" s="739"/>
      <c r="C133" s="739"/>
      <c r="D133" s="739"/>
      <c r="E133" s="739"/>
      <c r="F133" s="738"/>
      <c r="G133" s="738"/>
      <c r="H133" s="738"/>
    </row>
    <row r="134" spans="2:9">
      <c r="B134" s="695" t="s">
        <v>456</v>
      </c>
      <c r="C134" s="696"/>
      <c r="D134" s="696"/>
      <c r="E134" s="696"/>
      <c r="F134" s="696"/>
      <c r="G134" s="696"/>
      <c r="H134" s="740" t="str">
        <f>$H$4</f>
        <v>CHAPTER C13.4</v>
      </c>
      <c r="I134" s="6"/>
    </row>
    <row r="135" spans="2:9">
      <c r="B135" s="690" t="str">
        <f>ContractDescription</f>
        <v>PROCUREMENT OF A CIDB GRADE 9 CE CONTRACTOR THE COMPLETION OF BRAVO TAXIWAY EXTENSION AT KING SHAKA INTERNATIONAL AIRPORT FOR A PERIOD OF 12 MONTHS AT KING SHAKA INTERNATIONAL AIRPORT</v>
      </c>
      <c r="C135" s="691"/>
      <c r="D135" s="691"/>
      <c r="E135" s="691"/>
      <c r="F135" s="691"/>
      <c r="G135" s="691"/>
      <c r="H135" s="737"/>
      <c r="I135" s="8"/>
    </row>
    <row r="136" spans="2:9">
      <c r="B136" s="690"/>
      <c r="C136" s="691"/>
      <c r="D136" s="691"/>
      <c r="E136" s="691"/>
      <c r="F136" s="691"/>
      <c r="G136" s="691"/>
      <c r="H136" s="737"/>
      <c r="I136" s="8"/>
    </row>
    <row r="137" spans="2:9">
      <c r="B137" s="692"/>
      <c r="C137" s="693"/>
      <c r="D137" s="693"/>
      <c r="E137" s="693"/>
      <c r="F137" s="693"/>
      <c r="G137" s="693"/>
      <c r="H137" s="738"/>
      <c r="I137" s="8"/>
    </row>
    <row r="138" spans="2:9" s="9" customFormat="1" ht="24.95" customHeight="1">
      <c r="B138" s="70" t="s">
        <v>11</v>
      </c>
      <c r="C138" s="11" t="s">
        <v>12</v>
      </c>
      <c r="D138" s="11" t="s">
        <v>13</v>
      </c>
      <c r="E138" s="11" t="s">
        <v>14</v>
      </c>
      <c r="F138" s="11" t="s">
        <v>15</v>
      </c>
      <c r="G138" s="11" t="s">
        <v>16</v>
      </c>
      <c r="H138" s="11" t="s">
        <v>17</v>
      </c>
      <c r="I138" s="12"/>
    </row>
    <row r="139" spans="2:9" s="28" customFormat="1" ht="19.5" customHeight="1">
      <c r="B139" s="74"/>
      <c r="C139" s="29" t="s">
        <v>140</v>
      </c>
      <c r="D139" s="30"/>
      <c r="E139" s="30"/>
      <c r="F139" s="31"/>
      <c r="G139" s="30"/>
      <c r="H139" s="32">
        <f>H130</f>
        <v>0</v>
      </c>
      <c r="I139" s="33"/>
    </row>
    <row r="140" spans="2:9" s="146" customFormat="1">
      <c r="B140" s="134"/>
      <c r="C140" s="130"/>
      <c r="D140" s="135"/>
      <c r="E140" s="135"/>
      <c r="F140" s="135"/>
      <c r="G140" s="138"/>
      <c r="H140" s="139"/>
      <c r="I140" s="140"/>
    </row>
    <row r="141" spans="2:9" s="146" customFormat="1" ht="38.25">
      <c r="B141" s="134" t="s">
        <v>2419</v>
      </c>
      <c r="C141" s="130" t="s">
        <v>2420</v>
      </c>
      <c r="D141" s="135" t="s">
        <v>85</v>
      </c>
      <c r="E141" s="135"/>
      <c r="F141" s="135"/>
      <c r="G141" s="138"/>
      <c r="H141" s="139">
        <f t="shared" si="1"/>
        <v>0</v>
      </c>
      <c r="I141" s="140"/>
    </row>
    <row r="142" spans="2:9" s="146" customFormat="1">
      <c r="B142" s="134"/>
      <c r="C142" s="130"/>
      <c r="D142" s="135"/>
      <c r="E142" s="135"/>
      <c r="F142" s="135"/>
      <c r="G142" s="138"/>
      <c r="H142" s="139" t="str">
        <f t="shared" si="1"/>
        <v/>
      </c>
      <c r="I142" s="140"/>
    </row>
    <row r="143" spans="2:9" s="146" customFormat="1" ht="38.25">
      <c r="B143" s="134" t="s">
        <v>2421</v>
      </c>
      <c r="C143" s="130" t="s">
        <v>2422</v>
      </c>
      <c r="D143" s="135" t="s">
        <v>85</v>
      </c>
      <c r="E143" s="135"/>
      <c r="F143" s="135"/>
      <c r="G143" s="138"/>
      <c r="H143" s="139">
        <f t="shared" si="1"/>
        <v>0</v>
      </c>
      <c r="I143" s="140"/>
    </row>
    <row r="144" spans="2:9" s="146" customFormat="1">
      <c r="B144" s="134"/>
      <c r="C144" s="130"/>
      <c r="D144" s="135"/>
      <c r="E144" s="135"/>
      <c r="F144" s="135"/>
      <c r="G144" s="138"/>
      <c r="H144" s="139" t="str">
        <f t="shared" si="1"/>
        <v/>
      </c>
      <c r="I144" s="140"/>
    </row>
    <row r="145" spans="2:9" ht="38.25">
      <c r="B145" s="48" t="s">
        <v>2423</v>
      </c>
      <c r="C145" s="14" t="s">
        <v>2424</v>
      </c>
      <c r="D145" s="22"/>
      <c r="E145" s="22"/>
      <c r="F145" s="22"/>
      <c r="G145" s="37"/>
      <c r="H145" s="17" t="str">
        <f t="shared" si="1"/>
        <v/>
      </c>
      <c r="I145" s="40"/>
    </row>
    <row r="146" spans="2:9">
      <c r="B146" s="48"/>
      <c r="C146" s="14"/>
      <c r="D146" s="22"/>
      <c r="E146" s="22"/>
      <c r="F146" s="22"/>
      <c r="G146" s="37"/>
      <c r="H146" s="17" t="str">
        <f t="shared" si="1"/>
        <v/>
      </c>
      <c r="I146" s="40"/>
    </row>
    <row r="147" spans="2:9">
      <c r="B147" s="48" t="s">
        <v>2425</v>
      </c>
      <c r="C147" s="156" t="s">
        <v>2426</v>
      </c>
      <c r="D147" s="170" t="s">
        <v>337</v>
      </c>
      <c r="E147" s="170"/>
      <c r="F147" s="171">
        <v>481</v>
      </c>
      <c r="G147" s="158">
        <v>600</v>
      </c>
      <c r="H147" s="17">
        <f t="shared" si="1"/>
        <v>288600</v>
      </c>
      <c r="I147" s="40"/>
    </row>
    <row r="148" spans="2:9">
      <c r="B148" s="48"/>
      <c r="C148" s="14"/>
      <c r="D148" s="22"/>
      <c r="E148" s="22"/>
      <c r="F148" s="22"/>
      <c r="G148" s="37"/>
      <c r="H148" s="17" t="str">
        <f t="shared" si="1"/>
        <v/>
      </c>
      <c r="I148" s="40"/>
    </row>
    <row r="149" spans="2:9" s="146" customFormat="1" ht="14.25">
      <c r="B149" s="134" t="s">
        <v>2427</v>
      </c>
      <c r="C149" s="130" t="s">
        <v>2428</v>
      </c>
      <c r="D149" s="135" t="s">
        <v>386</v>
      </c>
      <c r="E149" s="135"/>
      <c r="F149" s="135"/>
      <c r="G149" s="138"/>
      <c r="H149" s="139">
        <f t="shared" si="1"/>
        <v>0</v>
      </c>
      <c r="I149" s="140"/>
    </row>
    <row r="150" spans="2:9" s="146" customFormat="1">
      <c r="B150" s="134"/>
      <c r="C150" s="130"/>
      <c r="D150" s="135"/>
      <c r="E150" s="135"/>
      <c r="F150" s="135"/>
      <c r="G150" s="138"/>
      <c r="H150" s="139" t="str">
        <f t="shared" si="1"/>
        <v/>
      </c>
      <c r="I150" s="140"/>
    </row>
    <row r="151" spans="2:9" s="146" customFormat="1" ht="25.5">
      <c r="B151" s="134" t="s">
        <v>2429</v>
      </c>
      <c r="C151" s="130" t="s">
        <v>2430</v>
      </c>
      <c r="D151" s="135"/>
      <c r="E151" s="135"/>
      <c r="F151" s="135"/>
      <c r="G151" s="138"/>
      <c r="H151" s="139" t="str">
        <f t="shared" si="1"/>
        <v/>
      </c>
      <c r="I151" s="140"/>
    </row>
    <row r="152" spans="2:9" s="146" customFormat="1">
      <c r="B152" s="134"/>
      <c r="C152" s="130"/>
      <c r="D152" s="135"/>
      <c r="E152" s="135"/>
      <c r="F152" s="135"/>
      <c r="G152" s="138"/>
      <c r="H152" s="139" t="str">
        <f t="shared" si="1"/>
        <v/>
      </c>
      <c r="I152" s="140"/>
    </row>
    <row r="153" spans="2:9" s="146" customFormat="1" ht="14.25">
      <c r="B153" s="134" t="s">
        <v>2431</v>
      </c>
      <c r="C153" s="130" t="s">
        <v>2432</v>
      </c>
      <c r="D153" s="135" t="s">
        <v>386</v>
      </c>
      <c r="E153" s="135"/>
      <c r="F153" s="135"/>
      <c r="G153" s="138"/>
      <c r="H153" s="139">
        <f t="shared" si="1"/>
        <v>0</v>
      </c>
      <c r="I153" s="140"/>
    </row>
    <row r="154" spans="2:9" s="146" customFormat="1">
      <c r="B154" s="134"/>
      <c r="C154" s="130"/>
      <c r="D154" s="135"/>
      <c r="E154" s="135"/>
      <c r="F154" s="135"/>
      <c r="G154" s="138"/>
      <c r="H154" s="139" t="str">
        <f t="shared" si="1"/>
        <v/>
      </c>
      <c r="I154" s="140"/>
    </row>
    <row r="155" spans="2:9" s="146" customFormat="1" ht="14.25">
      <c r="B155" s="134" t="s">
        <v>2433</v>
      </c>
      <c r="C155" s="130" t="s">
        <v>2428</v>
      </c>
      <c r="D155" s="135" t="s">
        <v>386</v>
      </c>
      <c r="E155" s="135"/>
      <c r="F155" s="135"/>
      <c r="G155" s="138"/>
      <c r="H155" s="139">
        <f t="shared" si="1"/>
        <v>0</v>
      </c>
      <c r="I155" s="140"/>
    </row>
    <row r="156" spans="2:9">
      <c r="B156" s="48"/>
      <c r="C156" s="14"/>
      <c r="D156" s="22"/>
      <c r="E156" s="22"/>
      <c r="F156" s="22"/>
      <c r="G156" s="37"/>
      <c r="H156" s="17" t="str">
        <f t="shared" si="1"/>
        <v/>
      </c>
      <c r="I156" s="40"/>
    </row>
    <row r="157" spans="2:9">
      <c r="B157" s="48"/>
      <c r="C157" s="14"/>
      <c r="D157" s="22"/>
      <c r="E157" s="22"/>
      <c r="F157" s="22"/>
      <c r="G157" s="37"/>
      <c r="H157" s="17" t="str">
        <f t="shared" si="1"/>
        <v/>
      </c>
      <c r="I157" s="40"/>
    </row>
    <row r="158" spans="2:9">
      <c r="B158" s="48"/>
      <c r="C158" s="14"/>
      <c r="D158" s="22"/>
      <c r="E158" s="22"/>
      <c r="F158" s="22"/>
      <c r="G158" s="37"/>
      <c r="H158" s="17" t="str">
        <f t="shared" si="1"/>
        <v/>
      </c>
      <c r="I158" s="40"/>
    </row>
    <row r="159" spans="2:9">
      <c r="B159" s="48"/>
      <c r="C159" s="14"/>
      <c r="D159" s="22"/>
      <c r="E159" s="22"/>
      <c r="F159" s="22"/>
      <c r="G159" s="37"/>
      <c r="H159" s="17" t="str">
        <f t="shared" si="1"/>
        <v/>
      </c>
      <c r="I159" s="40"/>
    </row>
    <row r="160" spans="2:9">
      <c r="B160" s="48"/>
      <c r="C160" s="14"/>
      <c r="D160" s="22"/>
      <c r="E160" s="22"/>
      <c r="F160" s="22"/>
      <c r="G160" s="37"/>
      <c r="H160" s="17" t="str">
        <f t="shared" si="1"/>
        <v/>
      </c>
      <c r="I160" s="40"/>
    </row>
    <row r="161" spans="2:9">
      <c r="B161" s="48"/>
      <c r="C161" s="14"/>
      <c r="D161" s="22"/>
      <c r="E161" s="22"/>
      <c r="F161" s="22"/>
      <c r="G161" s="37"/>
      <c r="H161" s="17" t="str">
        <f t="shared" ref="H161:H175" si="2">IF(D161="","",F161*G161)</f>
        <v/>
      </c>
      <c r="I161" s="40"/>
    </row>
    <row r="162" spans="2:9">
      <c r="B162" s="48"/>
      <c r="C162" s="14"/>
      <c r="D162" s="22"/>
      <c r="E162" s="22"/>
      <c r="F162" s="22"/>
      <c r="G162" s="37"/>
      <c r="H162" s="17" t="str">
        <f t="shared" si="2"/>
        <v/>
      </c>
      <c r="I162" s="40"/>
    </row>
    <row r="163" spans="2:9">
      <c r="B163" s="48"/>
      <c r="C163" s="14"/>
      <c r="D163" s="22"/>
      <c r="E163" s="22"/>
      <c r="F163" s="22"/>
      <c r="G163" s="37"/>
      <c r="H163" s="17" t="str">
        <f t="shared" si="2"/>
        <v/>
      </c>
      <c r="I163" s="40"/>
    </row>
    <row r="164" spans="2:9">
      <c r="B164" s="48"/>
      <c r="C164" s="14"/>
      <c r="D164" s="22"/>
      <c r="E164" s="22"/>
      <c r="F164" s="22"/>
      <c r="G164" s="37"/>
      <c r="H164" s="17" t="str">
        <f t="shared" si="2"/>
        <v/>
      </c>
      <c r="I164" s="40"/>
    </row>
    <row r="165" spans="2:9">
      <c r="B165" s="48"/>
      <c r="C165" s="14"/>
      <c r="D165" s="22"/>
      <c r="E165" s="22"/>
      <c r="F165" s="22"/>
      <c r="G165" s="37"/>
      <c r="H165" s="17" t="str">
        <f t="shared" si="2"/>
        <v/>
      </c>
      <c r="I165" s="40"/>
    </row>
    <row r="166" spans="2:9">
      <c r="B166" s="48"/>
      <c r="C166" s="14"/>
      <c r="D166" s="22"/>
      <c r="E166" s="22"/>
      <c r="F166" s="22"/>
      <c r="G166" s="37"/>
      <c r="H166" s="17" t="str">
        <f t="shared" si="2"/>
        <v/>
      </c>
      <c r="I166" s="40"/>
    </row>
    <row r="167" spans="2:9">
      <c r="B167" s="48"/>
      <c r="C167" s="14"/>
      <c r="D167" s="22"/>
      <c r="E167" s="22"/>
      <c r="F167" s="22"/>
      <c r="G167" s="37"/>
      <c r="H167" s="17" t="str">
        <f t="shared" si="2"/>
        <v/>
      </c>
      <c r="I167" s="40"/>
    </row>
    <row r="168" spans="2:9">
      <c r="B168" s="48"/>
      <c r="C168" s="14"/>
      <c r="D168" s="22"/>
      <c r="E168" s="22"/>
      <c r="F168" s="22"/>
      <c r="G168" s="37"/>
      <c r="H168" s="17" t="str">
        <f t="shared" si="2"/>
        <v/>
      </c>
      <c r="I168" s="40"/>
    </row>
    <row r="169" spans="2:9">
      <c r="B169" s="48"/>
      <c r="C169" s="14"/>
      <c r="D169" s="22"/>
      <c r="E169" s="22"/>
      <c r="F169" s="22"/>
      <c r="G169" s="37"/>
      <c r="H169" s="17" t="str">
        <f t="shared" si="2"/>
        <v/>
      </c>
      <c r="I169" s="40"/>
    </row>
    <row r="170" spans="2:9">
      <c r="B170" s="48"/>
      <c r="C170" s="14"/>
      <c r="D170" s="22"/>
      <c r="E170" s="22"/>
      <c r="F170" s="22"/>
      <c r="G170" s="37"/>
      <c r="H170" s="17" t="str">
        <f t="shared" si="2"/>
        <v/>
      </c>
      <c r="I170" s="40"/>
    </row>
    <row r="171" spans="2:9">
      <c r="B171" s="48"/>
      <c r="C171" s="14"/>
      <c r="D171" s="22"/>
      <c r="E171" s="22"/>
      <c r="F171" s="22"/>
      <c r="G171" s="37"/>
      <c r="H171" s="17" t="str">
        <f t="shared" si="2"/>
        <v/>
      </c>
      <c r="I171" s="40"/>
    </row>
    <row r="172" spans="2:9">
      <c r="B172" s="48"/>
      <c r="C172" s="14"/>
      <c r="D172" s="22"/>
      <c r="E172" s="22"/>
      <c r="F172" s="22"/>
      <c r="G172" s="37"/>
      <c r="H172" s="17" t="str">
        <f t="shared" si="2"/>
        <v/>
      </c>
      <c r="I172" s="40"/>
    </row>
    <row r="173" spans="2:9">
      <c r="B173" s="48"/>
      <c r="C173" s="14"/>
      <c r="D173" s="22"/>
      <c r="E173" s="22"/>
      <c r="F173" s="22"/>
      <c r="G173" s="37"/>
      <c r="H173" s="17" t="str">
        <f t="shared" si="2"/>
        <v/>
      </c>
      <c r="I173" s="40"/>
    </row>
    <row r="174" spans="2:9">
      <c r="B174" s="48"/>
      <c r="C174" s="14"/>
      <c r="D174" s="22"/>
      <c r="E174" s="22"/>
      <c r="F174" s="22"/>
      <c r="G174" s="37"/>
      <c r="H174" s="17" t="str">
        <f t="shared" si="2"/>
        <v/>
      </c>
      <c r="I174" s="40"/>
    </row>
    <row r="175" spans="2:9">
      <c r="B175" s="48"/>
      <c r="C175" s="14"/>
      <c r="D175" s="22"/>
      <c r="E175" s="22"/>
      <c r="F175" s="22"/>
      <c r="G175" s="37"/>
      <c r="H175" s="17" t="str">
        <f t="shared" si="2"/>
        <v/>
      </c>
      <c r="I175" s="40"/>
    </row>
    <row r="176" spans="2:9">
      <c r="B176" s="48"/>
      <c r="C176" s="14"/>
      <c r="D176" s="22"/>
      <c r="E176" s="22"/>
      <c r="F176" s="22"/>
      <c r="G176" s="37"/>
      <c r="H176" s="25"/>
      <c r="I176" s="40"/>
    </row>
    <row r="177" spans="2:9">
      <c r="B177" s="48"/>
      <c r="C177" s="14"/>
      <c r="D177" s="22"/>
      <c r="E177" s="22"/>
      <c r="F177" s="22"/>
      <c r="G177" s="37"/>
      <c r="H177" s="25"/>
      <c r="I177" s="40"/>
    </row>
    <row r="178" spans="2:9">
      <c r="B178" s="48"/>
      <c r="C178" s="14"/>
      <c r="D178" s="22"/>
      <c r="E178" s="22"/>
      <c r="F178" s="22"/>
      <c r="G178" s="37"/>
      <c r="H178" s="25"/>
      <c r="I178" s="40"/>
    </row>
    <row r="179" spans="2:9">
      <c r="B179" s="48"/>
      <c r="C179" s="14"/>
      <c r="D179" s="22"/>
      <c r="E179" s="22"/>
      <c r="F179" s="22"/>
      <c r="G179" s="37"/>
      <c r="H179" s="25"/>
      <c r="I179" s="40"/>
    </row>
    <row r="180" spans="2:9">
      <c r="B180" s="48"/>
      <c r="C180" s="14"/>
      <c r="D180" s="22"/>
      <c r="E180" s="22"/>
      <c r="F180" s="22"/>
      <c r="G180" s="37"/>
      <c r="H180" s="25"/>
      <c r="I180" s="40"/>
    </row>
    <row r="181" spans="2:9">
      <c r="B181" s="48"/>
      <c r="C181" s="14"/>
      <c r="D181" s="22"/>
      <c r="E181" s="22"/>
      <c r="F181" s="22"/>
      <c r="G181" s="37"/>
      <c r="H181" s="25"/>
      <c r="I181" s="40"/>
    </row>
    <row r="182" spans="2:9">
      <c r="B182" s="48"/>
      <c r="C182" s="14"/>
      <c r="D182" s="22"/>
      <c r="E182" s="22"/>
      <c r="F182" s="22"/>
      <c r="G182" s="37"/>
      <c r="H182" s="25"/>
      <c r="I182" s="40"/>
    </row>
    <row r="183" spans="2:9">
      <c r="B183" s="48"/>
      <c r="C183" s="14"/>
      <c r="D183" s="22"/>
      <c r="E183" s="22"/>
      <c r="F183" s="22"/>
      <c r="G183" s="37"/>
      <c r="H183" s="25"/>
      <c r="I183" s="40"/>
    </row>
    <row r="184" spans="2:9">
      <c r="B184" s="48"/>
      <c r="C184" s="14"/>
      <c r="D184" s="22"/>
      <c r="E184" s="22"/>
      <c r="F184" s="22"/>
      <c r="G184" s="37"/>
      <c r="H184" s="25"/>
      <c r="I184" s="40"/>
    </row>
    <row r="185" spans="2:9">
      <c r="B185" s="48"/>
      <c r="C185" s="14"/>
      <c r="D185" s="22"/>
      <c r="E185" s="22"/>
      <c r="F185" s="22"/>
      <c r="G185" s="37"/>
      <c r="H185" s="25"/>
      <c r="I185" s="40"/>
    </row>
    <row r="186" spans="2:9">
      <c r="B186" s="48"/>
      <c r="C186" s="14"/>
      <c r="D186" s="22"/>
      <c r="E186" s="22"/>
      <c r="F186" s="22"/>
      <c r="G186" s="37"/>
      <c r="H186" s="25"/>
      <c r="I186" s="40"/>
    </row>
    <row r="187" spans="2:9">
      <c r="B187" s="48"/>
      <c r="C187" s="14"/>
      <c r="D187" s="22"/>
      <c r="E187" s="22"/>
      <c r="F187" s="22"/>
      <c r="G187" s="37"/>
      <c r="H187" s="25"/>
      <c r="I187" s="40"/>
    </row>
    <row r="188" spans="2:9">
      <c r="B188" s="48"/>
      <c r="C188" s="14"/>
      <c r="D188" s="22"/>
      <c r="E188" s="22"/>
      <c r="F188" s="22"/>
      <c r="G188" s="37"/>
      <c r="H188" s="25"/>
      <c r="I188" s="40"/>
    </row>
    <row r="189" spans="2:9">
      <c r="B189" s="48"/>
      <c r="C189" s="14"/>
      <c r="D189" s="22"/>
      <c r="E189" s="22"/>
      <c r="F189" s="22"/>
      <c r="G189" s="37"/>
      <c r="H189" s="25"/>
      <c r="I189" s="40"/>
    </row>
    <row r="190" spans="2:9">
      <c r="B190" s="48"/>
      <c r="C190" s="14"/>
      <c r="D190" s="22"/>
      <c r="E190" s="22"/>
      <c r="F190" s="22"/>
      <c r="G190" s="37"/>
      <c r="H190" s="25"/>
      <c r="I190" s="40"/>
    </row>
    <row r="191" spans="2:9">
      <c r="B191" s="48"/>
      <c r="C191" s="14"/>
      <c r="D191" s="22"/>
      <c r="E191" s="22"/>
      <c r="F191" s="22"/>
      <c r="G191" s="37"/>
      <c r="H191" s="25"/>
      <c r="I191" s="40"/>
    </row>
    <row r="192" spans="2:9">
      <c r="B192" s="48"/>
      <c r="C192" s="14"/>
      <c r="D192" s="22"/>
      <c r="E192" s="22"/>
      <c r="F192" s="22"/>
      <c r="G192" s="37"/>
      <c r="H192" s="25"/>
      <c r="I192" s="40"/>
    </row>
    <row r="193" spans="2:9">
      <c r="B193" s="48"/>
      <c r="C193" s="14"/>
      <c r="D193" s="22"/>
      <c r="E193" s="22"/>
      <c r="F193" s="22"/>
      <c r="G193" s="37"/>
      <c r="H193" s="25"/>
      <c r="I193" s="40"/>
    </row>
    <row r="194" spans="2:9">
      <c r="B194" s="48"/>
      <c r="C194" s="14"/>
      <c r="D194" s="22"/>
      <c r="E194" s="22"/>
      <c r="F194" s="22"/>
      <c r="G194" s="37"/>
      <c r="H194" s="25"/>
      <c r="I194" s="40"/>
    </row>
    <row r="195" spans="2:9">
      <c r="B195" s="48"/>
      <c r="C195" s="14"/>
      <c r="D195" s="22"/>
      <c r="E195" s="22"/>
      <c r="F195" s="22"/>
      <c r="G195" s="37"/>
      <c r="H195" s="25"/>
      <c r="I195" s="40"/>
    </row>
    <row r="196" spans="2:9">
      <c r="B196" s="48"/>
      <c r="C196" s="14"/>
      <c r="D196" s="22"/>
      <c r="E196" s="22"/>
      <c r="F196" s="22"/>
      <c r="G196" s="37"/>
      <c r="H196" s="25"/>
      <c r="I196" s="40"/>
    </row>
    <row r="197" spans="2:9">
      <c r="B197" s="48"/>
      <c r="C197" s="14"/>
      <c r="D197" s="22"/>
      <c r="E197" s="22"/>
      <c r="F197" s="22"/>
      <c r="G197" s="37"/>
      <c r="H197" s="25"/>
      <c r="I197" s="40"/>
    </row>
    <row r="198" spans="2:9">
      <c r="B198" s="48"/>
      <c r="C198" s="14"/>
      <c r="D198" s="22"/>
      <c r="E198" s="22"/>
      <c r="F198" s="22"/>
      <c r="G198" s="37"/>
      <c r="H198" s="25"/>
      <c r="I198" s="40"/>
    </row>
    <row r="199" spans="2:9">
      <c r="B199" s="48"/>
      <c r="C199" s="14"/>
      <c r="D199" s="22"/>
      <c r="E199" s="22"/>
      <c r="F199" s="22"/>
      <c r="G199" s="37"/>
      <c r="H199" s="25"/>
      <c r="I199" s="40"/>
    </row>
    <row r="200" spans="2:9" s="28" customFormat="1" ht="24.75" customHeight="1">
      <c r="B200" s="119" t="str">
        <f>$B$10</f>
        <v>C13.4</v>
      </c>
      <c r="C200" s="29" t="s">
        <v>125</v>
      </c>
      <c r="D200" s="30"/>
      <c r="E200" s="30"/>
      <c r="F200" s="31"/>
      <c r="G200" s="30"/>
      <c r="H200" s="32">
        <f>SUM(H139:H199)</f>
        <v>288600</v>
      </c>
      <c r="I200" s="33"/>
    </row>
  </sheetData>
  <mergeCells count="18">
    <mergeCell ref="F1:H1"/>
    <mergeCell ref="B5:G7"/>
    <mergeCell ref="H4:H7"/>
    <mergeCell ref="B4:G4"/>
    <mergeCell ref="B72:E72"/>
    <mergeCell ref="F72:H74"/>
    <mergeCell ref="B73:E73"/>
    <mergeCell ref="B74:E74"/>
    <mergeCell ref="B134:G134"/>
    <mergeCell ref="H134:H137"/>
    <mergeCell ref="B135:G137"/>
    <mergeCell ref="B75:G75"/>
    <mergeCell ref="H75:H78"/>
    <mergeCell ref="B76:G78"/>
    <mergeCell ref="B131:E131"/>
    <mergeCell ref="F131:H133"/>
    <mergeCell ref="B132:E132"/>
    <mergeCell ref="B133:E133"/>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33"/>
  <dimension ref="A1:I150"/>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1:9">
      <c r="B1" s="2" t="str">
        <f>Client1</f>
        <v>AIRPORTS COMPANY - SOUTH AFRICA</v>
      </c>
      <c r="F1" s="732" t="str">
        <f>"Contract No. "&amp;ContractNo</f>
        <v>Contract No. KSIA7806/2025/RFP</v>
      </c>
      <c r="G1" s="732"/>
      <c r="H1" s="732"/>
    </row>
    <row r="2" spans="1:9">
      <c r="B2" s="90" t="str">
        <f>Client2</f>
        <v>ACSA</v>
      </c>
    </row>
    <row r="3" spans="1:9">
      <c r="B3" s="71"/>
      <c r="C3" s="71"/>
      <c r="D3" s="72"/>
      <c r="E3" s="72"/>
      <c r="F3" s="72"/>
      <c r="G3" s="73"/>
      <c r="H3" s="91"/>
    </row>
    <row r="4" spans="1:9">
      <c r="B4" s="695" t="s">
        <v>456</v>
      </c>
      <c r="C4" s="696"/>
      <c r="D4" s="696"/>
      <c r="E4" s="696"/>
      <c r="F4" s="696"/>
      <c r="G4" s="696"/>
      <c r="H4" s="770" t="str">
        <f>"CHAPTER "&amp;B10</f>
        <v>CHAPTER C13.8</v>
      </c>
      <c r="I4" s="6"/>
    </row>
    <row r="5" spans="1: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1:9" ht="12.75" customHeight="1">
      <c r="B6" s="690"/>
      <c r="C6" s="691"/>
      <c r="D6" s="691"/>
      <c r="E6" s="691"/>
      <c r="F6" s="691"/>
      <c r="G6" s="691"/>
      <c r="H6" s="771"/>
      <c r="I6" s="8"/>
    </row>
    <row r="7" spans="1:9" ht="7.5" customHeight="1">
      <c r="B7" s="692"/>
      <c r="C7" s="693"/>
      <c r="D7" s="693"/>
      <c r="E7" s="693"/>
      <c r="F7" s="693"/>
      <c r="G7" s="693"/>
      <c r="H7" s="772"/>
      <c r="I7" s="8"/>
    </row>
    <row r="8" spans="1:9" s="9" customFormat="1" ht="24.95" customHeight="1">
      <c r="B8" s="10" t="s">
        <v>11</v>
      </c>
      <c r="C8" s="11" t="s">
        <v>12</v>
      </c>
      <c r="D8" s="11" t="s">
        <v>13</v>
      </c>
      <c r="E8" s="11" t="s">
        <v>14</v>
      </c>
      <c r="F8" s="11" t="s">
        <v>15</v>
      </c>
      <c r="G8" s="11" t="s">
        <v>16</v>
      </c>
      <c r="H8" s="11" t="s">
        <v>17</v>
      </c>
      <c r="I8" s="12"/>
    </row>
    <row r="9" spans="1:9">
      <c r="A9" s="5"/>
      <c r="B9" s="48"/>
      <c r="C9" s="14"/>
      <c r="D9" s="15"/>
      <c r="E9" s="15"/>
      <c r="F9" s="15"/>
      <c r="G9" s="16"/>
      <c r="H9" s="17" t="str">
        <f>IF(D9="","",F9*G9)</f>
        <v/>
      </c>
      <c r="I9" s="18"/>
    </row>
    <row r="10" spans="1:9">
      <c r="A10" s="5"/>
      <c r="B10" s="69" t="s">
        <v>2434</v>
      </c>
      <c r="C10" s="20" t="s">
        <v>2435</v>
      </c>
      <c r="D10" s="22"/>
      <c r="E10" s="22"/>
      <c r="F10" s="22"/>
      <c r="G10" s="39"/>
      <c r="H10" s="17" t="str">
        <f t="shared" ref="H10:H89" si="0">IF(D10="","",F10*G10)</f>
        <v/>
      </c>
      <c r="I10" s="40"/>
    </row>
    <row r="11" spans="1:9">
      <c r="A11" s="5"/>
      <c r="B11" s="69"/>
      <c r="C11" s="14"/>
      <c r="D11" s="22"/>
      <c r="E11" s="22"/>
      <c r="F11" s="22"/>
      <c r="G11" s="39"/>
      <c r="H11" s="17" t="str">
        <f t="shared" si="0"/>
        <v/>
      </c>
      <c r="I11" s="40"/>
    </row>
    <row r="12" spans="1:9">
      <c r="A12" s="5"/>
      <c r="B12" s="48" t="s">
        <v>2436</v>
      </c>
      <c r="C12" s="14" t="s">
        <v>2437</v>
      </c>
      <c r="D12" s="22"/>
      <c r="E12" s="22"/>
      <c r="F12" s="22"/>
      <c r="G12" s="39"/>
      <c r="H12" s="17" t="str">
        <f t="shared" si="0"/>
        <v/>
      </c>
      <c r="I12" s="40"/>
    </row>
    <row r="13" spans="1:9">
      <c r="A13" s="5"/>
      <c r="B13" s="48"/>
      <c r="C13" s="14"/>
      <c r="D13" s="22"/>
      <c r="E13" s="22"/>
      <c r="F13" s="22"/>
      <c r="G13" s="39"/>
      <c r="H13" s="17" t="str">
        <f t="shared" si="0"/>
        <v/>
      </c>
      <c r="I13" s="40"/>
    </row>
    <row r="14" spans="1:9">
      <c r="A14" s="5"/>
      <c r="B14" s="48" t="s">
        <v>2438</v>
      </c>
      <c r="C14" s="14" t="s">
        <v>2439</v>
      </c>
      <c r="D14" s="22" t="s">
        <v>347</v>
      </c>
      <c r="E14" s="22"/>
      <c r="F14" s="23"/>
      <c r="G14" s="24"/>
      <c r="H14" s="17">
        <f t="shared" si="0"/>
        <v>0</v>
      </c>
      <c r="I14" s="41"/>
    </row>
    <row r="15" spans="1:9">
      <c r="A15" s="5"/>
      <c r="B15" s="48"/>
      <c r="C15" s="14"/>
      <c r="D15" s="22"/>
      <c r="E15" s="22"/>
      <c r="F15" s="23"/>
      <c r="G15" s="24"/>
      <c r="H15" s="17" t="str">
        <f t="shared" si="0"/>
        <v/>
      </c>
      <c r="I15" s="41"/>
    </row>
    <row r="16" spans="1:9">
      <c r="A16" s="5"/>
      <c r="B16" s="48" t="s">
        <v>2440</v>
      </c>
      <c r="C16" s="14" t="s">
        <v>2441</v>
      </c>
      <c r="D16" s="22" t="s">
        <v>347</v>
      </c>
      <c r="E16" s="22"/>
      <c r="F16" s="23"/>
      <c r="G16" s="24"/>
      <c r="H16" s="17">
        <f t="shared" si="0"/>
        <v>0</v>
      </c>
      <c r="I16" s="41"/>
    </row>
    <row r="17" spans="1:9">
      <c r="A17" s="5"/>
      <c r="B17" s="48"/>
      <c r="C17" s="14"/>
      <c r="D17" s="22"/>
      <c r="E17" s="22"/>
      <c r="F17" s="23"/>
      <c r="G17" s="24"/>
      <c r="H17" s="17" t="str">
        <f t="shared" si="0"/>
        <v/>
      </c>
      <c r="I17" s="41"/>
    </row>
    <row r="18" spans="1:9">
      <c r="A18" s="5"/>
      <c r="B18" s="48" t="s">
        <v>2442</v>
      </c>
      <c r="C18" s="14" t="s">
        <v>2443</v>
      </c>
      <c r="D18" s="22" t="s">
        <v>85</v>
      </c>
      <c r="E18" s="22"/>
      <c r="F18" s="23"/>
      <c r="G18" s="39"/>
      <c r="H18" s="17">
        <f t="shared" si="0"/>
        <v>0</v>
      </c>
      <c r="I18" s="40"/>
    </row>
    <row r="19" spans="1:9">
      <c r="A19" s="5"/>
      <c r="B19" s="48"/>
      <c r="C19" s="14"/>
      <c r="D19" s="22"/>
      <c r="E19" s="36"/>
      <c r="F19" s="23"/>
      <c r="G19" s="42"/>
      <c r="H19" s="17" t="str">
        <f t="shared" si="0"/>
        <v/>
      </c>
      <c r="I19" s="40"/>
    </row>
    <row r="20" spans="1:9">
      <c r="A20" s="5"/>
      <c r="B20" s="48" t="s">
        <v>2444</v>
      </c>
      <c r="C20" s="1" t="s">
        <v>2445</v>
      </c>
      <c r="D20" s="22" t="s">
        <v>85</v>
      </c>
      <c r="E20" s="36"/>
      <c r="F20" s="23"/>
      <c r="G20" s="44"/>
      <c r="H20" s="17">
        <f t="shared" si="0"/>
        <v>0</v>
      </c>
    </row>
    <row r="21" spans="1:9">
      <c r="A21" s="5"/>
      <c r="B21" s="48"/>
      <c r="C21" s="14"/>
      <c r="D21" s="22"/>
      <c r="E21" s="36"/>
      <c r="F21" s="23"/>
      <c r="G21" s="44"/>
      <c r="H21" s="17" t="str">
        <f t="shared" si="0"/>
        <v/>
      </c>
    </row>
    <row r="22" spans="1:9">
      <c r="A22" s="5"/>
      <c r="B22" s="48" t="s">
        <v>2446</v>
      </c>
      <c r="C22" s="14" t="s">
        <v>2447</v>
      </c>
      <c r="D22" s="22" t="s">
        <v>347</v>
      </c>
      <c r="E22" s="36"/>
      <c r="F22" s="23"/>
      <c r="G22" s="37"/>
      <c r="H22" s="17">
        <f t="shared" si="0"/>
        <v>0</v>
      </c>
    </row>
    <row r="23" spans="1:9">
      <c r="A23" s="5"/>
      <c r="B23" s="48"/>
      <c r="C23" s="14"/>
      <c r="D23" s="22"/>
      <c r="E23" s="36"/>
      <c r="F23" s="23"/>
      <c r="G23" s="44"/>
      <c r="H23" s="17" t="str">
        <f t="shared" si="0"/>
        <v/>
      </c>
    </row>
    <row r="24" spans="1:9">
      <c r="A24" s="5"/>
      <c r="B24" s="48" t="s">
        <v>2448</v>
      </c>
      <c r="C24" s="14" t="s">
        <v>2449</v>
      </c>
      <c r="D24" s="22" t="s">
        <v>347</v>
      </c>
      <c r="E24" s="36"/>
      <c r="F24" s="23"/>
      <c r="G24" s="42"/>
      <c r="H24" s="17">
        <f t="shared" si="0"/>
        <v>0</v>
      </c>
    </row>
    <row r="25" spans="1:9">
      <c r="A25" s="5"/>
      <c r="B25" s="48"/>
      <c r="C25" s="14"/>
      <c r="D25" s="22"/>
      <c r="E25" s="22"/>
      <c r="F25" s="23"/>
      <c r="G25" s="44"/>
      <c r="H25" s="17" t="str">
        <f t="shared" si="0"/>
        <v/>
      </c>
    </row>
    <row r="26" spans="1:9">
      <c r="A26" s="5"/>
      <c r="B26" s="48" t="s">
        <v>2450</v>
      </c>
      <c r="C26" s="14" t="s">
        <v>2451</v>
      </c>
      <c r="D26" s="22"/>
      <c r="E26" s="15"/>
      <c r="F26" s="23"/>
      <c r="G26" s="37"/>
      <c r="H26" s="17" t="str">
        <f t="shared" si="0"/>
        <v/>
      </c>
      <c r="I26" s="41"/>
    </row>
    <row r="27" spans="1:9">
      <c r="A27" s="5"/>
      <c r="B27" s="48"/>
      <c r="C27" s="14"/>
      <c r="D27" s="15"/>
      <c r="E27" s="15"/>
      <c r="F27" s="26"/>
      <c r="G27" s="27"/>
      <c r="H27" s="17" t="str">
        <f t="shared" si="0"/>
        <v/>
      </c>
      <c r="I27" s="18"/>
    </row>
    <row r="28" spans="1:9" s="35" customFormat="1">
      <c r="A28" s="64"/>
      <c r="B28" s="48" t="s">
        <v>2452</v>
      </c>
      <c r="C28" s="14" t="s">
        <v>2453</v>
      </c>
      <c r="D28" s="22" t="s">
        <v>347</v>
      </c>
      <c r="E28" s="22"/>
      <c r="F28" s="26"/>
      <c r="G28" s="27"/>
      <c r="H28" s="17">
        <f t="shared" si="0"/>
        <v>0</v>
      </c>
      <c r="I28" s="18"/>
    </row>
    <row r="29" spans="1:9">
      <c r="A29" s="5"/>
      <c r="B29" s="48"/>
      <c r="C29" s="14"/>
      <c r="D29" s="22"/>
      <c r="E29" s="22"/>
      <c r="F29" s="23"/>
      <c r="G29" s="37"/>
      <c r="H29" s="17" t="str">
        <f t="shared" si="0"/>
        <v/>
      </c>
      <c r="I29" s="41"/>
    </row>
    <row r="30" spans="1:9">
      <c r="A30" s="5"/>
      <c r="B30" s="48" t="s">
        <v>2454</v>
      </c>
      <c r="C30" s="14" t="s">
        <v>2455</v>
      </c>
      <c r="D30" s="22" t="s">
        <v>85</v>
      </c>
      <c r="E30" s="22"/>
      <c r="F30" s="23"/>
      <c r="G30" s="37"/>
      <c r="H30" s="17">
        <f t="shared" si="0"/>
        <v>0</v>
      </c>
      <c r="I30" s="41"/>
    </row>
    <row r="31" spans="1:9">
      <c r="A31" s="5"/>
      <c r="B31" s="48"/>
      <c r="C31" s="14"/>
      <c r="D31" s="22"/>
      <c r="E31" s="22"/>
      <c r="F31" s="23"/>
      <c r="G31" s="45"/>
      <c r="H31" s="17" t="str">
        <f t="shared" si="0"/>
        <v/>
      </c>
      <c r="I31" s="40"/>
    </row>
    <row r="32" spans="1:9">
      <c r="A32" s="5"/>
      <c r="B32" s="48" t="s">
        <v>2456</v>
      </c>
      <c r="C32" s="14" t="s">
        <v>2457</v>
      </c>
      <c r="D32" s="22"/>
      <c r="E32" s="22"/>
      <c r="F32" s="23"/>
      <c r="G32" s="45"/>
      <c r="H32" s="17" t="str">
        <f t="shared" si="0"/>
        <v/>
      </c>
      <c r="I32" s="40"/>
    </row>
    <row r="33" spans="1:9">
      <c r="A33" s="5"/>
      <c r="B33" s="48"/>
      <c r="C33" s="14"/>
      <c r="D33" s="22"/>
      <c r="E33" s="22"/>
      <c r="F33" s="23"/>
      <c r="G33" s="42"/>
      <c r="H33" s="17" t="str">
        <f t="shared" si="0"/>
        <v/>
      </c>
      <c r="I33" s="40"/>
    </row>
    <row r="34" spans="1:9">
      <c r="A34" s="5"/>
      <c r="B34" s="48" t="s">
        <v>2458</v>
      </c>
      <c r="C34" s="14" t="s">
        <v>2459</v>
      </c>
      <c r="D34" s="22" t="s">
        <v>85</v>
      </c>
      <c r="E34" s="22"/>
      <c r="F34" s="154">
        <v>2</v>
      </c>
      <c r="G34" s="170">
        <v>2000</v>
      </c>
      <c r="H34" s="170">
        <f>IF(G34="","",F34*G34)</f>
        <v>4000</v>
      </c>
      <c r="I34" s="40"/>
    </row>
    <row r="35" spans="1:9">
      <c r="A35" s="5"/>
      <c r="B35" s="48"/>
      <c r="C35" s="14"/>
      <c r="D35" s="22"/>
      <c r="E35" s="22"/>
      <c r="F35" s="22"/>
      <c r="G35" s="39"/>
      <c r="H35" s="17" t="str">
        <f t="shared" si="0"/>
        <v/>
      </c>
      <c r="I35" s="40"/>
    </row>
    <row r="36" spans="1:9">
      <c r="A36" s="5"/>
      <c r="B36" s="48" t="s">
        <v>2460</v>
      </c>
      <c r="C36" s="14" t="s">
        <v>2461</v>
      </c>
      <c r="D36" s="22" t="s">
        <v>85</v>
      </c>
      <c r="E36" s="22"/>
      <c r="F36" s="22"/>
      <c r="G36" s="39"/>
      <c r="H36" s="17">
        <f t="shared" si="0"/>
        <v>0</v>
      </c>
      <c r="I36" s="40"/>
    </row>
    <row r="37" spans="1:9">
      <c r="A37" s="5"/>
      <c r="B37" s="48"/>
      <c r="C37" s="14"/>
      <c r="D37" s="22"/>
      <c r="E37" s="22"/>
      <c r="F37" s="22"/>
      <c r="G37" s="37"/>
      <c r="H37" s="17" t="str">
        <f t="shared" si="0"/>
        <v/>
      </c>
      <c r="I37" s="40"/>
    </row>
    <row r="38" spans="1:9">
      <c r="A38" s="5"/>
      <c r="B38" s="48" t="s">
        <v>2462</v>
      </c>
      <c r="C38" s="14" t="s">
        <v>2463</v>
      </c>
      <c r="D38" s="22" t="s">
        <v>85</v>
      </c>
      <c r="E38" s="22"/>
      <c r="F38" s="22"/>
      <c r="G38" s="37"/>
      <c r="H38" s="17">
        <f t="shared" si="0"/>
        <v>0</v>
      </c>
      <c r="I38" s="40"/>
    </row>
    <row r="39" spans="1:9">
      <c r="A39" s="5"/>
      <c r="B39" s="48"/>
      <c r="C39" s="14"/>
      <c r="D39" s="22"/>
      <c r="E39" s="22"/>
      <c r="F39" s="22"/>
      <c r="G39" s="37"/>
      <c r="H39" s="17" t="str">
        <f t="shared" si="0"/>
        <v/>
      </c>
      <c r="I39" s="40"/>
    </row>
    <row r="40" spans="1:9">
      <c r="A40" s="5"/>
      <c r="B40" s="48" t="s">
        <v>2464</v>
      </c>
      <c r="C40" s="14" t="s">
        <v>2465</v>
      </c>
      <c r="D40" s="22" t="s">
        <v>85</v>
      </c>
      <c r="E40" s="22"/>
      <c r="F40" s="22"/>
      <c r="G40" s="37"/>
      <c r="H40" s="17">
        <f t="shared" si="0"/>
        <v>0</v>
      </c>
      <c r="I40" s="40"/>
    </row>
    <row r="41" spans="1:9">
      <c r="A41" s="5"/>
      <c r="B41" s="48"/>
      <c r="C41" s="14"/>
      <c r="D41" s="22"/>
      <c r="E41" s="22"/>
      <c r="F41" s="22"/>
      <c r="G41" s="37"/>
      <c r="H41" s="17" t="str">
        <f t="shared" si="0"/>
        <v/>
      </c>
      <c r="I41" s="40"/>
    </row>
    <row r="42" spans="1:9" ht="25.5">
      <c r="A42" s="5"/>
      <c r="B42" s="48" t="s">
        <v>2466</v>
      </c>
      <c r="C42" s="14" t="s">
        <v>2467</v>
      </c>
      <c r="D42" s="22" t="s">
        <v>386</v>
      </c>
      <c r="E42" s="22"/>
      <c r="F42" s="22"/>
      <c r="G42" s="37"/>
      <c r="H42" s="17">
        <f t="shared" si="0"/>
        <v>0</v>
      </c>
      <c r="I42" s="40"/>
    </row>
    <row r="43" spans="1:9">
      <c r="A43" s="5"/>
      <c r="B43" s="48"/>
      <c r="C43" s="14"/>
      <c r="D43" s="22"/>
      <c r="E43" s="22"/>
      <c r="F43" s="22"/>
      <c r="G43" s="37"/>
      <c r="H43" s="17" t="str">
        <f t="shared" si="0"/>
        <v/>
      </c>
      <c r="I43" s="40"/>
    </row>
    <row r="44" spans="1:9" ht="25.5">
      <c r="A44" s="5"/>
      <c r="B44" s="48" t="s">
        <v>2468</v>
      </c>
      <c r="C44" s="14" t="s">
        <v>2469</v>
      </c>
      <c r="D44" s="22" t="s">
        <v>85</v>
      </c>
      <c r="E44" s="22"/>
      <c r="F44" s="22"/>
      <c r="G44" s="37"/>
      <c r="H44" s="17">
        <f t="shared" si="0"/>
        <v>0</v>
      </c>
      <c r="I44" s="40"/>
    </row>
    <row r="45" spans="1:9">
      <c r="A45" s="5"/>
      <c r="B45" s="48"/>
      <c r="C45" s="14"/>
      <c r="D45" s="22"/>
      <c r="E45" s="22"/>
      <c r="F45" s="22"/>
      <c r="G45" s="46"/>
      <c r="H45" s="17" t="str">
        <f t="shared" si="0"/>
        <v/>
      </c>
      <c r="I45" s="40"/>
    </row>
    <row r="46" spans="1:9">
      <c r="A46" s="5"/>
      <c r="B46" s="48" t="s">
        <v>2470</v>
      </c>
      <c r="C46" s="14" t="s">
        <v>2471</v>
      </c>
      <c r="D46" s="22"/>
      <c r="E46" s="22"/>
      <c r="F46" s="22"/>
      <c r="G46" s="46"/>
      <c r="H46" s="17" t="str">
        <f t="shared" si="0"/>
        <v/>
      </c>
      <c r="I46" s="40"/>
    </row>
    <row r="47" spans="1:9">
      <c r="A47" s="5"/>
      <c r="B47" s="48"/>
      <c r="C47" s="14"/>
      <c r="D47" s="22"/>
      <c r="E47" s="22"/>
      <c r="F47" s="22"/>
      <c r="G47" s="37"/>
      <c r="H47" s="17" t="str">
        <f t="shared" si="0"/>
        <v/>
      </c>
      <c r="I47" s="40"/>
    </row>
    <row r="48" spans="1:9">
      <c r="A48" s="5"/>
      <c r="B48" s="48" t="s">
        <v>2472</v>
      </c>
      <c r="C48" s="14" t="s">
        <v>2473</v>
      </c>
      <c r="D48" s="22"/>
      <c r="E48" s="22"/>
      <c r="F48" s="22"/>
      <c r="G48" s="37"/>
      <c r="H48" s="17" t="str">
        <f t="shared" si="0"/>
        <v/>
      </c>
      <c r="I48" s="40"/>
    </row>
    <row r="49" spans="1:9">
      <c r="A49" s="5"/>
      <c r="B49" s="48"/>
      <c r="C49" s="14"/>
      <c r="D49" s="22"/>
      <c r="E49" s="22"/>
      <c r="F49" s="22"/>
      <c r="G49" s="37"/>
      <c r="H49" s="17" t="str">
        <f t="shared" si="0"/>
        <v/>
      </c>
      <c r="I49" s="40"/>
    </row>
    <row r="50" spans="1:9">
      <c r="A50" s="5"/>
      <c r="B50" s="48" t="s">
        <v>83</v>
      </c>
      <c r="C50" s="14" t="s">
        <v>2474</v>
      </c>
      <c r="D50" s="22" t="s">
        <v>52</v>
      </c>
      <c r="E50" s="22"/>
      <c r="F50" s="22">
        <v>1</v>
      </c>
      <c r="G50" s="37">
        <v>75000</v>
      </c>
      <c r="H50" s="17">
        <f t="shared" si="0"/>
        <v>75000</v>
      </c>
      <c r="I50" s="40"/>
    </row>
    <row r="51" spans="1:9">
      <c r="A51" s="5"/>
      <c r="B51" s="48"/>
      <c r="C51" s="14"/>
      <c r="D51" s="22"/>
      <c r="E51" s="22"/>
      <c r="F51" s="22"/>
      <c r="G51" s="37"/>
      <c r="H51" s="17" t="str">
        <f t="shared" si="0"/>
        <v/>
      </c>
      <c r="I51" s="40"/>
    </row>
    <row r="52" spans="1:9">
      <c r="A52" s="5"/>
      <c r="B52" s="48" t="s">
        <v>86</v>
      </c>
      <c r="C52" s="14" t="s">
        <v>2475</v>
      </c>
      <c r="D52" s="22" t="s">
        <v>52</v>
      </c>
      <c r="E52" s="22"/>
      <c r="F52" s="22">
        <v>1</v>
      </c>
      <c r="G52" s="37">
        <v>50000</v>
      </c>
      <c r="H52" s="17">
        <f t="shared" si="0"/>
        <v>50000</v>
      </c>
      <c r="I52" s="40"/>
    </row>
    <row r="53" spans="1:9">
      <c r="A53" s="5"/>
      <c r="B53" s="48"/>
      <c r="C53" s="14"/>
      <c r="D53" s="22"/>
      <c r="E53" s="22"/>
      <c r="F53" s="22"/>
      <c r="G53" s="37"/>
      <c r="H53" s="17" t="str">
        <f t="shared" si="0"/>
        <v/>
      </c>
      <c r="I53" s="40"/>
    </row>
    <row r="54" spans="1:9">
      <c r="A54" s="5"/>
      <c r="B54" s="48" t="s">
        <v>2476</v>
      </c>
      <c r="C54" s="14" t="s">
        <v>2477</v>
      </c>
      <c r="D54" s="36"/>
      <c r="E54" s="36"/>
      <c r="F54" s="22"/>
      <c r="G54" s="37"/>
      <c r="H54" s="17" t="str">
        <f t="shared" si="0"/>
        <v/>
      </c>
      <c r="I54" s="40"/>
    </row>
    <row r="55" spans="1:9">
      <c r="A55" s="5"/>
      <c r="B55" s="48"/>
      <c r="C55" s="14"/>
      <c r="D55" s="22"/>
      <c r="E55" s="22"/>
      <c r="F55" s="36"/>
      <c r="G55" s="37"/>
      <c r="H55" s="17" t="str">
        <f t="shared" si="0"/>
        <v/>
      </c>
    </row>
    <row r="56" spans="1:9">
      <c r="A56" s="5"/>
      <c r="B56" s="48" t="s">
        <v>83</v>
      </c>
      <c r="C56" s="14" t="s">
        <v>2478</v>
      </c>
      <c r="D56" s="36" t="s">
        <v>347</v>
      </c>
      <c r="E56" s="36"/>
      <c r="F56" s="22"/>
      <c r="G56" s="37"/>
      <c r="H56" s="17">
        <f t="shared" si="0"/>
        <v>0</v>
      </c>
      <c r="I56" s="40"/>
    </row>
    <row r="57" spans="1:9">
      <c r="A57" s="5"/>
      <c r="B57" s="48"/>
      <c r="C57" s="14"/>
      <c r="D57" s="36"/>
      <c r="E57" s="36"/>
      <c r="F57" s="36"/>
      <c r="G57" s="37"/>
      <c r="H57" s="17" t="str">
        <f t="shared" si="0"/>
        <v/>
      </c>
      <c r="I57" s="47"/>
    </row>
    <row r="58" spans="1:9" ht="12.75" customHeight="1">
      <c r="A58" s="5"/>
      <c r="B58" s="48" t="s">
        <v>86</v>
      </c>
      <c r="C58" s="14" t="s">
        <v>2478</v>
      </c>
      <c r="D58" s="22" t="s">
        <v>85</v>
      </c>
      <c r="E58" s="22"/>
      <c r="F58" s="36"/>
      <c r="G58" s="37"/>
      <c r="H58" s="17">
        <f t="shared" si="0"/>
        <v>0</v>
      </c>
    </row>
    <row r="59" spans="1:9">
      <c r="A59" s="5"/>
      <c r="B59" s="48"/>
      <c r="C59" s="14"/>
      <c r="D59" s="22"/>
      <c r="E59" s="22"/>
      <c r="F59" s="22"/>
      <c r="G59" s="37"/>
      <c r="H59" s="17" t="str">
        <f t="shared" si="0"/>
        <v/>
      </c>
      <c r="I59" s="40"/>
    </row>
    <row r="60" spans="1:9">
      <c r="A60" s="5"/>
      <c r="B60" s="48" t="s">
        <v>2479</v>
      </c>
      <c r="C60" s="14" t="s">
        <v>2480</v>
      </c>
      <c r="D60" s="22" t="s">
        <v>85</v>
      </c>
      <c r="E60" s="22"/>
      <c r="F60" s="22"/>
      <c r="G60" s="37"/>
      <c r="H60" s="17">
        <f t="shared" si="0"/>
        <v>0</v>
      </c>
      <c r="I60" s="40"/>
    </row>
    <row r="61" spans="1:9">
      <c r="A61" s="5"/>
      <c r="B61" s="48"/>
      <c r="C61" s="14"/>
      <c r="D61" s="22"/>
      <c r="E61" s="22"/>
      <c r="F61" s="22"/>
      <c r="G61" s="37"/>
      <c r="H61" s="17" t="str">
        <f t="shared" si="0"/>
        <v/>
      </c>
      <c r="I61" s="40"/>
    </row>
    <row r="62" spans="1:9" ht="25.5">
      <c r="A62" s="5"/>
      <c r="B62" s="48" t="s">
        <v>2481</v>
      </c>
      <c r="C62" s="14" t="s">
        <v>2482</v>
      </c>
      <c r="D62" s="22" t="s">
        <v>124</v>
      </c>
      <c r="E62" s="22"/>
      <c r="F62" s="22"/>
      <c r="G62" s="37"/>
      <c r="H62" s="17">
        <f t="shared" si="0"/>
        <v>0</v>
      </c>
      <c r="I62" s="40"/>
    </row>
    <row r="63" spans="1:9">
      <c r="A63" s="5"/>
      <c r="B63" s="48"/>
      <c r="C63" s="14"/>
      <c r="D63" s="22"/>
      <c r="E63" s="22"/>
      <c r="F63" s="22"/>
      <c r="G63" s="37"/>
      <c r="H63" s="17" t="str">
        <f t="shared" si="0"/>
        <v/>
      </c>
      <c r="I63" s="40"/>
    </row>
    <row r="64" spans="1:9" ht="12.75" customHeight="1">
      <c r="A64" s="5"/>
      <c r="B64" s="48" t="s">
        <v>2483</v>
      </c>
      <c r="C64" s="14" t="s">
        <v>2484</v>
      </c>
      <c r="D64" s="22" t="s">
        <v>347</v>
      </c>
      <c r="E64" s="22"/>
      <c r="F64" s="22"/>
      <c r="G64" s="37"/>
      <c r="H64" s="17">
        <f t="shared" si="0"/>
        <v>0</v>
      </c>
      <c r="I64" s="40"/>
    </row>
    <row r="65" spans="1:9" ht="12.75" customHeight="1">
      <c r="A65" s="5"/>
      <c r="B65" s="48"/>
      <c r="C65" s="14"/>
      <c r="D65" s="22"/>
      <c r="E65" s="22"/>
      <c r="F65" s="22"/>
      <c r="G65" s="37"/>
      <c r="H65" s="17"/>
      <c r="I65" s="40"/>
    </row>
    <row r="66" spans="1:9" ht="25.5">
      <c r="A66" s="5"/>
      <c r="B66" s="48" t="s">
        <v>2485</v>
      </c>
      <c r="C66" s="14" t="s">
        <v>2486</v>
      </c>
      <c r="D66" s="22" t="s">
        <v>386</v>
      </c>
      <c r="E66" s="22"/>
      <c r="F66" s="22"/>
      <c r="G66" s="37"/>
      <c r="H66" s="17">
        <f t="shared" si="0"/>
        <v>0</v>
      </c>
      <c r="I66" s="40"/>
    </row>
    <row r="67" spans="1:9">
      <c r="A67" s="5"/>
      <c r="B67" s="48"/>
      <c r="C67" s="14"/>
      <c r="D67" s="22"/>
      <c r="E67" s="22"/>
      <c r="F67" s="22"/>
      <c r="G67" s="37"/>
      <c r="H67" s="17" t="str">
        <f t="shared" si="0"/>
        <v/>
      </c>
      <c r="I67" s="40"/>
    </row>
    <row r="68" spans="1:9">
      <c r="A68" s="5"/>
      <c r="B68" s="48" t="s">
        <v>2487</v>
      </c>
      <c r="C68" s="14" t="s">
        <v>2488</v>
      </c>
      <c r="D68" s="22" t="s">
        <v>347</v>
      </c>
      <c r="E68" s="22"/>
      <c r="F68" s="22"/>
      <c r="G68" s="37"/>
      <c r="H68" s="17">
        <f t="shared" si="0"/>
        <v>0</v>
      </c>
      <c r="I68" s="40"/>
    </row>
    <row r="69" spans="1:9">
      <c r="A69" s="5"/>
      <c r="B69" s="48"/>
      <c r="C69" s="14"/>
      <c r="D69" s="22"/>
      <c r="E69" s="22"/>
      <c r="F69" s="22"/>
      <c r="G69" s="37"/>
      <c r="H69" s="17"/>
      <c r="I69" s="40"/>
    </row>
    <row r="70" spans="1:9">
      <c r="A70" s="5"/>
      <c r="B70" s="48"/>
      <c r="C70" s="14"/>
      <c r="D70" s="22"/>
      <c r="E70" s="22"/>
      <c r="F70" s="22"/>
      <c r="G70" s="37"/>
      <c r="H70" s="17"/>
      <c r="I70" s="40"/>
    </row>
    <row r="71" spans="1:9">
      <c r="A71" s="5"/>
      <c r="B71" s="48"/>
      <c r="C71" s="14"/>
      <c r="D71" s="22"/>
      <c r="E71" s="22"/>
      <c r="F71" s="22"/>
      <c r="G71" s="37"/>
      <c r="H71" s="17"/>
      <c r="I71" s="40"/>
    </row>
    <row r="72" spans="1:9">
      <c r="A72" s="5"/>
      <c r="B72" s="48"/>
      <c r="C72" s="14"/>
      <c r="D72" s="22"/>
      <c r="E72" s="22"/>
      <c r="F72" s="22"/>
      <c r="G72" s="37"/>
      <c r="H72" s="17"/>
      <c r="I72" s="40"/>
    </row>
    <row r="73" spans="1:9">
      <c r="A73" s="5"/>
      <c r="B73" s="48"/>
      <c r="C73" s="14"/>
      <c r="D73" s="22"/>
      <c r="E73" s="22"/>
      <c r="F73" s="22"/>
      <c r="G73" s="37"/>
      <c r="H73" s="17"/>
      <c r="I73" s="40"/>
    </row>
    <row r="74" spans="1:9">
      <c r="A74" s="5"/>
      <c r="B74" s="48"/>
      <c r="C74" s="14"/>
      <c r="D74" s="22"/>
      <c r="E74" s="22"/>
      <c r="F74" s="22"/>
      <c r="G74" s="37"/>
      <c r="H74" s="17" t="str">
        <f t="shared" si="0"/>
        <v/>
      </c>
      <c r="I74" s="40"/>
    </row>
    <row r="75" spans="1:9" s="28" customFormat="1" ht="19.5" customHeight="1">
      <c r="B75" s="101" t="str">
        <f>$B$10</f>
        <v>C13.8</v>
      </c>
      <c r="C75" s="29" t="s">
        <v>99</v>
      </c>
      <c r="D75" s="30"/>
      <c r="E75" s="30"/>
      <c r="F75" s="31"/>
      <c r="G75" s="30"/>
      <c r="H75" s="32">
        <f>SUM(H9:H74)</f>
        <v>129000</v>
      </c>
      <c r="I75" s="33"/>
    </row>
    <row r="76" spans="1:9">
      <c r="B76" s="736" t="str">
        <f>Client1</f>
        <v>AIRPORTS COMPANY - SOUTH AFRICA</v>
      </c>
      <c r="C76" s="736"/>
      <c r="D76" s="736"/>
      <c r="E76" s="736"/>
      <c r="F76" s="737" t="str">
        <f>"Contract No. "&amp;ContractNo</f>
        <v>Contract No. KSIA7806/2025/RFP</v>
      </c>
      <c r="G76" s="737"/>
      <c r="H76" s="737"/>
    </row>
    <row r="77" spans="1:9">
      <c r="B77" s="736" t="str">
        <f>Client2</f>
        <v>ACSA</v>
      </c>
      <c r="C77" s="736"/>
      <c r="D77" s="736"/>
      <c r="E77" s="736"/>
      <c r="F77" s="737"/>
      <c r="G77" s="737"/>
      <c r="H77" s="737"/>
    </row>
    <row r="78" spans="1:9">
      <c r="B78" s="739"/>
      <c r="C78" s="739"/>
      <c r="D78" s="739"/>
      <c r="E78" s="739"/>
      <c r="F78" s="738"/>
      <c r="G78" s="738"/>
      <c r="H78" s="738"/>
    </row>
    <row r="79" spans="1:9">
      <c r="B79" s="695" t="s">
        <v>456</v>
      </c>
      <c r="C79" s="696"/>
      <c r="D79" s="696"/>
      <c r="E79" s="696"/>
      <c r="F79" s="696"/>
      <c r="G79" s="696"/>
      <c r="H79" s="740" t="str">
        <f>$H$4</f>
        <v>CHAPTER C13.8</v>
      </c>
      <c r="I79" s="6"/>
    </row>
    <row r="80" spans="1:9">
      <c r="B80" s="690" t="str">
        <f>ContractDescription</f>
        <v>PROCUREMENT OF A CIDB GRADE 9 CE CONTRACTOR THE COMPLETION OF BRAVO TAXIWAY EXTENSION AT KING SHAKA INTERNATIONAL AIRPORT FOR A PERIOD OF 12 MONTHS AT KING SHAKA INTERNATIONAL AIRPORT</v>
      </c>
      <c r="C80" s="691"/>
      <c r="D80" s="691"/>
      <c r="E80" s="691"/>
      <c r="F80" s="691"/>
      <c r="G80" s="691"/>
      <c r="H80" s="737"/>
      <c r="I80" s="8"/>
    </row>
    <row r="81" spans="1:9">
      <c r="B81" s="690"/>
      <c r="C81" s="691"/>
      <c r="D81" s="691"/>
      <c r="E81" s="691"/>
      <c r="F81" s="691"/>
      <c r="G81" s="691"/>
      <c r="H81" s="737"/>
      <c r="I81" s="8"/>
    </row>
    <row r="82" spans="1:9">
      <c r="B82" s="692"/>
      <c r="C82" s="693"/>
      <c r="D82" s="693"/>
      <c r="E82" s="693"/>
      <c r="F82" s="693"/>
      <c r="G82" s="693"/>
      <c r="H82" s="738"/>
      <c r="I82" s="8"/>
    </row>
    <row r="83" spans="1:9" s="9" customFormat="1" ht="24.95" customHeight="1">
      <c r="B83" s="70" t="s">
        <v>11</v>
      </c>
      <c r="C83" s="11" t="s">
        <v>12</v>
      </c>
      <c r="D83" s="11" t="s">
        <v>13</v>
      </c>
      <c r="E83" s="11" t="s">
        <v>14</v>
      </c>
      <c r="F83" s="11" t="s">
        <v>15</v>
      </c>
      <c r="G83" s="11" t="s">
        <v>16</v>
      </c>
      <c r="H83" s="11" t="s">
        <v>17</v>
      </c>
      <c r="I83" s="12"/>
    </row>
    <row r="84" spans="1:9" s="28" customFormat="1" ht="19.5" customHeight="1">
      <c r="B84" s="74"/>
      <c r="C84" s="29" t="s">
        <v>140</v>
      </c>
      <c r="D84" s="30"/>
      <c r="E84" s="30"/>
      <c r="F84" s="31"/>
      <c r="G84" s="30"/>
      <c r="H84" s="32">
        <f>H75</f>
        <v>129000</v>
      </c>
      <c r="I84" s="33"/>
    </row>
    <row r="85" spans="1:9">
      <c r="A85" s="5"/>
      <c r="B85" s="48"/>
      <c r="C85" s="14"/>
      <c r="D85" s="22"/>
      <c r="E85" s="22"/>
      <c r="F85" s="22"/>
      <c r="G85" s="37"/>
      <c r="H85" s="17"/>
      <c r="I85" s="40"/>
    </row>
    <row r="86" spans="1:9">
      <c r="A86" s="5"/>
      <c r="B86" s="48" t="s">
        <v>2489</v>
      </c>
      <c r="C86" s="14" t="s">
        <v>2490</v>
      </c>
      <c r="D86" s="22"/>
      <c r="E86" s="22"/>
      <c r="F86" s="22"/>
      <c r="G86" s="37"/>
      <c r="H86" s="17" t="str">
        <f t="shared" si="0"/>
        <v/>
      </c>
      <c r="I86" s="40"/>
    </row>
    <row r="87" spans="1:9">
      <c r="A87" s="5"/>
      <c r="B87" s="48"/>
      <c r="C87" s="14"/>
      <c r="D87" s="22"/>
      <c r="E87" s="22"/>
      <c r="F87" s="22"/>
      <c r="G87" s="37"/>
      <c r="H87" s="17" t="str">
        <f t="shared" si="0"/>
        <v/>
      </c>
      <c r="I87" s="40"/>
    </row>
    <row r="88" spans="1:9" ht="38.25">
      <c r="A88" s="5"/>
      <c r="B88" s="48" t="s">
        <v>2491</v>
      </c>
      <c r="C88" s="14" t="s">
        <v>2492</v>
      </c>
      <c r="D88" s="22" t="s">
        <v>347</v>
      </c>
      <c r="E88" s="22"/>
      <c r="F88" s="22"/>
      <c r="G88" s="37"/>
      <c r="H88" s="17">
        <f t="shared" si="0"/>
        <v>0</v>
      </c>
      <c r="I88" s="40"/>
    </row>
    <row r="89" spans="1:9">
      <c r="A89" s="5"/>
      <c r="B89" s="48"/>
      <c r="C89" s="14"/>
      <c r="D89" s="22"/>
      <c r="E89" s="22"/>
      <c r="F89" s="22"/>
      <c r="G89" s="37"/>
      <c r="H89" s="17" t="str">
        <f t="shared" si="0"/>
        <v/>
      </c>
      <c r="I89" s="40"/>
    </row>
    <row r="90" spans="1:9" ht="25.5">
      <c r="A90" s="5"/>
      <c r="B90" s="48" t="s">
        <v>2493</v>
      </c>
      <c r="C90" s="14" t="s">
        <v>2494</v>
      </c>
      <c r="D90" s="22"/>
      <c r="E90" s="22"/>
      <c r="F90" s="22"/>
      <c r="G90" s="37"/>
      <c r="H90" s="17" t="str">
        <f t="shared" ref="H90:H149" si="1">IF(D90="","",F90*G90)</f>
        <v/>
      </c>
      <c r="I90" s="40"/>
    </row>
    <row r="91" spans="1:9">
      <c r="A91" s="5"/>
      <c r="B91" s="48"/>
      <c r="C91" s="14"/>
      <c r="D91" s="22"/>
      <c r="E91" s="22"/>
      <c r="F91" s="22"/>
      <c r="G91" s="37"/>
      <c r="H91" s="17" t="str">
        <f t="shared" si="1"/>
        <v/>
      </c>
      <c r="I91" s="40"/>
    </row>
    <row r="92" spans="1:9">
      <c r="A92" s="5"/>
      <c r="B92" s="48" t="s">
        <v>2495</v>
      </c>
      <c r="C92" s="14" t="s">
        <v>2496</v>
      </c>
      <c r="D92" s="22" t="s">
        <v>85</v>
      </c>
      <c r="E92" s="22"/>
      <c r="F92" s="22"/>
      <c r="G92" s="37"/>
      <c r="H92" s="17">
        <f t="shared" si="1"/>
        <v>0</v>
      </c>
      <c r="I92" s="40"/>
    </row>
    <row r="93" spans="1:9">
      <c r="A93" s="5"/>
      <c r="B93" s="48"/>
      <c r="C93" s="14"/>
      <c r="D93" s="22"/>
      <c r="E93" s="22"/>
      <c r="F93" s="22"/>
      <c r="G93" s="37"/>
      <c r="H93" s="17" t="str">
        <f t="shared" si="1"/>
        <v/>
      </c>
      <c r="I93" s="40"/>
    </row>
    <row r="94" spans="1:9">
      <c r="A94" s="5"/>
      <c r="B94" s="48" t="s">
        <v>2497</v>
      </c>
      <c r="C94" s="14" t="s">
        <v>2498</v>
      </c>
      <c r="D94" s="22" t="s">
        <v>85</v>
      </c>
      <c r="E94" s="22"/>
      <c r="F94" s="22"/>
      <c r="G94" s="37"/>
      <c r="H94" s="17">
        <f t="shared" si="1"/>
        <v>0</v>
      </c>
      <c r="I94" s="40"/>
    </row>
    <row r="95" spans="1:9">
      <c r="A95" s="5"/>
      <c r="B95" s="48"/>
      <c r="C95" s="14"/>
      <c r="D95" s="22"/>
      <c r="E95" s="22"/>
      <c r="F95" s="22"/>
      <c r="G95" s="37"/>
      <c r="H95" s="17" t="str">
        <f t="shared" si="1"/>
        <v/>
      </c>
      <c r="I95" s="40"/>
    </row>
    <row r="96" spans="1:9">
      <c r="A96" s="5"/>
      <c r="B96" s="48"/>
      <c r="C96" s="14"/>
      <c r="D96" s="22"/>
      <c r="E96" s="22"/>
      <c r="F96" s="22"/>
      <c r="G96" s="37"/>
      <c r="H96" s="17" t="str">
        <f t="shared" si="1"/>
        <v/>
      </c>
      <c r="I96" s="40"/>
    </row>
    <row r="97" spans="1:9">
      <c r="A97" s="5"/>
      <c r="B97" s="48"/>
      <c r="C97" s="14"/>
      <c r="D97" s="22"/>
      <c r="E97" s="22"/>
      <c r="F97" s="22"/>
      <c r="G97" s="37"/>
      <c r="H97" s="17" t="str">
        <f t="shared" si="1"/>
        <v/>
      </c>
      <c r="I97" s="40"/>
    </row>
    <row r="98" spans="1:9">
      <c r="A98" s="5"/>
      <c r="B98" s="48"/>
      <c r="C98" s="14"/>
      <c r="D98" s="22"/>
      <c r="E98" s="22"/>
      <c r="F98" s="22"/>
      <c r="G98" s="37"/>
      <c r="H98" s="17" t="str">
        <f t="shared" si="1"/>
        <v/>
      </c>
      <c r="I98" s="40"/>
    </row>
    <row r="99" spans="1:9">
      <c r="A99" s="5"/>
      <c r="B99" s="48"/>
      <c r="C99" s="14"/>
      <c r="D99" s="22"/>
      <c r="E99" s="22"/>
      <c r="F99" s="22"/>
      <c r="G99" s="37"/>
      <c r="H99" s="17" t="str">
        <f t="shared" si="1"/>
        <v/>
      </c>
      <c r="I99" s="40"/>
    </row>
    <row r="100" spans="1:9">
      <c r="A100" s="5"/>
      <c r="B100" s="48"/>
      <c r="C100" s="14"/>
      <c r="D100" s="22"/>
      <c r="E100" s="22"/>
      <c r="F100" s="22"/>
      <c r="G100" s="37"/>
      <c r="H100" s="17" t="str">
        <f t="shared" si="1"/>
        <v/>
      </c>
      <c r="I100" s="40"/>
    </row>
    <row r="101" spans="1:9">
      <c r="A101" s="5"/>
      <c r="B101" s="48"/>
      <c r="C101" s="14"/>
      <c r="D101" s="22"/>
      <c r="E101" s="22"/>
      <c r="F101" s="22"/>
      <c r="G101" s="37"/>
      <c r="H101" s="17" t="str">
        <f t="shared" si="1"/>
        <v/>
      </c>
      <c r="I101" s="40"/>
    </row>
    <row r="102" spans="1:9">
      <c r="A102" s="5"/>
      <c r="B102" s="48"/>
      <c r="C102" s="14"/>
      <c r="D102" s="22"/>
      <c r="E102" s="22"/>
      <c r="F102" s="22"/>
      <c r="G102" s="37"/>
      <c r="H102" s="17" t="str">
        <f t="shared" si="1"/>
        <v/>
      </c>
      <c r="I102" s="40"/>
    </row>
    <row r="103" spans="1:9">
      <c r="A103" s="5"/>
      <c r="B103" s="48"/>
      <c r="C103" s="14"/>
      <c r="D103" s="22"/>
      <c r="E103" s="22"/>
      <c r="F103" s="22"/>
      <c r="G103" s="37"/>
      <c r="H103" s="17" t="str">
        <f t="shared" si="1"/>
        <v/>
      </c>
      <c r="I103" s="40"/>
    </row>
    <row r="104" spans="1:9">
      <c r="A104" s="5"/>
      <c r="B104" s="48"/>
      <c r="C104" s="14"/>
      <c r="D104" s="22"/>
      <c r="E104" s="22"/>
      <c r="F104" s="22"/>
      <c r="G104" s="37"/>
      <c r="H104" s="17" t="str">
        <f t="shared" si="1"/>
        <v/>
      </c>
      <c r="I104" s="40"/>
    </row>
    <row r="105" spans="1:9">
      <c r="A105" s="5"/>
      <c r="B105" s="48"/>
      <c r="C105" s="14"/>
      <c r="D105" s="22"/>
      <c r="E105" s="22"/>
      <c r="F105" s="22"/>
      <c r="G105" s="37"/>
      <c r="H105" s="17" t="str">
        <f t="shared" si="1"/>
        <v/>
      </c>
      <c r="I105" s="40"/>
    </row>
    <row r="106" spans="1:9">
      <c r="A106" s="5"/>
      <c r="B106" s="48"/>
      <c r="C106" s="14"/>
      <c r="D106" s="22"/>
      <c r="E106" s="22"/>
      <c r="F106" s="22"/>
      <c r="G106" s="37"/>
      <c r="H106" s="17" t="str">
        <f t="shared" si="1"/>
        <v/>
      </c>
      <c r="I106" s="40"/>
    </row>
    <row r="107" spans="1:9">
      <c r="A107" s="5"/>
      <c r="B107" s="48"/>
      <c r="C107" s="14"/>
      <c r="D107" s="22"/>
      <c r="E107" s="22"/>
      <c r="F107" s="22"/>
      <c r="G107" s="37"/>
      <c r="H107" s="17" t="str">
        <f t="shared" si="1"/>
        <v/>
      </c>
      <c r="I107" s="40"/>
    </row>
    <row r="108" spans="1:9">
      <c r="A108" s="5"/>
      <c r="B108" s="48"/>
      <c r="C108" s="14"/>
      <c r="D108" s="22"/>
      <c r="E108" s="22"/>
      <c r="F108" s="22"/>
      <c r="G108" s="37"/>
      <c r="H108" s="17" t="str">
        <f t="shared" si="1"/>
        <v/>
      </c>
      <c r="I108" s="40"/>
    </row>
    <row r="109" spans="1:9">
      <c r="A109" s="5"/>
      <c r="B109" s="48"/>
      <c r="C109" s="14"/>
      <c r="D109" s="22"/>
      <c r="E109" s="22"/>
      <c r="F109" s="22"/>
      <c r="G109" s="37"/>
      <c r="H109" s="17" t="str">
        <f t="shared" si="1"/>
        <v/>
      </c>
      <c r="I109" s="40"/>
    </row>
    <row r="110" spans="1:9">
      <c r="A110" s="5"/>
      <c r="B110" s="48"/>
      <c r="C110" s="14"/>
      <c r="D110" s="22"/>
      <c r="E110" s="22"/>
      <c r="F110" s="22"/>
      <c r="G110" s="37"/>
      <c r="H110" s="17" t="str">
        <f t="shared" si="1"/>
        <v/>
      </c>
      <c r="I110" s="40"/>
    </row>
    <row r="111" spans="1:9">
      <c r="A111" s="5"/>
      <c r="B111" s="48"/>
      <c r="C111" s="14"/>
      <c r="D111" s="22"/>
      <c r="E111" s="22"/>
      <c r="F111" s="22"/>
      <c r="G111" s="37"/>
      <c r="H111" s="17" t="str">
        <f t="shared" si="1"/>
        <v/>
      </c>
      <c r="I111" s="40"/>
    </row>
    <row r="112" spans="1:9">
      <c r="A112" s="5"/>
      <c r="B112" s="48"/>
      <c r="C112" s="14"/>
      <c r="D112" s="22"/>
      <c r="E112" s="22"/>
      <c r="F112" s="22"/>
      <c r="G112" s="37"/>
      <c r="H112" s="17" t="str">
        <f t="shared" si="1"/>
        <v/>
      </c>
      <c r="I112" s="40"/>
    </row>
    <row r="113" spans="1:9">
      <c r="A113" s="5"/>
      <c r="B113" s="48"/>
      <c r="C113" s="14"/>
      <c r="D113" s="22"/>
      <c r="E113" s="22"/>
      <c r="F113" s="22"/>
      <c r="G113" s="37"/>
      <c r="H113" s="17" t="str">
        <f t="shared" si="1"/>
        <v/>
      </c>
      <c r="I113" s="40"/>
    </row>
    <row r="114" spans="1:9">
      <c r="A114" s="5"/>
      <c r="B114" s="48"/>
      <c r="C114" s="14"/>
      <c r="D114" s="22"/>
      <c r="E114" s="22"/>
      <c r="F114" s="22"/>
      <c r="G114" s="37"/>
      <c r="H114" s="17" t="str">
        <f t="shared" si="1"/>
        <v/>
      </c>
      <c r="I114" s="40"/>
    </row>
    <row r="115" spans="1:9">
      <c r="A115" s="5"/>
      <c r="B115" s="48"/>
      <c r="C115" s="14"/>
      <c r="D115" s="22"/>
      <c r="E115" s="22"/>
      <c r="F115" s="22"/>
      <c r="G115" s="37"/>
      <c r="H115" s="17" t="str">
        <f t="shared" si="1"/>
        <v/>
      </c>
      <c r="I115" s="40"/>
    </row>
    <row r="116" spans="1:9">
      <c r="A116" s="5"/>
      <c r="B116" s="48"/>
      <c r="C116" s="14"/>
      <c r="D116" s="22"/>
      <c r="E116" s="22"/>
      <c r="F116" s="22"/>
      <c r="G116" s="37"/>
      <c r="H116" s="17" t="str">
        <f t="shared" si="1"/>
        <v/>
      </c>
      <c r="I116" s="40"/>
    </row>
    <row r="117" spans="1:9">
      <c r="A117" s="5"/>
      <c r="B117" s="48"/>
      <c r="C117" s="14"/>
      <c r="D117" s="22"/>
      <c r="E117" s="22"/>
      <c r="F117" s="22"/>
      <c r="G117" s="37"/>
      <c r="H117" s="17" t="str">
        <f t="shared" si="1"/>
        <v/>
      </c>
      <c r="I117" s="40"/>
    </row>
    <row r="118" spans="1:9">
      <c r="A118" s="5"/>
      <c r="B118" s="48"/>
      <c r="C118" s="14"/>
      <c r="D118" s="22"/>
      <c r="E118" s="22"/>
      <c r="F118" s="22"/>
      <c r="G118" s="37"/>
      <c r="H118" s="17" t="str">
        <f t="shared" si="1"/>
        <v/>
      </c>
      <c r="I118" s="40"/>
    </row>
    <row r="119" spans="1:9">
      <c r="A119" s="5"/>
      <c r="B119" s="48"/>
      <c r="C119" s="14"/>
      <c r="D119" s="22"/>
      <c r="E119" s="22"/>
      <c r="F119" s="22"/>
      <c r="G119" s="37"/>
      <c r="H119" s="17" t="str">
        <f t="shared" si="1"/>
        <v/>
      </c>
      <c r="I119" s="40"/>
    </row>
    <row r="120" spans="1:9">
      <c r="A120" s="5"/>
      <c r="B120" s="48"/>
      <c r="C120" s="14"/>
      <c r="D120" s="22"/>
      <c r="E120" s="22"/>
      <c r="F120" s="22"/>
      <c r="G120" s="37"/>
      <c r="H120" s="17" t="str">
        <f t="shared" si="1"/>
        <v/>
      </c>
      <c r="I120" s="40"/>
    </row>
    <row r="121" spans="1:9">
      <c r="A121" s="5"/>
      <c r="B121" s="48"/>
      <c r="C121" s="14"/>
      <c r="D121" s="22"/>
      <c r="E121" s="22"/>
      <c r="F121" s="22"/>
      <c r="G121" s="37"/>
      <c r="H121" s="17" t="str">
        <f t="shared" si="1"/>
        <v/>
      </c>
      <c r="I121" s="40"/>
    </row>
    <row r="122" spans="1:9">
      <c r="A122" s="5"/>
      <c r="B122" s="48"/>
      <c r="C122" s="14"/>
      <c r="D122" s="22"/>
      <c r="E122" s="22"/>
      <c r="F122" s="22"/>
      <c r="G122" s="37"/>
      <c r="H122" s="17" t="str">
        <f t="shared" si="1"/>
        <v/>
      </c>
      <c r="I122" s="40"/>
    </row>
    <row r="123" spans="1:9">
      <c r="A123" s="5"/>
      <c r="B123" s="48"/>
      <c r="C123" s="14"/>
      <c r="D123" s="22"/>
      <c r="E123" s="22"/>
      <c r="F123" s="22"/>
      <c r="G123" s="37"/>
      <c r="H123" s="17" t="str">
        <f t="shared" si="1"/>
        <v/>
      </c>
      <c r="I123" s="40"/>
    </row>
    <row r="124" spans="1:9">
      <c r="A124" s="5"/>
      <c r="B124" s="69"/>
      <c r="C124" s="20"/>
      <c r="D124" s="22"/>
      <c r="E124" s="22"/>
      <c r="F124" s="22"/>
      <c r="G124" s="37"/>
      <c r="H124" s="17" t="str">
        <f t="shared" si="1"/>
        <v/>
      </c>
      <c r="I124" s="40"/>
    </row>
    <row r="125" spans="1:9">
      <c r="A125" s="5"/>
      <c r="B125" s="48"/>
      <c r="C125" s="14"/>
      <c r="D125" s="22"/>
      <c r="E125" s="22"/>
      <c r="F125" s="22"/>
      <c r="G125" s="37"/>
      <c r="H125" s="17" t="str">
        <f t="shared" si="1"/>
        <v/>
      </c>
      <c r="I125" s="40"/>
    </row>
    <row r="126" spans="1:9">
      <c r="A126" s="5"/>
      <c r="B126" s="48"/>
      <c r="C126" s="14"/>
      <c r="D126" s="22"/>
      <c r="E126" s="22"/>
      <c r="F126" s="22"/>
      <c r="G126" s="37"/>
      <c r="H126" s="17" t="str">
        <f t="shared" si="1"/>
        <v/>
      </c>
      <c r="I126" s="40"/>
    </row>
    <row r="127" spans="1:9">
      <c r="A127" s="5"/>
      <c r="B127" s="48"/>
      <c r="C127" s="14"/>
      <c r="D127" s="22"/>
      <c r="E127" s="22"/>
      <c r="F127" s="22"/>
      <c r="G127" s="37"/>
      <c r="H127" s="17" t="str">
        <f t="shared" si="1"/>
        <v/>
      </c>
      <c r="I127" s="40"/>
    </row>
    <row r="128" spans="1:9">
      <c r="A128" s="5"/>
      <c r="B128" s="48"/>
      <c r="C128" s="14"/>
      <c r="D128" s="22"/>
      <c r="E128" s="22"/>
      <c r="F128" s="22"/>
      <c r="G128" s="37"/>
      <c r="H128" s="17" t="str">
        <f t="shared" si="1"/>
        <v/>
      </c>
      <c r="I128" s="40"/>
    </row>
    <row r="129" spans="1:9">
      <c r="A129" s="5"/>
      <c r="B129" s="48"/>
      <c r="C129" s="14"/>
      <c r="D129" s="22"/>
      <c r="E129" s="22"/>
      <c r="F129" s="22"/>
      <c r="G129" s="37"/>
      <c r="H129" s="17" t="str">
        <f t="shared" si="1"/>
        <v/>
      </c>
      <c r="I129" s="40"/>
    </row>
    <row r="130" spans="1:9">
      <c r="A130" s="5"/>
      <c r="B130" s="48"/>
      <c r="C130" s="14"/>
      <c r="D130" s="22"/>
      <c r="E130" s="22"/>
      <c r="F130" s="22"/>
      <c r="G130" s="37"/>
      <c r="H130" s="17" t="str">
        <f t="shared" si="1"/>
        <v/>
      </c>
      <c r="I130" s="40"/>
    </row>
    <row r="131" spans="1:9">
      <c r="A131" s="5"/>
      <c r="B131" s="48"/>
      <c r="C131" s="14"/>
      <c r="D131" s="22"/>
      <c r="E131" s="22"/>
      <c r="F131" s="22"/>
      <c r="G131" s="37"/>
      <c r="H131" s="17" t="str">
        <f t="shared" si="1"/>
        <v/>
      </c>
      <c r="I131" s="40"/>
    </row>
    <row r="132" spans="1:9">
      <c r="A132" s="5"/>
      <c r="B132" s="48"/>
      <c r="C132" s="14"/>
      <c r="D132" s="22"/>
      <c r="E132" s="22"/>
      <c r="F132" s="22"/>
      <c r="G132" s="37"/>
      <c r="H132" s="17" t="str">
        <f t="shared" si="1"/>
        <v/>
      </c>
      <c r="I132" s="40"/>
    </row>
    <row r="133" spans="1:9">
      <c r="A133" s="5"/>
      <c r="B133" s="48"/>
      <c r="C133" s="14"/>
      <c r="D133" s="22"/>
      <c r="E133" s="22"/>
      <c r="F133" s="22"/>
      <c r="G133" s="37"/>
      <c r="H133" s="17" t="str">
        <f t="shared" si="1"/>
        <v/>
      </c>
      <c r="I133" s="40"/>
    </row>
    <row r="134" spans="1:9">
      <c r="A134" s="5"/>
      <c r="B134" s="48"/>
      <c r="C134" s="14"/>
      <c r="D134" s="22"/>
      <c r="E134" s="22"/>
      <c r="F134" s="22"/>
      <c r="G134" s="37"/>
      <c r="H134" s="17" t="str">
        <f t="shared" si="1"/>
        <v/>
      </c>
      <c r="I134" s="40"/>
    </row>
    <row r="135" spans="1:9">
      <c r="A135" s="5"/>
      <c r="B135" s="48"/>
      <c r="C135" s="14"/>
      <c r="D135" s="22"/>
      <c r="E135" s="22"/>
      <c r="F135" s="22"/>
      <c r="G135" s="37"/>
      <c r="H135" s="17" t="str">
        <f t="shared" si="1"/>
        <v/>
      </c>
      <c r="I135" s="40"/>
    </row>
    <row r="136" spans="1:9">
      <c r="A136" s="5"/>
      <c r="B136" s="48"/>
      <c r="C136" s="14"/>
      <c r="D136" s="22"/>
      <c r="E136" s="22"/>
      <c r="F136" s="22"/>
      <c r="G136" s="37"/>
      <c r="H136" s="17" t="str">
        <f t="shared" si="1"/>
        <v/>
      </c>
      <c r="I136" s="40"/>
    </row>
    <row r="137" spans="1:9">
      <c r="A137" s="5"/>
      <c r="B137" s="48"/>
      <c r="C137" s="14"/>
      <c r="D137" s="22"/>
      <c r="E137" s="22"/>
      <c r="F137" s="22"/>
      <c r="G137" s="37"/>
      <c r="H137" s="17" t="str">
        <f t="shared" si="1"/>
        <v/>
      </c>
      <c r="I137" s="40"/>
    </row>
    <row r="138" spans="1:9">
      <c r="A138" s="5"/>
      <c r="B138" s="48"/>
      <c r="C138" s="14"/>
      <c r="D138" s="22"/>
      <c r="E138" s="22"/>
      <c r="F138" s="22"/>
      <c r="G138" s="37"/>
      <c r="H138" s="17" t="str">
        <f t="shared" si="1"/>
        <v/>
      </c>
      <c r="I138" s="40"/>
    </row>
    <row r="139" spans="1:9">
      <c r="A139" s="5"/>
      <c r="B139" s="48"/>
      <c r="C139" s="14"/>
      <c r="D139" s="22"/>
      <c r="E139" s="22"/>
      <c r="F139" s="22"/>
      <c r="G139" s="37"/>
      <c r="H139" s="17" t="str">
        <f t="shared" si="1"/>
        <v/>
      </c>
      <c r="I139" s="40"/>
    </row>
    <row r="140" spans="1:9">
      <c r="A140" s="5"/>
      <c r="B140" s="48"/>
      <c r="C140" s="14"/>
      <c r="D140" s="22"/>
      <c r="E140" s="22"/>
      <c r="F140" s="22"/>
      <c r="G140" s="37"/>
      <c r="H140" s="17" t="str">
        <f t="shared" si="1"/>
        <v/>
      </c>
      <c r="I140" s="40"/>
    </row>
    <row r="141" spans="1:9">
      <c r="A141" s="5"/>
      <c r="B141" s="48"/>
      <c r="C141" s="14"/>
      <c r="D141" s="22"/>
      <c r="E141" s="22"/>
      <c r="F141" s="22"/>
      <c r="G141" s="37"/>
      <c r="H141" s="17" t="str">
        <f t="shared" si="1"/>
        <v/>
      </c>
      <c r="I141" s="40"/>
    </row>
    <row r="142" spans="1:9">
      <c r="A142" s="5"/>
      <c r="B142" s="48"/>
      <c r="C142" s="14"/>
      <c r="D142" s="22"/>
      <c r="E142" s="22"/>
      <c r="F142" s="22"/>
      <c r="G142" s="37"/>
      <c r="H142" s="17" t="str">
        <f t="shared" si="1"/>
        <v/>
      </c>
      <c r="I142" s="40"/>
    </row>
    <row r="143" spans="1:9">
      <c r="A143" s="5"/>
      <c r="B143" s="48"/>
      <c r="C143" s="14"/>
      <c r="D143" s="22"/>
      <c r="E143" s="22"/>
      <c r="F143" s="22"/>
      <c r="G143" s="37"/>
      <c r="H143" s="17" t="str">
        <f t="shared" si="1"/>
        <v/>
      </c>
      <c r="I143" s="40"/>
    </row>
    <row r="144" spans="1:9">
      <c r="A144" s="5"/>
      <c r="B144" s="48"/>
      <c r="C144" s="14"/>
      <c r="D144" s="22"/>
      <c r="E144" s="22"/>
      <c r="F144" s="22"/>
      <c r="G144" s="37"/>
      <c r="H144" s="17" t="str">
        <f t="shared" si="1"/>
        <v/>
      </c>
      <c r="I144" s="40"/>
    </row>
    <row r="145" spans="1:9">
      <c r="A145" s="5"/>
      <c r="B145" s="48"/>
      <c r="C145" s="14"/>
      <c r="D145" s="22"/>
      <c r="E145" s="22"/>
      <c r="F145" s="22"/>
      <c r="G145" s="37"/>
      <c r="H145" s="17" t="str">
        <f t="shared" si="1"/>
        <v/>
      </c>
      <c r="I145" s="40"/>
    </row>
    <row r="146" spans="1:9">
      <c r="A146" s="5"/>
      <c r="B146" s="48"/>
      <c r="C146" s="14"/>
      <c r="D146" s="22"/>
      <c r="E146" s="22"/>
      <c r="F146" s="22"/>
      <c r="G146" s="37"/>
      <c r="H146" s="17" t="str">
        <f t="shared" si="1"/>
        <v/>
      </c>
      <c r="I146" s="40"/>
    </row>
    <row r="147" spans="1:9">
      <c r="A147" s="5"/>
      <c r="B147" s="48"/>
      <c r="C147" s="14"/>
      <c r="D147" s="22"/>
      <c r="E147" s="22"/>
      <c r="F147" s="22"/>
      <c r="G147" s="37"/>
      <c r="H147" s="17" t="str">
        <f t="shared" si="1"/>
        <v/>
      </c>
      <c r="I147" s="40"/>
    </row>
    <row r="148" spans="1:9">
      <c r="A148" s="5"/>
      <c r="B148" s="48"/>
      <c r="C148" s="14"/>
      <c r="D148" s="22"/>
      <c r="E148" s="22"/>
      <c r="F148" s="22"/>
      <c r="G148" s="37"/>
      <c r="H148" s="17" t="str">
        <f t="shared" si="1"/>
        <v/>
      </c>
      <c r="I148" s="40"/>
    </row>
    <row r="149" spans="1:9">
      <c r="A149" s="5"/>
      <c r="B149" s="48"/>
      <c r="C149" s="14"/>
      <c r="D149" s="22"/>
      <c r="E149" s="22"/>
      <c r="F149" s="22"/>
      <c r="G149" s="37"/>
      <c r="H149" s="17" t="str">
        <f t="shared" si="1"/>
        <v/>
      </c>
      <c r="I149" s="40"/>
    </row>
    <row r="150" spans="1:9" s="28" customFormat="1" ht="24.75" customHeight="1">
      <c r="B150" s="119" t="str">
        <f>$B$10</f>
        <v>C13.8</v>
      </c>
      <c r="C150" s="29" t="s">
        <v>125</v>
      </c>
      <c r="D150" s="30"/>
      <c r="E150" s="30"/>
      <c r="F150" s="31"/>
      <c r="G150" s="30"/>
      <c r="H150" s="32">
        <f>SUM(H84:H149)</f>
        <v>129000</v>
      </c>
      <c r="I150" s="33"/>
    </row>
  </sheetData>
  <mergeCells count="11">
    <mergeCell ref="B79:G79"/>
    <mergeCell ref="H79:H82"/>
    <mergeCell ref="B80:G82"/>
    <mergeCell ref="F1:H1"/>
    <mergeCell ref="B5:G7"/>
    <mergeCell ref="H4:H7"/>
    <mergeCell ref="B4:G4"/>
    <mergeCell ref="B76:E76"/>
    <mergeCell ref="F76:H78"/>
    <mergeCell ref="B77:E77"/>
    <mergeCell ref="B78:E78"/>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30"/>
  <dimension ref="B1:I78"/>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C13.5</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c r="B10" s="69" t="s">
        <v>2499</v>
      </c>
      <c r="C10" s="20" t="s">
        <v>2500</v>
      </c>
      <c r="D10" s="22"/>
      <c r="E10" s="22"/>
      <c r="F10" s="22"/>
      <c r="G10" s="39"/>
      <c r="H10" s="17" t="str">
        <f t="shared" ref="H10:H73" si="0">IF(D10="","",F10*G10)</f>
        <v/>
      </c>
      <c r="I10" s="40"/>
    </row>
    <row r="11" spans="2:9">
      <c r="B11" s="48"/>
      <c r="C11" s="14"/>
      <c r="D11" s="22"/>
      <c r="E11" s="22"/>
      <c r="F11" s="22"/>
      <c r="G11" s="39"/>
      <c r="H11" s="17" t="str">
        <f t="shared" si="0"/>
        <v/>
      </c>
      <c r="I11" s="40"/>
    </row>
    <row r="12" spans="2:9">
      <c r="B12" s="48" t="s">
        <v>2501</v>
      </c>
      <c r="C12" s="14" t="s">
        <v>2502</v>
      </c>
      <c r="D12" s="22"/>
      <c r="E12" s="22"/>
      <c r="F12" s="22"/>
      <c r="G12" s="39"/>
      <c r="H12" s="17" t="str">
        <f t="shared" si="0"/>
        <v/>
      </c>
      <c r="I12" s="40"/>
    </row>
    <row r="13" spans="2:9">
      <c r="B13" s="48"/>
      <c r="C13" s="14"/>
      <c r="D13" s="22"/>
      <c r="E13" s="22"/>
      <c r="F13" s="22"/>
      <c r="G13" s="39"/>
      <c r="H13" s="17" t="str">
        <f t="shared" si="0"/>
        <v/>
      </c>
      <c r="I13" s="40"/>
    </row>
    <row r="14" spans="2:9">
      <c r="B14" s="48" t="s">
        <v>2503</v>
      </c>
      <c r="C14" s="14" t="s">
        <v>2504</v>
      </c>
      <c r="D14" s="22" t="s">
        <v>1732</v>
      </c>
      <c r="E14" s="22"/>
      <c r="F14" s="23"/>
      <c r="G14" s="24"/>
      <c r="H14" s="17">
        <f t="shared" si="0"/>
        <v>0</v>
      </c>
      <c r="I14" s="41"/>
    </row>
    <row r="15" spans="2:9">
      <c r="B15" s="48"/>
      <c r="C15" s="14"/>
      <c r="D15" s="22"/>
      <c r="E15" s="22"/>
      <c r="F15" s="23"/>
      <c r="G15" s="24"/>
      <c r="H15" s="17" t="str">
        <f t="shared" si="0"/>
        <v/>
      </c>
      <c r="I15" s="41"/>
    </row>
    <row r="16" spans="2:9">
      <c r="B16" s="48" t="s">
        <v>2505</v>
      </c>
      <c r="C16" s="14" t="s">
        <v>2506</v>
      </c>
      <c r="D16" s="22" t="s">
        <v>1732</v>
      </c>
      <c r="E16" s="22"/>
      <c r="F16" s="23"/>
      <c r="G16" s="24"/>
      <c r="H16" s="17">
        <f t="shared" si="0"/>
        <v>0</v>
      </c>
      <c r="I16" s="41"/>
    </row>
    <row r="17" spans="2:9">
      <c r="B17" s="48"/>
      <c r="C17" s="14"/>
      <c r="D17" s="22"/>
      <c r="E17" s="22"/>
      <c r="F17" s="23"/>
      <c r="G17" s="24"/>
      <c r="H17" s="17" t="str">
        <f t="shared" si="0"/>
        <v/>
      </c>
      <c r="I17" s="41"/>
    </row>
    <row r="18" spans="2:9">
      <c r="B18" s="48" t="s">
        <v>2507</v>
      </c>
      <c r="C18" s="14" t="s">
        <v>2508</v>
      </c>
      <c r="D18" s="22" t="s">
        <v>1732</v>
      </c>
      <c r="E18" s="22"/>
      <c r="F18" s="23"/>
      <c r="G18" s="39"/>
      <c r="H18" s="17">
        <f t="shared" si="0"/>
        <v>0</v>
      </c>
      <c r="I18" s="40"/>
    </row>
    <row r="19" spans="2:9">
      <c r="B19" s="48"/>
      <c r="C19" s="14"/>
      <c r="D19" s="22"/>
      <c r="E19" s="22"/>
      <c r="F19" s="23"/>
      <c r="G19" s="42"/>
      <c r="H19" s="17" t="str">
        <f t="shared" si="0"/>
        <v/>
      </c>
      <c r="I19" s="40"/>
    </row>
    <row r="20" spans="2:9">
      <c r="B20" s="48" t="s">
        <v>2509</v>
      </c>
      <c r="C20" s="14" t="s">
        <v>1736</v>
      </c>
      <c r="D20" s="22"/>
      <c r="E20" s="36"/>
      <c r="F20" s="23"/>
      <c r="G20" s="44"/>
      <c r="H20" s="17" t="str">
        <f t="shared" si="0"/>
        <v/>
      </c>
    </row>
    <row r="21" spans="2:9">
      <c r="B21" s="48"/>
      <c r="C21" s="1"/>
      <c r="D21" s="22"/>
      <c r="E21" s="36"/>
      <c r="F21" s="23"/>
      <c r="G21" s="44"/>
      <c r="H21" s="17" t="str">
        <f t="shared" si="0"/>
        <v/>
      </c>
    </row>
    <row r="22" spans="2:9">
      <c r="B22" s="48" t="s">
        <v>2510</v>
      </c>
      <c r="C22" s="14" t="s">
        <v>1738</v>
      </c>
      <c r="D22" s="22" t="s">
        <v>1739</v>
      </c>
      <c r="E22" s="36"/>
      <c r="F22" s="23"/>
      <c r="G22" s="37"/>
      <c r="H22" s="17">
        <f t="shared" si="0"/>
        <v>0</v>
      </c>
    </row>
    <row r="23" spans="2:9">
      <c r="B23" s="48"/>
      <c r="C23" s="14"/>
      <c r="D23" s="22"/>
      <c r="E23" s="36"/>
      <c r="F23" s="23"/>
      <c r="G23" s="44"/>
      <c r="H23" s="17" t="str">
        <f t="shared" si="0"/>
        <v/>
      </c>
    </row>
    <row r="24" spans="2:9">
      <c r="B24" s="48" t="s">
        <v>2511</v>
      </c>
      <c r="C24" s="14" t="s">
        <v>2512</v>
      </c>
      <c r="D24" s="22" t="s">
        <v>2513</v>
      </c>
      <c r="E24" s="36"/>
      <c r="F24" s="23"/>
      <c r="G24" s="42"/>
      <c r="H24" s="17">
        <f t="shared" si="0"/>
        <v>0</v>
      </c>
    </row>
    <row r="25" spans="2:9">
      <c r="B25" s="48"/>
      <c r="C25" s="14"/>
      <c r="D25" s="22"/>
      <c r="E25" s="36"/>
      <c r="F25" s="23"/>
      <c r="G25" s="44"/>
      <c r="H25" s="17" t="str">
        <f t="shared" si="0"/>
        <v/>
      </c>
    </row>
    <row r="26" spans="2:9">
      <c r="B26" s="48" t="s">
        <v>2514</v>
      </c>
      <c r="C26" s="14" t="s">
        <v>1741</v>
      </c>
      <c r="D26" s="22" t="s">
        <v>2513</v>
      </c>
      <c r="E26" s="22"/>
      <c r="F26" s="23"/>
      <c r="G26" s="37"/>
      <c r="H26" s="17">
        <f t="shared" si="0"/>
        <v>0</v>
      </c>
      <c r="I26" s="41"/>
    </row>
    <row r="27" spans="2:9">
      <c r="B27" s="48"/>
      <c r="C27" s="14"/>
      <c r="D27" s="22"/>
      <c r="E27" s="15"/>
      <c r="F27" s="26"/>
      <c r="G27" s="27"/>
      <c r="H27" s="17" t="str">
        <f t="shared" si="0"/>
        <v/>
      </c>
      <c r="I27" s="18"/>
    </row>
    <row r="28" spans="2:9" s="35" customFormat="1">
      <c r="B28" s="48" t="s">
        <v>2515</v>
      </c>
      <c r="C28" s="14" t="s">
        <v>2516</v>
      </c>
      <c r="D28" s="22" t="s">
        <v>2513</v>
      </c>
      <c r="E28" s="15"/>
      <c r="F28" s="26"/>
      <c r="G28" s="27"/>
      <c r="H28" s="17">
        <f t="shared" si="0"/>
        <v>0</v>
      </c>
      <c r="I28" s="18"/>
    </row>
    <row r="29" spans="2:9">
      <c r="B29" s="48"/>
      <c r="C29" s="14"/>
      <c r="D29" s="22"/>
      <c r="E29" s="22"/>
      <c r="F29" s="23"/>
      <c r="G29" s="37"/>
      <c r="H29" s="17" t="str">
        <f t="shared" si="0"/>
        <v/>
      </c>
      <c r="I29" s="41"/>
    </row>
    <row r="30" spans="2:9" ht="25.5">
      <c r="B30" s="48" t="s">
        <v>2517</v>
      </c>
      <c r="C30" s="14" t="s">
        <v>2518</v>
      </c>
      <c r="D30" s="22" t="s">
        <v>2513</v>
      </c>
      <c r="E30" s="22"/>
      <c r="F30" s="23"/>
      <c r="G30" s="37"/>
      <c r="H30" s="17">
        <f t="shared" si="0"/>
        <v>0</v>
      </c>
      <c r="I30" s="41"/>
    </row>
    <row r="31" spans="2:9">
      <c r="B31" s="48"/>
      <c r="C31" s="14"/>
      <c r="D31" s="22"/>
      <c r="E31" s="22"/>
      <c r="F31" s="23"/>
      <c r="G31" s="45"/>
      <c r="H31" s="17" t="str">
        <f t="shared" si="0"/>
        <v/>
      </c>
      <c r="I31" s="40"/>
    </row>
    <row r="32" spans="2:9">
      <c r="B32" s="48"/>
      <c r="C32" s="14"/>
      <c r="D32" s="22"/>
      <c r="E32" s="22"/>
      <c r="F32" s="23"/>
      <c r="G32" s="45"/>
      <c r="H32" s="17" t="str">
        <f t="shared" si="0"/>
        <v/>
      </c>
      <c r="I32" s="40"/>
    </row>
    <row r="33" spans="2:9">
      <c r="B33" s="48"/>
      <c r="C33" s="14"/>
      <c r="D33" s="22"/>
      <c r="E33" s="22"/>
      <c r="F33" s="23"/>
      <c r="G33" s="42"/>
      <c r="H33" s="17" t="str">
        <f t="shared" si="0"/>
        <v/>
      </c>
      <c r="I33" s="40"/>
    </row>
    <row r="34" spans="2:9">
      <c r="B34" s="48"/>
      <c r="C34" s="14"/>
      <c r="D34" s="22"/>
      <c r="E34" s="22"/>
      <c r="F34" s="23"/>
      <c r="G34" s="42"/>
      <c r="H34" s="17" t="str">
        <f t="shared" si="0"/>
        <v/>
      </c>
      <c r="I34" s="40"/>
    </row>
    <row r="35" spans="2:9">
      <c r="B35" s="48"/>
      <c r="C35" s="14"/>
      <c r="D35" s="22"/>
      <c r="E35" s="22"/>
      <c r="F35" s="22"/>
      <c r="G35" s="39"/>
      <c r="H35" s="17" t="str">
        <f t="shared" si="0"/>
        <v/>
      </c>
      <c r="I35" s="40"/>
    </row>
    <row r="36" spans="2:9">
      <c r="B36" s="48"/>
      <c r="C36" s="14"/>
      <c r="D36" s="22"/>
      <c r="E36" s="22"/>
      <c r="F36" s="22"/>
      <c r="G36" s="39"/>
      <c r="H36" s="17" t="str">
        <f t="shared" si="0"/>
        <v/>
      </c>
      <c r="I36" s="40"/>
    </row>
    <row r="37" spans="2:9">
      <c r="B37" s="48"/>
      <c r="C37" s="14"/>
      <c r="D37" s="22"/>
      <c r="E37" s="22"/>
      <c r="F37" s="22"/>
      <c r="G37" s="37"/>
      <c r="H37" s="17" t="str">
        <f t="shared" si="0"/>
        <v/>
      </c>
      <c r="I37" s="40"/>
    </row>
    <row r="38" spans="2:9">
      <c r="B38" s="48"/>
      <c r="C38" s="14"/>
      <c r="D38" s="22"/>
      <c r="E38" s="22"/>
      <c r="F38" s="22"/>
      <c r="G38" s="37"/>
      <c r="H38" s="17" t="str">
        <f t="shared" si="0"/>
        <v/>
      </c>
      <c r="I38" s="40"/>
    </row>
    <row r="39" spans="2:9">
      <c r="B39" s="48"/>
      <c r="C39" s="14"/>
      <c r="D39" s="22"/>
      <c r="E39" s="22"/>
      <c r="F39" s="22"/>
      <c r="G39" s="37"/>
      <c r="H39" s="17" t="str">
        <f t="shared" si="0"/>
        <v/>
      </c>
      <c r="I39" s="40"/>
    </row>
    <row r="40" spans="2:9">
      <c r="B40" s="48"/>
      <c r="C40" s="14"/>
      <c r="D40" s="22"/>
      <c r="E40" s="22"/>
      <c r="F40" s="22"/>
      <c r="G40" s="37"/>
      <c r="H40" s="17" t="str">
        <f t="shared" si="0"/>
        <v/>
      </c>
      <c r="I40" s="40"/>
    </row>
    <row r="41" spans="2:9">
      <c r="B41" s="48"/>
      <c r="C41" s="14"/>
      <c r="D41" s="22"/>
      <c r="E41" s="22"/>
      <c r="F41" s="22"/>
      <c r="G41" s="37"/>
      <c r="H41" s="17" t="str">
        <f t="shared" si="0"/>
        <v/>
      </c>
      <c r="I41" s="40"/>
    </row>
    <row r="42" spans="2:9">
      <c r="B42" s="48"/>
      <c r="C42" s="14"/>
      <c r="D42" s="22"/>
      <c r="E42" s="22"/>
      <c r="F42" s="22"/>
      <c r="G42" s="37"/>
      <c r="H42" s="17" t="str">
        <f t="shared" si="0"/>
        <v/>
      </c>
      <c r="I42" s="40"/>
    </row>
    <row r="43" spans="2:9">
      <c r="B43" s="48"/>
      <c r="C43" s="14"/>
      <c r="D43" s="22"/>
      <c r="E43" s="22"/>
      <c r="F43" s="22"/>
      <c r="G43" s="37"/>
      <c r="H43" s="17" t="str">
        <f t="shared" si="0"/>
        <v/>
      </c>
      <c r="I43" s="40"/>
    </row>
    <row r="44" spans="2:9">
      <c r="B44" s="48"/>
      <c r="C44" s="14"/>
      <c r="D44" s="22"/>
      <c r="E44" s="22"/>
      <c r="F44" s="22"/>
      <c r="G44" s="37"/>
      <c r="H44" s="17" t="str">
        <f t="shared" si="0"/>
        <v/>
      </c>
      <c r="I44" s="40"/>
    </row>
    <row r="45" spans="2:9">
      <c r="B45" s="48"/>
      <c r="C45" s="14"/>
      <c r="D45" s="22"/>
      <c r="E45" s="22"/>
      <c r="F45" s="22"/>
      <c r="G45" s="46"/>
      <c r="H45" s="17" t="str">
        <f t="shared" si="0"/>
        <v/>
      </c>
      <c r="I45" s="40"/>
    </row>
    <row r="46" spans="2:9">
      <c r="B46" s="48"/>
      <c r="C46" s="14"/>
      <c r="D46" s="22"/>
      <c r="E46" s="22"/>
      <c r="F46" s="22"/>
      <c r="G46" s="46"/>
      <c r="H46" s="17" t="str">
        <f t="shared" si="0"/>
        <v/>
      </c>
      <c r="I46" s="40"/>
    </row>
    <row r="47" spans="2:9">
      <c r="B47" s="48"/>
      <c r="C47" s="14"/>
      <c r="D47" s="22"/>
      <c r="E47" s="22"/>
      <c r="F47" s="22"/>
      <c r="G47" s="37"/>
      <c r="H47" s="17" t="str">
        <f t="shared" si="0"/>
        <v/>
      </c>
      <c r="I47" s="40"/>
    </row>
    <row r="48" spans="2:9">
      <c r="B48" s="48"/>
      <c r="C48" s="14"/>
      <c r="D48" s="22"/>
      <c r="E48" s="22"/>
      <c r="F48" s="22"/>
      <c r="G48" s="37"/>
      <c r="H48" s="17" t="str">
        <f t="shared" si="0"/>
        <v/>
      </c>
      <c r="I48" s="40"/>
    </row>
    <row r="49" spans="2:9">
      <c r="B49" s="48"/>
      <c r="C49" s="14"/>
      <c r="D49" s="22"/>
      <c r="E49" s="22"/>
      <c r="F49" s="22"/>
      <c r="G49" s="37"/>
      <c r="H49" s="17" t="str">
        <f t="shared" si="0"/>
        <v/>
      </c>
      <c r="I49" s="40"/>
    </row>
    <row r="50" spans="2:9">
      <c r="B50" s="48"/>
      <c r="C50" s="14"/>
      <c r="D50" s="22"/>
      <c r="E50" s="22"/>
      <c r="F50" s="22"/>
      <c r="G50" s="37"/>
      <c r="H50" s="17" t="str">
        <f t="shared" si="0"/>
        <v/>
      </c>
      <c r="I50" s="40"/>
    </row>
    <row r="51" spans="2:9">
      <c r="B51" s="48"/>
      <c r="C51" s="14"/>
      <c r="D51" s="22"/>
      <c r="E51" s="22"/>
      <c r="F51" s="22"/>
      <c r="G51" s="37"/>
      <c r="H51" s="17" t="str">
        <f t="shared" si="0"/>
        <v/>
      </c>
      <c r="I51" s="40"/>
    </row>
    <row r="52" spans="2:9">
      <c r="B52" s="48"/>
      <c r="C52" s="14"/>
      <c r="D52" s="22"/>
      <c r="E52" s="22"/>
      <c r="F52" s="22"/>
      <c r="G52" s="37"/>
      <c r="H52" s="17" t="str">
        <f t="shared" si="0"/>
        <v/>
      </c>
      <c r="I52" s="40"/>
    </row>
    <row r="53" spans="2:9">
      <c r="B53" s="48"/>
      <c r="C53" s="14"/>
      <c r="D53" s="22"/>
      <c r="E53" s="22"/>
      <c r="F53" s="22"/>
      <c r="G53" s="37"/>
      <c r="H53" s="17" t="str">
        <f t="shared" si="0"/>
        <v/>
      </c>
      <c r="I53" s="40"/>
    </row>
    <row r="54" spans="2:9">
      <c r="B54" s="48"/>
      <c r="C54" s="14"/>
      <c r="D54" s="22"/>
      <c r="E54" s="22"/>
      <c r="F54" s="22"/>
      <c r="G54" s="37"/>
      <c r="H54" s="17" t="str">
        <f t="shared" si="0"/>
        <v/>
      </c>
      <c r="I54" s="40"/>
    </row>
    <row r="55" spans="2:9">
      <c r="B55" s="48"/>
      <c r="C55" s="14"/>
      <c r="D55" s="36"/>
      <c r="E55" s="36"/>
      <c r="F55" s="36"/>
      <c r="G55" s="37"/>
      <c r="H55" s="17" t="str">
        <f t="shared" si="0"/>
        <v/>
      </c>
    </row>
    <row r="56" spans="2:9">
      <c r="B56" s="48"/>
      <c r="C56" s="14"/>
      <c r="D56" s="22"/>
      <c r="E56" s="22"/>
      <c r="F56" s="22"/>
      <c r="G56" s="37"/>
      <c r="H56" s="17" t="str">
        <f t="shared" si="0"/>
        <v/>
      </c>
      <c r="I56" s="40"/>
    </row>
    <row r="57" spans="2:9">
      <c r="B57" s="48"/>
      <c r="C57" s="14"/>
      <c r="D57" s="36"/>
      <c r="E57" s="36"/>
      <c r="F57" s="36"/>
      <c r="G57" s="37"/>
      <c r="H57" s="17" t="str">
        <f t="shared" si="0"/>
        <v/>
      </c>
      <c r="I57" s="47"/>
    </row>
    <row r="58" spans="2:9">
      <c r="B58" s="48"/>
      <c r="C58" s="14"/>
      <c r="D58" s="36"/>
      <c r="E58" s="36"/>
      <c r="F58" s="36"/>
      <c r="G58" s="37"/>
      <c r="H58" s="17" t="str">
        <f t="shared" si="0"/>
        <v/>
      </c>
    </row>
    <row r="59" spans="2:9">
      <c r="B59" s="48"/>
      <c r="C59" s="14"/>
      <c r="D59" s="22"/>
      <c r="E59" s="22"/>
      <c r="F59" s="22"/>
      <c r="G59" s="37"/>
      <c r="H59" s="17" t="str">
        <f t="shared" si="0"/>
        <v/>
      </c>
      <c r="I59" s="40"/>
    </row>
    <row r="60" spans="2:9">
      <c r="B60" s="48"/>
      <c r="C60" s="14"/>
      <c r="D60" s="22"/>
      <c r="E60" s="22"/>
      <c r="F60" s="22"/>
      <c r="G60" s="37"/>
      <c r="H60" s="17" t="str">
        <f t="shared" si="0"/>
        <v/>
      </c>
      <c r="I60" s="40"/>
    </row>
    <row r="61" spans="2:9">
      <c r="B61" s="48"/>
      <c r="C61" s="14"/>
      <c r="D61" s="22"/>
      <c r="E61" s="22"/>
      <c r="F61" s="22"/>
      <c r="G61" s="37"/>
      <c r="H61" s="17" t="str">
        <f t="shared" si="0"/>
        <v/>
      </c>
      <c r="I61" s="40"/>
    </row>
    <row r="62" spans="2:9">
      <c r="B62" s="48"/>
      <c r="C62" s="14"/>
      <c r="D62" s="22"/>
      <c r="E62" s="22"/>
      <c r="F62" s="22"/>
      <c r="G62" s="37"/>
      <c r="H62" s="17" t="str">
        <f t="shared" si="0"/>
        <v/>
      </c>
      <c r="I62" s="40"/>
    </row>
    <row r="63" spans="2:9">
      <c r="B63" s="48"/>
      <c r="C63" s="14"/>
      <c r="D63" s="22"/>
      <c r="E63" s="22"/>
      <c r="F63" s="22"/>
      <c r="G63" s="37"/>
      <c r="H63" s="17" t="str">
        <f t="shared" si="0"/>
        <v/>
      </c>
      <c r="I63" s="40"/>
    </row>
    <row r="64" spans="2:9">
      <c r="B64" s="48"/>
      <c r="C64" s="14"/>
      <c r="D64" s="22"/>
      <c r="E64" s="22"/>
      <c r="F64" s="22"/>
      <c r="G64" s="37"/>
      <c r="H64" s="17" t="str">
        <f t="shared" si="0"/>
        <v/>
      </c>
      <c r="I64" s="40"/>
    </row>
    <row r="65" spans="2:9">
      <c r="B65" s="48"/>
      <c r="C65" s="14"/>
      <c r="D65" s="22"/>
      <c r="E65" s="22"/>
      <c r="F65" s="22"/>
      <c r="G65" s="37"/>
      <c r="H65" s="17" t="str">
        <f t="shared" si="0"/>
        <v/>
      </c>
      <c r="I65" s="40"/>
    </row>
    <row r="66" spans="2:9">
      <c r="B66" s="48"/>
      <c r="C66" s="14"/>
      <c r="D66" s="22"/>
      <c r="E66" s="22"/>
      <c r="F66" s="22"/>
      <c r="G66" s="37"/>
      <c r="H66" s="17" t="str">
        <f t="shared" si="0"/>
        <v/>
      </c>
      <c r="I66" s="40"/>
    </row>
    <row r="67" spans="2:9">
      <c r="B67" s="48"/>
      <c r="C67" s="14"/>
      <c r="D67" s="22"/>
      <c r="E67" s="22"/>
      <c r="F67" s="22"/>
      <c r="G67" s="37"/>
      <c r="H67" s="17" t="str">
        <f t="shared" si="0"/>
        <v/>
      </c>
      <c r="I67" s="40"/>
    </row>
    <row r="68" spans="2:9">
      <c r="B68" s="48"/>
      <c r="C68" s="14"/>
      <c r="D68" s="22"/>
      <c r="E68" s="22"/>
      <c r="F68" s="22"/>
      <c r="G68" s="37"/>
      <c r="H68" s="17" t="str">
        <f t="shared" si="0"/>
        <v/>
      </c>
      <c r="I68" s="40"/>
    </row>
    <row r="69" spans="2:9">
      <c r="B69" s="48"/>
      <c r="C69" s="14"/>
      <c r="D69" s="22"/>
      <c r="E69" s="22"/>
      <c r="F69" s="22"/>
      <c r="G69" s="37"/>
      <c r="H69" s="17" t="str">
        <f t="shared" si="0"/>
        <v/>
      </c>
      <c r="I69" s="40"/>
    </row>
    <row r="70" spans="2:9">
      <c r="B70" s="48"/>
      <c r="C70" s="14"/>
      <c r="D70" s="22"/>
      <c r="E70" s="22"/>
      <c r="F70" s="22"/>
      <c r="G70" s="37"/>
      <c r="H70" s="17" t="str">
        <f t="shared" si="0"/>
        <v/>
      </c>
      <c r="I70" s="40"/>
    </row>
    <row r="71" spans="2:9">
      <c r="B71" s="48"/>
      <c r="C71" s="14"/>
      <c r="D71" s="22"/>
      <c r="E71" s="22"/>
      <c r="F71" s="22"/>
      <c r="G71" s="37"/>
      <c r="H71" s="17" t="str">
        <f t="shared" si="0"/>
        <v/>
      </c>
      <c r="I71" s="40"/>
    </row>
    <row r="72" spans="2:9">
      <c r="B72" s="48"/>
      <c r="C72" s="14"/>
      <c r="D72" s="22"/>
      <c r="E72" s="22"/>
      <c r="F72" s="22"/>
      <c r="G72" s="37"/>
      <c r="H72" s="17" t="str">
        <f t="shared" si="0"/>
        <v/>
      </c>
      <c r="I72" s="40"/>
    </row>
    <row r="73" spans="2:9">
      <c r="B73" s="48"/>
      <c r="C73" s="14"/>
      <c r="D73" s="22"/>
      <c r="E73" s="22"/>
      <c r="F73" s="22"/>
      <c r="G73" s="37"/>
      <c r="H73" s="17" t="str">
        <f t="shared" si="0"/>
        <v/>
      </c>
      <c r="I73" s="40"/>
    </row>
    <row r="74" spans="2:9">
      <c r="B74" s="48"/>
      <c r="C74" s="14"/>
      <c r="D74" s="22"/>
      <c r="E74" s="22"/>
      <c r="F74" s="22"/>
      <c r="G74" s="37"/>
      <c r="H74" s="17" t="str">
        <f t="shared" ref="H74:H77" si="1">IF(D74="","",F74*G74)</f>
        <v/>
      </c>
      <c r="I74" s="40"/>
    </row>
    <row r="75" spans="2:9">
      <c r="B75" s="48"/>
      <c r="C75" s="14"/>
      <c r="D75" s="22"/>
      <c r="E75" s="22"/>
      <c r="F75" s="22"/>
      <c r="G75" s="37"/>
      <c r="H75" s="17"/>
      <c r="I75" s="40"/>
    </row>
    <row r="76" spans="2:9">
      <c r="B76" s="48"/>
      <c r="C76" s="14"/>
      <c r="D76" s="22"/>
      <c r="E76" s="22"/>
      <c r="F76" s="22"/>
      <c r="G76" s="37"/>
      <c r="H76" s="17" t="str">
        <f t="shared" si="1"/>
        <v/>
      </c>
      <c r="I76" s="40"/>
    </row>
    <row r="77" spans="2:9">
      <c r="B77" s="48"/>
      <c r="C77" s="14"/>
      <c r="D77" s="22"/>
      <c r="E77" s="22"/>
      <c r="F77" s="22"/>
      <c r="G77" s="37"/>
      <c r="H77" s="17" t="str">
        <f t="shared" si="1"/>
        <v/>
      </c>
      <c r="I77" s="40"/>
    </row>
    <row r="78" spans="2:9" s="28" customFormat="1" ht="24.75" customHeight="1">
      <c r="B78" s="119" t="str">
        <f>$B$10</f>
        <v>C13.5</v>
      </c>
      <c r="C78" s="29" t="s">
        <v>125</v>
      </c>
      <c r="D78" s="30"/>
      <c r="E78" s="30"/>
      <c r="F78" s="31"/>
      <c r="G78" s="30"/>
      <c r="H78" s="32">
        <f>SUM(H11:H77)</f>
        <v>0</v>
      </c>
      <c r="I78"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tabColor rgb="FF00B0F0"/>
  </sheetPr>
  <dimension ref="B1:I129"/>
  <sheetViews>
    <sheetView view="pageBreakPreview" topLeftCell="A11" zoomScaleNormal="100" zoomScaleSheetLayoutView="100" workbookViewId="0">
      <selection activeCell="C27" sqref="C27"/>
    </sheetView>
  </sheetViews>
  <sheetFormatPr defaultColWidth="8.85546875" defaultRowHeight="12.75"/>
  <cols>
    <col min="1" max="1" width="0.71093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15.7109375" style="399" customWidth="1"/>
    <col min="9" max="9" width="43.7109375" style="4" hidden="1" customWidth="1"/>
    <col min="10" max="36" width="0" style="3" hidden="1" customWidth="1"/>
    <col min="37" max="16384" width="8.85546875" style="3"/>
  </cols>
  <sheetData>
    <row r="1" spans="2:9" ht="20.25" customHeight="1">
      <c r="B1" s="2" t="str">
        <f>Client1</f>
        <v>AIRPORTS COMPANY - SOUTH AFRICA</v>
      </c>
      <c r="F1" s="676" t="str">
        <f>"Contract No. "&amp;ContractNo</f>
        <v>Contract No. KSIA7806/2025/RFP</v>
      </c>
      <c r="G1" s="676"/>
      <c r="H1" s="676"/>
    </row>
    <row r="2" spans="2:9">
      <c r="B2" s="2" t="str">
        <f>Client2</f>
        <v>ACSA</v>
      </c>
    </row>
    <row r="3" spans="2:9">
      <c r="B3" s="3"/>
    </row>
    <row r="4" spans="2:9" ht="12.75" customHeight="1">
      <c r="B4" s="695" t="s">
        <v>10</v>
      </c>
      <c r="C4" s="696"/>
      <c r="D4" s="696"/>
      <c r="E4" s="696"/>
      <c r="F4" s="696"/>
      <c r="G4" s="696"/>
      <c r="H4" s="708" t="str">
        <f>"CHAPTER "&amp;B10</f>
        <v>CHAPTER C2.1</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09"/>
      <c r="I5" s="676"/>
    </row>
    <row r="6" spans="2:9" ht="12.75" customHeight="1">
      <c r="B6" s="690"/>
      <c r="C6" s="691"/>
      <c r="D6" s="691"/>
      <c r="E6" s="691"/>
      <c r="F6" s="691"/>
      <c r="G6" s="691"/>
      <c r="H6" s="709"/>
      <c r="I6" s="676"/>
    </row>
    <row r="7" spans="2:9" s="2" customFormat="1" ht="7.5" customHeight="1">
      <c r="B7" s="692"/>
      <c r="C7" s="693"/>
      <c r="D7" s="693"/>
      <c r="E7" s="693"/>
      <c r="F7" s="693"/>
      <c r="G7" s="693"/>
      <c r="H7" s="710"/>
      <c r="I7" s="676"/>
    </row>
    <row r="8" spans="2:9" s="2" customFormat="1" ht="24.95" customHeight="1">
      <c r="B8" s="282" t="s">
        <v>11</v>
      </c>
      <c r="C8" s="280" t="s">
        <v>12</v>
      </c>
      <c r="D8" s="280" t="s">
        <v>13</v>
      </c>
      <c r="E8" s="280" t="s">
        <v>14</v>
      </c>
      <c r="F8" s="11" t="s">
        <v>15</v>
      </c>
      <c r="G8" s="409" t="s">
        <v>16</v>
      </c>
      <c r="H8" s="364" t="s">
        <v>17</v>
      </c>
      <c r="I8" s="676"/>
    </row>
    <row r="9" spans="2:9">
      <c r="B9" s="13"/>
      <c r="C9" s="14"/>
      <c r="D9" s="14"/>
      <c r="E9" s="14"/>
      <c r="F9" s="22"/>
      <c r="G9" s="410"/>
      <c r="H9" s="363" t="str">
        <f t="shared" ref="H9:H36" si="0">IF(D9="","",F9*G9)</f>
        <v/>
      </c>
      <c r="I9" s="331"/>
    </row>
    <row r="10" spans="2:9" ht="25.5">
      <c r="B10" s="19" t="s">
        <v>323</v>
      </c>
      <c r="C10" s="20" t="s">
        <v>324</v>
      </c>
      <c r="D10" s="14"/>
      <c r="E10" s="14"/>
      <c r="F10" s="22"/>
      <c r="G10" s="410"/>
      <c r="H10" s="363" t="str">
        <f t="shared" si="0"/>
        <v/>
      </c>
      <c r="I10" s="331"/>
    </row>
    <row r="11" spans="2:9">
      <c r="B11" s="13"/>
      <c r="C11" s="14"/>
      <c r="D11" s="14"/>
      <c r="E11" s="14"/>
      <c r="F11" s="22"/>
      <c r="G11" s="410"/>
      <c r="H11" s="363" t="str">
        <f t="shared" si="0"/>
        <v/>
      </c>
      <c r="I11" s="331"/>
    </row>
    <row r="12" spans="2:9" ht="51">
      <c r="B12" s="13"/>
      <c r="C12" s="20" t="s">
        <v>20</v>
      </c>
      <c r="D12" s="14"/>
      <c r="E12" s="14"/>
      <c r="F12" s="22"/>
      <c r="G12" s="410"/>
      <c r="H12" s="363"/>
      <c r="I12" s="331"/>
    </row>
    <row r="13" spans="2:9">
      <c r="B13" s="13"/>
      <c r="C13" s="14"/>
      <c r="D13" s="14"/>
      <c r="E13" s="14"/>
      <c r="F13" s="22"/>
      <c r="G13" s="410"/>
      <c r="H13" s="363"/>
      <c r="I13" s="331"/>
    </row>
    <row r="14" spans="2:9" ht="25.5">
      <c r="B14" s="13" t="s">
        <v>325</v>
      </c>
      <c r="C14" s="14" t="s">
        <v>326</v>
      </c>
      <c r="D14" s="14"/>
      <c r="E14" s="14"/>
      <c r="F14" s="22"/>
      <c r="G14" s="349" t="s">
        <v>128</v>
      </c>
      <c r="H14" s="363" t="str">
        <f t="shared" si="0"/>
        <v/>
      </c>
      <c r="I14" s="331"/>
    </row>
    <row r="15" spans="2:9">
      <c r="B15" s="13"/>
      <c r="C15" s="14"/>
      <c r="D15" s="14"/>
      <c r="E15" s="14"/>
      <c r="F15" s="22"/>
      <c r="G15" s="349"/>
      <c r="H15" s="363" t="str">
        <f t="shared" si="0"/>
        <v/>
      </c>
      <c r="I15" s="331"/>
    </row>
    <row r="16" spans="2:9">
      <c r="B16" s="13" t="s">
        <v>327</v>
      </c>
      <c r="C16" s="14" t="s">
        <v>328</v>
      </c>
      <c r="D16" s="14" t="s">
        <v>33</v>
      </c>
      <c r="E16" s="296"/>
      <c r="F16" s="241">
        <v>1</v>
      </c>
      <c r="G16" s="585"/>
      <c r="H16" s="363">
        <f>F16*G16</f>
        <v>0</v>
      </c>
      <c r="I16" s="332"/>
    </row>
    <row r="17" spans="2:9">
      <c r="B17" s="13"/>
      <c r="C17" s="14"/>
      <c r="D17" s="14"/>
      <c r="E17" s="296"/>
      <c r="F17" s="241"/>
      <c r="G17" s="379"/>
      <c r="H17" s="363"/>
      <c r="I17" s="331"/>
    </row>
    <row r="18" spans="2:9" ht="25.5">
      <c r="B18" s="13" t="s">
        <v>329</v>
      </c>
      <c r="C18" s="14" t="s">
        <v>330</v>
      </c>
      <c r="D18" s="14" t="s">
        <v>121</v>
      </c>
      <c r="E18" s="309"/>
      <c r="F18" s="240">
        <v>250000</v>
      </c>
      <c r="G18" s="351">
        <v>1</v>
      </c>
      <c r="H18" s="363">
        <f t="shared" ref="H18" si="1">IF(D18="","",F18*G18)</f>
        <v>250000</v>
      </c>
      <c r="I18" s="331"/>
    </row>
    <row r="19" spans="2:9">
      <c r="B19" s="13"/>
      <c r="C19" s="252"/>
      <c r="D19" s="50"/>
      <c r="E19" s="296"/>
      <c r="F19" s="241"/>
      <c r="G19" s="379"/>
      <c r="H19" s="363"/>
    </row>
    <row r="20" spans="2:9" ht="38.25">
      <c r="B20" s="13" t="s">
        <v>331</v>
      </c>
      <c r="C20" s="14" t="s">
        <v>332</v>
      </c>
      <c r="D20" s="14" t="s">
        <v>121</v>
      </c>
      <c r="E20" s="296"/>
      <c r="F20" s="241">
        <v>450000</v>
      </c>
      <c r="G20" s="379">
        <v>1</v>
      </c>
      <c r="H20" s="363">
        <f t="shared" ref="H20:H26" si="2">F20*G20</f>
        <v>450000</v>
      </c>
      <c r="I20" s="4" t="s">
        <v>114</v>
      </c>
    </row>
    <row r="21" spans="2:9">
      <c r="B21" s="13"/>
      <c r="C21" s="14"/>
      <c r="D21" s="14"/>
      <c r="E21" s="296"/>
      <c r="F21" s="241"/>
      <c r="G21" s="379"/>
      <c r="H21" s="363"/>
    </row>
    <row r="22" spans="2:9" ht="25.5">
      <c r="B22" s="13" t="s">
        <v>333</v>
      </c>
      <c r="C22" s="14" t="s">
        <v>334</v>
      </c>
      <c r="D22" s="14" t="s">
        <v>55</v>
      </c>
      <c r="E22" s="296"/>
      <c r="F22" s="241">
        <f>H20</f>
        <v>450000</v>
      </c>
      <c r="G22" s="585"/>
      <c r="H22" s="363">
        <f t="shared" si="2"/>
        <v>0</v>
      </c>
      <c r="I22" s="4" t="s">
        <v>114</v>
      </c>
    </row>
    <row r="23" spans="2:9">
      <c r="B23" s="13"/>
      <c r="C23" s="14"/>
      <c r="D23" s="14"/>
      <c r="E23" s="296"/>
      <c r="F23" s="241"/>
      <c r="G23" s="585"/>
      <c r="H23" s="363"/>
      <c r="I23" s="331"/>
    </row>
    <row r="24" spans="2:9" ht="25.5">
      <c r="B24" s="13" t="s">
        <v>335</v>
      </c>
      <c r="C24" s="14" t="s">
        <v>336</v>
      </c>
      <c r="D24" s="14" t="s">
        <v>337</v>
      </c>
      <c r="E24" s="296" t="s">
        <v>14</v>
      </c>
      <c r="F24" s="241">
        <v>1000</v>
      </c>
      <c r="G24" s="585"/>
      <c r="H24" s="363">
        <f t="shared" si="2"/>
        <v>0</v>
      </c>
      <c r="I24" s="332" t="s">
        <v>338</v>
      </c>
    </row>
    <row r="25" spans="2:9">
      <c r="B25" s="13"/>
      <c r="C25" s="14"/>
      <c r="D25" s="14"/>
      <c r="E25" s="296"/>
      <c r="F25" s="241"/>
      <c r="G25" s="585"/>
      <c r="H25" s="363"/>
      <c r="I25" s="331"/>
    </row>
    <row r="26" spans="2:9">
      <c r="B26" s="13" t="s">
        <v>339</v>
      </c>
      <c r="C26" s="14" t="s">
        <v>340</v>
      </c>
      <c r="D26" s="14" t="s">
        <v>33</v>
      </c>
      <c r="E26" s="296"/>
      <c r="F26" s="241">
        <v>1</v>
      </c>
      <c r="G26" s="585"/>
      <c r="H26" s="363">
        <f t="shared" si="2"/>
        <v>0</v>
      </c>
      <c r="I26" s="331"/>
    </row>
    <row r="27" spans="2:9">
      <c r="B27" s="13"/>
      <c r="C27" s="14"/>
      <c r="D27" s="14"/>
      <c r="E27" s="14"/>
      <c r="F27" s="240"/>
      <c r="G27" s="379"/>
      <c r="H27" s="363" t="str">
        <f t="shared" si="0"/>
        <v/>
      </c>
      <c r="I27" s="331"/>
    </row>
    <row r="28" spans="2:9" ht="25.5">
      <c r="B28" s="13" t="s">
        <v>341</v>
      </c>
      <c r="C28" s="14" t="s">
        <v>342</v>
      </c>
      <c r="D28" s="14" t="s">
        <v>58</v>
      </c>
      <c r="E28" s="14"/>
      <c r="F28" s="240">
        <v>400000</v>
      </c>
      <c r="G28" s="379">
        <v>1</v>
      </c>
      <c r="H28" s="363">
        <f t="shared" si="0"/>
        <v>400000</v>
      </c>
      <c r="I28" s="689" t="s">
        <v>114</v>
      </c>
    </row>
    <row r="29" spans="2:9">
      <c r="B29" s="13"/>
      <c r="C29" s="14"/>
      <c r="D29" s="14"/>
      <c r="E29" s="14"/>
      <c r="F29" s="240"/>
      <c r="G29" s="379"/>
      <c r="H29" s="363" t="str">
        <f t="shared" si="0"/>
        <v/>
      </c>
      <c r="I29" s="689"/>
    </row>
    <row r="30" spans="2:9" ht="25.5">
      <c r="B30" s="13" t="s">
        <v>343</v>
      </c>
      <c r="C30" s="14" t="s">
        <v>344</v>
      </c>
      <c r="D30" s="22" t="s">
        <v>55</v>
      </c>
      <c r="E30" s="22"/>
      <c r="F30" s="240">
        <f>H28</f>
        <v>400000</v>
      </c>
      <c r="G30" s="585"/>
      <c r="H30" s="363">
        <f t="shared" si="0"/>
        <v>0</v>
      </c>
      <c r="I30" s="689"/>
    </row>
    <row r="31" spans="2:9">
      <c r="B31" s="13"/>
      <c r="C31" s="14"/>
      <c r="D31" s="14"/>
      <c r="E31" s="14"/>
      <c r="F31" s="240"/>
      <c r="G31" s="379"/>
      <c r="H31" s="363" t="str">
        <f t="shared" si="0"/>
        <v/>
      </c>
    </row>
    <row r="32" spans="2:9">
      <c r="B32" s="13"/>
      <c r="C32" s="14"/>
      <c r="D32" s="14"/>
      <c r="E32" s="14"/>
      <c r="F32" s="240"/>
      <c r="G32" s="379"/>
      <c r="H32" s="363"/>
    </row>
    <row r="33" spans="2:9" ht="38.25">
      <c r="B33" s="13" t="s">
        <v>345</v>
      </c>
      <c r="C33" s="14" t="s">
        <v>346</v>
      </c>
      <c r="D33" s="14" t="s">
        <v>347</v>
      </c>
      <c r="E33" s="14"/>
      <c r="F33" s="240">
        <v>1900</v>
      </c>
      <c r="G33" s="585"/>
      <c r="H33" s="363">
        <f>G33*F33</f>
        <v>0</v>
      </c>
      <c r="I33" s="4" t="s">
        <v>114</v>
      </c>
    </row>
    <row r="34" spans="2:9">
      <c r="B34" s="13"/>
      <c r="C34" s="14"/>
      <c r="D34" s="14"/>
      <c r="E34" s="14"/>
      <c r="F34" s="240"/>
      <c r="G34" s="379"/>
      <c r="H34" s="363"/>
    </row>
    <row r="35" spans="2:9">
      <c r="B35" s="13"/>
      <c r="C35" s="14"/>
      <c r="D35" s="14"/>
      <c r="E35" s="14"/>
      <c r="F35" s="240"/>
      <c r="G35" s="379"/>
      <c r="H35" s="363"/>
    </row>
    <row r="36" spans="2:9">
      <c r="B36" s="13"/>
      <c r="C36" s="14"/>
      <c r="D36" s="14"/>
      <c r="E36" s="14"/>
      <c r="F36" s="240"/>
      <c r="G36" s="410"/>
      <c r="H36" s="363" t="str">
        <f t="shared" si="0"/>
        <v/>
      </c>
    </row>
    <row r="37" spans="2:9" s="2" customFormat="1" ht="24.95" customHeight="1">
      <c r="B37" s="290" t="str">
        <f>$B$10</f>
        <v>C2.1</v>
      </c>
      <c r="C37" s="276" t="s">
        <v>125</v>
      </c>
      <c r="D37" s="287"/>
      <c r="E37" s="287"/>
      <c r="F37" s="31"/>
      <c r="G37" s="412"/>
      <c r="H37" s="364">
        <f>SUM(H10:H36)</f>
        <v>1100000</v>
      </c>
      <c r="I37" s="333"/>
    </row>
    <row r="95" spans="3:3">
      <c r="C95" s="3" t="s">
        <v>99</v>
      </c>
    </row>
    <row r="120" spans="6:6">
      <c r="F120" s="352"/>
    </row>
    <row r="121" spans="6:6">
      <c r="F121" s="352"/>
    </row>
    <row r="122" spans="6:6">
      <c r="F122" s="352"/>
    </row>
    <row r="123" spans="6:6">
      <c r="F123" s="352"/>
    </row>
    <row r="124" spans="6:6">
      <c r="F124" s="352"/>
    </row>
    <row r="125" spans="6:6">
      <c r="F125" s="352"/>
    </row>
    <row r="126" spans="6:6">
      <c r="F126" s="352"/>
    </row>
    <row r="127" spans="6:6">
      <c r="F127" s="352"/>
    </row>
    <row r="128" spans="6:6">
      <c r="F128" s="352"/>
    </row>
    <row r="129" spans="6:6">
      <c r="F129" s="352"/>
    </row>
  </sheetData>
  <sheetProtection algorithmName="SHA-512" hashValue="mGmPSckJcWIQDRHoZlgzGXWaUH4el1piGCrgzY8TbOJl1ZcGaEVlkrIrSgXGlLuof7fBGRtTqvHtBoBeQA0zUw==" saltValue="G6Hins66vdUR/AtRQy0XLw==" spinCount="100000" sheet="1" objects="1" scenarios="1"/>
  <mergeCells count="6">
    <mergeCell ref="F1:H1"/>
    <mergeCell ref="H4:H7"/>
    <mergeCell ref="B4:G4"/>
    <mergeCell ref="B5:G7"/>
    <mergeCell ref="I28:I30"/>
    <mergeCell ref="I4:I8"/>
  </mergeCells>
  <pageMargins left="0.43307086614173229" right="0.31496062992125984" top="0.43307086614173229" bottom="0.62992125984251968" header="0.35433070866141736" footer="0.31496062992125984"/>
  <pageSetup paperSize="9" scale="55" firstPageNumber="31" fitToHeight="0"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34"/>
  <dimension ref="B1:I70"/>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C13.9</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ht="25.5">
      <c r="B10" s="69" t="s">
        <v>2519</v>
      </c>
      <c r="C10" s="20" t="s">
        <v>2520</v>
      </c>
      <c r="D10" s="22"/>
      <c r="E10" s="22"/>
      <c r="F10" s="22"/>
      <c r="G10" s="39"/>
      <c r="H10" s="17" t="str">
        <f t="shared" ref="H10:H69" si="0">IF(D10="","",F10*G10)</f>
        <v/>
      </c>
      <c r="I10" s="40"/>
    </row>
    <row r="11" spans="2:9">
      <c r="B11" s="69"/>
      <c r="C11" s="14"/>
      <c r="D11" s="22"/>
      <c r="E11" s="22"/>
      <c r="F11" s="22"/>
      <c r="G11" s="39"/>
      <c r="H11" s="17" t="str">
        <f t="shared" si="0"/>
        <v/>
      </c>
      <c r="I11" s="40"/>
    </row>
    <row r="12" spans="2:9">
      <c r="B12" s="48" t="s">
        <v>2521</v>
      </c>
      <c r="C12" s="14" t="s">
        <v>2522</v>
      </c>
      <c r="D12" s="22"/>
      <c r="E12" s="22"/>
      <c r="F12" s="22"/>
      <c r="G12" s="39"/>
      <c r="H12" s="17" t="str">
        <f t="shared" si="0"/>
        <v/>
      </c>
      <c r="I12" s="40"/>
    </row>
    <row r="13" spans="2:9">
      <c r="B13" s="48"/>
      <c r="C13" s="14"/>
      <c r="D13" s="22"/>
      <c r="E13" s="22"/>
      <c r="F13" s="22"/>
      <c r="G13" s="39"/>
      <c r="H13" s="17" t="str">
        <f t="shared" si="0"/>
        <v/>
      </c>
      <c r="I13" s="40"/>
    </row>
    <row r="14" spans="2:9">
      <c r="B14" s="48" t="s">
        <v>2523</v>
      </c>
      <c r="C14" s="14" t="s">
        <v>2524</v>
      </c>
      <c r="D14" s="22" t="s">
        <v>903</v>
      </c>
      <c r="E14" s="22"/>
      <c r="F14" s="23"/>
      <c r="G14" s="24"/>
      <c r="H14" s="17">
        <f t="shared" si="0"/>
        <v>0</v>
      </c>
      <c r="I14" s="41"/>
    </row>
    <row r="15" spans="2:9">
      <c r="B15" s="48"/>
      <c r="C15" s="14"/>
      <c r="D15" s="22"/>
      <c r="E15" s="22"/>
      <c r="F15" s="23"/>
      <c r="G15" s="24"/>
      <c r="H15" s="17" t="str">
        <f t="shared" si="0"/>
        <v/>
      </c>
      <c r="I15" s="41"/>
    </row>
    <row r="16" spans="2:9">
      <c r="B16" s="48" t="s">
        <v>2525</v>
      </c>
      <c r="C16" s="14" t="s">
        <v>2524</v>
      </c>
      <c r="D16" s="22" t="s">
        <v>347</v>
      </c>
      <c r="E16" s="22"/>
      <c r="F16" s="23"/>
      <c r="G16" s="24"/>
      <c r="H16" s="17">
        <f t="shared" si="0"/>
        <v>0</v>
      </c>
      <c r="I16" s="41"/>
    </row>
    <row r="17" spans="2:9">
      <c r="B17" s="48"/>
      <c r="C17" s="14"/>
      <c r="D17" s="22"/>
      <c r="E17" s="22"/>
      <c r="F17" s="23"/>
      <c r="G17" s="24"/>
      <c r="H17" s="17" t="str">
        <f t="shared" si="0"/>
        <v/>
      </c>
      <c r="I17" s="41"/>
    </row>
    <row r="18" spans="2:9">
      <c r="B18" s="48" t="s">
        <v>2526</v>
      </c>
      <c r="C18" s="14" t="s">
        <v>2524</v>
      </c>
      <c r="D18" s="22" t="s">
        <v>85</v>
      </c>
      <c r="E18" s="22"/>
      <c r="F18" s="23"/>
      <c r="G18" s="39"/>
      <c r="H18" s="17">
        <f t="shared" si="0"/>
        <v>0</v>
      </c>
      <c r="I18" s="40"/>
    </row>
    <row r="19" spans="2:9">
      <c r="B19" s="48"/>
      <c r="C19" s="14"/>
      <c r="D19" s="22"/>
      <c r="E19" s="36"/>
      <c r="F19" s="23"/>
      <c r="G19" s="42"/>
      <c r="H19" s="17" t="str">
        <f t="shared" si="0"/>
        <v/>
      </c>
      <c r="I19" s="40"/>
    </row>
    <row r="20" spans="2:9">
      <c r="B20" s="48" t="s">
        <v>2527</v>
      </c>
      <c r="C20" s="1" t="s">
        <v>2528</v>
      </c>
      <c r="D20" s="22"/>
      <c r="E20" s="36"/>
      <c r="F20" s="23"/>
      <c r="G20" s="44"/>
      <c r="H20" s="17" t="str">
        <f t="shared" si="0"/>
        <v/>
      </c>
    </row>
    <row r="21" spans="2:9">
      <c r="B21" s="48"/>
      <c r="C21" s="14"/>
      <c r="D21" s="22"/>
      <c r="E21" s="36"/>
      <c r="F21" s="23"/>
      <c r="G21" s="44"/>
      <c r="H21" s="17" t="str">
        <f t="shared" si="0"/>
        <v/>
      </c>
    </row>
    <row r="22" spans="2:9" ht="25.5">
      <c r="B22" s="48" t="s">
        <v>2529</v>
      </c>
      <c r="C22" s="14" t="s">
        <v>2530</v>
      </c>
      <c r="D22" s="22" t="s">
        <v>764</v>
      </c>
      <c r="E22" s="36"/>
      <c r="F22" s="23"/>
      <c r="G22" s="37"/>
      <c r="H22" s="17">
        <f t="shared" si="0"/>
        <v>0</v>
      </c>
    </row>
    <row r="23" spans="2:9">
      <c r="B23" s="48"/>
      <c r="C23" s="14"/>
      <c r="D23" s="22"/>
      <c r="E23" s="36"/>
      <c r="F23" s="23"/>
      <c r="G23" s="44"/>
      <c r="H23" s="17" t="str">
        <f t="shared" si="0"/>
        <v/>
      </c>
    </row>
    <row r="24" spans="2:9" ht="25.5">
      <c r="B24" s="48" t="s">
        <v>2531</v>
      </c>
      <c r="C24" s="14" t="s">
        <v>2530</v>
      </c>
      <c r="D24" s="22" t="s">
        <v>85</v>
      </c>
      <c r="E24" s="36"/>
      <c r="F24" s="23"/>
      <c r="G24" s="42"/>
      <c r="H24" s="17">
        <f t="shared" si="0"/>
        <v>0</v>
      </c>
    </row>
    <row r="25" spans="2:9">
      <c r="B25" s="48"/>
      <c r="C25" s="14"/>
      <c r="D25" s="22"/>
      <c r="E25" s="22"/>
      <c r="F25" s="23"/>
      <c r="G25" s="44"/>
      <c r="H25" s="17" t="str">
        <f t="shared" si="0"/>
        <v/>
      </c>
    </row>
    <row r="26" spans="2:9">
      <c r="B26" s="48" t="s">
        <v>2532</v>
      </c>
      <c r="C26" s="14" t="s">
        <v>2533</v>
      </c>
      <c r="D26" s="22"/>
      <c r="E26" s="15"/>
      <c r="F26" s="23"/>
      <c r="G26" s="37"/>
      <c r="H26" s="17" t="str">
        <f t="shared" si="0"/>
        <v/>
      </c>
      <c r="I26" s="41"/>
    </row>
    <row r="27" spans="2:9">
      <c r="B27" s="48"/>
      <c r="C27" s="14"/>
      <c r="D27" s="15"/>
      <c r="E27" s="15"/>
      <c r="F27" s="26"/>
      <c r="G27" s="27"/>
      <c r="H27" s="17" t="str">
        <f t="shared" si="0"/>
        <v/>
      </c>
      <c r="I27" s="18"/>
    </row>
    <row r="28" spans="2:9" s="35" customFormat="1">
      <c r="B28" s="48" t="s">
        <v>2534</v>
      </c>
      <c r="C28" s="14" t="s">
        <v>2535</v>
      </c>
      <c r="D28" s="22"/>
      <c r="E28" s="22"/>
      <c r="F28" s="26"/>
      <c r="G28" s="27"/>
      <c r="H28" s="17" t="str">
        <f t="shared" si="0"/>
        <v/>
      </c>
      <c r="I28" s="18"/>
    </row>
    <row r="29" spans="2:9">
      <c r="B29" s="48"/>
      <c r="C29" s="14"/>
      <c r="D29" s="22"/>
      <c r="E29" s="22"/>
      <c r="F29" s="23"/>
      <c r="G29" s="37"/>
      <c r="H29" s="17" t="str">
        <f t="shared" si="0"/>
        <v/>
      </c>
      <c r="I29" s="41"/>
    </row>
    <row r="30" spans="2:9" ht="25.5">
      <c r="B30" s="48" t="s">
        <v>83</v>
      </c>
      <c r="C30" s="14" t="s">
        <v>2536</v>
      </c>
      <c r="D30" s="22" t="s">
        <v>903</v>
      </c>
      <c r="E30" s="22"/>
      <c r="F30" s="23"/>
      <c r="G30" s="37"/>
      <c r="H30" s="17">
        <f t="shared" si="0"/>
        <v>0</v>
      </c>
      <c r="I30" s="41"/>
    </row>
    <row r="31" spans="2:9">
      <c r="B31" s="48"/>
      <c r="C31" s="14"/>
      <c r="D31" s="22"/>
      <c r="E31" s="22"/>
      <c r="F31" s="23"/>
      <c r="G31" s="45"/>
      <c r="H31" s="17" t="str">
        <f t="shared" si="0"/>
        <v/>
      </c>
      <c r="I31" s="40"/>
    </row>
    <row r="32" spans="2:9" ht="25.5">
      <c r="B32" s="48" t="s">
        <v>86</v>
      </c>
      <c r="C32" s="14" t="s">
        <v>2536</v>
      </c>
      <c r="D32" s="22" t="s">
        <v>347</v>
      </c>
      <c r="E32" s="22"/>
      <c r="F32" s="23"/>
      <c r="G32" s="45"/>
      <c r="H32" s="17">
        <f t="shared" si="0"/>
        <v>0</v>
      </c>
      <c r="I32" s="40"/>
    </row>
    <row r="33" spans="2:9">
      <c r="B33" s="48"/>
      <c r="C33" s="14"/>
      <c r="D33" s="22"/>
      <c r="E33" s="22"/>
      <c r="F33" s="23"/>
      <c r="G33" s="42"/>
      <c r="H33" s="17" t="str">
        <f t="shared" si="0"/>
        <v/>
      </c>
      <c r="I33" s="40"/>
    </row>
    <row r="34" spans="2:9" ht="25.5">
      <c r="B34" s="48" t="s">
        <v>117</v>
      </c>
      <c r="C34" s="14" t="s">
        <v>2536</v>
      </c>
      <c r="D34" s="22" t="s">
        <v>85</v>
      </c>
      <c r="E34" s="22"/>
      <c r="F34" s="23"/>
      <c r="G34" s="42"/>
      <c r="H34" s="17">
        <f t="shared" si="0"/>
        <v>0</v>
      </c>
      <c r="I34" s="40"/>
    </row>
    <row r="35" spans="2:9">
      <c r="B35" s="48"/>
      <c r="C35" s="14"/>
      <c r="D35" s="22"/>
      <c r="E35" s="22"/>
      <c r="F35" s="22"/>
      <c r="G35" s="39"/>
      <c r="H35" s="17" t="str">
        <f t="shared" si="0"/>
        <v/>
      </c>
      <c r="I35" s="40"/>
    </row>
    <row r="36" spans="2:9">
      <c r="B36" s="48" t="s">
        <v>2537</v>
      </c>
      <c r="C36" s="14" t="s">
        <v>2538</v>
      </c>
      <c r="D36" s="22"/>
      <c r="E36" s="22"/>
      <c r="F36" s="22"/>
      <c r="G36" s="39"/>
      <c r="H36" s="17" t="str">
        <f t="shared" si="0"/>
        <v/>
      </c>
      <c r="I36" s="40"/>
    </row>
    <row r="37" spans="2:9">
      <c r="B37" s="48"/>
      <c r="C37" s="14"/>
      <c r="D37" s="22"/>
      <c r="E37" s="22"/>
      <c r="F37" s="22"/>
      <c r="G37" s="37"/>
      <c r="H37" s="17" t="str">
        <f t="shared" si="0"/>
        <v/>
      </c>
      <c r="I37" s="40"/>
    </row>
    <row r="38" spans="2:9" ht="25.5">
      <c r="B38" s="48" t="s">
        <v>83</v>
      </c>
      <c r="C38" s="14" t="s">
        <v>2536</v>
      </c>
      <c r="D38" s="22" t="s">
        <v>903</v>
      </c>
      <c r="E38" s="22"/>
      <c r="F38" s="22"/>
      <c r="G38" s="37"/>
      <c r="H38" s="17">
        <f t="shared" si="0"/>
        <v>0</v>
      </c>
      <c r="I38" s="40"/>
    </row>
    <row r="39" spans="2:9">
      <c r="B39" s="48"/>
      <c r="C39" s="14"/>
      <c r="D39" s="22"/>
      <c r="E39" s="22"/>
      <c r="F39" s="22"/>
      <c r="G39" s="37"/>
      <c r="H39" s="17" t="str">
        <f t="shared" si="0"/>
        <v/>
      </c>
      <c r="I39" s="40"/>
    </row>
    <row r="40" spans="2:9" ht="25.5">
      <c r="B40" s="48" t="s">
        <v>86</v>
      </c>
      <c r="C40" s="14" t="s">
        <v>2536</v>
      </c>
      <c r="D40" s="22" t="s">
        <v>347</v>
      </c>
      <c r="E40" s="22"/>
      <c r="F40" s="22"/>
      <c r="G40" s="37"/>
      <c r="H40" s="17">
        <f t="shared" si="0"/>
        <v>0</v>
      </c>
      <c r="I40" s="40"/>
    </row>
    <row r="41" spans="2:9">
      <c r="B41" s="48"/>
      <c r="C41" s="14"/>
      <c r="D41" s="22"/>
      <c r="E41" s="22"/>
      <c r="F41" s="22"/>
      <c r="G41" s="37"/>
      <c r="H41" s="17" t="str">
        <f t="shared" si="0"/>
        <v/>
      </c>
      <c r="I41" s="40"/>
    </row>
    <row r="42" spans="2:9" ht="25.5">
      <c r="B42" s="48" t="s">
        <v>117</v>
      </c>
      <c r="C42" s="14" t="s">
        <v>2536</v>
      </c>
      <c r="D42" s="22" t="s">
        <v>85</v>
      </c>
      <c r="E42" s="22"/>
      <c r="F42" s="22"/>
      <c r="G42" s="37"/>
      <c r="H42" s="17">
        <f t="shared" si="0"/>
        <v>0</v>
      </c>
      <c r="I42" s="40"/>
    </row>
    <row r="43" spans="2:9">
      <c r="B43" s="48"/>
      <c r="C43" s="14"/>
      <c r="D43" s="22"/>
      <c r="E43" s="22"/>
      <c r="F43" s="22"/>
      <c r="G43" s="37"/>
      <c r="H43" s="17" t="str">
        <f t="shared" si="0"/>
        <v/>
      </c>
      <c r="I43" s="40"/>
    </row>
    <row r="44" spans="2:9">
      <c r="B44" s="48"/>
      <c r="C44" s="14"/>
      <c r="D44" s="22"/>
      <c r="E44" s="22"/>
      <c r="F44" s="22"/>
      <c r="G44" s="37"/>
      <c r="H44" s="17" t="str">
        <f t="shared" si="0"/>
        <v/>
      </c>
      <c r="I44" s="40"/>
    </row>
    <row r="45" spans="2:9">
      <c r="B45" s="48"/>
      <c r="C45" s="14"/>
      <c r="D45" s="22"/>
      <c r="E45" s="22"/>
      <c r="F45" s="22"/>
      <c r="G45" s="46"/>
      <c r="H45" s="17" t="str">
        <f t="shared" si="0"/>
        <v/>
      </c>
      <c r="I45" s="40"/>
    </row>
    <row r="46" spans="2:9">
      <c r="B46" s="48"/>
      <c r="C46" s="14"/>
      <c r="D46" s="22"/>
      <c r="E46" s="22"/>
      <c r="F46" s="22"/>
      <c r="G46" s="46"/>
      <c r="H46" s="17" t="str">
        <f t="shared" si="0"/>
        <v/>
      </c>
      <c r="I46" s="40"/>
    </row>
    <row r="47" spans="2:9">
      <c r="B47" s="48"/>
      <c r="C47" s="14"/>
      <c r="D47" s="22"/>
      <c r="E47" s="22"/>
      <c r="F47" s="22"/>
      <c r="G47" s="37"/>
      <c r="H47" s="17" t="str">
        <f t="shared" si="0"/>
        <v/>
      </c>
      <c r="I47" s="40"/>
    </row>
    <row r="48" spans="2:9">
      <c r="B48" s="48"/>
      <c r="C48" s="14"/>
      <c r="D48" s="22"/>
      <c r="E48" s="22"/>
      <c r="F48" s="22"/>
      <c r="G48" s="37"/>
      <c r="H48" s="17" t="str">
        <f t="shared" si="0"/>
        <v/>
      </c>
      <c r="I48" s="40"/>
    </row>
    <row r="49" spans="2:9">
      <c r="B49" s="48"/>
      <c r="C49" s="14"/>
      <c r="D49" s="22"/>
      <c r="E49" s="22"/>
      <c r="F49" s="22"/>
      <c r="G49" s="37"/>
      <c r="H49" s="17" t="str">
        <f t="shared" si="0"/>
        <v/>
      </c>
      <c r="I49" s="40"/>
    </row>
    <row r="50" spans="2:9">
      <c r="B50" s="48"/>
      <c r="C50" s="14"/>
      <c r="D50" s="22"/>
      <c r="E50" s="22"/>
      <c r="F50" s="22"/>
      <c r="G50" s="37"/>
      <c r="H50" s="17" t="str">
        <f t="shared" si="0"/>
        <v/>
      </c>
      <c r="I50" s="40"/>
    </row>
    <row r="51" spans="2:9">
      <c r="B51" s="48"/>
      <c r="C51" s="14"/>
      <c r="D51" s="22"/>
      <c r="E51" s="22"/>
      <c r="F51" s="22"/>
      <c r="G51" s="37"/>
      <c r="H51" s="17" t="str">
        <f t="shared" si="0"/>
        <v/>
      </c>
      <c r="I51" s="40"/>
    </row>
    <row r="52" spans="2:9">
      <c r="B52" s="48"/>
      <c r="C52" s="14"/>
      <c r="D52" s="22"/>
      <c r="E52" s="22"/>
      <c r="F52" s="22"/>
      <c r="G52" s="37"/>
      <c r="H52" s="17" t="str">
        <f t="shared" si="0"/>
        <v/>
      </c>
      <c r="I52" s="40"/>
    </row>
    <row r="53" spans="2:9">
      <c r="B53" s="48"/>
      <c r="C53" s="14"/>
      <c r="D53" s="22"/>
      <c r="E53" s="22"/>
      <c r="F53" s="22"/>
      <c r="G53" s="37"/>
      <c r="H53" s="17" t="str">
        <f t="shared" si="0"/>
        <v/>
      </c>
      <c r="I53" s="40"/>
    </row>
    <row r="54" spans="2:9">
      <c r="B54" s="48"/>
      <c r="C54" s="14"/>
      <c r="D54" s="36"/>
      <c r="E54" s="36"/>
      <c r="F54" s="22"/>
      <c r="G54" s="37"/>
      <c r="H54" s="17" t="str">
        <f t="shared" si="0"/>
        <v/>
      </c>
      <c r="I54" s="40"/>
    </row>
    <row r="55" spans="2:9">
      <c r="B55" s="48"/>
      <c r="C55" s="14"/>
      <c r="D55" s="22"/>
      <c r="E55" s="22"/>
      <c r="F55" s="36"/>
      <c r="G55" s="37"/>
      <c r="H55" s="17" t="str">
        <f t="shared" si="0"/>
        <v/>
      </c>
    </row>
    <row r="56" spans="2:9">
      <c r="B56" s="48"/>
      <c r="C56" s="14"/>
      <c r="D56" s="36"/>
      <c r="E56" s="36"/>
      <c r="F56" s="22"/>
      <c r="G56" s="37"/>
      <c r="H56" s="17" t="str">
        <f t="shared" si="0"/>
        <v/>
      </c>
      <c r="I56" s="40"/>
    </row>
    <row r="57" spans="2:9">
      <c r="B57" s="48"/>
      <c r="C57" s="14"/>
      <c r="D57" s="36"/>
      <c r="E57" s="36"/>
      <c r="F57" s="36"/>
      <c r="G57" s="37"/>
      <c r="H57" s="17" t="str">
        <f t="shared" si="0"/>
        <v/>
      </c>
      <c r="I57" s="47"/>
    </row>
    <row r="58" spans="2:9" ht="12.75" customHeight="1">
      <c r="B58" s="48"/>
      <c r="C58" s="14"/>
      <c r="D58" s="22"/>
      <c r="E58" s="22"/>
      <c r="F58" s="36"/>
      <c r="G58" s="37"/>
      <c r="H58" s="17" t="str">
        <f t="shared" si="0"/>
        <v/>
      </c>
    </row>
    <row r="59" spans="2:9">
      <c r="B59" s="48"/>
      <c r="C59" s="14"/>
      <c r="D59" s="22"/>
      <c r="E59" s="22"/>
      <c r="F59" s="22"/>
      <c r="G59" s="37"/>
      <c r="H59" s="17" t="str">
        <f t="shared" si="0"/>
        <v/>
      </c>
      <c r="I59" s="40"/>
    </row>
    <row r="60" spans="2:9">
      <c r="B60" s="48"/>
      <c r="C60" s="14"/>
      <c r="D60" s="22"/>
      <c r="E60" s="22"/>
      <c r="F60" s="22"/>
      <c r="G60" s="37"/>
      <c r="H60" s="17"/>
      <c r="I60" s="40"/>
    </row>
    <row r="61" spans="2:9">
      <c r="B61" s="48"/>
      <c r="C61" s="14"/>
      <c r="D61" s="22"/>
      <c r="E61" s="22"/>
      <c r="F61" s="22"/>
      <c r="G61" s="37"/>
      <c r="H61" s="17"/>
      <c r="I61" s="40"/>
    </row>
    <row r="62" spans="2:9">
      <c r="B62" s="48"/>
      <c r="C62" s="14"/>
      <c r="D62" s="22"/>
      <c r="E62" s="22"/>
      <c r="F62" s="22"/>
      <c r="G62" s="37"/>
      <c r="H62" s="17"/>
      <c r="I62" s="40"/>
    </row>
    <row r="63" spans="2:9">
      <c r="B63" s="48"/>
      <c r="C63" s="14"/>
      <c r="D63" s="22"/>
      <c r="E63" s="22"/>
      <c r="F63" s="22"/>
      <c r="G63" s="37"/>
      <c r="H63" s="17"/>
      <c r="I63" s="40"/>
    </row>
    <row r="64" spans="2:9">
      <c r="B64" s="48"/>
      <c r="C64" s="14"/>
      <c r="D64" s="22"/>
      <c r="E64" s="22"/>
      <c r="F64" s="22"/>
      <c r="G64" s="37"/>
      <c r="H64" s="17"/>
      <c r="I64" s="40"/>
    </row>
    <row r="65" spans="2:9">
      <c r="B65" s="48"/>
      <c r="C65" s="14"/>
      <c r="D65" s="22"/>
      <c r="E65" s="22"/>
      <c r="F65" s="22"/>
      <c r="G65" s="37"/>
      <c r="H65" s="17"/>
      <c r="I65" s="40"/>
    </row>
    <row r="66" spans="2:9">
      <c r="B66" s="48"/>
      <c r="C66" s="14"/>
      <c r="D66" s="22"/>
      <c r="E66" s="22"/>
      <c r="F66" s="22"/>
      <c r="G66" s="37"/>
      <c r="H66" s="17" t="str">
        <f t="shared" si="0"/>
        <v/>
      </c>
      <c r="I66" s="40"/>
    </row>
    <row r="67" spans="2:9">
      <c r="B67" s="48"/>
      <c r="C67" s="14"/>
      <c r="D67" s="22"/>
      <c r="E67" s="22"/>
      <c r="F67" s="22"/>
      <c r="G67" s="37"/>
      <c r="H67" s="17" t="str">
        <f t="shared" si="0"/>
        <v/>
      </c>
      <c r="I67" s="40"/>
    </row>
    <row r="68" spans="2:9">
      <c r="B68" s="48"/>
      <c r="C68" s="14"/>
      <c r="D68" s="22"/>
      <c r="E68" s="22"/>
      <c r="F68" s="22"/>
      <c r="G68" s="37"/>
      <c r="H68" s="17" t="str">
        <f t="shared" si="0"/>
        <v/>
      </c>
      <c r="I68" s="40"/>
    </row>
    <row r="69" spans="2:9">
      <c r="B69" s="48"/>
      <c r="C69" s="14"/>
      <c r="D69" s="22"/>
      <c r="E69" s="22"/>
      <c r="F69" s="22"/>
      <c r="G69" s="37"/>
      <c r="H69" s="17" t="str">
        <f t="shared" si="0"/>
        <v/>
      </c>
      <c r="I69" s="40"/>
    </row>
    <row r="70" spans="2:9" s="28" customFormat="1" ht="24.75" customHeight="1">
      <c r="B70" s="119" t="str">
        <f>$B$10</f>
        <v>C13.9</v>
      </c>
      <c r="C70" s="29" t="s">
        <v>125</v>
      </c>
      <c r="D70" s="30"/>
      <c r="E70" s="30"/>
      <c r="F70" s="31"/>
      <c r="G70" s="30"/>
      <c r="H70" s="32">
        <f>SUM(H9:H69)</f>
        <v>0</v>
      </c>
      <c r="I70"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35"/>
  <dimension ref="A1:I79"/>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1:9">
      <c r="A1" s="1">
        <v>0</v>
      </c>
      <c r="B1" s="2" t="str">
        <f>Client1</f>
        <v>AIRPORTS COMPANY - SOUTH AFRICA</v>
      </c>
      <c r="F1" s="732" t="str">
        <f>"Contract No. "&amp;ContractNo</f>
        <v>Contract No. KSIA7806/2025/RFP</v>
      </c>
      <c r="G1" s="732"/>
      <c r="H1" s="732"/>
    </row>
    <row r="2" spans="1:9">
      <c r="B2" s="90" t="str">
        <f>Client2</f>
        <v>ACSA</v>
      </c>
    </row>
    <row r="3" spans="1:9">
      <c r="B3" s="71"/>
      <c r="C3" s="71"/>
      <c r="D3" s="72"/>
      <c r="E3" s="72"/>
      <c r="F3" s="72"/>
      <c r="G3" s="73"/>
      <c r="H3" s="91"/>
    </row>
    <row r="4" spans="1:9">
      <c r="B4" s="695" t="s">
        <v>456</v>
      </c>
      <c r="C4" s="696"/>
      <c r="D4" s="696"/>
      <c r="E4" s="696"/>
      <c r="F4" s="696"/>
      <c r="G4" s="696"/>
      <c r="H4" s="770" t="str">
        <f>"CHAPTER "&amp;B10</f>
        <v>CHAPTER C13.10</v>
      </c>
      <c r="I4" s="6"/>
    </row>
    <row r="5" spans="1: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1:9" ht="12.75" customHeight="1">
      <c r="B6" s="690"/>
      <c r="C6" s="691"/>
      <c r="D6" s="691"/>
      <c r="E6" s="691"/>
      <c r="F6" s="691"/>
      <c r="G6" s="691"/>
      <c r="H6" s="771"/>
      <c r="I6" s="8"/>
    </row>
    <row r="7" spans="1:9" ht="7.5" customHeight="1">
      <c r="B7" s="692"/>
      <c r="C7" s="693"/>
      <c r="D7" s="693"/>
      <c r="E7" s="693"/>
      <c r="F7" s="693"/>
      <c r="G7" s="693"/>
      <c r="H7" s="772"/>
      <c r="I7" s="8"/>
    </row>
    <row r="8" spans="1:9" s="9" customFormat="1" ht="24.95" customHeight="1">
      <c r="B8" s="10" t="s">
        <v>11</v>
      </c>
      <c r="C8" s="11" t="s">
        <v>12</v>
      </c>
      <c r="D8" s="11" t="s">
        <v>13</v>
      </c>
      <c r="E8" s="11" t="s">
        <v>14</v>
      </c>
      <c r="F8" s="11" t="s">
        <v>15</v>
      </c>
      <c r="G8" s="11" t="s">
        <v>16</v>
      </c>
      <c r="H8" s="11" t="s">
        <v>17</v>
      </c>
      <c r="I8" s="12"/>
    </row>
    <row r="9" spans="1:9">
      <c r="B9" s="48"/>
      <c r="C9" s="14"/>
      <c r="D9" s="15"/>
      <c r="E9" s="15"/>
      <c r="F9" s="15"/>
      <c r="G9" s="16"/>
      <c r="H9" s="17" t="str">
        <f>IF(D9="","",F9*G9)</f>
        <v/>
      </c>
      <c r="I9" s="18"/>
    </row>
    <row r="10" spans="1:9">
      <c r="B10" s="69" t="s">
        <v>2539</v>
      </c>
      <c r="C10" s="20" t="s">
        <v>2540</v>
      </c>
      <c r="D10" s="22"/>
      <c r="E10" s="22"/>
      <c r="F10" s="22"/>
      <c r="G10" s="39"/>
      <c r="H10" s="17" t="str">
        <f t="shared" ref="H10:H78" si="0">IF(D10="","",F10*G10)</f>
        <v/>
      </c>
      <c r="I10" s="40"/>
    </row>
    <row r="11" spans="1:9">
      <c r="B11" s="69"/>
      <c r="C11" s="14"/>
      <c r="D11" s="22"/>
      <c r="E11" s="22"/>
      <c r="F11" s="22"/>
      <c r="G11" s="39"/>
      <c r="H11" s="17" t="str">
        <f t="shared" si="0"/>
        <v/>
      </c>
      <c r="I11" s="40"/>
    </row>
    <row r="12" spans="1:9">
      <c r="B12" s="48" t="s">
        <v>2541</v>
      </c>
      <c r="C12" s="14" t="s">
        <v>2542</v>
      </c>
      <c r="D12" s="22"/>
      <c r="E12" s="22"/>
      <c r="F12" s="22"/>
      <c r="G12" s="39"/>
      <c r="H12" s="17" t="str">
        <f t="shared" si="0"/>
        <v/>
      </c>
      <c r="I12" s="40"/>
    </row>
    <row r="13" spans="1:9">
      <c r="B13" s="48"/>
      <c r="C13" s="14"/>
      <c r="D13" s="22"/>
      <c r="E13" s="22"/>
      <c r="F13" s="22"/>
      <c r="G13" s="39"/>
      <c r="H13" s="17" t="str">
        <f t="shared" si="0"/>
        <v/>
      </c>
      <c r="I13" s="40"/>
    </row>
    <row r="14" spans="1:9" ht="14.25">
      <c r="B14" s="48" t="s">
        <v>2543</v>
      </c>
      <c r="C14" s="14" t="s">
        <v>2544</v>
      </c>
      <c r="D14" s="22" t="s">
        <v>124</v>
      </c>
      <c r="E14" s="22"/>
      <c r="F14" s="23"/>
      <c r="G14" s="24"/>
      <c r="H14" s="17">
        <f t="shared" si="0"/>
        <v>0</v>
      </c>
      <c r="I14" s="41"/>
    </row>
    <row r="15" spans="1:9">
      <c r="B15" s="48"/>
      <c r="C15" s="14"/>
      <c r="D15" s="22"/>
      <c r="E15" s="22"/>
      <c r="F15" s="23"/>
      <c r="G15" s="24"/>
      <c r="H15" s="17" t="str">
        <f t="shared" si="0"/>
        <v/>
      </c>
      <c r="I15" s="41"/>
    </row>
    <row r="16" spans="1:9">
      <c r="B16" s="48" t="s">
        <v>2545</v>
      </c>
      <c r="C16" s="14" t="s">
        <v>2544</v>
      </c>
      <c r="D16" s="22" t="s">
        <v>85</v>
      </c>
      <c r="E16" s="22"/>
      <c r="F16" s="23"/>
      <c r="G16" s="24"/>
      <c r="H16" s="17">
        <f t="shared" si="0"/>
        <v>0</v>
      </c>
      <c r="I16" s="41"/>
    </row>
    <row r="17" spans="2:9">
      <c r="B17" s="48"/>
      <c r="C17" s="14"/>
      <c r="D17" s="22"/>
      <c r="E17" s="22"/>
      <c r="F17" s="23"/>
      <c r="G17" s="24"/>
      <c r="H17" s="17" t="str">
        <f t="shared" si="0"/>
        <v/>
      </c>
      <c r="I17" s="41"/>
    </row>
    <row r="18" spans="2:9">
      <c r="B18" s="48" t="s">
        <v>2546</v>
      </c>
      <c r="C18" s="14" t="s">
        <v>2544</v>
      </c>
      <c r="D18" s="22" t="s">
        <v>347</v>
      </c>
      <c r="E18" s="22"/>
      <c r="F18" s="23"/>
      <c r="G18" s="39"/>
      <c r="H18" s="17">
        <f t="shared" si="0"/>
        <v>0</v>
      </c>
      <c r="I18" s="40"/>
    </row>
    <row r="19" spans="2:9">
      <c r="B19" s="48"/>
      <c r="C19" s="14"/>
      <c r="D19" s="22"/>
      <c r="E19" s="36"/>
      <c r="F19" s="23"/>
      <c r="G19" s="42"/>
      <c r="H19" s="17" t="str">
        <f t="shared" si="0"/>
        <v/>
      </c>
      <c r="I19" s="40"/>
    </row>
    <row r="20" spans="2:9">
      <c r="B20" s="48" t="s">
        <v>2547</v>
      </c>
      <c r="C20" s="1" t="s">
        <v>2544</v>
      </c>
      <c r="D20" s="22" t="s">
        <v>903</v>
      </c>
      <c r="E20" s="36"/>
      <c r="F20" s="23"/>
      <c r="G20" s="44"/>
      <c r="H20" s="17">
        <f t="shared" si="0"/>
        <v>0</v>
      </c>
    </row>
    <row r="21" spans="2:9">
      <c r="B21" s="48"/>
      <c r="C21" s="14"/>
      <c r="D21" s="22"/>
      <c r="E21" s="36"/>
      <c r="F21" s="23"/>
      <c r="G21" s="44"/>
      <c r="H21" s="17" t="str">
        <f t="shared" si="0"/>
        <v/>
      </c>
    </row>
    <row r="22" spans="2:9">
      <c r="B22" s="48" t="s">
        <v>2548</v>
      </c>
      <c r="C22" s="14" t="s">
        <v>2549</v>
      </c>
      <c r="D22" s="22"/>
      <c r="E22" s="36"/>
      <c r="F22" s="23"/>
      <c r="G22" s="37"/>
      <c r="H22" s="17" t="str">
        <f t="shared" si="0"/>
        <v/>
      </c>
    </row>
    <row r="23" spans="2:9">
      <c r="B23" s="48"/>
      <c r="C23" s="14"/>
      <c r="D23" s="22"/>
      <c r="E23" s="36"/>
      <c r="F23" s="23"/>
      <c r="G23" s="44"/>
      <c r="H23" s="17" t="str">
        <f t="shared" si="0"/>
        <v/>
      </c>
    </row>
    <row r="24" spans="2:9" ht="14.25">
      <c r="B24" s="48" t="s">
        <v>2550</v>
      </c>
      <c r="C24" s="14" t="s">
        <v>2544</v>
      </c>
      <c r="D24" s="22" t="s">
        <v>124</v>
      </c>
      <c r="E24" s="36"/>
      <c r="F24" s="23"/>
      <c r="G24" s="42"/>
      <c r="H24" s="17">
        <f t="shared" si="0"/>
        <v>0</v>
      </c>
    </row>
    <row r="25" spans="2:9">
      <c r="B25" s="48"/>
      <c r="C25" s="14"/>
      <c r="D25" s="22"/>
      <c r="E25" s="22"/>
      <c r="F25" s="23"/>
      <c r="G25" s="44"/>
      <c r="H25" s="17" t="str">
        <f t="shared" si="0"/>
        <v/>
      </c>
    </row>
    <row r="26" spans="2:9">
      <c r="B26" s="48" t="s">
        <v>2551</v>
      </c>
      <c r="C26" s="14" t="s">
        <v>2544</v>
      </c>
      <c r="D26" s="22" t="s">
        <v>85</v>
      </c>
      <c r="E26" s="15"/>
      <c r="F26" s="23"/>
      <c r="G26" s="37"/>
      <c r="H26" s="17">
        <f t="shared" si="0"/>
        <v>0</v>
      </c>
      <c r="I26" s="41"/>
    </row>
    <row r="27" spans="2:9">
      <c r="B27" s="48"/>
      <c r="C27" s="14"/>
      <c r="D27" s="22"/>
      <c r="E27" s="15"/>
      <c r="F27" s="26"/>
      <c r="G27" s="27"/>
      <c r="H27" s="17" t="str">
        <f t="shared" si="0"/>
        <v/>
      </c>
      <c r="I27" s="18"/>
    </row>
    <row r="28" spans="2:9" s="35" customFormat="1">
      <c r="B28" s="48" t="s">
        <v>2552</v>
      </c>
      <c r="C28" s="14" t="s">
        <v>2544</v>
      </c>
      <c r="D28" s="22" t="s">
        <v>347</v>
      </c>
      <c r="E28" s="22"/>
      <c r="F28" s="26"/>
      <c r="G28" s="27"/>
      <c r="H28" s="17">
        <f t="shared" si="0"/>
        <v>0</v>
      </c>
      <c r="I28" s="18"/>
    </row>
    <row r="29" spans="2:9">
      <c r="B29" s="48"/>
      <c r="C29" s="14"/>
      <c r="D29" s="22"/>
      <c r="E29" s="22"/>
      <c r="F29" s="23"/>
      <c r="G29" s="37"/>
      <c r="H29" s="17" t="str">
        <f t="shared" si="0"/>
        <v/>
      </c>
      <c r="I29" s="41"/>
    </row>
    <row r="30" spans="2:9">
      <c r="B30" s="48" t="s">
        <v>2553</v>
      </c>
      <c r="C30" s="14" t="s">
        <v>2544</v>
      </c>
      <c r="D30" s="22" t="s">
        <v>903</v>
      </c>
      <c r="E30" s="22"/>
      <c r="F30" s="23"/>
      <c r="G30" s="37"/>
      <c r="H30" s="17">
        <f t="shared" si="0"/>
        <v>0</v>
      </c>
      <c r="I30" s="41"/>
    </row>
    <row r="31" spans="2:9">
      <c r="B31" s="48"/>
      <c r="C31" s="14"/>
      <c r="D31" s="22"/>
      <c r="E31" s="22"/>
      <c r="F31" s="23"/>
      <c r="G31" s="45"/>
      <c r="H31" s="17" t="str">
        <f t="shared" si="0"/>
        <v/>
      </c>
      <c r="I31" s="40"/>
    </row>
    <row r="32" spans="2:9">
      <c r="B32" s="48"/>
      <c r="C32" s="14"/>
      <c r="D32" s="22"/>
      <c r="E32" s="22"/>
      <c r="F32" s="23"/>
      <c r="G32" s="45"/>
      <c r="H32" s="17" t="str">
        <f t="shared" si="0"/>
        <v/>
      </c>
      <c r="I32" s="40"/>
    </row>
    <row r="33" spans="2:9">
      <c r="B33" s="48"/>
      <c r="C33" s="14"/>
      <c r="D33" s="22"/>
      <c r="E33" s="22"/>
      <c r="F33" s="23"/>
      <c r="G33" s="42"/>
      <c r="H33" s="17" t="str">
        <f t="shared" si="0"/>
        <v/>
      </c>
      <c r="I33" s="40"/>
    </row>
    <row r="34" spans="2:9">
      <c r="B34" s="48"/>
      <c r="C34" s="14"/>
      <c r="D34" s="22"/>
      <c r="E34" s="22"/>
      <c r="F34" s="23"/>
      <c r="G34" s="42"/>
      <c r="H34" s="17" t="str">
        <f t="shared" si="0"/>
        <v/>
      </c>
      <c r="I34" s="40"/>
    </row>
    <row r="35" spans="2:9">
      <c r="B35" s="48"/>
      <c r="C35" s="14"/>
      <c r="D35" s="22"/>
      <c r="E35" s="22"/>
      <c r="F35" s="22"/>
      <c r="G35" s="39"/>
      <c r="H35" s="17" t="str">
        <f t="shared" si="0"/>
        <v/>
      </c>
      <c r="I35" s="40"/>
    </row>
    <row r="36" spans="2:9">
      <c r="B36" s="48"/>
      <c r="C36" s="14"/>
      <c r="D36" s="22"/>
      <c r="E36" s="22"/>
      <c r="F36" s="22"/>
      <c r="G36" s="39"/>
      <c r="H36" s="17" t="str">
        <f t="shared" si="0"/>
        <v/>
      </c>
      <c r="I36" s="40"/>
    </row>
    <row r="37" spans="2:9">
      <c r="B37" s="48"/>
      <c r="C37" s="14"/>
      <c r="D37" s="22"/>
      <c r="E37" s="22"/>
      <c r="F37" s="22"/>
      <c r="G37" s="37"/>
      <c r="H37" s="17" t="str">
        <f t="shared" si="0"/>
        <v/>
      </c>
      <c r="I37" s="40"/>
    </row>
    <row r="38" spans="2:9">
      <c r="B38" s="48"/>
      <c r="C38" s="14"/>
      <c r="D38" s="22"/>
      <c r="E38" s="22"/>
      <c r="F38" s="22"/>
      <c r="G38" s="37"/>
      <c r="H38" s="17" t="str">
        <f t="shared" si="0"/>
        <v/>
      </c>
      <c r="I38" s="40"/>
    </row>
    <row r="39" spans="2:9">
      <c r="B39" s="48"/>
      <c r="C39" s="14"/>
      <c r="D39" s="22"/>
      <c r="E39" s="22"/>
      <c r="F39" s="22"/>
      <c r="G39" s="37"/>
      <c r="H39" s="17" t="str">
        <f t="shared" si="0"/>
        <v/>
      </c>
      <c r="I39" s="40"/>
    </row>
    <row r="40" spans="2:9">
      <c r="B40" s="48"/>
      <c r="C40" s="14"/>
      <c r="D40" s="22"/>
      <c r="E40" s="22"/>
      <c r="F40" s="22"/>
      <c r="G40" s="37"/>
      <c r="H40" s="17" t="str">
        <f t="shared" si="0"/>
        <v/>
      </c>
      <c r="I40" s="40"/>
    </row>
    <row r="41" spans="2:9">
      <c r="B41" s="48"/>
      <c r="C41" s="14"/>
      <c r="D41" s="22"/>
      <c r="E41" s="22"/>
      <c r="F41" s="22"/>
      <c r="G41" s="37"/>
      <c r="H41" s="17" t="str">
        <f t="shared" si="0"/>
        <v/>
      </c>
      <c r="I41" s="40"/>
    </row>
    <row r="42" spans="2:9">
      <c r="B42" s="48"/>
      <c r="C42" s="14"/>
      <c r="D42" s="22"/>
      <c r="E42" s="22"/>
      <c r="F42" s="22"/>
      <c r="G42" s="37"/>
      <c r="H42" s="17" t="str">
        <f t="shared" si="0"/>
        <v/>
      </c>
      <c r="I42" s="40"/>
    </row>
    <row r="43" spans="2:9">
      <c r="B43" s="48"/>
      <c r="C43" s="14"/>
      <c r="D43" s="22"/>
      <c r="E43" s="22"/>
      <c r="F43" s="22"/>
      <c r="G43" s="37"/>
      <c r="H43" s="17" t="str">
        <f t="shared" si="0"/>
        <v/>
      </c>
      <c r="I43" s="40"/>
    </row>
    <row r="44" spans="2:9">
      <c r="B44" s="48"/>
      <c r="C44" s="14"/>
      <c r="D44" s="22"/>
      <c r="E44" s="22"/>
      <c r="F44" s="22"/>
      <c r="G44" s="37"/>
      <c r="H44" s="17" t="str">
        <f t="shared" si="0"/>
        <v/>
      </c>
      <c r="I44" s="40"/>
    </row>
    <row r="45" spans="2:9">
      <c r="B45" s="48"/>
      <c r="C45" s="14"/>
      <c r="D45" s="22"/>
      <c r="E45" s="22"/>
      <c r="F45" s="22"/>
      <c r="G45" s="46"/>
      <c r="H45" s="17" t="str">
        <f t="shared" si="0"/>
        <v/>
      </c>
      <c r="I45" s="40"/>
    </row>
    <row r="46" spans="2:9">
      <c r="B46" s="48"/>
      <c r="C46" s="14"/>
      <c r="D46" s="22"/>
      <c r="E46" s="22"/>
      <c r="F46" s="22"/>
      <c r="G46" s="46"/>
      <c r="H46" s="17" t="str">
        <f t="shared" si="0"/>
        <v/>
      </c>
      <c r="I46" s="40"/>
    </row>
    <row r="47" spans="2:9">
      <c r="B47" s="48"/>
      <c r="C47" s="14"/>
      <c r="D47" s="22"/>
      <c r="E47" s="22"/>
      <c r="F47" s="22"/>
      <c r="G47" s="37"/>
      <c r="H47" s="17" t="str">
        <f t="shared" si="0"/>
        <v/>
      </c>
      <c r="I47" s="40"/>
    </row>
    <row r="48" spans="2:9">
      <c r="B48" s="48"/>
      <c r="C48" s="14"/>
      <c r="D48" s="22"/>
      <c r="E48" s="22"/>
      <c r="F48" s="22"/>
      <c r="G48" s="37"/>
      <c r="H48" s="17" t="str">
        <f t="shared" si="0"/>
        <v/>
      </c>
      <c r="I48" s="40"/>
    </row>
    <row r="49" spans="2:9">
      <c r="B49" s="48"/>
      <c r="C49" s="14"/>
      <c r="D49" s="22"/>
      <c r="E49" s="22"/>
      <c r="F49" s="22"/>
      <c r="G49" s="37"/>
      <c r="H49" s="17" t="str">
        <f t="shared" si="0"/>
        <v/>
      </c>
      <c r="I49" s="40"/>
    </row>
    <row r="50" spans="2:9">
      <c r="B50" s="48"/>
      <c r="C50" s="14"/>
      <c r="D50" s="22"/>
      <c r="E50" s="22"/>
      <c r="F50" s="22"/>
      <c r="G50" s="37"/>
      <c r="H50" s="17" t="str">
        <f t="shared" si="0"/>
        <v/>
      </c>
      <c r="I50" s="40"/>
    </row>
    <row r="51" spans="2:9">
      <c r="B51" s="48"/>
      <c r="C51" s="14"/>
      <c r="D51" s="22"/>
      <c r="E51" s="22"/>
      <c r="F51" s="22"/>
      <c r="G51" s="37"/>
      <c r="H51" s="17" t="str">
        <f t="shared" si="0"/>
        <v/>
      </c>
      <c r="I51" s="40"/>
    </row>
    <row r="52" spans="2:9">
      <c r="B52" s="48"/>
      <c r="C52" s="14"/>
      <c r="D52" s="22"/>
      <c r="E52" s="22"/>
      <c r="F52" s="22"/>
      <c r="G52" s="37"/>
      <c r="H52" s="17" t="str">
        <f t="shared" si="0"/>
        <v/>
      </c>
      <c r="I52" s="40"/>
    </row>
    <row r="53" spans="2:9">
      <c r="B53" s="48"/>
      <c r="C53" s="14"/>
      <c r="D53" s="22"/>
      <c r="E53" s="22"/>
      <c r="F53" s="22"/>
      <c r="G53" s="37"/>
      <c r="H53" s="17" t="str">
        <f t="shared" si="0"/>
        <v/>
      </c>
      <c r="I53" s="40"/>
    </row>
    <row r="54" spans="2:9">
      <c r="B54" s="48"/>
      <c r="C54" s="14"/>
      <c r="D54" s="22"/>
      <c r="E54" s="22"/>
      <c r="F54" s="22"/>
      <c r="G54" s="37"/>
      <c r="H54" s="17"/>
      <c r="I54" s="40"/>
    </row>
    <row r="55" spans="2:9">
      <c r="B55" s="48"/>
      <c r="C55" s="14"/>
      <c r="D55" s="22"/>
      <c r="E55" s="22"/>
      <c r="F55" s="22"/>
      <c r="G55" s="37"/>
      <c r="H55" s="17"/>
      <c r="I55" s="40"/>
    </row>
    <row r="56" spans="2:9">
      <c r="B56" s="48"/>
      <c r="C56" s="14"/>
      <c r="D56" s="22"/>
      <c r="E56" s="22"/>
      <c r="F56" s="22"/>
      <c r="G56" s="37"/>
      <c r="H56" s="17"/>
      <c r="I56" s="40"/>
    </row>
    <row r="57" spans="2:9">
      <c r="B57" s="48"/>
      <c r="C57" s="14"/>
      <c r="D57" s="22"/>
      <c r="E57" s="22"/>
      <c r="F57" s="22"/>
      <c r="G57" s="37"/>
      <c r="H57" s="17"/>
      <c r="I57" s="40"/>
    </row>
    <row r="58" spans="2:9">
      <c r="B58" s="48"/>
      <c r="C58" s="14"/>
      <c r="D58" s="22"/>
      <c r="E58" s="22"/>
      <c r="F58" s="22"/>
      <c r="G58" s="37"/>
      <c r="H58" s="17"/>
      <c r="I58" s="40"/>
    </row>
    <row r="59" spans="2:9">
      <c r="B59" s="48"/>
      <c r="C59" s="14"/>
      <c r="D59" s="22"/>
      <c r="E59" s="22"/>
      <c r="F59" s="22"/>
      <c r="G59" s="37"/>
      <c r="H59" s="17"/>
      <c r="I59" s="40"/>
    </row>
    <row r="60" spans="2:9">
      <c r="B60" s="48"/>
      <c r="C60" s="14"/>
      <c r="D60" s="22"/>
      <c r="E60" s="22"/>
      <c r="F60" s="22"/>
      <c r="G60" s="37"/>
      <c r="H60" s="17"/>
      <c r="I60" s="40"/>
    </row>
    <row r="61" spans="2:9">
      <c r="B61" s="48"/>
      <c r="C61" s="14"/>
      <c r="D61" s="22"/>
      <c r="E61" s="22"/>
      <c r="F61" s="22"/>
      <c r="G61" s="37"/>
      <c r="H61" s="17"/>
      <c r="I61" s="40"/>
    </row>
    <row r="62" spans="2:9">
      <c r="B62" s="48"/>
      <c r="C62" s="14"/>
      <c r="D62" s="22"/>
      <c r="E62" s="22"/>
      <c r="F62" s="22"/>
      <c r="G62" s="37"/>
      <c r="H62" s="17"/>
      <c r="I62" s="40"/>
    </row>
    <row r="63" spans="2:9">
      <c r="B63" s="48"/>
      <c r="C63" s="14"/>
      <c r="D63" s="22"/>
      <c r="E63" s="22"/>
      <c r="F63" s="22"/>
      <c r="G63" s="37"/>
      <c r="H63" s="17"/>
      <c r="I63" s="40"/>
    </row>
    <row r="64" spans="2:9">
      <c r="B64" s="48"/>
      <c r="C64" s="14"/>
      <c r="D64" s="22"/>
      <c r="E64" s="22"/>
      <c r="F64" s="22"/>
      <c r="G64" s="37"/>
      <c r="H64" s="17"/>
      <c r="I64" s="40"/>
    </row>
    <row r="65" spans="2:9">
      <c r="B65" s="48"/>
      <c r="C65" s="14"/>
      <c r="D65" s="22"/>
      <c r="E65" s="22"/>
      <c r="F65" s="22"/>
      <c r="G65" s="37"/>
      <c r="H65" s="17"/>
      <c r="I65" s="40"/>
    </row>
    <row r="66" spans="2:9">
      <c r="B66" s="48"/>
      <c r="C66" s="14"/>
      <c r="D66" s="22"/>
      <c r="E66" s="22"/>
      <c r="F66" s="22"/>
      <c r="G66" s="37"/>
      <c r="H66" s="17"/>
      <c r="I66" s="40"/>
    </row>
    <row r="67" spans="2:9">
      <c r="B67" s="48"/>
      <c r="C67" s="14"/>
      <c r="D67" s="22"/>
      <c r="E67" s="22"/>
      <c r="F67" s="22"/>
      <c r="G67" s="37"/>
      <c r="H67" s="17"/>
      <c r="I67" s="40"/>
    </row>
    <row r="68" spans="2:9">
      <c r="B68" s="48"/>
      <c r="C68" s="14"/>
      <c r="D68" s="22"/>
      <c r="E68" s="22"/>
      <c r="F68" s="22"/>
      <c r="G68" s="37"/>
      <c r="H68" s="17"/>
      <c r="I68" s="40"/>
    </row>
    <row r="69" spans="2:9">
      <c r="B69" s="48"/>
      <c r="C69" s="14"/>
      <c r="D69" s="22"/>
      <c r="E69" s="22"/>
      <c r="F69" s="22"/>
      <c r="G69" s="37"/>
      <c r="H69" s="17"/>
      <c r="I69" s="40"/>
    </row>
    <row r="70" spans="2:9">
      <c r="B70" s="48"/>
      <c r="C70" s="14"/>
      <c r="D70" s="22"/>
      <c r="E70" s="22"/>
      <c r="F70" s="22"/>
      <c r="G70" s="37"/>
      <c r="H70" s="17"/>
      <c r="I70" s="40"/>
    </row>
    <row r="71" spans="2:9">
      <c r="B71" s="48"/>
      <c r="C71" s="14"/>
      <c r="D71" s="22"/>
      <c r="E71" s="22"/>
      <c r="F71" s="22"/>
      <c r="G71" s="37"/>
      <c r="H71" s="17"/>
      <c r="I71" s="40"/>
    </row>
    <row r="72" spans="2:9">
      <c r="B72" s="48"/>
      <c r="C72" s="14"/>
      <c r="D72" s="22"/>
      <c r="E72" s="22"/>
      <c r="F72" s="22"/>
      <c r="G72" s="37"/>
      <c r="H72" s="17"/>
      <c r="I72" s="40"/>
    </row>
    <row r="73" spans="2:9">
      <c r="B73" s="48"/>
      <c r="C73" s="14"/>
      <c r="D73" s="22"/>
      <c r="E73" s="22"/>
      <c r="F73" s="22"/>
      <c r="G73" s="37"/>
      <c r="H73" s="17"/>
      <c r="I73" s="40"/>
    </row>
    <row r="74" spans="2:9">
      <c r="B74" s="48"/>
      <c r="C74" s="14"/>
      <c r="D74" s="22"/>
      <c r="E74" s="22"/>
      <c r="F74" s="22"/>
      <c r="G74" s="37"/>
      <c r="H74" s="17"/>
      <c r="I74" s="40"/>
    </row>
    <row r="75" spans="2:9">
      <c r="B75" s="48"/>
      <c r="C75" s="14"/>
      <c r="D75" s="22"/>
      <c r="E75" s="22"/>
      <c r="F75" s="22"/>
      <c r="G75" s="37"/>
      <c r="H75" s="17"/>
      <c r="I75" s="40"/>
    </row>
    <row r="76" spans="2:9">
      <c r="B76" s="48"/>
      <c r="C76" s="14"/>
      <c r="D76" s="36"/>
      <c r="E76" s="36"/>
      <c r="F76" s="22"/>
      <c r="G76" s="37"/>
      <c r="H76" s="17" t="str">
        <f t="shared" si="0"/>
        <v/>
      </c>
      <c r="I76" s="40"/>
    </row>
    <row r="77" spans="2:9">
      <c r="B77" s="48"/>
      <c r="C77" s="14"/>
      <c r="D77" s="36"/>
      <c r="E77" s="36"/>
      <c r="F77" s="36"/>
      <c r="G77" s="37"/>
      <c r="H77" s="17" t="str">
        <f t="shared" si="0"/>
        <v/>
      </c>
      <c r="I77" s="47"/>
    </row>
    <row r="78" spans="2:9">
      <c r="B78" s="48"/>
      <c r="C78" s="14"/>
      <c r="D78" s="22"/>
      <c r="E78" s="22"/>
      <c r="F78" s="22"/>
      <c r="G78" s="37"/>
      <c r="H78" s="17" t="str">
        <f t="shared" si="0"/>
        <v/>
      </c>
      <c r="I78" s="40"/>
    </row>
    <row r="79" spans="2:9" s="28" customFormat="1" ht="24.75" customHeight="1">
      <c r="B79" s="119" t="str">
        <f>$B$10</f>
        <v>C13.10</v>
      </c>
      <c r="C79" s="29" t="s">
        <v>125</v>
      </c>
      <c r="D79" s="30"/>
      <c r="E79" s="30"/>
      <c r="F79" s="31"/>
      <c r="G79" s="30"/>
      <c r="H79" s="32">
        <f>SUM(H9:H78)</f>
        <v>0</v>
      </c>
      <c r="I79"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36"/>
  <dimension ref="B1:I76"/>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C13.11</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ht="25.5">
      <c r="B10" s="69" t="s">
        <v>2554</v>
      </c>
      <c r="C10" s="20" t="s">
        <v>2555</v>
      </c>
      <c r="D10" s="22"/>
      <c r="E10" s="22"/>
      <c r="F10" s="22"/>
      <c r="G10" s="39"/>
      <c r="H10" s="17" t="str">
        <f t="shared" ref="H10:H75" si="0">IF(D10="","",F10*G10)</f>
        <v/>
      </c>
      <c r="I10" s="40"/>
    </row>
    <row r="11" spans="2:9">
      <c r="B11" s="69"/>
      <c r="C11" s="14"/>
      <c r="D11" s="22"/>
      <c r="E11" s="22"/>
      <c r="F11" s="22"/>
      <c r="G11" s="39"/>
      <c r="H11" s="17" t="str">
        <f t="shared" si="0"/>
        <v/>
      </c>
      <c r="I11" s="40"/>
    </row>
    <row r="12" spans="2:9" ht="25.5">
      <c r="B12" s="48" t="s">
        <v>2556</v>
      </c>
      <c r="C12" s="14" t="s">
        <v>2557</v>
      </c>
      <c r="D12" s="22" t="s">
        <v>903</v>
      </c>
      <c r="E12" s="22"/>
      <c r="F12" s="22"/>
      <c r="G12" s="39"/>
      <c r="H12" s="17">
        <f t="shared" si="0"/>
        <v>0</v>
      </c>
      <c r="I12" s="40"/>
    </row>
    <row r="13" spans="2:9">
      <c r="B13" s="48"/>
      <c r="C13" s="14"/>
      <c r="D13" s="22"/>
      <c r="E13" s="22"/>
      <c r="F13" s="22"/>
      <c r="G13" s="39"/>
      <c r="H13" s="17" t="str">
        <f t="shared" si="0"/>
        <v/>
      </c>
      <c r="I13" s="40"/>
    </row>
    <row r="14" spans="2:9" ht="25.5">
      <c r="B14" s="48" t="s">
        <v>2558</v>
      </c>
      <c r="C14" s="14" t="s">
        <v>2559</v>
      </c>
      <c r="D14" s="22" t="s">
        <v>85</v>
      </c>
      <c r="E14" s="22"/>
      <c r="F14" s="23"/>
      <c r="G14" s="24"/>
      <c r="H14" s="17">
        <f t="shared" si="0"/>
        <v>0</v>
      </c>
      <c r="I14" s="41"/>
    </row>
    <row r="15" spans="2:9">
      <c r="B15" s="48"/>
      <c r="C15" s="14"/>
      <c r="D15" s="22"/>
      <c r="E15" s="22"/>
      <c r="F15" s="23"/>
      <c r="G15" s="24"/>
      <c r="H15" s="17" t="str">
        <f t="shared" si="0"/>
        <v/>
      </c>
      <c r="I15" s="41"/>
    </row>
    <row r="16" spans="2:9">
      <c r="B16" s="48"/>
      <c r="C16" s="14"/>
      <c r="D16" s="22"/>
      <c r="E16" s="22"/>
      <c r="F16" s="23"/>
      <c r="G16" s="24"/>
      <c r="H16" s="17" t="str">
        <f t="shared" si="0"/>
        <v/>
      </c>
      <c r="I16" s="41"/>
    </row>
    <row r="17" spans="2:9">
      <c r="B17" s="48"/>
      <c r="C17" s="14"/>
      <c r="D17" s="22"/>
      <c r="E17" s="22"/>
      <c r="F17" s="23"/>
      <c r="G17" s="24"/>
      <c r="H17" s="17" t="str">
        <f t="shared" si="0"/>
        <v/>
      </c>
      <c r="I17" s="41"/>
    </row>
    <row r="18" spans="2:9">
      <c r="B18" s="48"/>
      <c r="C18" s="14"/>
      <c r="D18" s="22"/>
      <c r="E18" s="22"/>
      <c r="F18" s="23"/>
      <c r="G18" s="39"/>
      <c r="H18" s="17" t="str">
        <f t="shared" si="0"/>
        <v/>
      </c>
      <c r="I18" s="40"/>
    </row>
    <row r="19" spans="2:9">
      <c r="B19" s="48"/>
      <c r="C19" s="14"/>
      <c r="D19" s="22"/>
      <c r="E19" s="36"/>
      <c r="F19" s="23"/>
      <c r="G19" s="42"/>
      <c r="H19" s="17" t="str">
        <f t="shared" si="0"/>
        <v/>
      </c>
      <c r="I19" s="40"/>
    </row>
    <row r="20" spans="2:9">
      <c r="B20" s="48"/>
      <c r="C20" s="1"/>
      <c r="D20" s="22"/>
      <c r="E20" s="36"/>
      <c r="F20" s="23"/>
      <c r="G20" s="44"/>
      <c r="H20" s="17" t="str">
        <f t="shared" si="0"/>
        <v/>
      </c>
    </row>
    <row r="21" spans="2:9">
      <c r="B21" s="48"/>
      <c r="C21" s="14"/>
      <c r="D21" s="22"/>
      <c r="E21" s="36"/>
      <c r="F21" s="23"/>
      <c r="G21" s="44"/>
      <c r="H21" s="17" t="str">
        <f t="shared" si="0"/>
        <v/>
      </c>
    </row>
    <row r="22" spans="2:9">
      <c r="B22" s="48"/>
      <c r="C22" s="14"/>
      <c r="D22" s="22"/>
      <c r="E22" s="36"/>
      <c r="F22" s="23"/>
      <c r="G22" s="37"/>
      <c r="H22" s="17" t="str">
        <f t="shared" si="0"/>
        <v/>
      </c>
    </row>
    <row r="23" spans="2:9">
      <c r="B23" s="48"/>
      <c r="C23" s="14"/>
      <c r="D23" s="22"/>
      <c r="E23" s="36"/>
      <c r="F23" s="23"/>
      <c r="G23" s="44"/>
      <c r="H23" s="17" t="str">
        <f t="shared" si="0"/>
        <v/>
      </c>
    </row>
    <row r="24" spans="2:9">
      <c r="B24" s="69"/>
      <c r="C24" s="14"/>
      <c r="D24" s="22"/>
      <c r="E24" s="36"/>
      <c r="F24" s="23"/>
      <c r="G24" s="42"/>
      <c r="H24" s="17" t="str">
        <f t="shared" si="0"/>
        <v/>
      </c>
    </row>
    <row r="25" spans="2:9">
      <c r="B25" s="48"/>
      <c r="C25" s="14"/>
      <c r="D25" s="22"/>
      <c r="E25" s="22"/>
      <c r="F25" s="23"/>
      <c r="G25" s="44"/>
      <c r="H25" s="17" t="str">
        <f t="shared" si="0"/>
        <v/>
      </c>
    </row>
    <row r="26" spans="2:9">
      <c r="B26" s="48"/>
      <c r="C26" s="14"/>
      <c r="D26" s="22"/>
      <c r="E26" s="15"/>
      <c r="F26" s="23"/>
      <c r="G26" s="37"/>
      <c r="H26" s="17" t="str">
        <f t="shared" si="0"/>
        <v/>
      </c>
      <c r="I26" s="41"/>
    </row>
    <row r="27" spans="2:9">
      <c r="B27" s="48"/>
      <c r="C27" s="14"/>
      <c r="D27" s="15"/>
      <c r="E27" s="15"/>
      <c r="F27" s="26"/>
      <c r="G27" s="27"/>
      <c r="H27" s="17" t="str">
        <f t="shared" si="0"/>
        <v/>
      </c>
      <c r="I27" s="18"/>
    </row>
    <row r="28" spans="2:9" s="35" customFormat="1">
      <c r="B28" s="48"/>
      <c r="C28" s="14"/>
      <c r="D28" s="22"/>
      <c r="E28" s="22"/>
      <c r="F28" s="26"/>
      <c r="G28" s="27"/>
      <c r="H28" s="17" t="str">
        <f t="shared" si="0"/>
        <v/>
      </c>
      <c r="I28" s="18"/>
    </row>
    <row r="29" spans="2:9">
      <c r="B29" s="48"/>
      <c r="C29" s="14"/>
      <c r="D29" s="22"/>
      <c r="E29" s="22"/>
      <c r="F29" s="23"/>
      <c r="G29" s="37"/>
      <c r="H29" s="17" t="str">
        <f t="shared" si="0"/>
        <v/>
      </c>
      <c r="I29" s="41"/>
    </row>
    <row r="30" spans="2:9">
      <c r="B30" s="48"/>
      <c r="C30" s="14"/>
      <c r="D30" s="22"/>
      <c r="E30" s="22"/>
      <c r="F30" s="23"/>
      <c r="G30" s="37"/>
      <c r="H30" s="17" t="str">
        <f t="shared" si="0"/>
        <v/>
      </c>
      <c r="I30" s="41"/>
    </row>
    <row r="31" spans="2:9">
      <c r="B31" s="48"/>
      <c r="C31" s="14"/>
      <c r="D31" s="22"/>
      <c r="E31" s="22"/>
      <c r="F31" s="23"/>
      <c r="G31" s="45"/>
      <c r="H31" s="17" t="str">
        <f t="shared" si="0"/>
        <v/>
      </c>
      <c r="I31" s="40"/>
    </row>
    <row r="32" spans="2:9">
      <c r="B32" s="48"/>
      <c r="C32" s="14"/>
      <c r="D32" s="22"/>
      <c r="E32" s="22"/>
      <c r="F32" s="23"/>
      <c r="G32" s="45"/>
      <c r="H32" s="17" t="str">
        <f t="shared" si="0"/>
        <v/>
      </c>
      <c r="I32" s="40"/>
    </row>
    <row r="33" spans="2:9">
      <c r="B33" s="48"/>
      <c r="C33" s="14"/>
      <c r="D33" s="22"/>
      <c r="E33" s="22"/>
      <c r="F33" s="23"/>
      <c r="G33" s="42"/>
      <c r="H33" s="17" t="str">
        <f t="shared" si="0"/>
        <v/>
      </c>
      <c r="I33" s="40"/>
    </row>
    <row r="34" spans="2:9">
      <c r="B34" s="48"/>
      <c r="C34" s="14"/>
      <c r="D34" s="22"/>
      <c r="E34" s="22"/>
      <c r="F34" s="23"/>
      <c r="G34" s="42"/>
      <c r="H34" s="17" t="str">
        <f t="shared" si="0"/>
        <v/>
      </c>
      <c r="I34" s="40"/>
    </row>
    <row r="35" spans="2:9">
      <c r="B35" s="48"/>
      <c r="C35" s="14"/>
      <c r="D35" s="22"/>
      <c r="E35" s="22"/>
      <c r="F35" s="22"/>
      <c r="G35" s="39"/>
      <c r="H35" s="17" t="str">
        <f t="shared" si="0"/>
        <v/>
      </c>
      <c r="I35" s="40"/>
    </row>
    <row r="36" spans="2:9">
      <c r="B36" s="48"/>
      <c r="C36" s="14"/>
      <c r="D36" s="22"/>
      <c r="E36" s="22"/>
      <c r="F36" s="22"/>
      <c r="G36" s="39"/>
      <c r="H36" s="17" t="str">
        <f t="shared" si="0"/>
        <v/>
      </c>
      <c r="I36" s="40"/>
    </row>
    <row r="37" spans="2:9">
      <c r="B37" s="48"/>
      <c r="C37" s="14"/>
      <c r="D37" s="22"/>
      <c r="E37" s="22"/>
      <c r="F37" s="22"/>
      <c r="G37" s="37"/>
      <c r="H37" s="17" t="str">
        <f t="shared" si="0"/>
        <v/>
      </c>
      <c r="I37" s="40"/>
    </row>
    <row r="38" spans="2:9">
      <c r="B38" s="48"/>
      <c r="C38" s="14"/>
      <c r="D38" s="22"/>
      <c r="E38" s="22"/>
      <c r="F38" s="22"/>
      <c r="G38" s="37"/>
      <c r="H38" s="17" t="str">
        <f t="shared" si="0"/>
        <v/>
      </c>
      <c r="I38" s="40"/>
    </row>
    <row r="39" spans="2:9">
      <c r="B39" s="48"/>
      <c r="C39" s="14"/>
      <c r="D39" s="22"/>
      <c r="E39" s="22"/>
      <c r="F39" s="22"/>
      <c r="G39" s="37"/>
      <c r="H39" s="17" t="str">
        <f t="shared" si="0"/>
        <v/>
      </c>
      <c r="I39" s="40"/>
    </row>
    <row r="40" spans="2:9">
      <c r="B40" s="48"/>
      <c r="C40" s="14"/>
      <c r="D40" s="22"/>
      <c r="E40" s="22"/>
      <c r="F40" s="22"/>
      <c r="G40" s="37"/>
      <c r="H40" s="17" t="str">
        <f t="shared" si="0"/>
        <v/>
      </c>
      <c r="I40" s="40"/>
    </row>
    <row r="41" spans="2:9">
      <c r="B41" s="48"/>
      <c r="C41" s="14"/>
      <c r="D41" s="22"/>
      <c r="E41" s="22"/>
      <c r="F41" s="22"/>
      <c r="G41" s="37"/>
      <c r="H41" s="17" t="str">
        <f t="shared" si="0"/>
        <v/>
      </c>
      <c r="I41" s="40"/>
    </row>
    <row r="42" spans="2:9">
      <c r="B42" s="48"/>
      <c r="C42" s="14"/>
      <c r="D42" s="22"/>
      <c r="E42" s="22"/>
      <c r="F42" s="22"/>
      <c r="G42" s="37"/>
      <c r="H42" s="17" t="str">
        <f t="shared" si="0"/>
        <v/>
      </c>
      <c r="I42" s="40"/>
    </row>
    <row r="43" spans="2:9">
      <c r="B43" s="48"/>
      <c r="C43" s="14"/>
      <c r="D43" s="22"/>
      <c r="E43" s="22"/>
      <c r="F43" s="22"/>
      <c r="G43" s="37"/>
      <c r="H43" s="17" t="str">
        <f t="shared" si="0"/>
        <v/>
      </c>
      <c r="I43" s="40"/>
    </row>
    <row r="44" spans="2:9">
      <c r="B44" s="48"/>
      <c r="C44" s="14"/>
      <c r="D44" s="22"/>
      <c r="E44" s="22"/>
      <c r="F44" s="22"/>
      <c r="G44" s="37"/>
      <c r="H44" s="17" t="str">
        <f t="shared" si="0"/>
        <v/>
      </c>
      <c r="I44" s="40"/>
    </row>
    <row r="45" spans="2:9">
      <c r="B45" s="48"/>
      <c r="C45" s="14"/>
      <c r="D45" s="22"/>
      <c r="E45" s="22"/>
      <c r="F45" s="22"/>
      <c r="G45" s="46"/>
      <c r="H45" s="17" t="str">
        <f t="shared" si="0"/>
        <v/>
      </c>
      <c r="I45" s="40"/>
    </row>
    <row r="46" spans="2:9">
      <c r="B46" s="48"/>
      <c r="C46" s="14"/>
      <c r="D46" s="22"/>
      <c r="E46" s="22"/>
      <c r="F46" s="22"/>
      <c r="G46" s="46"/>
      <c r="H46" s="17" t="str">
        <f t="shared" si="0"/>
        <v/>
      </c>
      <c r="I46" s="40"/>
    </row>
    <row r="47" spans="2:9">
      <c r="B47" s="48"/>
      <c r="C47" s="14"/>
      <c r="D47" s="22"/>
      <c r="E47" s="22"/>
      <c r="F47" s="22"/>
      <c r="G47" s="37"/>
      <c r="H47" s="17" t="str">
        <f t="shared" si="0"/>
        <v/>
      </c>
      <c r="I47" s="40"/>
    </row>
    <row r="48" spans="2:9">
      <c r="B48" s="48"/>
      <c r="C48" s="14"/>
      <c r="D48" s="22"/>
      <c r="E48" s="22"/>
      <c r="F48" s="22"/>
      <c r="G48" s="37"/>
      <c r="H48" s="17" t="str">
        <f t="shared" si="0"/>
        <v/>
      </c>
      <c r="I48" s="40"/>
    </row>
    <row r="49" spans="2:9">
      <c r="B49" s="48"/>
      <c r="C49" s="14"/>
      <c r="D49" s="22"/>
      <c r="E49" s="22"/>
      <c r="F49" s="22"/>
      <c r="G49" s="37"/>
      <c r="H49" s="17" t="str">
        <f t="shared" si="0"/>
        <v/>
      </c>
      <c r="I49" s="40"/>
    </row>
    <row r="50" spans="2:9">
      <c r="B50" s="48"/>
      <c r="C50" s="14"/>
      <c r="D50" s="22"/>
      <c r="E50" s="22"/>
      <c r="F50" s="22"/>
      <c r="G50" s="37"/>
      <c r="H50" s="17" t="str">
        <f t="shared" si="0"/>
        <v/>
      </c>
      <c r="I50" s="40"/>
    </row>
    <row r="51" spans="2:9">
      <c r="B51" s="48"/>
      <c r="C51" s="14"/>
      <c r="D51" s="22"/>
      <c r="E51" s="22"/>
      <c r="F51" s="22"/>
      <c r="G51" s="37"/>
      <c r="H51" s="17" t="str">
        <f t="shared" si="0"/>
        <v/>
      </c>
      <c r="I51" s="40"/>
    </row>
    <row r="52" spans="2:9">
      <c r="B52" s="48"/>
      <c r="C52" s="14"/>
      <c r="D52" s="22"/>
      <c r="E52" s="22"/>
      <c r="F52" s="22"/>
      <c r="G52" s="37"/>
      <c r="H52" s="17" t="str">
        <f t="shared" si="0"/>
        <v/>
      </c>
      <c r="I52" s="40"/>
    </row>
    <row r="53" spans="2:9">
      <c r="B53" s="48"/>
      <c r="C53" s="14"/>
      <c r="D53" s="22"/>
      <c r="E53" s="22"/>
      <c r="F53" s="22"/>
      <c r="G53" s="37"/>
      <c r="H53" s="17" t="str">
        <f t="shared" si="0"/>
        <v/>
      </c>
      <c r="I53" s="40"/>
    </row>
    <row r="54" spans="2:9">
      <c r="B54" s="48"/>
      <c r="C54" s="14"/>
      <c r="D54" s="36"/>
      <c r="E54" s="36"/>
      <c r="F54" s="22"/>
      <c r="G54" s="37"/>
      <c r="H54" s="17" t="str">
        <f t="shared" si="0"/>
        <v/>
      </c>
      <c r="I54" s="40"/>
    </row>
    <row r="55" spans="2:9">
      <c r="B55" s="48"/>
      <c r="C55" s="14"/>
      <c r="D55" s="22"/>
      <c r="E55" s="22"/>
      <c r="F55" s="36"/>
      <c r="G55" s="37"/>
      <c r="H55" s="17" t="str">
        <f t="shared" si="0"/>
        <v/>
      </c>
    </row>
    <row r="56" spans="2:9">
      <c r="B56" s="48"/>
      <c r="C56" s="14"/>
      <c r="D56" s="36"/>
      <c r="E56" s="36"/>
      <c r="F56" s="22"/>
      <c r="G56" s="37"/>
      <c r="H56" s="17" t="str">
        <f t="shared" si="0"/>
        <v/>
      </c>
      <c r="I56" s="40"/>
    </row>
    <row r="57" spans="2:9">
      <c r="B57" s="48"/>
      <c r="C57" s="14"/>
      <c r="D57" s="36"/>
      <c r="E57" s="36"/>
      <c r="F57" s="36"/>
      <c r="G57" s="37"/>
      <c r="H57" s="17" t="str">
        <f t="shared" si="0"/>
        <v/>
      </c>
      <c r="I57" s="47"/>
    </row>
    <row r="58" spans="2:9" ht="12.75" customHeight="1">
      <c r="B58" s="48"/>
      <c r="C58" s="14"/>
      <c r="D58" s="22"/>
      <c r="E58" s="22"/>
      <c r="F58" s="36"/>
      <c r="G58" s="37"/>
      <c r="H58" s="17" t="str">
        <f t="shared" si="0"/>
        <v/>
      </c>
    </row>
    <row r="59" spans="2:9">
      <c r="B59" s="48"/>
      <c r="C59" s="14"/>
      <c r="D59" s="22"/>
      <c r="E59" s="22"/>
      <c r="F59" s="22"/>
      <c r="G59" s="37"/>
      <c r="H59" s="17" t="str">
        <f t="shared" si="0"/>
        <v/>
      </c>
      <c r="I59" s="40"/>
    </row>
    <row r="60" spans="2:9">
      <c r="B60" s="48"/>
      <c r="C60" s="14"/>
      <c r="D60" s="22"/>
      <c r="E60" s="22"/>
      <c r="F60" s="22"/>
      <c r="G60" s="37"/>
      <c r="H60" s="17"/>
      <c r="I60" s="40"/>
    </row>
    <row r="61" spans="2:9">
      <c r="B61" s="48"/>
      <c r="C61" s="14"/>
      <c r="D61" s="22"/>
      <c r="E61" s="22"/>
      <c r="F61" s="22"/>
      <c r="G61" s="37"/>
      <c r="H61" s="17"/>
      <c r="I61" s="40"/>
    </row>
    <row r="62" spans="2:9">
      <c r="B62" s="48"/>
      <c r="C62" s="14"/>
      <c r="D62" s="22"/>
      <c r="E62" s="22"/>
      <c r="F62" s="22"/>
      <c r="G62" s="37"/>
      <c r="H62" s="17"/>
      <c r="I62" s="40"/>
    </row>
    <row r="63" spans="2:9">
      <c r="B63" s="48"/>
      <c r="C63" s="14"/>
      <c r="D63" s="22"/>
      <c r="E63" s="22"/>
      <c r="F63" s="22"/>
      <c r="G63" s="37"/>
      <c r="H63" s="17"/>
      <c r="I63" s="40"/>
    </row>
    <row r="64" spans="2:9">
      <c r="B64" s="48"/>
      <c r="C64" s="14"/>
      <c r="D64" s="22"/>
      <c r="E64" s="22"/>
      <c r="F64" s="22"/>
      <c r="G64" s="37"/>
      <c r="H64" s="17"/>
      <c r="I64" s="40"/>
    </row>
    <row r="65" spans="2:9">
      <c r="B65" s="48"/>
      <c r="C65" s="14"/>
      <c r="D65" s="22"/>
      <c r="E65" s="22"/>
      <c r="F65" s="22"/>
      <c r="G65" s="37"/>
      <c r="H65" s="17"/>
      <c r="I65" s="40"/>
    </row>
    <row r="66" spans="2:9">
      <c r="B66" s="48"/>
      <c r="C66" s="14"/>
      <c r="D66" s="22"/>
      <c r="E66" s="22"/>
      <c r="F66" s="22"/>
      <c r="G66" s="37"/>
      <c r="H66" s="17"/>
      <c r="I66" s="40"/>
    </row>
    <row r="67" spans="2:9">
      <c r="B67" s="48"/>
      <c r="C67" s="14"/>
      <c r="D67" s="22"/>
      <c r="E67" s="22"/>
      <c r="F67" s="22"/>
      <c r="G67" s="37"/>
      <c r="H67" s="17"/>
      <c r="I67" s="40"/>
    </row>
    <row r="68" spans="2:9">
      <c r="B68" s="48"/>
      <c r="C68" s="14"/>
      <c r="D68" s="22"/>
      <c r="E68" s="22"/>
      <c r="F68" s="22"/>
      <c r="G68" s="37"/>
      <c r="H68" s="17"/>
      <c r="I68" s="40"/>
    </row>
    <row r="69" spans="2:9">
      <c r="B69" s="48"/>
      <c r="C69" s="14"/>
      <c r="D69" s="22"/>
      <c r="E69" s="22"/>
      <c r="F69" s="22"/>
      <c r="G69" s="37"/>
      <c r="H69" s="17"/>
      <c r="I69" s="40"/>
    </row>
    <row r="70" spans="2:9">
      <c r="B70" s="48"/>
      <c r="C70" s="14"/>
      <c r="D70" s="22"/>
      <c r="E70" s="22"/>
      <c r="F70" s="22"/>
      <c r="G70" s="37"/>
      <c r="H70" s="17"/>
      <c r="I70" s="40"/>
    </row>
    <row r="71" spans="2:9">
      <c r="B71" s="48"/>
      <c r="C71" s="14"/>
      <c r="D71" s="22"/>
      <c r="E71" s="22"/>
      <c r="F71" s="22"/>
      <c r="G71" s="37"/>
      <c r="H71" s="17" t="str">
        <f t="shared" si="0"/>
        <v/>
      </c>
      <c r="I71" s="40"/>
    </row>
    <row r="72" spans="2:9">
      <c r="B72" s="48"/>
      <c r="C72" s="14"/>
      <c r="D72" s="22"/>
      <c r="E72" s="22"/>
      <c r="F72" s="22"/>
      <c r="G72" s="37"/>
      <c r="H72" s="17" t="str">
        <f t="shared" si="0"/>
        <v/>
      </c>
      <c r="I72" s="40"/>
    </row>
    <row r="73" spans="2:9">
      <c r="B73" s="48"/>
      <c r="C73" s="14"/>
      <c r="D73" s="22"/>
      <c r="E73" s="22"/>
      <c r="F73" s="22"/>
      <c r="G73" s="37"/>
      <c r="H73" s="17" t="str">
        <f t="shared" si="0"/>
        <v/>
      </c>
      <c r="I73" s="40"/>
    </row>
    <row r="74" spans="2:9">
      <c r="B74" s="48"/>
      <c r="C74" s="14"/>
      <c r="D74" s="22"/>
      <c r="E74" s="22"/>
      <c r="F74" s="22"/>
      <c r="G74" s="37"/>
      <c r="H74" s="17" t="str">
        <f t="shared" si="0"/>
        <v/>
      </c>
      <c r="I74" s="40"/>
    </row>
    <row r="75" spans="2:9" ht="12.75" customHeight="1">
      <c r="B75" s="48"/>
      <c r="C75" s="14"/>
      <c r="D75" s="22"/>
      <c r="E75" s="22"/>
      <c r="F75" s="22"/>
      <c r="G75" s="37"/>
      <c r="H75" s="17" t="str">
        <f t="shared" si="0"/>
        <v/>
      </c>
      <c r="I75" s="40"/>
    </row>
    <row r="76" spans="2:9" s="28" customFormat="1" ht="24.75" customHeight="1">
      <c r="B76" s="119" t="str">
        <f>$B$10</f>
        <v>C13.11</v>
      </c>
      <c r="C76" s="29" t="s">
        <v>125</v>
      </c>
      <c r="D76" s="30"/>
      <c r="E76" s="30"/>
      <c r="F76" s="31"/>
      <c r="G76" s="30"/>
      <c r="H76" s="32">
        <f>SUM(H9:H75)</f>
        <v>0</v>
      </c>
      <c r="I76"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37"/>
  <dimension ref="B1:I78"/>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C13.12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2560</v>
      </c>
      <c r="C10" s="20" t="s">
        <v>2561</v>
      </c>
      <c r="D10" s="22"/>
      <c r="E10" s="22"/>
      <c r="F10" s="22"/>
      <c r="G10" s="39"/>
      <c r="H10" s="17" t="str">
        <f t="shared" ref="H10:H77" si="0">IF(D10="","",F10*G10)</f>
        <v/>
      </c>
      <c r="I10" s="40"/>
    </row>
    <row r="11" spans="2:9">
      <c r="B11" s="69"/>
      <c r="C11" s="14"/>
      <c r="D11" s="22"/>
      <c r="E11" s="22"/>
      <c r="F11" s="22"/>
      <c r="G11" s="39"/>
      <c r="H11" s="17" t="str">
        <f t="shared" si="0"/>
        <v/>
      </c>
      <c r="I11" s="40"/>
    </row>
    <row r="12" spans="2:9">
      <c r="B12" s="48" t="s">
        <v>2562</v>
      </c>
      <c r="C12" s="14" t="s">
        <v>2563</v>
      </c>
      <c r="D12" s="22"/>
      <c r="E12" s="22"/>
      <c r="F12" s="22"/>
      <c r="G12" s="39"/>
      <c r="H12" s="17" t="str">
        <f t="shared" si="0"/>
        <v/>
      </c>
      <c r="I12" s="40"/>
    </row>
    <row r="13" spans="2:9">
      <c r="B13" s="69"/>
      <c r="C13" s="14"/>
      <c r="D13" s="22"/>
      <c r="E13" s="22"/>
      <c r="F13" s="22"/>
      <c r="G13" s="39"/>
      <c r="H13" s="17" t="str">
        <f t="shared" si="0"/>
        <v/>
      </c>
      <c r="I13" s="40"/>
    </row>
    <row r="14" spans="2:9" ht="14.25">
      <c r="B14" s="48" t="s">
        <v>2564</v>
      </c>
      <c r="C14" s="14" t="s">
        <v>2565</v>
      </c>
      <c r="D14" s="22" t="s">
        <v>124</v>
      </c>
      <c r="E14" s="22"/>
      <c r="F14" s="23"/>
      <c r="G14" s="24"/>
      <c r="H14" s="17">
        <f t="shared" si="0"/>
        <v>0</v>
      </c>
      <c r="I14" s="41"/>
    </row>
    <row r="15" spans="2:9">
      <c r="B15" s="48"/>
      <c r="C15" s="14"/>
      <c r="D15" s="22"/>
      <c r="E15" s="22"/>
      <c r="F15" s="23"/>
      <c r="G15" s="24"/>
      <c r="H15" s="17" t="str">
        <f t="shared" si="0"/>
        <v/>
      </c>
      <c r="I15" s="41"/>
    </row>
    <row r="16" spans="2:9" ht="14.25">
      <c r="B16" s="48" t="s">
        <v>2566</v>
      </c>
      <c r="C16" s="14" t="s">
        <v>2565</v>
      </c>
      <c r="D16" s="22" t="s">
        <v>124</v>
      </c>
      <c r="E16" s="22"/>
      <c r="F16" s="23"/>
      <c r="G16" s="24"/>
      <c r="H16" s="17">
        <f t="shared" si="0"/>
        <v>0</v>
      </c>
      <c r="I16" s="41"/>
    </row>
    <row r="17" spans="2:9">
      <c r="B17" s="48"/>
      <c r="C17" s="14"/>
      <c r="D17" s="22"/>
      <c r="E17" s="22"/>
      <c r="F17" s="23"/>
      <c r="G17" s="24"/>
      <c r="H17" s="17" t="str">
        <f t="shared" si="0"/>
        <v/>
      </c>
      <c r="I17" s="41"/>
    </row>
    <row r="18" spans="2:9">
      <c r="B18" s="48"/>
      <c r="C18" s="14"/>
      <c r="D18" s="22"/>
      <c r="E18" s="22"/>
      <c r="F18" s="23"/>
      <c r="G18" s="39"/>
      <c r="H18" s="17" t="str">
        <f t="shared" si="0"/>
        <v/>
      </c>
      <c r="I18" s="40"/>
    </row>
    <row r="19" spans="2:9">
      <c r="B19" s="48"/>
      <c r="C19" s="14"/>
      <c r="D19" s="22"/>
      <c r="E19" s="36"/>
      <c r="F19" s="23"/>
      <c r="G19" s="42"/>
      <c r="H19" s="17" t="str">
        <f t="shared" si="0"/>
        <v/>
      </c>
      <c r="I19" s="40"/>
    </row>
    <row r="20" spans="2:9">
      <c r="B20" s="48"/>
      <c r="C20" s="1"/>
      <c r="D20" s="22"/>
      <c r="E20" s="36"/>
      <c r="F20" s="23"/>
      <c r="G20" s="44"/>
      <c r="H20" s="17" t="str">
        <f t="shared" si="0"/>
        <v/>
      </c>
    </row>
    <row r="21" spans="2:9">
      <c r="B21" s="48"/>
      <c r="C21" s="14"/>
      <c r="D21" s="22"/>
      <c r="E21" s="36"/>
      <c r="F21" s="23"/>
      <c r="G21" s="44"/>
      <c r="H21" s="17" t="str">
        <f t="shared" si="0"/>
        <v/>
      </c>
    </row>
    <row r="22" spans="2:9">
      <c r="B22" s="48"/>
      <c r="C22" s="14"/>
      <c r="D22" s="22"/>
      <c r="E22" s="36"/>
      <c r="F22" s="23"/>
      <c r="G22" s="37"/>
      <c r="H22" s="17" t="str">
        <f t="shared" si="0"/>
        <v/>
      </c>
    </row>
    <row r="23" spans="2:9">
      <c r="B23" s="48"/>
      <c r="C23" s="14"/>
      <c r="D23" s="22"/>
      <c r="E23" s="36"/>
      <c r="F23" s="23"/>
      <c r="G23" s="44"/>
      <c r="H23" s="17" t="str">
        <f t="shared" si="0"/>
        <v/>
      </c>
    </row>
    <row r="24" spans="2:9">
      <c r="B24" s="69"/>
      <c r="C24" s="14"/>
      <c r="D24" s="22"/>
      <c r="E24" s="36"/>
      <c r="F24" s="23"/>
      <c r="G24" s="42"/>
      <c r="H24" s="17" t="str">
        <f t="shared" si="0"/>
        <v/>
      </c>
    </row>
    <row r="25" spans="2:9">
      <c r="B25" s="48"/>
      <c r="C25" s="14"/>
      <c r="D25" s="22"/>
      <c r="E25" s="22"/>
      <c r="F25" s="23"/>
      <c r="G25" s="44"/>
      <c r="H25" s="17" t="str">
        <f t="shared" si="0"/>
        <v/>
      </c>
    </row>
    <row r="26" spans="2:9">
      <c r="B26" s="48"/>
      <c r="C26" s="14"/>
      <c r="D26" s="22"/>
      <c r="E26" s="15"/>
      <c r="F26" s="23"/>
      <c r="G26" s="37"/>
      <c r="H26" s="17" t="str">
        <f t="shared" si="0"/>
        <v/>
      </c>
      <c r="I26" s="41"/>
    </row>
    <row r="27" spans="2:9">
      <c r="B27" s="48"/>
      <c r="C27" s="14"/>
      <c r="D27" s="15"/>
      <c r="E27" s="15"/>
      <c r="F27" s="26"/>
      <c r="G27" s="27"/>
      <c r="H27" s="17" t="str">
        <f t="shared" si="0"/>
        <v/>
      </c>
      <c r="I27" s="18"/>
    </row>
    <row r="28" spans="2:9" s="35" customFormat="1">
      <c r="B28" s="48"/>
      <c r="C28" s="14"/>
      <c r="D28" s="22"/>
      <c r="E28" s="22"/>
      <c r="F28" s="26"/>
      <c r="G28" s="27"/>
      <c r="H28" s="17" t="str">
        <f t="shared" si="0"/>
        <v/>
      </c>
      <c r="I28" s="18"/>
    </row>
    <row r="29" spans="2:9">
      <c r="B29" s="48"/>
      <c r="C29" s="14"/>
      <c r="D29" s="22"/>
      <c r="E29" s="22"/>
      <c r="F29" s="23"/>
      <c r="G29" s="37"/>
      <c r="H29" s="17" t="str">
        <f t="shared" si="0"/>
        <v/>
      </c>
      <c r="I29" s="41"/>
    </row>
    <row r="30" spans="2:9">
      <c r="B30" s="48"/>
      <c r="C30" s="14"/>
      <c r="D30" s="22"/>
      <c r="E30" s="22"/>
      <c r="F30" s="23"/>
      <c r="G30" s="37"/>
      <c r="H30" s="17" t="str">
        <f t="shared" si="0"/>
        <v/>
      </c>
      <c r="I30" s="41"/>
    </row>
    <row r="31" spans="2:9">
      <c r="B31" s="48"/>
      <c r="C31" s="14"/>
      <c r="D31" s="22"/>
      <c r="E31" s="22"/>
      <c r="F31" s="23"/>
      <c r="G31" s="45"/>
      <c r="H31" s="17" t="str">
        <f t="shared" si="0"/>
        <v/>
      </c>
      <c r="I31" s="40"/>
    </row>
    <row r="32" spans="2:9">
      <c r="B32" s="48"/>
      <c r="C32" s="14"/>
      <c r="D32" s="22"/>
      <c r="E32" s="22"/>
      <c r="F32" s="23"/>
      <c r="G32" s="45"/>
      <c r="H32" s="17" t="str">
        <f t="shared" si="0"/>
        <v/>
      </c>
      <c r="I32" s="40"/>
    </row>
    <row r="33" spans="2:9">
      <c r="B33" s="48"/>
      <c r="C33" s="14"/>
      <c r="D33" s="22"/>
      <c r="E33" s="22"/>
      <c r="F33" s="23"/>
      <c r="G33" s="42"/>
      <c r="H33" s="17" t="str">
        <f t="shared" si="0"/>
        <v/>
      </c>
      <c r="I33" s="40"/>
    </row>
    <row r="34" spans="2:9">
      <c r="B34" s="48"/>
      <c r="C34" s="14"/>
      <c r="D34" s="22"/>
      <c r="E34" s="22"/>
      <c r="F34" s="23"/>
      <c r="G34" s="42"/>
      <c r="H34" s="17" t="str">
        <f t="shared" si="0"/>
        <v/>
      </c>
      <c r="I34" s="40"/>
    </row>
    <row r="35" spans="2:9">
      <c r="B35" s="48"/>
      <c r="C35" s="14"/>
      <c r="D35" s="22"/>
      <c r="E35" s="22"/>
      <c r="F35" s="22"/>
      <c r="G35" s="39"/>
      <c r="H35" s="17" t="str">
        <f t="shared" si="0"/>
        <v/>
      </c>
      <c r="I35" s="40"/>
    </row>
    <row r="36" spans="2:9">
      <c r="B36" s="48"/>
      <c r="C36" s="14"/>
      <c r="D36" s="22"/>
      <c r="E36" s="22"/>
      <c r="F36" s="22"/>
      <c r="G36" s="39"/>
      <c r="H36" s="17" t="str">
        <f t="shared" si="0"/>
        <v/>
      </c>
      <c r="I36" s="40"/>
    </row>
    <row r="37" spans="2:9">
      <c r="B37" s="48"/>
      <c r="C37" s="14"/>
      <c r="D37" s="22"/>
      <c r="E37" s="22"/>
      <c r="F37" s="22"/>
      <c r="G37" s="37"/>
      <c r="H37" s="17" t="str">
        <f t="shared" si="0"/>
        <v/>
      </c>
      <c r="I37" s="40"/>
    </row>
    <row r="38" spans="2:9">
      <c r="B38" s="48"/>
      <c r="C38" s="14"/>
      <c r="D38" s="22"/>
      <c r="E38" s="22"/>
      <c r="F38" s="22"/>
      <c r="G38" s="37"/>
      <c r="H38" s="17" t="str">
        <f t="shared" si="0"/>
        <v/>
      </c>
      <c r="I38" s="40"/>
    </row>
    <row r="39" spans="2:9">
      <c r="B39" s="48"/>
      <c r="C39" s="14"/>
      <c r="D39" s="22"/>
      <c r="E39" s="22"/>
      <c r="F39" s="22"/>
      <c r="G39" s="37"/>
      <c r="H39" s="17" t="str">
        <f t="shared" si="0"/>
        <v/>
      </c>
      <c r="I39" s="40"/>
    </row>
    <row r="40" spans="2:9">
      <c r="B40" s="48"/>
      <c r="C40" s="14"/>
      <c r="D40" s="22"/>
      <c r="E40" s="22"/>
      <c r="F40" s="22"/>
      <c r="G40" s="37"/>
      <c r="H40" s="17" t="str">
        <f t="shared" si="0"/>
        <v/>
      </c>
      <c r="I40" s="40"/>
    </row>
    <row r="41" spans="2:9">
      <c r="B41" s="48"/>
      <c r="C41" s="14"/>
      <c r="D41" s="22"/>
      <c r="E41" s="22"/>
      <c r="F41" s="22"/>
      <c r="G41" s="37"/>
      <c r="H41" s="17" t="str">
        <f t="shared" si="0"/>
        <v/>
      </c>
      <c r="I41" s="40"/>
    </row>
    <row r="42" spans="2:9">
      <c r="B42" s="48"/>
      <c r="C42" s="14"/>
      <c r="D42" s="22"/>
      <c r="E42" s="22"/>
      <c r="F42" s="22"/>
      <c r="G42" s="37"/>
      <c r="H42" s="17" t="str">
        <f t="shared" si="0"/>
        <v/>
      </c>
      <c r="I42" s="40"/>
    </row>
    <row r="43" spans="2:9">
      <c r="B43" s="48"/>
      <c r="C43" s="14"/>
      <c r="D43" s="22"/>
      <c r="E43" s="22"/>
      <c r="F43" s="22"/>
      <c r="G43" s="37"/>
      <c r="H43" s="17" t="str">
        <f t="shared" si="0"/>
        <v/>
      </c>
      <c r="I43" s="40"/>
    </row>
    <row r="44" spans="2:9">
      <c r="B44" s="13"/>
      <c r="C44" s="14"/>
      <c r="D44" s="22"/>
      <c r="E44" s="22"/>
      <c r="F44" s="22"/>
      <c r="G44" s="37"/>
      <c r="H44" s="17" t="str">
        <f t="shared" si="0"/>
        <v/>
      </c>
      <c r="I44" s="40"/>
    </row>
    <row r="45" spans="2:9">
      <c r="B45" s="13"/>
      <c r="C45" s="14"/>
      <c r="D45" s="22"/>
      <c r="E45" s="22"/>
      <c r="F45" s="22"/>
      <c r="G45" s="46"/>
      <c r="H45" s="17" t="str">
        <f t="shared" si="0"/>
        <v/>
      </c>
      <c r="I45" s="40"/>
    </row>
    <row r="46" spans="2:9">
      <c r="B46" s="13"/>
      <c r="C46" s="14"/>
      <c r="D46" s="22"/>
      <c r="E46" s="22"/>
      <c r="F46" s="22"/>
      <c r="G46" s="46"/>
      <c r="H46" s="17" t="str">
        <f t="shared" si="0"/>
        <v/>
      </c>
      <c r="I46" s="40"/>
    </row>
    <row r="47" spans="2:9">
      <c r="B47" s="13"/>
      <c r="C47" s="14"/>
      <c r="D47" s="22"/>
      <c r="E47" s="22"/>
      <c r="F47" s="22"/>
      <c r="G47" s="37"/>
      <c r="H47" s="17" t="str">
        <f t="shared" si="0"/>
        <v/>
      </c>
      <c r="I47" s="40"/>
    </row>
    <row r="48" spans="2:9">
      <c r="B48" s="13"/>
      <c r="C48" s="14"/>
      <c r="D48" s="22"/>
      <c r="E48" s="22"/>
      <c r="F48" s="22"/>
      <c r="G48" s="37"/>
      <c r="H48" s="17" t="str">
        <f t="shared" si="0"/>
        <v/>
      </c>
      <c r="I48" s="40"/>
    </row>
    <row r="49" spans="2:9">
      <c r="B49" s="13"/>
      <c r="C49" s="14"/>
      <c r="D49" s="22"/>
      <c r="E49" s="22"/>
      <c r="F49" s="22"/>
      <c r="G49" s="37"/>
      <c r="H49" s="17" t="str">
        <f t="shared" si="0"/>
        <v/>
      </c>
      <c r="I49" s="40"/>
    </row>
    <row r="50" spans="2:9">
      <c r="B50" s="13"/>
      <c r="C50" s="14"/>
      <c r="D50" s="22"/>
      <c r="E50" s="22"/>
      <c r="F50" s="22"/>
      <c r="G50" s="37"/>
      <c r="H50" s="17" t="str">
        <f t="shared" si="0"/>
        <v/>
      </c>
      <c r="I50" s="40"/>
    </row>
    <row r="51" spans="2:9">
      <c r="B51" s="13"/>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22"/>
      <c r="E53" s="22"/>
      <c r="F53" s="22"/>
      <c r="G53" s="37"/>
      <c r="H53" s="17" t="str">
        <f t="shared" si="0"/>
        <v/>
      </c>
      <c r="I53" s="40"/>
    </row>
    <row r="54" spans="2:9">
      <c r="B54" s="13"/>
      <c r="C54" s="14"/>
      <c r="D54" s="22"/>
      <c r="E54" s="22"/>
      <c r="F54" s="22"/>
      <c r="G54" s="37"/>
      <c r="H54" s="17"/>
      <c r="I54" s="40"/>
    </row>
    <row r="55" spans="2:9">
      <c r="B55" s="13"/>
      <c r="C55" s="14"/>
      <c r="D55" s="22"/>
      <c r="E55" s="22"/>
      <c r="F55" s="22"/>
      <c r="G55" s="37"/>
      <c r="H55" s="17"/>
      <c r="I55" s="40"/>
    </row>
    <row r="56" spans="2:9">
      <c r="B56" s="13"/>
      <c r="C56" s="14"/>
      <c r="D56" s="22"/>
      <c r="E56" s="22"/>
      <c r="F56" s="22"/>
      <c r="G56" s="37"/>
      <c r="H56" s="17"/>
      <c r="I56" s="40"/>
    </row>
    <row r="57" spans="2:9">
      <c r="B57" s="13"/>
      <c r="C57" s="14"/>
      <c r="D57" s="22"/>
      <c r="E57" s="22"/>
      <c r="F57" s="22"/>
      <c r="G57" s="37"/>
      <c r="H57" s="17"/>
      <c r="I57" s="40"/>
    </row>
    <row r="58" spans="2:9">
      <c r="B58" s="13"/>
      <c r="C58" s="14"/>
      <c r="D58" s="22"/>
      <c r="E58" s="22"/>
      <c r="F58" s="22"/>
      <c r="G58" s="37"/>
      <c r="H58" s="17"/>
      <c r="I58" s="40"/>
    </row>
    <row r="59" spans="2:9">
      <c r="B59" s="13"/>
      <c r="C59" s="14"/>
      <c r="D59" s="22"/>
      <c r="E59" s="22"/>
      <c r="F59" s="22"/>
      <c r="G59" s="37"/>
      <c r="H59" s="17"/>
      <c r="I59" s="40"/>
    </row>
    <row r="60" spans="2:9">
      <c r="B60" s="13"/>
      <c r="C60" s="14"/>
      <c r="D60" s="22"/>
      <c r="E60" s="22"/>
      <c r="F60" s="22"/>
      <c r="G60" s="37"/>
      <c r="H60" s="17"/>
      <c r="I60" s="40"/>
    </row>
    <row r="61" spans="2:9">
      <c r="B61" s="13"/>
      <c r="C61" s="14"/>
      <c r="D61" s="22"/>
      <c r="E61" s="22"/>
      <c r="F61" s="22"/>
      <c r="G61" s="37"/>
      <c r="H61" s="17"/>
      <c r="I61" s="40"/>
    </row>
    <row r="62" spans="2:9">
      <c r="B62" s="13"/>
      <c r="C62" s="14"/>
      <c r="D62" s="22"/>
      <c r="E62" s="22"/>
      <c r="F62" s="22"/>
      <c r="G62" s="37"/>
      <c r="H62" s="17"/>
      <c r="I62" s="40"/>
    </row>
    <row r="63" spans="2:9">
      <c r="B63" s="13"/>
      <c r="C63" s="14"/>
      <c r="D63" s="22"/>
      <c r="E63" s="22"/>
      <c r="F63" s="22"/>
      <c r="G63" s="37"/>
      <c r="H63" s="17"/>
      <c r="I63" s="40"/>
    </row>
    <row r="64" spans="2:9">
      <c r="B64" s="13"/>
      <c r="C64" s="14"/>
      <c r="D64" s="22"/>
      <c r="E64" s="22"/>
      <c r="F64" s="22"/>
      <c r="G64" s="37"/>
      <c r="H64" s="17"/>
      <c r="I64" s="40"/>
    </row>
    <row r="65" spans="2:9">
      <c r="B65" s="13"/>
      <c r="C65" s="14"/>
      <c r="D65" s="22"/>
      <c r="E65" s="22"/>
      <c r="F65" s="22"/>
      <c r="G65" s="37"/>
      <c r="H65" s="17"/>
      <c r="I65" s="40"/>
    </row>
    <row r="66" spans="2:9">
      <c r="B66" s="13"/>
      <c r="C66" s="14"/>
      <c r="D66" s="22"/>
      <c r="E66" s="22"/>
      <c r="F66" s="22"/>
      <c r="G66" s="37"/>
      <c r="H66" s="17"/>
      <c r="I66" s="40"/>
    </row>
    <row r="67" spans="2:9">
      <c r="B67" s="13"/>
      <c r="C67" s="14"/>
      <c r="D67" s="36"/>
      <c r="E67" s="36"/>
      <c r="F67" s="22"/>
      <c r="G67" s="37"/>
      <c r="H67" s="17" t="str">
        <f t="shared" si="0"/>
        <v/>
      </c>
      <c r="I67" s="40"/>
    </row>
    <row r="68" spans="2:9">
      <c r="B68" s="13"/>
      <c r="C68" s="14"/>
      <c r="D68" s="22"/>
      <c r="E68" s="22"/>
      <c r="F68" s="36"/>
      <c r="G68" s="37"/>
      <c r="H68" s="17" t="str">
        <f t="shared" si="0"/>
        <v/>
      </c>
    </row>
    <row r="69" spans="2:9">
      <c r="B69" s="13"/>
      <c r="C69" s="14"/>
      <c r="D69" s="36"/>
      <c r="E69" s="36"/>
      <c r="F69" s="22"/>
      <c r="G69" s="37"/>
      <c r="H69" s="17" t="str">
        <f t="shared" si="0"/>
        <v/>
      </c>
      <c r="I69" s="40"/>
    </row>
    <row r="70" spans="2:9">
      <c r="B70" s="13"/>
      <c r="C70" s="14"/>
      <c r="D70" s="36"/>
      <c r="E70" s="36"/>
      <c r="F70" s="36"/>
      <c r="G70" s="37"/>
      <c r="H70" s="17" t="str">
        <f t="shared" si="0"/>
        <v/>
      </c>
      <c r="I70" s="47"/>
    </row>
    <row r="71" spans="2:9" ht="12.75" customHeight="1">
      <c r="B71" s="13"/>
      <c r="C71" s="14"/>
      <c r="D71" s="22"/>
      <c r="E71" s="22"/>
      <c r="F71" s="36"/>
      <c r="G71" s="37"/>
      <c r="H71" s="17" t="str">
        <f t="shared" si="0"/>
        <v/>
      </c>
    </row>
    <row r="72" spans="2:9">
      <c r="B72" s="13"/>
      <c r="C72" s="14"/>
      <c r="D72" s="22"/>
      <c r="E72" s="22"/>
      <c r="F72" s="22"/>
      <c r="G72" s="37"/>
      <c r="H72" s="17" t="str">
        <f t="shared" si="0"/>
        <v/>
      </c>
      <c r="I72" s="40"/>
    </row>
    <row r="73" spans="2:9">
      <c r="B73" s="13"/>
      <c r="C73" s="14"/>
      <c r="D73" s="22"/>
      <c r="E73" s="22"/>
      <c r="F73" s="22"/>
      <c r="G73" s="37"/>
      <c r="H73" s="17" t="str">
        <f t="shared" si="0"/>
        <v/>
      </c>
      <c r="I73" s="40"/>
    </row>
    <row r="74" spans="2:9">
      <c r="B74" s="13"/>
      <c r="C74" s="14"/>
      <c r="D74" s="22"/>
      <c r="E74" s="22"/>
      <c r="F74" s="22"/>
      <c r="G74" s="37"/>
      <c r="H74" s="17" t="str">
        <f t="shared" si="0"/>
        <v/>
      </c>
      <c r="I74" s="40"/>
    </row>
    <row r="75" spans="2:9">
      <c r="B75" s="13"/>
      <c r="C75" s="14"/>
      <c r="D75" s="22"/>
      <c r="E75" s="22"/>
      <c r="F75" s="22"/>
      <c r="G75" s="37"/>
      <c r="H75" s="17" t="str">
        <f t="shared" si="0"/>
        <v/>
      </c>
      <c r="I75" s="40"/>
    </row>
    <row r="76" spans="2:9">
      <c r="B76" s="13"/>
      <c r="C76" s="14"/>
      <c r="D76" s="22"/>
      <c r="E76" s="22"/>
      <c r="F76" s="22"/>
      <c r="G76" s="37"/>
      <c r="H76" s="17" t="str">
        <f t="shared" si="0"/>
        <v/>
      </c>
      <c r="I76" s="40"/>
    </row>
    <row r="77" spans="2:9" ht="12.75" customHeight="1">
      <c r="B77" s="13"/>
      <c r="C77" s="14"/>
      <c r="D77" s="22"/>
      <c r="E77" s="22"/>
      <c r="F77" s="22"/>
      <c r="G77" s="37"/>
      <c r="H77" s="17" t="str">
        <f t="shared" si="0"/>
        <v/>
      </c>
      <c r="I77" s="40"/>
    </row>
    <row r="78" spans="2:9" s="28" customFormat="1" ht="24.75" customHeight="1">
      <c r="B78" s="119" t="str">
        <f>$B$10</f>
        <v>C13.12</v>
      </c>
      <c r="C78" s="29" t="s">
        <v>125</v>
      </c>
      <c r="D78" s="30"/>
      <c r="E78" s="30"/>
      <c r="F78" s="31"/>
      <c r="G78" s="30"/>
      <c r="H78" s="32">
        <f>SUM(H9:H77)</f>
        <v>0</v>
      </c>
      <c r="I78"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38"/>
  <dimension ref="B1:I77"/>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788" t="str">
        <f>Client1</f>
        <v>AIRPORTS COMPANY - SOUTH AFRICA</v>
      </c>
      <c r="C1" s="788"/>
      <c r="F1" s="732" t="str">
        <f>"Contract No. "&amp;ContractNo</f>
        <v>Contract No. KSIA7806/2025/RFP</v>
      </c>
      <c r="G1" s="732"/>
      <c r="H1" s="732"/>
    </row>
    <row r="2" spans="2:9">
      <c r="B2" s="777" t="str">
        <f>Client2</f>
        <v>ACSA</v>
      </c>
      <c r="C2" s="777"/>
    </row>
    <row r="3" spans="2:9">
      <c r="B3" s="71"/>
      <c r="C3" s="71"/>
      <c r="D3" s="72"/>
      <c r="E3" s="72"/>
      <c r="F3" s="72"/>
      <c r="G3" s="73"/>
      <c r="H3" s="91"/>
    </row>
    <row r="4" spans="2:9" ht="12.75" customHeight="1">
      <c r="B4" s="789" t="s">
        <v>456</v>
      </c>
      <c r="C4" s="790"/>
      <c r="D4" s="790"/>
      <c r="E4" s="790"/>
      <c r="F4" s="790"/>
      <c r="G4" s="790"/>
      <c r="H4" s="770" t="str">
        <f>"CHAPTER "&amp;B10</f>
        <v>CHAPTER C13.13</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88" t="s">
        <v>11</v>
      </c>
      <c r="C8" s="11" t="s">
        <v>12</v>
      </c>
      <c r="D8" s="11" t="s">
        <v>13</v>
      </c>
      <c r="E8" s="11" t="s">
        <v>14</v>
      </c>
      <c r="F8" s="11" t="s">
        <v>15</v>
      </c>
      <c r="G8" s="11" t="s">
        <v>16</v>
      </c>
      <c r="H8" s="11" t="s">
        <v>17</v>
      </c>
      <c r="I8" s="12"/>
    </row>
    <row r="9" spans="2:9">
      <c r="B9" s="102"/>
      <c r="C9" s="14"/>
      <c r="D9" s="15"/>
      <c r="E9" s="15"/>
      <c r="F9" s="15"/>
      <c r="G9" s="16"/>
      <c r="H9" s="17" t="str">
        <f>IF(D9="","",F9*G9)</f>
        <v/>
      </c>
      <c r="I9" s="18"/>
    </row>
    <row r="10" spans="2:9">
      <c r="B10" s="104" t="s">
        <v>2567</v>
      </c>
      <c r="C10" s="20" t="s">
        <v>2568</v>
      </c>
      <c r="D10" s="22"/>
      <c r="E10" s="22"/>
      <c r="F10" s="22"/>
      <c r="G10" s="39"/>
      <c r="H10" s="17" t="str">
        <f t="shared" ref="H10:H73" si="0">IF(D10="","",F10*G10)</f>
        <v/>
      </c>
      <c r="I10" s="40"/>
    </row>
    <row r="11" spans="2:9">
      <c r="B11" s="104"/>
      <c r="C11" s="14"/>
      <c r="D11" s="22"/>
      <c r="E11" s="22"/>
      <c r="F11" s="22"/>
      <c r="G11" s="39"/>
      <c r="H11" s="17" t="str">
        <f t="shared" si="0"/>
        <v/>
      </c>
      <c r="I11" s="40"/>
    </row>
    <row r="12" spans="2:9">
      <c r="B12" s="102" t="s">
        <v>2569</v>
      </c>
      <c r="C12" s="14" t="s">
        <v>2570</v>
      </c>
      <c r="D12" s="22"/>
      <c r="E12" s="22"/>
      <c r="F12" s="22"/>
      <c r="G12" s="39"/>
      <c r="H12" s="17" t="str">
        <f t="shared" si="0"/>
        <v/>
      </c>
      <c r="I12" s="40"/>
    </row>
    <row r="13" spans="2:9">
      <c r="B13" s="102"/>
      <c r="C13" s="14"/>
      <c r="D13" s="22"/>
      <c r="E13" s="22"/>
      <c r="F13" s="22"/>
      <c r="G13" s="39"/>
      <c r="H13" s="17" t="str">
        <f t="shared" si="0"/>
        <v/>
      </c>
      <c r="I13" s="40"/>
    </row>
    <row r="14" spans="2:9">
      <c r="B14" s="102" t="s">
        <v>2571</v>
      </c>
      <c r="C14" s="14" t="s">
        <v>2572</v>
      </c>
      <c r="D14" s="22" t="s">
        <v>33</v>
      </c>
      <c r="E14" s="22"/>
      <c r="F14" s="23"/>
      <c r="G14" s="24"/>
      <c r="H14" s="17">
        <f t="shared" si="0"/>
        <v>0</v>
      </c>
      <c r="I14" s="41"/>
    </row>
    <row r="15" spans="2:9">
      <c r="B15" s="102"/>
      <c r="C15" s="14"/>
      <c r="D15" s="22"/>
      <c r="E15" s="22"/>
      <c r="F15" s="23"/>
      <c r="G15" s="24"/>
      <c r="H15" s="17" t="str">
        <f t="shared" si="0"/>
        <v/>
      </c>
      <c r="I15" s="41"/>
    </row>
    <row r="16" spans="2:9">
      <c r="B16" s="102" t="s">
        <v>2573</v>
      </c>
      <c r="C16" s="14" t="s">
        <v>2574</v>
      </c>
      <c r="D16" s="22"/>
      <c r="E16" s="22"/>
      <c r="F16" s="23"/>
      <c r="G16" s="24"/>
      <c r="H16" s="17" t="str">
        <f t="shared" si="0"/>
        <v/>
      </c>
      <c r="I16" s="41"/>
    </row>
    <row r="17" spans="2:9">
      <c r="B17" s="102"/>
      <c r="C17" s="14"/>
      <c r="D17" s="22"/>
      <c r="E17" s="22"/>
      <c r="F17" s="23"/>
      <c r="G17" s="24"/>
      <c r="H17" s="17" t="str">
        <f t="shared" si="0"/>
        <v/>
      </c>
      <c r="I17" s="41"/>
    </row>
    <row r="18" spans="2:9">
      <c r="B18" s="102" t="s">
        <v>2575</v>
      </c>
      <c r="C18" s="14" t="s">
        <v>2576</v>
      </c>
      <c r="D18" s="22" t="s">
        <v>33</v>
      </c>
      <c r="E18" s="22"/>
      <c r="F18" s="23"/>
      <c r="G18" s="39"/>
      <c r="H18" s="17">
        <f t="shared" si="0"/>
        <v>0</v>
      </c>
      <c r="I18" s="40"/>
    </row>
    <row r="19" spans="2:9">
      <c r="B19" s="102"/>
      <c r="C19" s="14"/>
      <c r="D19" s="22"/>
      <c r="E19" s="36"/>
      <c r="F19" s="23"/>
      <c r="G19" s="42"/>
      <c r="H19" s="17" t="str">
        <f t="shared" si="0"/>
        <v/>
      </c>
      <c r="I19" s="40"/>
    </row>
    <row r="20" spans="2:9">
      <c r="B20" s="102" t="s">
        <v>2577</v>
      </c>
      <c r="C20" s="1" t="s">
        <v>2578</v>
      </c>
      <c r="D20" s="22" t="s">
        <v>33</v>
      </c>
      <c r="E20" s="36"/>
      <c r="F20" s="23"/>
      <c r="G20" s="44"/>
      <c r="H20" s="17">
        <f t="shared" si="0"/>
        <v>0</v>
      </c>
    </row>
    <row r="21" spans="2:9">
      <c r="B21" s="102"/>
      <c r="C21" s="14"/>
      <c r="D21" s="22"/>
      <c r="E21" s="36"/>
      <c r="F21" s="23"/>
      <c r="G21" s="44"/>
      <c r="H21" s="17" t="str">
        <f t="shared" si="0"/>
        <v/>
      </c>
    </row>
    <row r="22" spans="2:9">
      <c r="B22" s="102" t="s">
        <v>2579</v>
      </c>
      <c r="C22" s="14" t="s">
        <v>2580</v>
      </c>
      <c r="D22" s="22"/>
      <c r="E22" s="36"/>
      <c r="F22" s="23"/>
      <c r="G22" s="37"/>
      <c r="H22" s="17" t="str">
        <f t="shared" si="0"/>
        <v/>
      </c>
    </row>
    <row r="23" spans="2:9">
      <c r="B23" s="102"/>
      <c r="C23" s="14"/>
      <c r="D23" s="22"/>
      <c r="E23" s="36"/>
      <c r="F23" s="23"/>
      <c r="G23" s="44"/>
      <c r="H23" s="17" t="str">
        <f t="shared" si="0"/>
        <v/>
      </c>
    </row>
    <row r="24" spans="2:9">
      <c r="B24" s="102" t="s">
        <v>2581</v>
      </c>
      <c r="C24" s="14" t="s">
        <v>2582</v>
      </c>
      <c r="D24" s="22" t="s">
        <v>33</v>
      </c>
      <c r="E24" s="36"/>
      <c r="F24" s="23"/>
      <c r="G24" s="42"/>
      <c r="H24" s="17">
        <f t="shared" si="0"/>
        <v>0</v>
      </c>
    </row>
    <row r="25" spans="2:9">
      <c r="B25" s="102"/>
      <c r="C25" s="14"/>
      <c r="D25" s="22"/>
      <c r="E25" s="22"/>
      <c r="F25" s="23"/>
      <c r="G25" s="44"/>
      <c r="H25" s="17" t="str">
        <f t="shared" si="0"/>
        <v/>
      </c>
    </row>
    <row r="26" spans="2:9">
      <c r="B26" s="102" t="s">
        <v>2583</v>
      </c>
      <c r="C26" s="14" t="s">
        <v>2578</v>
      </c>
      <c r="D26" s="22" t="s">
        <v>33</v>
      </c>
      <c r="E26" s="15"/>
      <c r="F26" s="23"/>
      <c r="G26" s="37"/>
      <c r="H26" s="17">
        <f t="shared" si="0"/>
        <v>0</v>
      </c>
      <c r="I26" s="41"/>
    </row>
    <row r="27" spans="2:9">
      <c r="B27" s="102"/>
      <c r="C27" s="14"/>
      <c r="D27" s="15"/>
      <c r="E27" s="15"/>
      <c r="F27" s="26"/>
      <c r="G27" s="27"/>
      <c r="H27" s="17" t="str">
        <f t="shared" si="0"/>
        <v/>
      </c>
      <c r="I27" s="18"/>
    </row>
    <row r="28" spans="2:9" s="35" customFormat="1">
      <c r="B28" s="102" t="s">
        <v>2584</v>
      </c>
      <c r="C28" s="14" t="s">
        <v>2585</v>
      </c>
      <c r="D28" s="22"/>
      <c r="E28" s="22"/>
      <c r="F28" s="26"/>
      <c r="G28" s="27"/>
      <c r="H28" s="17" t="str">
        <f t="shared" si="0"/>
        <v/>
      </c>
      <c r="I28" s="18"/>
    </row>
    <row r="29" spans="2:9">
      <c r="B29" s="102"/>
      <c r="C29" s="14"/>
      <c r="D29" s="22"/>
      <c r="E29" s="22"/>
      <c r="F29" s="23"/>
      <c r="G29" s="37"/>
      <c r="H29" s="17" t="str">
        <f t="shared" si="0"/>
        <v/>
      </c>
      <c r="I29" s="41"/>
    </row>
    <row r="30" spans="2:9">
      <c r="B30" s="102" t="s">
        <v>2586</v>
      </c>
      <c r="C30" s="14" t="s">
        <v>2587</v>
      </c>
      <c r="D30" s="22" t="s">
        <v>33</v>
      </c>
      <c r="E30" s="22"/>
      <c r="F30" s="23"/>
      <c r="G30" s="37"/>
      <c r="H30" s="17">
        <f t="shared" si="0"/>
        <v>0</v>
      </c>
      <c r="I30" s="41"/>
    </row>
    <row r="31" spans="2:9">
      <c r="B31" s="102"/>
      <c r="C31" s="14"/>
      <c r="D31" s="22"/>
      <c r="E31" s="22"/>
      <c r="F31" s="23"/>
      <c r="G31" s="45"/>
      <c r="H31" s="17" t="str">
        <f t="shared" si="0"/>
        <v/>
      </c>
      <c r="I31" s="40"/>
    </row>
    <row r="32" spans="2:9">
      <c r="B32" s="102" t="s">
        <v>2588</v>
      </c>
      <c r="C32" s="14" t="s">
        <v>2578</v>
      </c>
      <c r="D32" s="22" t="s">
        <v>33</v>
      </c>
      <c r="E32" s="22"/>
      <c r="F32" s="23"/>
      <c r="G32" s="45"/>
      <c r="H32" s="17">
        <f t="shared" si="0"/>
        <v>0</v>
      </c>
      <c r="I32" s="40"/>
    </row>
    <row r="33" spans="2:9">
      <c r="B33" s="102"/>
      <c r="C33" s="14"/>
      <c r="D33" s="22"/>
      <c r="E33" s="22"/>
      <c r="F33" s="23"/>
      <c r="G33" s="42"/>
      <c r="H33" s="17" t="str">
        <f t="shared" si="0"/>
        <v/>
      </c>
      <c r="I33" s="40"/>
    </row>
    <row r="34" spans="2:9">
      <c r="B34" s="102" t="s">
        <v>2589</v>
      </c>
      <c r="C34" s="14" t="s">
        <v>2590</v>
      </c>
      <c r="D34" s="22"/>
      <c r="E34" s="22"/>
      <c r="F34" s="23"/>
      <c r="G34" s="42"/>
      <c r="H34" s="17" t="str">
        <f t="shared" si="0"/>
        <v/>
      </c>
      <c r="I34" s="40"/>
    </row>
    <row r="35" spans="2:9">
      <c r="B35" s="102"/>
      <c r="C35" s="14"/>
      <c r="D35" s="22"/>
      <c r="E35" s="22"/>
      <c r="F35" s="22"/>
      <c r="G35" s="39"/>
      <c r="H35" s="17" t="str">
        <f t="shared" si="0"/>
        <v/>
      </c>
      <c r="I35" s="40"/>
    </row>
    <row r="36" spans="2:9" ht="25.5">
      <c r="B36" s="102" t="s">
        <v>2591</v>
      </c>
      <c r="C36" s="14" t="s">
        <v>2592</v>
      </c>
      <c r="D36" s="22" t="s">
        <v>33</v>
      </c>
      <c r="E36" s="22"/>
      <c r="F36" s="22"/>
      <c r="G36" s="39"/>
      <c r="H36" s="17">
        <f t="shared" si="0"/>
        <v>0</v>
      </c>
      <c r="I36" s="40"/>
    </row>
    <row r="37" spans="2:9">
      <c r="B37" s="102"/>
      <c r="C37" s="14"/>
      <c r="D37" s="22"/>
      <c r="E37" s="22"/>
      <c r="F37" s="22"/>
      <c r="G37" s="37"/>
      <c r="H37" s="17" t="str">
        <f t="shared" si="0"/>
        <v/>
      </c>
      <c r="I37" s="40"/>
    </row>
    <row r="38" spans="2:9">
      <c r="B38" s="102" t="s">
        <v>2593</v>
      </c>
      <c r="C38" s="14" t="s">
        <v>2578</v>
      </c>
      <c r="D38" s="22" t="s">
        <v>33</v>
      </c>
      <c r="E38" s="22"/>
      <c r="F38" s="22"/>
      <c r="G38" s="37"/>
      <c r="H38" s="17">
        <f t="shared" si="0"/>
        <v>0</v>
      </c>
      <c r="I38" s="40"/>
    </row>
    <row r="39" spans="2:9">
      <c r="B39" s="102"/>
      <c r="C39" s="14"/>
      <c r="D39" s="22"/>
      <c r="E39" s="22"/>
      <c r="F39" s="22"/>
      <c r="G39" s="37"/>
      <c r="H39" s="17" t="str">
        <f t="shared" si="0"/>
        <v/>
      </c>
      <c r="I39" s="40"/>
    </row>
    <row r="40" spans="2:9" ht="25.5">
      <c r="B40" s="102" t="s">
        <v>2594</v>
      </c>
      <c r="C40" s="14" t="s">
        <v>2595</v>
      </c>
      <c r="D40" s="22"/>
      <c r="E40" s="22"/>
      <c r="F40" s="22"/>
      <c r="G40" s="37"/>
      <c r="H40" s="17" t="str">
        <f t="shared" si="0"/>
        <v/>
      </c>
      <c r="I40" s="40"/>
    </row>
    <row r="41" spans="2:9">
      <c r="B41" s="102"/>
      <c r="C41" s="14"/>
      <c r="D41" s="22"/>
      <c r="E41" s="22"/>
      <c r="F41" s="22"/>
      <c r="G41" s="37"/>
      <c r="H41" s="17" t="str">
        <f t="shared" si="0"/>
        <v/>
      </c>
      <c r="I41" s="40"/>
    </row>
    <row r="42" spans="2:9">
      <c r="B42" s="102" t="s">
        <v>2596</v>
      </c>
      <c r="C42" s="14" t="s">
        <v>2597</v>
      </c>
      <c r="D42" s="22" t="s">
        <v>85</v>
      </c>
      <c r="E42" s="22"/>
      <c r="F42" s="22"/>
      <c r="G42" s="37"/>
      <c r="H42" s="17">
        <f t="shared" si="0"/>
        <v>0</v>
      </c>
      <c r="I42" s="40"/>
    </row>
    <row r="43" spans="2:9">
      <c r="B43" s="102"/>
      <c r="C43" s="14"/>
      <c r="D43" s="22"/>
      <c r="E43" s="22"/>
      <c r="F43" s="22"/>
      <c r="G43" s="37"/>
      <c r="H43" s="17" t="str">
        <f t="shared" si="0"/>
        <v/>
      </c>
      <c r="I43" s="40"/>
    </row>
    <row r="44" spans="2:9">
      <c r="B44" s="102" t="s">
        <v>2598</v>
      </c>
      <c r="C44" s="14" t="s">
        <v>2599</v>
      </c>
      <c r="D44" s="22" t="s">
        <v>85</v>
      </c>
      <c r="E44" s="22"/>
      <c r="F44" s="22"/>
      <c r="G44" s="37"/>
      <c r="H44" s="17">
        <f t="shared" si="0"/>
        <v>0</v>
      </c>
      <c r="I44" s="40"/>
    </row>
    <row r="45" spans="2:9">
      <c r="B45" s="102"/>
      <c r="C45" s="14"/>
      <c r="D45" s="22"/>
      <c r="E45" s="22"/>
      <c r="F45" s="22"/>
      <c r="G45" s="46"/>
      <c r="H45" s="17" t="str">
        <f t="shared" si="0"/>
        <v/>
      </c>
      <c r="I45" s="40"/>
    </row>
    <row r="46" spans="2:9">
      <c r="B46" s="102" t="s">
        <v>2600</v>
      </c>
      <c r="C46" s="14" t="s">
        <v>2601</v>
      </c>
      <c r="D46" s="22" t="s">
        <v>85</v>
      </c>
      <c r="E46" s="22"/>
      <c r="F46" s="22"/>
      <c r="G46" s="46"/>
      <c r="H46" s="17">
        <f t="shared" si="0"/>
        <v>0</v>
      </c>
      <c r="I46" s="40"/>
    </row>
    <row r="47" spans="2:9">
      <c r="B47" s="102"/>
      <c r="C47" s="14"/>
      <c r="D47" s="22"/>
      <c r="E47" s="22"/>
      <c r="F47" s="22"/>
      <c r="G47" s="37"/>
      <c r="H47" s="17" t="str">
        <f t="shared" si="0"/>
        <v/>
      </c>
      <c r="I47" s="40"/>
    </row>
    <row r="48" spans="2:9">
      <c r="B48" s="102" t="s">
        <v>2602</v>
      </c>
      <c r="C48" s="14" t="s">
        <v>2603</v>
      </c>
      <c r="D48" s="22" t="s">
        <v>85</v>
      </c>
      <c r="E48" s="22"/>
      <c r="F48" s="22"/>
      <c r="G48" s="37"/>
      <c r="H48" s="17">
        <f t="shared" si="0"/>
        <v>0</v>
      </c>
      <c r="I48" s="40"/>
    </row>
    <row r="49" spans="2:9">
      <c r="B49" s="102"/>
      <c r="C49" s="14"/>
      <c r="D49" s="22"/>
      <c r="E49" s="22"/>
      <c r="F49" s="22"/>
      <c r="G49" s="37"/>
      <c r="H49" s="17" t="str">
        <f t="shared" si="0"/>
        <v/>
      </c>
      <c r="I49" s="40"/>
    </row>
    <row r="50" spans="2:9">
      <c r="B50" s="102" t="s">
        <v>2604</v>
      </c>
      <c r="C50" s="14" t="s">
        <v>2605</v>
      </c>
      <c r="D50" s="22"/>
      <c r="E50" s="22"/>
      <c r="F50" s="22"/>
      <c r="G50" s="37"/>
      <c r="H50" s="17" t="str">
        <f t="shared" si="0"/>
        <v/>
      </c>
      <c r="I50" s="40"/>
    </row>
    <row r="51" spans="2:9">
      <c r="B51" s="102"/>
      <c r="C51" s="14"/>
      <c r="D51" s="22"/>
      <c r="E51" s="22"/>
      <c r="F51" s="22"/>
      <c r="G51" s="37"/>
      <c r="H51" s="17" t="str">
        <f t="shared" si="0"/>
        <v/>
      </c>
      <c r="I51" s="40"/>
    </row>
    <row r="52" spans="2:9">
      <c r="B52" s="102" t="s">
        <v>2606</v>
      </c>
      <c r="C52" s="14" t="s">
        <v>2607</v>
      </c>
      <c r="D52" s="22" t="s">
        <v>85</v>
      </c>
      <c r="E52" s="22"/>
      <c r="F52" s="22"/>
      <c r="G52" s="37"/>
      <c r="H52" s="17">
        <f t="shared" si="0"/>
        <v>0</v>
      </c>
      <c r="I52" s="40"/>
    </row>
    <row r="53" spans="2:9">
      <c r="B53" s="102"/>
      <c r="C53" s="14"/>
      <c r="D53" s="22"/>
      <c r="E53" s="22"/>
      <c r="F53" s="22"/>
      <c r="G53" s="37"/>
      <c r="H53" s="17" t="str">
        <f t="shared" si="0"/>
        <v/>
      </c>
      <c r="I53" s="40"/>
    </row>
    <row r="54" spans="2:9">
      <c r="B54" s="102" t="s">
        <v>2608</v>
      </c>
      <c r="C54" s="14" t="s">
        <v>2578</v>
      </c>
      <c r="D54" s="22" t="s">
        <v>85</v>
      </c>
      <c r="E54" s="36"/>
      <c r="F54" s="22"/>
      <c r="G54" s="37"/>
      <c r="H54" s="17">
        <f t="shared" si="0"/>
        <v>0</v>
      </c>
      <c r="I54" s="40"/>
    </row>
    <row r="55" spans="2:9">
      <c r="B55" s="102"/>
      <c r="C55" s="14"/>
      <c r="D55" s="22"/>
      <c r="E55" s="22"/>
      <c r="F55" s="36"/>
      <c r="G55" s="37"/>
      <c r="H55" s="17" t="str">
        <f t="shared" si="0"/>
        <v/>
      </c>
    </row>
    <row r="56" spans="2:9">
      <c r="B56" s="102" t="s">
        <v>2609</v>
      </c>
      <c r="C56" s="14" t="s">
        <v>2610</v>
      </c>
      <c r="D56" s="36"/>
      <c r="E56" s="36"/>
      <c r="F56" s="22"/>
      <c r="G56" s="37"/>
      <c r="H56" s="17" t="str">
        <f t="shared" si="0"/>
        <v/>
      </c>
      <c r="I56" s="40"/>
    </row>
    <row r="57" spans="2:9">
      <c r="B57" s="102"/>
      <c r="C57" s="14"/>
      <c r="D57" s="36"/>
      <c r="E57" s="36"/>
      <c r="F57" s="36"/>
      <c r="G57" s="37"/>
      <c r="H57" s="17" t="str">
        <f t="shared" si="0"/>
        <v/>
      </c>
      <c r="I57" s="47"/>
    </row>
    <row r="58" spans="2:9" ht="12.75" customHeight="1">
      <c r="B58" s="102" t="s">
        <v>2611</v>
      </c>
      <c r="C58" s="14" t="s">
        <v>2612</v>
      </c>
      <c r="D58" s="22" t="s">
        <v>85</v>
      </c>
      <c r="E58" s="22"/>
      <c r="F58" s="36"/>
      <c r="G58" s="37"/>
      <c r="H58" s="17">
        <f t="shared" si="0"/>
        <v>0</v>
      </c>
    </row>
    <row r="59" spans="2:9">
      <c r="B59" s="102"/>
      <c r="C59" s="14"/>
      <c r="D59" s="22"/>
      <c r="E59" s="22"/>
      <c r="F59" s="22"/>
      <c r="G59" s="37"/>
      <c r="H59" s="17" t="str">
        <f t="shared" si="0"/>
        <v/>
      </c>
      <c r="I59" s="40"/>
    </row>
    <row r="60" spans="2:9">
      <c r="B60" s="102" t="s">
        <v>2613</v>
      </c>
      <c r="C60" s="14" t="s">
        <v>2614</v>
      </c>
      <c r="D60" s="22"/>
      <c r="E60" s="22"/>
      <c r="F60" s="22"/>
      <c r="G60" s="37"/>
      <c r="H60" s="17" t="str">
        <f t="shared" si="0"/>
        <v/>
      </c>
      <c r="I60" s="40"/>
    </row>
    <row r="61" spans="2:9">
      <c r="B61" s="102"/>
      <c r="C61" s="14"/>
      <c r="D61" s="22"/>
      <c r="E61" s="22"/>
      <c r="F61" s="22"/>
      <c r="G61" s="37"/>
      <c r="H61" s="17" t="str">
        <f t="shared" si="0"/>
        <v/>
      </c>
      <c r="I61" s="40"/>
    </row>
    <row r="62" spans="2:9">
      <c r="B62" s="102" t="s">
        <v>2615</v>
      </c>
      <c r="C62" s="14" t="s">
        <v>2616</v>
      </c>
      <c r="D62" s="22" t="s">
        <v>85</v>
      </c>
      <c r="E62" s="22"/>
      <c r="F62" s="22"/>
      <c r="G62" s="37"/>
      <c r="H62" s="17">
        <f t="shared" si="0"/>
        <v>0</v>
      </c>
      <c r="I62" s="40"/>
    </row>
    <row r="63" spans="2:9">
      <c r="B63" s="102"/>
      <c r="C63" s="14"/>
      <c r="D63" s="22"/>
      <c r="E63" s="22"/>
      <c r="F63" s="22"/>
      <c r="G63" s="37"/>
      <c r="H63" s="17" t="str">
        <f t="shared" si="0"/>
        <v/>
      </c>
      <c r="I63" s="40"/>
    </row>
    <row r="64" spans="2:9" ht="12.75" customHeight="1">
      <c r="B64" s="102" t="s">
        <v>2617</v>
      </c>
      <c r="C64" s="14" t="s">
        <v>2618</v>
      </c>
      <c r="D64" s="22"/>
      <c r="E64" s="22"/>
      <c r="F64" s="22"/>
      <c r="G64" s="37"/>
      <c r="H64" s="17" t="str">
        <f t="shared" si="0"/>
        <v/>
      </c>
      <c r="I64" s="40"/>
    </row>
    <row r="65" spans="2:9">
      <c r="B65" s="102"/>
      <c r="C65" s="14"/>
      <c r="D65" s="22"/>
      <c r="E65" s="22"/>
      <c r="F65" s="22"/>
      <c r="G65" s="37"/>
      <c r="H65" s="17" t="str">
        <f t="shared" si="0"/>
        <v/>
      </c>
      <c r="I65" s="40"/>
    </row>
    <row r="66" spans="2:9">
      <c r="B66" s="102" t="s">
        <v>2619</v>
      </c>
      <c r="C66" s="14" t="s">
        <v>2620</v>
      </c>
      <c r="D66" s="22" t="s">
        <v>85</v>
      </c>
      <c r="E66" s="22"/>
      <c r="F66" s="22"/>
      <c r="G66" s="37"/>
      <c r="H66" s="17">
        <f t="shared" si="0"/>
        <v>0</v>
      </c>
      <c r="I66" s="40"/>
    </row>
    <row r="67" spans="2:9">
      <c r="B67" s="102"/>
      <c r="C67" s="14"/>
      <c r="D67" s="22"/>
      <c r="E67" s="22"/>
      <c r="F67" s="22"/>
      <c r="G67" s="37"/>
      <c r="H67" s="17" t="str">
        <f t="shared" si="0"/>
        <v/>
      </c>
      <c r="I67" s="40"/>
    </row>
    <row r="68" spans="2:9">
      <c r="B68" s="102"/>
      <c r="C68" s="14"/>
      <c r="D68" s="22"/>
      <c r="E68" s="22"/>
      <c r="F68" s="22"/>
      <c r="G68" s="37"/>
      <c r="H68" s="17" t="str">
        <f t="shared" si="0"/>
        <v/>
      </c>
      <c r="I68" s="40"/>
    </row>
    <row r="69" spans="2:9">
      <c r="B69" s="102"/>
      <c r="C69" s="14"/>
      <c r="D69" s="22"/>
      <c r="E69" s="22"/>
      <c r="F69" s="22"/>
      <c r="G69" s="37"/>
      <c r="H69" s="17" t="str">
        <f t="shared" si="0"/>
        <v/>
      </c>
      <c r="I69" s="40"/>
    </row>
    <row r="70" spans="2:9">
      <c r="B70" s="102"/>
      <c r="C70" s="14"/>
      <c r="D70" s="22"/>
      <c r="E70" s="22"/>
      <c r="F70" s="22"/>
      <c r="G70" s="37"/>
      <c r="H70" s="17" t="str">
        <f t="shared" si="0"/>
        <v/>
      </c>
      <c r="I70" s="40"/>
    </row>
    <row r="71" spans="2:9">
      <c r="B71" s="102"/>
      <c r="C71" s="14"/>
      <c r="D71" s="22"/>
      <c r="E71" s="22"/>
      <c r="F71" s="22"/>
      <c r="G71" s="37"/>
      <c r="H71" s="17" t="str">
        <f t="shared" si="0"/>
        <v/>
      </c>
      <c r="I71" s="40"/>
    </row>
    <row r="72" spans="2:9">
      <c r="B72" s="102"/>
      <c r="C72" s="14"/>
      <c r="D72" s="22"/>
      <c r="E72" s="22"/>
      <c r="F72" s="22"/>
      <c r="G72" s="37"/>
      <c r="H72" s="17" t="str">
        <f t="shared" si="0"/>
        <v/>
      </c>
      <c r="I72" s="40"/>
    </row>
    <row r="73" spans="2:9">
      <c r="B73" s="102"/>
      <c r="C73" s="14"/>
      <c r="D73" s="22"/>
      <c r="E73" s="22"/>
      <c r="F73" s="22"/>
      <c r="G73" s="37"/>
      <c r="H73" s="17" t="str">
        <f t="shared" si="0"/>
        <v/>
      </c>
      <c r="I73" s="40"/>
    </row>
    <row r="74" spans="2:9">
      <c r="B74" s="102"/>
      <c r="C74" s="14"/>
      <c r="D74" s="22"/>
      <c r="E74" s="22"/>
      <c r="F74" s="22"/>
      <c r="G74" s="37"/>
      <c r="H74" s="17"/>
      <c r="I74" s="40"/>
    </row>
    <row r="75" spans="2:9">
      <c r="B75" s="102"/>
      <c r="C75" s="14"/>
      <c r="D75" s="22"/>
      <c r="E75" s="22"/>
      <c r="F75" s="22"/>
      <c r="G75" s="37"/>
      <c r="H75" s="17" t="str">
        <f t="shared" ref="H75:H76" si="1">IF(D75="","",F75*G75)</f>
        <v/>
      </c>
      <c r="I75" s="40"/>
    </row>
    <row r="76" spans="2:9">
      <c r="B76" s="102"/>
      <c r="C76" s="14"/>
      <c r="D76" s="22"/>
      <c r="E76" s="22"/>
      <c r="F76" s="22"/>
      <c r="G76" s="37"/>
      <c r="H76" s="17" t="str">
        <f t="shared" si="1"/>
        <v/>
      </c>
      <c r="I76" s="40"/>
    </row>
    <row r="77" spans="2:9" s="28" customFormat="1" ht="24.75" customHeight="1">
      <c r="B77" s="119" t="str">
        <f>$B$10</f>
        <v>C13.13</v>
      </c>
      <c r="C77" s="29" t="s">
        <v>125</v>
      </c>
      <c r="D77" s="30"/>
      <c r="E77" s="30"/>
      <c r="F77" s="31"/>
      <c r="G77" s="30"/>
      <c r="H77" s="32">
        <f>SUM(H9:H76)</f>
        <v>0</v>
      </c>
      <c r="I77" s="33"/>
    </row>
  </sheetData>
  <mergeCells count="6">
    <mergeCell ref="F1:H1"/>
    <mergeCell ref="B2:C2"/>
    <mergeCell ref="B1:C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39"/>
  <dimension ref="B1:I79"/>
  <sheetViews>
    <sheetView workbookViewId="0"/>
  </sheetViews>
  <sheetFormatPr defaultColWidth="6.85546875" defaultRowHeight="12.75"/>
  <cols>
    <col min="1" max="1" width="0.85546875" style="1" customWidth="1"/>
    <col min="2" max="2" width="11.7109375" style="53"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788" t="str">
        <f>Client1</f>
        <v>AIRPORTS COMPANY - SOUTH AFRICA</v>
      </c>
      <c r="C1" s="788"/>
      <c r="F1" s="732" t="str">
        <f>"Contract No. "&amp;ContractNo</f>
        <v>Contract No. KSIA7806/2025/RFP</v>
      </c>
      <c r="G1" s="732"/>
      <c r="H1" s="732"/>
    </row>
    <row r="2" spans="2:9">
      <c r="B2" s="777" t="str">
        <f>Client2</f>
        <v>ACSA</v>
      </c>
      <c r="C2" s="777"/>
    </row>
    <row r="3" spans="2:9">
      <c r="B3" s="92"/>
      <c r="C3" s="71"/>
      <c r="D3" s="72"/>
      <c r="E3" s="72"/>
      <c r="F3" s="72"/>
      <c r="G3" s="73"/>
      <c r="H3" s="91"/>
    </row>
    <row r="4" spans="2:9" ht="12.75" customHeight="1">
      <c r="B4" s="789" t="s">
        <v>456</v>
      </c>
      <c r="C4" s="790"/>
      <c r="D4" s="790"/>
      <c r="E4" s="790"/>
      <c r="F4" s="790"/>
      <c r="G4" s="790"/>
      <c r="H4" s="770" t="str">
        <f>"CHAPTER "&amp;B10</f>
        <v>CHAPTER C13.14</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25" t="str">
        <f t="shared" ref="H9:H14" si="0">IF(D9="","",F9*G9)</f>
        <v/>
      </c>
      <c r="I9" s="18"/>
    </row>
    <row r="10" spans="2:9">
      <c r="B10" s="19" t="s">
        <v>2621</v>
      </c>
      <c r="C10" s="20" t="s">
        <v>2622</v>
      </c>
      <c r="D10" s="22"/>
      <c r="E10" s="22"/>
      <c r="F10" s="22"/>
      <c r="G10" s="39"/>
      <c r="H10" s="25" t="str">
        <f t="shared" si="0"/>
        <v/>
      </c>
      <c r="I10" s="40"/>
    </row>
    <row r="11" spans="2:9">
      <c r="B11" s="19"/>
      <c r="C11" s="14"/>
      <c r="D11" s="22"/>
      <c r="E11" s="22"/>
      <c r="F11" s="22"/>
      <c r="G11" s="39"/>
      <c r="H11" s="25" t="str">
        <f t="shared" si="0"/>
        <v/>
      </c>
      <c r="I11" s="40"/>
    </row>
    <row r="12" spans="2:9">
      <c r="B12" s="19"/>
      <c r="C12" s="14"/>
      <c r="D12" s="22"/>
      <c r="E12" s="22"/>
      <c r="F12" s="22"/>
      <c r="G12" s="39"/>
      <c r="H12" s="25" t="str">
        <f t="shared" si="0"/>
        <v/>
      </c>
      <c r="I12" s="40"/>
    </row>
    <row r="13" spans="2:9">
      <c r="B13" s="19"/>
      <c r="C13" s="14"/>
      <c r="D13" s="22"/>
      <c r="E13" s="22"/>
      <c r="F13" s="22"/>
      <c r="G13" s="39"/>
      <c r="H13" s="25" t="str">
        <f t="shared" si="0"/>
        <v/>
      </c>
      <c r="I13" s="40"/>
    </row>
    <row r="14" spans="2:9">
      <c r="B14" s="19"/>
      <c r="C14" s="14"/>
      <c r="D14" s="22"/>
      <c r="E14" s="22"/>
      <c r="F14" s="23"/>
      <c r="G14" s="24"/>
      <c r="H14" s="25" t="str">
        <f t="shared" si="0"/>
        <v/>
      </c>
      <c r="I14" s="41"/>
    </row>
    <row r="15" spans="2:9">
      <c r="B15" s="13"/>
      <c r="C15" s="14"/>
      <c r="D15" s="22"/>
      <c r="E15" s="22"/>
      <c r="F15" s="23"/>
      <c r="G15" s="24"/>
      <c r="H15" s="25"/>
      <c r="I15" s="41"/>
    </row>
    <row r="16" spans="2:9">
      <c r="B16" s="13"/>
      <c r="C16" s="14"/>
      <c r="D16" s="22"/>
      <c r="E16" s="22"/>
      <c r="F16" s="23"/>
      <c r="G16" s="24"/>
      <c r="H16" s="25"/>
      <c r="I16" s="41"/>
    </row>
    <row r="17" spans="2:9">
      <c r="B17" s="13"/>
      <c r="C17" s="14"/>
      <c r="D17" s="22"/>
      <c r="E17" s="22"/>
      <c r="F17" s="23"/>
      <c r="G17" s="24"/>
      <c r="H17" s="25"/>
      <c r="I17" s="41"/>
    </row>
    <row r="18" spans="2:9">
      <c r="B18" s="21"/>
      <c r="C18" s="14"/>
      <c r="D18" s="22"/>
      <c r="E18" s="22"/>
      <c r="F18" s="23"/>
      <c r="G18" s="39"/>
      <c r="H18" s="25"/>
      <c r="I18" s="40"/>
    </row>
    <row r="19" spans="2:9">
      <c r="B19" s="13"/>
      <c r="C19" s="14"/>
      <c r="D19" s="22"/>
      <c r="E19" s="36"/>
      <c r="F19" s="23"/>
      <c r="G19" s="42"/>
      <c r="H19" s="25"/>
      <c r="I19" s="40"/>
    </row>
    <row r="20" spans="2:9">
      <c r="B20" s="13"/>
      <c r="C20" s="1"/>
      <c r="D20" s="22"/>
      <c r="E20" s="36"/>
      <c r="F20" s="23"/>
      <c r="G20" s="44"/>
      <c r="H20" s="25"/>
    </row>
    <row r="21" spans="2:9">
      <c r="B21" s="13"/>
      <c r="C21" s="14"/>
      <c r="D21" s="22"/>
      <c r="E21" s="36"/>
      <c r="F21" s="23"/>
      <c r="G21" s="44"/>
      <c r="H21" s="25"/>
    </row>
    <row r="22" spans="2:9">
      <c r="B22" s="21"/>
      <c r="C22" s="14"/>
      <c r="D22" s="22"/>
      <c r="E22" s="36"/>
      <c r="F22" s="23"/>
      <c r="G22" s="37"/>
      <c r="H22" s="25"/>
    </row>
    <row r="23" spans="2:9">
      <c r="B23" s="13"/>
      <c r="C23" s="14"/>
      <c r="D23" s="22"/>
      <c r="E23" s="36"/>
      <c r="F23" s="23"/>
      <c r="G23" s="44"/>
      <c r="H23" s="25"/>
    </row>
    <row r="24" spans="2:9">
      <c r="B24" s="19"/>
      <c r="C24" s="14"/>
      <c r="D24" s="22"/>
      <c r="E24" s="36"/>
      <c r="F24" s="23"/>
      <c r="G24" s="42"/>
      <c r="H24" s="25"/>
    </row>
    <row r="25" spans="2:9">
      <c r="B25" s="13"/>
      <c r="C25" s="14"/>
      <c r="D25" s="22"/>
      <c r="E25" s="22"/>
      <c r="F25" s="23"/>
      <c r="G25" s="44"/>
      <c r="H25" s="25"/>
    </row>
    <row r="26" spans="2:9">
      <c r="B26" s="13"/>
      <c r="C26" s="14"/>
      <c r="D26" s="22"/>
      <c r="E26" s="15"/>
      <c r="F26" s="23"/>
      <c r="G26" s="37"/>
      <c r="H26" s="25"/>
      <c r="I26" s="41"/>
    </row>
    <row r="27" spans="2:9">
      <c r="B27" s="13"/>
      <c r="C27" s="14"/>
      <c r="D27" s="15"/>
      <c r="E27" s="15"/>
      <c r="F27" s="26"/>
      <c r="G27" s="27"/>
      <c r="H27" s="25"/>
      <c r="I27" s="18"/>
    </row>
    <row r="28" spans="2:9" s="35" customFormat="1">
      <c r="B28" s="21"/>
      <c r="C28" s="14"/>
      <c r="D28" s="22"/>
      <c r="E28" s="22"/>
      <c r="F28" s="26"/>
      <c r="G28" s="27"/>
      <c r="H28" s="17"/>
      <c r="I28" s="18"/>
    </row>
    <row r="29" spans="2:9">
      <c r="B29" s="13"/>
      <c r="C29" s="14"/>
      <c r="D29" s="22"/>
      <c r="E29" s="22"/>
      <c r="F29" s="23"/>
      <c r="G29" s="37"/>
      <c r="H29" s="25"/>
      <c r="I29" s="41"/>
    </row>
    <row r="30" spans="2:9">
      <c r="B30" s="13"/>
      <c r="C30" s="14"/>
      <c r="D30" s="22"/>
      <c r="E30" s="22"/>
      <c r="F30" s="23"/>
      <c r="G30" s="37"/>
      <c r="H30" s="25"/>
      <c r="I30" s="41"/>
    </row>
    <row r="31" spans="2:9">
      <c r="B31" s="21"/>
      <c r="C31" s="14"/>
      <c r="D31" s="22"/>
      <c r="E31" s="22"/>
      <c r="F31" s="23"/>
      <c r="G31" s="45"/>
      <c r="H31" s="25"/>
      <c r="I31" s="40"/>
    </row>
    <row r="32" spans="2:9">
      <c r="B32" s="21"/>
      <c r="C32" s="14"/>
      <c r="D32" s="22"/>
      <c r="E32" s="22"/>
      <c r="F32" s="23"/>
      <c r="G32" s="45"/>
      <c r="H32" s="25"/>
      <c r="I32" s="40"/>
    </row>
    <row r="33" spans="2:9">
      <c r="B33" s="21"/>
      <c r="C33" s="14"/>
      <c r="D33" s="22"/>
      <c r="E33" s="22"/>
      <c r="F33" s="23"/>
      <c r="G33" s="42"/>
      <c r="H33" s="25"/>
      <c r="I33" s="40"/>
    </row>
    <row r="34" spans="2:9">
      <c r="B34" s="21"/>
      <c r="C34" s="14"/>
      <c r="D34" s="22"/>
      <c r="E34" s="22"/>
      <c r="F34" s="23"/>
      <c r="G34" s="42"/>
      <c r="H34" s="25"/>
      <c r="I34" s="40"/>
    </row>
    <row r="35" spans="2:9">
      <c r="B35" s="13"/>
      <c r="C35" s="14"/>
      <c r="D35" s="22"/>
      <c r="E35" s="22"/>
      <c r="F35" s="22"/>
      <c r="G35" s="39"/>
      <c r="H35" s="25"/>
      <c r="I35" s="40"/>
    </row>
    <row r="36" spans="2:9">
      <c r="B36" s="13"/>
      <c r="C36" s="14"/>
      <c r="D36" s="22"/>
      <c r="E36" s="22"/>
      <c r="F36" s="22"/>
      <c r="G36" s="39"/>
      <c r="H36" s="25"/>
      <c r="I36" s="40"/>
    </row>
    <row r="37" spans="2:9">
      <c r="B37" s="13"/>
      <c r="C37" s="14"/>
      <c r="D37" s="22"/>
      <c r="E37" s="22"/>
      <c r="F37" s="22"/>
      <c r="G37" s="37"/>
      <c r="H37" s="25"/>
      <c r="I37" s="40"/>
    </row>
    <row r="38" spans="2:9">
      <c r="B38" s="21"/>
      <c r="C38" s="14"/>
      <c r="D38" s="22"/>
      <c r="E38" s="22"/>
      <c r="F38" s="22"/>
      <c r="G38" s="37"/>
      <c r="H38" s="25"/>
      <c r="I38" s="40"/>
    </row>
    <row r="39" spans="2:9">
      <c r="B39" s="21"/>
      <c r="C39" s="14"/>
      <c r="D39" s="22"/>
      <c r="E39" s="22"/>
      <c r="F39" s="22"/>
      <c r="G39" s="37"/>
      <c r="H39" s="25"/>
      <c r="I39" s="40"/>
    </row>
    <row r="40" spans="2:9">
      <c r="B40" s="21"/>
      <c r="C40" s="14"/>
      <c r="D40" s="22"/>
      <c r="E40" s="22"/>
      <c r="F40" s="22"/>
      <c r="G40" s="37"/>
      <c r="H40" s="25"/>
      <c r="I40" s="40"/>
    </row>
    <row r="41" spans="2:9">
      <c r="B41" s="13"/>
      <c r="C41" s="14"/>
      <c r="D41" s="22"/>
      <c r="E41" s="22"/>
      <c r="F41" s="22"/>
      <c r="G41" s="37"/>
      <c r="H41" s="25"/>
      <c r="I41" s="40"/>
    </row>
    <row r="42" spans="2:9">
      <c r="B42" s="13"/>
      <c r="C42" s="14"/>
      <c r="D42" s="22"/>
      <c r="E42" s="22"/>
      <c r="F42" s="22"/>
      <c r="G42" s="37"/>
      <c r="H42" s="25"/>
      <c r="I42" s="40"/>
    </row>
    <row r="43" spans="2:9">
      <c r="B43" s="13"/>
      <c r="C43" s="14"/>
      <c r="D43" s="22"/>
      <c r="E43" s="22"/>
      <c r="F43" s="22"/>
      <c r="G43" s="37"/>
      <c r="H43" s="25"/>
      <c r="I43" s="40"/>
    </row>
    <row r="44" spans="2:9">
      <c r="B44" s="13"/>
      <c r="C44" s="14"/>
      <c r="D44" s="22"/>
      <c r="E44" s="22"/>
      <c r="F44" s="22"/>
      <c r="G44" s="37"/>
      <c r="H44" s="25"/>
      <c r="I44" s="40"/>
    </row>
    <row r="45" spans="2:9">
      <c r="B45" s="13"/>
      <c r="C45" s="14"/>
      <c r="D45" s="22"/>
      <c r="E45" s="22"/>
      <c r="F45" s="22"/>
      <c r="G45" s="46"/>
      <c r="H45" s="25"/>
      <c r="I45" s="40"/>
    </row>
    <row r="46" spans="2:9">
      <c r="B46" s="13"/>
      <c r="C46" s="14"/>
      <c r="D46" s="22"/>
      <c r="E46" s="22"/>
      <c r="F46" s="22"/>
      <c r="G46" s="46"/>
      <c r="H46" s="25"/>
      <c r="I46" s="40"/>
    </row>
    <row r="47" spans="2:9">
      <c r="B47" s="13"/>
      <c r="C47" s="14"/>
      <c r="D47" s="22"/>
      <c r="E47" s="22"/>
      <c r="F47" s="22"/>
      <c r="G47" s="46"/>
      <c r="H47" s="25"/>
      <c r="I47" s="40"/>
    </row>
    <row r="48" spans="2:9">
      <c r="B48" s="13"/>
      <c r="C48" s="14"/>
      <c r="D48" s="22"/>
      <c r="E48" s="22"/>
      <c r="F48" s="22"/>
      <c r="G48" s="46"/>
      <c r="H48" s="25"/>
      <c r="I48" s="40"/>
    </row>
    <row r="49" spans="2:9">
      <c r="B49" s="13"/>
      <c r="C49" s="14"/>
      <c r="D49" s="22"/>
      <c r="E49" s="22"/>
      <c r="F49" s="22"/>
      <c r="G49" s="46"/>
      <c r="H49" s="25"/>
      <c r="I49" s="40"/>
    </row>
    <row r="50" spans="2:9">
      <c r="B50" s="13"/>
      <c r="C50" s="14"/>
      <c r="D50" s="22"/>
      <c r="E50" s="22"/>
      <c r="F50" s="22"/>
      <c r="G50" s="46"/>
      <c r="H50" s="25"/>
      <c r="I50" s="40"/>
    </row>
    <row r="51" spans="2:9">
      <c r="B51" s="13"/>
      <c r="C51" s="14"/>
      <c r="D51" s="22"/>
      <c r="E51" s="22"/>
      <c r="F51" s="22"/>
      <c r="G51" s="46"/>
      <c r="H51" s="25"/>
      <c r="I51" s="40"/>
    </row>
    <row r="52" spans="2:9">
      <c r="B52" s="13"/>
      <c r="C52" s="14"/>
      <c r="D52" s="22"/>
      <c r="E52" s="22"/>
      <c r="F52" s="22"/>
      <c r="G52" s="46"/>
      <c r="H52" s="25"/>
      <c r="I52" s="40"/>
    </row>
    <row r="53" spans="2:9">
      <c r="B53" s="13"/>
      <c r="C53" s="14"/>
      <c r="D53" s="22"/>
      <c r="E53" s="22"/>
      <c r="F53" s="22"/>
      <c r="G53" s="46"/>
      <c r="H53" s="25"/>
      <c r="I53" s="40"/>
    </row>
    <row r="54" spans="2:9">
      <c r="B54" s="13"/>
      <c r="C54" s="14"/>
      <c r="D54" s="22"/>
      <c r="E54" s="22"/>
      <c r="F54" s="22"/>
      <c r="G54" s="46"/>
      <c r="H54" s="25"/>
      <c r="I54" s="40"/>
    </row>
    <row r="55" spans="2:9">
      <c r="B55" s="13"/>
      <c r="C55" s="14"/>
      <c r="D55" s="22"/>
      <c r="E55" s="22"/>
      <c r="F55" s="22"/>
      <c r="G55" s="46"/>
      <c r="H55" s="25"/>
      <c r="I55" s="40"/>
    </row>
    <row r="56" spans="2:9">
      <c r="B56" s="13"/>
      <c r="C56" s="14"/>
      <c r="D56" s="22"/>
      <c r="E56" s="22"/>
      <c r="F56" s="22"/>
      <c r="G56" s="46"/>
      <c r="H56" s="25"/>
      <c r="I56" s="40"/>
    </row>
    <row r="57" spans="2:9">
      <c r="B57" s="13"/>
      <c r="C57" s="14"/>
      <c r="D57" s="22"/>
      <c r="E57" s="22"/>
      <c r="F57" s="22"/>
      <c r="G57" s="46"/>
      <c r="H57" s="25"/>
      <c r="I57" s="40"/>
    </row>
    <row r="58" spans="2:9">
      <c r="B58" s="13"/>
      <c r="C58" s="14"/>
      <c r="D58" s="22"/>
      <c r="E58" s="22"/>
      <c r="F58" s="22"/>
      <c r="G58" s="46"/>
      <c r="H58" s="25"/>
      <c r="I58" s="40"/>
    </row>
    <row r="59" spans="2:9">
      <c r="B59" s="13"/>
      <c r="C59" s="14"/>
      <c r="D59" s="22"/>
      <c r="E59" s="22"/>
      <c r="F59" s="22"/>
      <c r="G59" s="46"/>
      <c r="H59" s="25"/>
      <c r="I59" s="40"/>
    </row>
    <row r="60" spans="2:9">
      <c r="B60" s="13"/>
      <c r="C60" s="14"/>
      <c r="D60" s="22"/>
      <c r="E60" s="22"/>
      <c r="F60" s="22"/>
      <c r="G60" s="46"/>
      <c r="H60" s="25"/>
      <c r="I60" s="40"/>
    </row>
    <row r="61" spans="2:9">
      <c r="B61" s="13"/>
      <c r="C61" s="14"/>
      <c r="D61" s="22"/>
      <c r="E61" s="22"/>
      <c r="F61" s="22"/>
      <c r="G61" s="46"/>
      <c r="H61" s="25"/>
      <c r="I61" s="40"/>
    </row>
    <row r="62" spans="2:9">
      <c r="B62" s="13"/>
      <c r="C62" s="14"/>
      <c r="D62" s="22"/>
      <c r="E62" s="22"/>
      <c r="F62" s="22"/>
      <c r="G62" s="46"/>
      <c r="H62" s="25"/>
      <c r="I62" s="40"/>
    </row>
    <row r="63" spans="2:9">
      <c r="B63" s="13"/>
      <c r="C63" s="14"/>
      <c r="D63" s="22"/>
      <c r="E63" s="22"/>
      <c r="F63" s="22"/>
      <c r="G63" s="46"/>
      <c r="H63" s="25"/>
      <c r="I63" s="40"/>
    </row>
    <row r="64" spans="2:9">
      <c r="B64" s="13"/>
      <c r="C64" s="14"/>
      <c r="D64" s="22"/>
      <c r="E64" s="22"/>
      <c r="F64" s="22"/>
      <c r="G64" s="37"/>
      <c r="H64" s="25"/>
      <c r="I64" s="40"/>
    </row>
    <row r="65" spans="2:9">
      <c r="B65" s="13"/>
      <c r="C65" s="14"/>
      <c r="D65" s="22"/>
      <c r="E65" s="22"/>
      <c r="F65" s="22"/>
      <c r="G65" s="37"/>
      <c r="H65" s="25"/>
      <c r="I65" s="40"/>
    </row>
    <row r="66" spans="2:9">
      <c r="B66" s="13"/>
      <c r="C66" s="14"/>
      <c r="D66" s="22"/>
      <c r="E66" s="22"/>
      <c r="F66" s="22"/>
      <c r="G66" s="37"/>
      <c r="H66" s="25"/>
      <c r="I66" s="40"/>
    </row>
    <row r="67" spans="2:9">
      <c r="B67" s="13"/>
      <c r="C67" s="14"/>
      <c r="D67" s="22"/>
      <c r="E67" s="22"/>
      <c r="F67" s="22"/>
      <c r="G67" s="37"/>
      <c r="H67" s="25"/>
      <c r="I67" s="40"/>
    </row>
    <row r="68" spans="2:9">
      <c r="B68" s="13"/>
      <c r="C68" s="14"/>
      <c r="D68" s="22"/>
      <c r="E68" s="22"/>
      <c r="F68" s="22"/>
      <c r="G68" s="37"/>
      <c r="H68" s="25"/>
      <c r="I68" s="40"/>
    </row>
    <row r="69" spans="2:9">
      <c r="B69" s="13"/>
      <c r="C69" s="14"/>
      <c r="D69" s="22"/>
      <c r="E69" s="22"/>
      <c r="F69" s="22"/>
      <c r="G69" s="37"/>
      <c r="H69" s="25"/>
      <c r="I69" s="40"/>
    </row>
    <row r="70" spans="2:9">
      <c r="B70" s="13"/>
      <c r="C70" s="14"/>
      <c r="D70" s="22"/>
      <c r="E70" s="22"/>
      <c r="F70" s="22"/>
      <c r="G70" s="37"/>
      <c r="H70" s="25"/>
      <c r="I70" s="40"/>
    </row>
    <row r="71" spans="2:9">
      <c r="B71" s="13"/>
      <c r="C71" s="14"/>
      <c r="D71" s="36"/>
      <c r="E71" s="36"/>
      <c r="F71" s="22"/>
      <c r="G71" s="37"/>
      <c r="H71" s="25"/>
      <c r="I71" s="40"/>
    </row>
    <row r="72" spans="2:9">
      <c r="B72" s="13"/>
      <c r="C72" s="14"/>
      <c r="D72" s="22"/>
      <c r="E72" s="22"/>
      <c r="F72" s="36"/>
      <c r="G72" s="37"/>
      <c r="H72" s="25"/>
    </row>
    <row r="73" spans="2:9">
      <c r="B73" s="13"/>
      <c r="C73" s="14"/>
      <c r="D73" s="36"/>
      <c r="E73" s="36"/>
      <c r="F73" s="22"/>
      <c r="G73" s="37"/>
      <c r="H73" s="25"/>
      <c r="I73" s="40"/>
    </row>
    <row r="74" spans="2:9">
      <c r="B74" s="13"/>
      <c r="C74" s="14"/>
      <c r="D74" s="36"/>
      <c r="E74" s="36"/>
      <c r="F74" s="36"/>
      <c r="G74" s="37"/>
      <c r="H74" s="25"/>
      <c r="I74" s="47"/>
    </row>
    <row r="75" spans="2:9" ht="12.75" customHeight="1">
      <c r="B75" s="13"/>
      <c r="C75" s="14"/>
      <c r="D75" s="22"/>
      <c r="E75" s="22"/>
      <c r="F75" s="36"/>
      <c r="G75" s="37"/>
      <c r="H75" s="25"/>
    </row>
    <row r="76" spans="2:9">
      <c r="B76" s="13"/>
      <c r="C76" s="14"/>
      <c r="D76" s="22"/>
      <c r="E76" s="22"/>
      <c r="F76" s="22"/>
      <c r="G76" s="37"/>
      <c r="H76" s="25"/>
      <c r="I76" s="40"/>
    </row>
    <row r="77" spans="2:9">
      <c r="B77" s="13"/>
      <c r="C77" s="14"/>
      <c r="D77" s="22"/>
      <c r="E77" s="22"/>
      <c r="F77" s="22"/>
      <c r="G77" s="37"/>
      <c r="H77" s="25"/>
      <c r="I77" s="40"/>
    </row>
    <row r="78" spans="2:9">
      <c r="B78" s="13"/>
      <c r="C78" s="14"/>
      <c r="D78" s="22"/>
      <c r="E78" s="22"/>
      <c r="F78" s="22"/>
      <c r="G78" s="37"/>
      <c r="H78" s="25"/>
      <c r="I78" s="40"/>
    </row>
    <row r="79" spans="2:9" s="28" customFormat="1" ht="24.95" customHeight="1">
      <c r="B79" s="82" t="str">
        <f>$B$10</f>
        <v>C13.14</v>
      </c>
      <c r="C79" s="29" t="s">
        <v>125</v>
      </c>
      <c r="D79" s="30"/>
      <c r="E79" s="30"/>
      <c r="F79" s="31"/>
      <c r="G79" s="30"/>
      <c r="H79" s="32">
        <f>SUM(H9:H78)</f>
        <v>0</v>
      </c>
      <c r="I79" s="33"/>
    </row>
  </sheetData>
  <mergeCells count="6">
    <mergeCell ref="B1:C1"/>
    <mergeCell ref="F1:H1"/>
    <mergeCell ref="B2:C2"/>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40"/>
  <dimension ref="B1:I62"/>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C14.1</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c r="B10" s="69" t="s">
        <v>2623</v>
      </c>
      <c r="C10" s="20" t="s">
        <v>2624</v>
      </c>
      <c r="D10" s="22"/>
      <c r="E10" s="22"/>
      <c r="F10" s="22"/>
      <c r="G10" s="39"/>
      <c r="H10" s="17" t="str">
        <f t="shared" ref="H10:H61" si="0">IF(D10="","",F10*G10)</f>
        <v/>
      </c>
      <c r="I10" s="40"/>
    </row>
    <row r="11" spans="2:9">
      <c r="B11" s="48"/>
      <c r="C11" s="14"/>
      <c r="D11" s="22"/>
      <c r="E11" s="22"/>
      <c r="F11" s="22"/>
      <c r="G11" s="39"/>
      <c r="H11" s="17" t="str">
        <f t="shared" si="0"/>
        <v/>
      </c>
      <c r="I11" s="40"/>
    </row>
    <row r="12" spans="2:9" ht="25.5">
      <c r="B12" s="48" t="s">
        <v>2625</v>
      </c>
      <c r="C12" s="14" t="s">
        <v>2626</v>
      </c>
      <c r="D12" s="22"/>
      <c r="E12" s="22"/>
      <c r="F12" s="22"/>
      <c r="G12" s="39"/>
      <c r="H12" s="17" t="str">
        <f t="shared" si="0"/>
        <v/>
      </c>
      <c r="I12" s="40"/>
    </row>
    <row r="13" spans="2:9">
      <c r="B13" s="48"/>
      <c r="C13" s="14"/>
      <c r="D13" s="22"/>
      <c r="E13" s="22"/>
      <c r="F13" s="22"/>
      <c r="G13" s="39"/>
      <c r="H13" s="17" t="str">
        <f t="shared" si="0"/>
        <v/>
      </c>
      <c r="I13" s="40"/>
    </row>
    <row r="14" spans="2:9" ht="38.25">
      <c r="B14" s="48" t="s">
        <v>2627</v>
      </c>
      <c r="C14" s="14" t="s">
        <v>2628</v>
      </c>
      <c r="D14" s="22"/>
      <c r="E14" s="22"/>
      <c r="F14" s="23"/>
      <c r="G14" s="24"/>
      <c r="H14" s="17" t="str">
        <f t="shared" si="0"/>
        <v/>
      </c>
      <c r="I14" s="41"/>
    </row>
    <row r="15" spans="2:9">
      <c r="B15" s="48"/>
      <c r="C15" s="14"/>
      <c r="D15" s="22"/>
      <c r="E15" s="22"/>
      <c r="F15" s="23"/>
      <c r="G15" s="24"/>
      <c r="H15" s="17" t="str">
        <f t="shared" si="0"/>
        <v/>
      </c>
      <c r="I15" s="41"/>
    </row>
    <row r="16" spans="2:9">
      <c r="B16" s="48" t="s">
        <v>83</v>
      </c>
      <c r="C16" s="14" t="s">
        <v>2629</v>
      </c>
      <c r="D16" s="22"/>
      <c r="E16" s="22"/>
      <c r="F16" s="23"/>
      <c r="G16" s="24"/>
      <c r="H16" s="17" t="str">
        <f t="shared" si="0"/>
        <v/>
      </c>
      <c r="I16" s="41"/>
    </row>
    <row r="17" spans="2:9">
      <c r="B17" s="48"/>
      <c r="C17" s="14"/>
      <c r="D17" s="22"/>
      <c r="E17" s="22"/>
      <c r="F17" s="23"/>
      <c r="G17" s="24"/>
      <c r="H17" s="17" t="str">
        <f t="shared" si="0"/>
        <v/>
      </c>
      <c r="I17" s="41"/>
    </row>
    <row r="18" spans="2:9">
      <c r="B18" s="48" t="s">
        <v>2630</v>
      </c>
      <c r="C18" s="14" t="s">
        <v>2631</v>
      </c>
      <c r="D18" s="22" t="s">
        <v>85</v>
      </c>
      <c r="E18" s="22"/>
      <c r="F18" s="23"/>
      <c r="G18" s="24"/>
      <c r="H18" s="17">
        <f t="shared" si="0"/>
        <v>0</v>
      </c>
      <c r="I18" s="41"/>
    </row>
    <row r="19" spans="2:9">
      <c r="B19" s="48"/>
      <c r="C19" s="14"/>
      <c r="D19" s="22"/>
      <c r="E19" s="22"/>
      <c r="F19" s="23"/>
      <c r="G19" s="24"/>
      <c r="H19" s="17" t="str">
        <f t="shared" si="0"/>
        <v/>
      </c>
      <c r="I19" s="41"/>
    </row>
    <row r="20" spans="2:9">
      <c r="B20" s="48" t="s">
        <v>2632</v>
      </c>
      <c r="C20" s="14" t="s">
        <v>2633</v>
      </c>
      <c r="D20" s="22" t="s">
        <v>85</v>
      </c>
      <c r="E20" s="22"/>
      <c r="F20" s="23"/>
      <c r="G20" s="24"/>
      <c r="H20" s="17">
        <f t="shared" si="0"/>
        <v>0</v>
      </c>
      <c r="I20" s="41"/>
    </row>
    <row r="21" spans="2:9">
      <c r="B21" s="48"/>
      <c r="C21" s="14"/>
      <c r="D21" s="22"/>
      <c r="E21" s="22"/>
      <c r="F21" s="23"/>
      <c r="G21" s="24"/>
      <c r="H21" s="17" t="str">
        <f t="shared" si="0"/>
        <v/>
      </c>
      <c r="I21" s="41"/>
    </row>
    <row r="22" spans="2:9">
      <c r="B22" s="48" t="s">
        <v>86</v>
      </c>
      <c r="C22" s="14" t="s">
        <v>2634</v>
      </c>
      <c r="D22" s="22"/>
      <c r="E22" s="22"/>
      <c r="F22" s="23"/>
      <c r="G22" s="39"/>
      <c r="H22" s="17" t="str">
        <f t="shared" si="0"/>
        <v/>
      </c>
      <c r="I22" s="40"/>
    </row>
    <row r="23" spans="2:9">
      <c r="B23" s="48"/>
      <c r="C23" s="14"/>
      <c r="D23" s="22"/>
      <c r="E23" s="22"/>
      <c r="F23" s="23"/>
      <c r="G23" s="39"/>
      <c r="H23" s="17" t="str">
        <f t="shared" si="0"/>
        <v/>
      </c>
      <c r="I23" s="40"/>
    </row>
    <row r="24" spans="2:9">
      <c r="B24" s="48" t="s">
        <v>2635</v>
      </c>
      <c r="C24" s="14" t="s">
        <v>2631</v>
      </c>
      <c r="D24" s="22" t="s">
        <v>85</v>
      </c>
      <c r="E24" s="22"/>
      <c r="F24" s="23"/>
      <c r="G24" s="42"/>
      <c r="H24" s="17">
        <f t="shared" si="0"/>
        <v>0</v>
      </c>
      <c r="I24" s="40"/>
    </row>
    <row r="25" spans="2:9">
      <c r="B25" s="48"/>
      <c r="C25" s="14"/>
      <c r="D25" s="22"/>
      <c r="E25" s="22"/>
      <c r="F25" s="23"/>
      <c r="G25" s="42"/>
      <c r="H25" s="17" t="str">
        <f t="shared" si="0"/>
        <v/>
      </c>
      <c r="I25" s="40"/>
    </row>
    <row r="26" spans="2:9">
      <c r="B26" s="48" t="s">
        <v>2636</v>
      </c>
      <c r="C26" s="14" t="s">
        <v>2633</v>
      </c>
      <c r="D26" s="22" t="s">
        <v>85</v>
      </c>
      <c r="E26" s="22"/>
      <c r="F26" s="23"/>
      <c r="G26" s="39"/>
      <c r="H26" s="17">
        <f t="shared" si="0"/>
        <v>0</v>
      </c>
      <c r="I26" s="43"/>
    </row>
    <row r="27" spans="2:9">
      <c r="B27" s="48"/>
      <c r="C27" s="14"/>
      <c r="D27" s="22"/>
      <c r="E27" s="36"/>
      <c r="F27" s="23"/>
      <c r="G27" s="44"/>
      <c r="H27" s="17" t="str">
        <f t="shared" si="0"/>
        <v/>
      </c>
    </row>
    <row r="28" spans="2:9">
      <c r="B28" s="48" t="s">
        <v>2637</v>
      </c>
      <c r="C28" s="14" t="s">
        <v>2638</v>
      </c>
      <c r="D28" s="22"/>
      <c r="E28" s="36"/>
      <c r="F28" s="23"/>
      <c r="G28" s="44"/>
      <c r="H28" s="17" t="str">
        <f t="shared" si="0"/>
        <v/>
      </c>
    </row>
    <row r="29" spans="2:9">
      <c r="B29" s="48"/>
      <c r="C29" s="14"/>
      <c r="D29" s="22"/>
      <c r="E29" s="36"/>
      <c r="F29" s="23"/>
      <c r="G29" s="37"/>
      <c r="H29" s="17" t="str">
        <f t="shared" si="0"/>
        <v/>
      </c>
    </row>
    <row r="30" spans="2:9" ht="25.5">
      <c r="B30" s="48" t="s">
        <v>2639</v>
      </c>
      <c r="C30" s="14" t="s">
        <v>2640</v>
      </c>
      <c r="D30" s="22" t="s">
        <v>33</v>
      </c>
      <c r="E30" s="36"/>
      <c r="F30" s="23"/>
      <c r="G30" s="44"/>
      <c r="H30" s="17">
        <f t="shared" si="0"/>
        <v>0</v>
      </c>
    </row>
    <row r="31" spans="2:9">
      <c r="B31" s="48"/>
      <c r="C31" s="14"/>
      <c r="D31" s="22"/>
      <c r="E31" s="36"/>
      <c r="F31" s="23"/>
      <c r="G31" s="44"/>
      <c r="H31" s="17" t="str">
        <f t="shared" si="0"/>
        <v/>
      </c>
    </row>
    <row r="32" spans="2:9" ht="25.5">
      <c r="B32" s="48" t="s">
        <v>2641</v>
      </c>
      <c r="C32" s="14" t="s">
        <v>2642</v>
      </c>
      <c r="D32" s="22" t="s">
        <v>85</v>
      </c>
      <c r="E32" s="36"/>
      <c r="F32" s="23"/>
      <c r="G32" s="42"/>
      <c r="H32" s="17">
        <f t="shared" si="0"/>
        <v>0</v>
      </c>
    </row>
    <row r="33" spans="2:9">
      <c r="B33" s="48"/>
      <c r="C33" s="14"/>
      <c r="D33" s="22"/>
      <c r="E33" s="36"/>
      <c r="F33" s="23"/>
      <c r="G33" s="42"/>
      <c r="H33" s="17" t="str">
        <f t="shared" si="0"/>
        <v/>
      </c>
    </row>
    <row r="34" spans="2:9" ht="25.5">
      <c r="B34" s="48" t="s">
        <v>2643</v>
      </c>
      <c r="C34" s="14" t="s">
        <v>2644</v>
      </c>
      <c r="D34" s="22" t="s">
        <v>2645</v>
      </c>
      <c r="E34" s="36"/>
      <c r="F34" s="23"/>
      <c r="G34" s="44"/>
      <c r="H34" s="17">
        <f t="shared" si="0"/>
        <v>0</v>
      </c>
    </row>
    <row r="35" spans="2:9">
      <c r="B35" s="48"/>
      <c r="C35" s="14"/>
      <c r="D35" s="22"/>
      <c r="E35" s="36"/>
      <c r="F35" s="23"/>
      <c r="G35" s="44"/>
      <c r="H35" s="17" t="str">
        <f t="shared" si="0"/>
        <v/>
      </c>
    </row>
    <row r="36" spans="2:9" ht="25.5">
      <c r="B36" s="48" t="s">
        <v>2646</v>
      </c>
      <c r="C36" s="14" t="s">
        <v>2647</v>
      </c>
      <c r="D36" s="22" t="s">
        <v>2648</v>
      </c>
      <c r="E36" s="22"/>
      <c r="F36" s="23"/>
      <c r="G36" s="37"/>
      <c r="H36" s="17">
        <f t="shared" si="0"/>
        <v>0</v>
      </c>
      <c r="I36" s="41"/>
    </row>
    <row r="37" spans="2:9">
      <c r="B37" s="48"/>
      <c r="C37" s="14"/>
      <c r="D37" s="22"/>
      <c r="E37" s="22"/>
      <c r="F37" s="23"/>
      <c r="G37" s="37"/>
      <c r="H37" s="17" t="str">
        <f t="shared" si="0"/>
        <v/>
      </c>
      <c r="I37" s="41"/>
    </row>
    <row r="38" spans="2:9" ht="25.5">
      <c r="B38" s="48" t="s">
        <v>2649</v>
      </c>
      <c r="C38" s="14" t="s">
        <v>2650</v>
      </c>
      <c r="D38" s="22" t="s">
        <v>33</v>
      </c>
      <c r="E38" s="15"/>
      <c r="F38" s="26"/>
      <c r="G38" s="27"/>
      <c r="H38" s="17">
        <f t="shared" si="0"/>
        <v>0</v>
      </c>
      <c r="I38" s="18"/>
    </row>
    <row r="39" spans="2:9" s="35" customFormat="1">
      <c r="B39" s="48"/>
      <c r="C39" s="14"/>
      <c r="D39" s="15"/>
      <c r="E39" s="15"/>
      <c r="F39" s="26"/>
      <c r="G39" s="27"/>
      <c r="H39" s="17" t="str">
        <f t="shared" si="0"/>
        <v/>
      </c>
      <c r="I39" s="18"/>
    </row>
    <row r="40" spans="2:9" ht="25.5">
      <c r="B40" s="48" t="s">
        <v>2651</v>
      </c>
      <c r="C40" s="14" t="s">
        <v>2652</v>
      </c>
      <c r="D40" s="22" t="s">
        <v>33</v>
      </c>
      <c r="E40" s="22"/>
      <c r="F40" s="23"/>
      <c r="G40" s="37"/>
      <c r="H40" s="17">
        <f t="shared" si="0"/>
        <v>0</v>
      </c>
      <c r="I40" s="41"/>
    </row>
    <row r="41" spans="2:9">
      <c r="B41" s="48"/>
      <c r="C41" s="14"/>
      <c r="D41" s="22"/>
      <c r="E41" s="22"/>
      <c r="F41" s="23"/>
      <c r="G41" s="37"/>
      <c r="H41" s="17" t="str">
        <f t="shared" si="0"/>
        <v/>
      </c>
      <c r="I41" s="41"/>
    </row>
    <row r="42" spans="2:9">
      <c r="B42" s="48" t="s">
        <v>2653</v>
      </c>
      <c r="C42" s="14" t="s">
        <v>2654</v>
      </c>
      <c r="D42" s="22"/>
      <c r="E42" s="22"/>
      <c r="F42" s="23"/>
      <c r="G42" s="45"/>
      <c r="H42" s="17" t="str">
        <f t="shared" si="0"/>
        <v/>
      </c>
      <c r="I42" s="40"/>
    </row>
    <row r="43" spans="2:9">
      <c r="B43" s="48"/>
      <c r="C43" s="14"/>
      <c r="D43" s="22"/>
      <c r="E43" s="22"/>
      <c r="F43" s="23"/>
      <c r="G43" s="45"/>
      <c r="H43" s="17" t="str">
        <f t="shared" si="0"/>
        <v/>
      </c>
      <c r="I43" s="40"/>
    </row>
    <row r="44" spans="2:9" ht="51">
      <c r="B44" s="48" t="s">
        <v>2655</v>
      </c>
      <c r="C44" s="14" t="s">
        <v>2656</v>
      </c>
      <c r="D44" s="22" t="s">
        <v>2657</v>
      </c>
      <c r="E44" s="22"/>
      <c r="F44" s="23"/>
      <c r="G44" s="42"/>
      <c r="H44" s="17">
        <f t="shared" si="0"/>
        <v>0</v>
      </c>
      <c r="I44" s="40"/>
    </row>
    <row r="45" spans="2:9">
      <c r="B45" s="48"/>
      <c r="C45" s="14"/>
      <c r="D45" s="22"/>
      <c r="E45" s="22"/>
      <c r="F45" s="23"/>
      <c r="G45" s="42"/>
      <c r="H45" s="17" t="str">
        <f t="shared" si="0"/>
        <v/>
      </c>
      <c r="I45" s="40"/>
    </row>
    <row r="46" spans="2:9">
      <c r="B46" s="48" t="s">
        <v>2658</v>
      </c>
      <c r="C46" s="14" t="s">
        <v>2659</v>
      </c>
      <c r="D46" s="22" t="s">
        <v>55</v>
      </c>
      <c r="E46" s="22"/>
      <c r="F46" s="22"/>
      <c r="G46" s="39"/>
      <c r="H46" s="17">
        <f t="shared" si="0"/>
        <v>0</v>
      </c>
      <c r="I46" s="40"/>
    </row>
    <row r="47" spans="2:9">
      <c r="B47" s="48"/>
      <c r="C47" s="14"/>
      <c r="D47" s="22"/>
      <c r="E47" s="22"/>
      <c r="F47" s="22"/>
      <c r="G47" s="39"/>
      <c r="H47" s="17" t="str">
        <f t="shared" si="0"/>
        <v/>
      </c>
      <c r="I47" s="40"/>
    </row>
    <row r="48" spans="2:9" ht="51">
      <c r="B48" s="48" t="s">
        <v>2660</v>
      </c>
      <c r="C48" s="14" t="s">
        <v>2661</v>
      </c>
      <c r="D48" s="22" t="s">
        <v>33</v>
      </c>
      <c r="E48" s="22"/>
      <c r="F48" s="22"/>
      <c r="G48" s="37"/>
      <c r="H48" s="17">
        <f t="shared" si="0"/>
        <v>0</v>
      </c>
      <c r="I48" s="40"/>
    </row>
    <row r="49" spans="2:9">
      <c r="B49" s="48"/>
      <c r="C49" s="14"/>
      <c r="D49" s="22"/>
      <c r="E49" s="22"/>
      <c r="F49" s="22"/>
      <c r="G49" s="37"/>
      <c r="H49" s="17" t="str">
        <f t="shared" si="0"/>
        <v/>
      </c>
      <c r="I49" s="40"/>
    </row>
    <row r="50" spans="2:9" ht="25.5">
      <c r="B50" s="48" t="s">
        <v>2662</v>
      </c>
      <c r="C50" s="14" t="s">
        <v>2663</v>
      </c>
      <c r="D50" s="22" t="s">
        <v>85</v>
      </c>
      <c r="E50" s="22"/>
      <c r="F50" s="22"/>
      <c r="G50" s="37"/>
      <c r="H50" s="17">
        <f t="shared" si="0"/>
        <v>0</v>
      </c>
      <c r="I50" s="40"/>
    </row>
    <row r="51" spans="2:9">
      <c r="B51" s="48"/>
      <c r="C51" s="14"/>
      <c r="D51" s="22"/>
      <c r="E51" s="22"/>
      <c r="F51" s="22"/>
      <c r="G51" s="37"/>
      <c r="H51" s="17" t="str">
        <f t="shared" si="0"/>
        <v/>
      </c>
      <c r="I51" s="40"/>
    </row>
    <row r="52" spans="2:9" ht="25.5">
      <c r="B52" s="48" t="s">
        <v>2664</v>
      </c>
      <c r="C52" s="14" t="s">
        <v>2665</v>
      </c>
      <c r="D52" s="22" t="s">
        <v>33</v>
      </c>
      <c r="E52" s="22"/>
      <c r="F52" s="22"/>
      <c r="G52" s="37"/>
      <c r="H52" s="17">
        <f t="shared" si="0"/>
        <v>0</v>
      </c>
      <c r="I52" s="40"/>
    </row>
    <row r="53" spans="2:9">
      <c r="B53" s="13"/>
      <c r="C53" s="14"/>
      <c r="D53" s="22"/>
      <c r="E53" s="22"/>
      <c r="F53" s="22"/>
      <c r="G53" s="37"/>
      <c r="H53" s="17" t="str">
        <f t="shared" si="0"/>
        <v/>
      </c>
      <c r="I53" s="40"/>
    </row>
    <row r="54" spans="2:9">
      <c r="B54" s="13"/>
      <c r="C54" s="14"/>
      <c r="D54" s="22"/>
      <c r="E54" s="22"/>
      <c r="F54" s="22"/>
      <c r="G54" s="37"/>
      <c r="H54" s="17" t="str">
        <f t="shared" si="0"/>
        <v/>
      </c>
      <c r="I54" s="40"/>
    </row>
    <row r="55" spans="2:9">
      <c r="B55" s="13"/>
      <c r="C55" s="14"/>
      <c r="D55" s="22"/>
      <c r="E55" s="22"/>
      <c r="F55" s="22"/>
      <c r="G55" s="37"/>
      <c r="H55" s="17" t="str">
        <f t="shared" si="0"/>
        <v/>
      </c>
      <c r="I55" s="40"/>
    </row>
    <row r="56" spans="2:9">
      <c r="B56" s="13"/>
      <c r="C56" s="14"/>
      <c r="D56" s="22"/>
      <c r="E56" s="22"/>
      <c r="F56" s="22"/>
      <c r="G56" s="46"/>
      <c r="H56" s="17" t="str">
        <f t="shared" si="0"/>
        <v/>
      </c>
      <c r="I56" s="40"/>
    </row>
    <row r="57" spans="2:9">
      <c r="B57" s="13"/>
      <c r="C57" s="14"/>
      <c r="D57" s="22"/>
      <c r="E57" s="22"/>
      <c r="F57" s="22"/>
      <c r="G57" s="46"/>
      <c r="H57" s="17" t="str">
        <f t="shared" si="0"/>
        <v/>
      </c>
      <c r="I57" s="40"/>
    </row>
    <row r="58" spans="2:9">
      <c r="B58" s="21"/>
      <c r="C58" s="14"/>
      <c r="D58" s="22"/>
      <c r="E58" s="22"/>
      <c r="F58" s="22"/>
      <c r="G58" s="37"/>
      <c r="H58" s="17" t="str">
        <f t="shared" si="0"/>
        <v/>
      </c>
      <c r="I58" s="40"/>
    </row>
    <row r="59" spans="2:9">
      <c r="B59" s="13"/>
      <c r="C59" s="14"/>
      <c r="D59" s="22"/>
      <c r="E59" s="22"/>
      <c r="F59" s="22"/>
      <c r="G59" s="37"/>
      <c r="H59" s="17" t="str">
        <f t="shared" si="0"/>
        <v/>
      </c>
      <c r="I59" s="40"/>
    </row>
    <row r="60" spans="2:9">
      <c r="B60" s="13"/>
      <c r="C60" s="14"/>
      <c r="D60" s="22"/>
      <c r="E60" s="22"/>
      <c r="F60" s="22"/>
      <c r="G60" s="37"/>
      <c r="H60" s="17" t="str">
        <f t="shared" si="0"/>
        <v/>
      </c>
      <c r="I60" s="40"/>
    </row>
    <row r="61" spans="2:9">
      <c r="B61" s="13"/>
      <c r="C61" s="14"/>
      <c r="D61" s="22"/>
      <c r="E61" s="22"/>
      <c r="F61" s="22"/>
      <c r="G61" s="37"/>
      <c r="H61" s="17" t="str">
        <f t="shared" si="0"/>
        <v/>
      </c>
      <c r="I61" s="40"/>
    </row>
    <row r="62" spans="2:9" s="28" customFormat="1" ht="24.95" customHeight="1">
      <c r="B62" s="82" t="str">
        <f>$B$10</f>
        <v>C14.1</v>
      </c>
      <c r="C62" s="29" t="s">
        <v>125</v>
      </c>
      <c r="D62" s="30"/>
      <c r="E62" s="30"/>
      <c r="F62" s="31"/>
      <c r="G62" s="30"/>
      <c r="H62" s="32">
        <f>SUM(H9:H61)</f>
        <v>0</v>
      </c>
      <c r="I62" s="33"/>
    </row>
  </sheetData>
  <mergeCells count="4">
    <mergeCell ref="F1:H1"/>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41"/>
  <dimension ref="B1:I71"/>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C14.2</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2666</v>
      </c>
      <c r="C10" s="20" t="s">
        <v>2667</v>
      </c>
      <c r="D10" s="22"/>
      <c r="E10" s="22"/>
      <c r="F10" s="22"/>
      <c r="G10" s="39"/>
      <c r="H10" s="17" t="str">
        <f t="shared" ref="H10:H70" si="0">IF(D10="","",F10*G10)</f>
        <v/>
      </c>
      <c r="I10" s="40"/>
    </row>
    <row r="11" spans="2:9">
      <c r="B11" s="48"/>
      <c r="C11" s="14"/>
      <c r="D11" s="22"/>
      <c r="E11" s="22"/>
      <c r="F11" s="22"/>
      <c r="G11" s="39"/>
      <c r="H11" s="17" t="str">
        <f t="shared" si="0"/>
        <v/>
      </c>
      <c r="I11" s="40"/>
    </row>
    <row r="12" spans="2:9">
      <c r="B12" s="48" t="s">
        <v>2668</v>
      </c>
      <c r="C12" s="14" t="s">
        <v>2669</v>
      </c>
      <c r="D12" s="22"/>
      <c r="E12" s="22"/>
      <c r="F12" s="22"/>
      <c r="G12" s="39"/>
      <c r="H12" s="17" t="str">
        <f t="shared" si="0"/>
        <v/>
      </c>
      <c r="I12" s="40"/>
    </row>
    <row r="13" spans="2:9">
      <c r="B13" s="48"/>
      <c r="C13" s="14"/>
      <c r="D13" s="22"/>
      <c r="E13" s="22"/>
      <c r="F13" s="22"/>
      <c r="G13" s="39"/>
      <c r="H13" s="17" t="str">
        <f t="shared" si="0"/>
        <v/>
      </c>
      <c r="I13" s="40"/>
    </row>
    <row r="14" spans="2:9" ht="14.25">
      <c r="B14" s="48" t="s">
        <v>2670</v>
      </c>
      <c r="C14" s="14" t="s">
        <v>2671</v>
      </c>
      <c r="D14" s="22" t="s">
        <v>124</v>
      </c>
      <c r="E14" s="22"/>
      <c r="F14" s="23"/>
      <c r="G14" s="24"/>
      <c r="H14" s="17">
        <f t="shared" si="0"/>
        <v>0</v>
      </c>
      <c r="I14" s="41"/>
    </row>
    <row r="15" spans="2:9">
      <c r="B15" s="48"/>
      <c r="C15" s="14"/>
      <c r="D15" s="22"/>
      <c r="E15" s="22"/>
      <c r="F15" s="23"/>
      <c r="G15" s="24"/>
      <c r="H15" s="17" t="str">
        <f t="shared" si="0"/>
        <v/>
      </c>
      <c r="I15" s="41"/>
    </row>
    <row r="16" spans="2:9" ht="14.25">
      <c r="B16" s="48" t="s">
        <v>2672</v>
      </c>
      <c r="C16" s="14" t="s">
        <v>2673</v>
      </c>
      <c r="D16" s="22" t="s">
        <v>124</v>
      </c>
      <c r="E16" s="22"/>
      <c r="F16" s="23"/>
      <c r="G16" s="24"/>
      <c r="H16" s="17">
        <f t="shared" si="0"/>
        <v>0</v>
      </c>
      <c r="I16" s="41"/>
    </row>
    <row r="17" spans="2:9">
      <c r="B17" s="48"/>
      <c r="C17" s="14"/>
      <c r="D17" s="22"/>
      <c r="E17" s="22"/>
      <c r="F17" s="23"/>
      <c r="G17" s="24"/>
      <c r="H17" s="17" t="str">
        <f t="shared" si="0"/>
        <v/>
      </c>
      <c r="I17" s="41"/>
    </row>
    <row r="18" spans="2:9" ht="25.5">
      <c r="B18" s="48" t="s">
        <v>2674</v>
      </c>
      <c r="C18" s="14" t="s">
        <v>2675</v>
      </c>
      <c r="D18" s="22" t="s">
        <v>85</v>
      </c>
      <c r="E18" s="22"/>
      <c r="F18" s="23"/>
      <c r="G18" s="24"/>
      <c r="H18" s="17">
        <f t="shared" si="0"/>
        <v>0</v>
      </c>
      <c r="I18" s="41"/>
    </row>
    <row r="19" spans="2:9">
      <c r="B19" s="48"/>
      <c r="C19" s="14"/>
      <c r="D19" s="22"/>
      <c r="E19" s="22"/>
      <c r="F19" s="23"/>
      <c r="G19" s="24"/>
      <c r="H19" s="17" t="str">
        <f t="shared" si="0"/>
        <v/>
      </c>
      <c r="I19" s="41"/>
    </row>
    <row r="20" spans="2:9" ht="25.5">
      <c r="B20" s="48" t="s">
        <v>2676</v>
      </c>
      <c r="C20" s="14" t="s">
        <v>2675</v>
      </c>
      <c r="D20" s="22" t="s">
        <v>347</v>
      </c>
      <c r="E20" s="22"/>
      <c r="F20" s="23"/>
      <c r="G20" s="24"/>
      <c r="H20" s="17">
        <f t="shared" si="0"/>
        <v>0</v>
      </c>
      <c r="I20" s="41"/>
    </row>
    <row r="21" spans="2:9">
      <c r="B21" s="48"/>
      <c r="C21" s="14"/>
      <c r="D21" s="22"/>
      <c r="E21" s="22"/>
      <c r="F21" s="23"/>
      <c r="G21" s="39"/>
      <c r="H21" s="17" t="str">
        <f t="shared" si="0"/>
        <v/>
      </c>
      <c r="I21" s="40"/>
    </row>
    <row r="22" spans="2:9" ht="14.25">
      <c r="B22" s="48" t="s">
        <v>2677</v>
      </c>
      <c r="C22" s="14" t="s">
        <v>2678</v>
      </c>
      <c r="D22" s="22" t="s">
        <v>124</v>
      </c>
      <c r="E22" s="22"/>
      <c r="F22" s="23"/>
      <c r="G22" s="42"/>
      <c r="H22" s="17">
        <f t="shared" si="0"/>
        <v>0</v>
      </c>
      <c r="I22" s="40"/>
    </row>
    <row r="23" spans="2:9">
      <c r="B23" s="48"/>
      <c r="C23" s="14"/>
      <c r="D23" s="22"/>
      <c r="E23" s="22"/>
      <c r="F23" s="23"/>
      <c r="G23" s="39"/>
      <c r="H23" s="17" t="str">
        <f t="shared" si="0"/>
        <v/>
      </c>
      <c r="I23" s="43"/>
    </row>
    <row r="24" spans="2:9">
      <c r="B24" s="48" t="s">
        <v>2679</v>
      </c>
      <c r="C24" s="14" t="s">
        <v>2680</v>
      </c>
      <c r="D24" s="22"/>
      <c r="E24" s="36"/>
      <c r="F24" s="23"/>
      <c r="G24" s="44"/>
      <c r="H24" s="17" t="str">
        <f t="shared" si="0"/>
        <v/>
      </c>
    </row>
    <row r="25" spans="2:9">
      <c r="B25" s="48"/>
      <c r="C25" s="14"/>
      <c r="D25" s="22"/>
      <c r="E25" s="36"/>
      <c r="F25" s="23"/>
      <c r="G25" s="44"/>
      <c r="H25" s="17" t="str">
        <f t="shared" si="0"/>
        <v/>
      </c>
    </row>
    <row r="26" spans="2:9">
      <c r="B26" s="48" t="s">
        <v>2681</v>
      </c>
      <c r="C26" s="14" t="s">
        <v>2682</v>
      </c>
      <c r="D26" s="22"/>
      <c r="E26" s="36"/>
      <c r="F26" s="23"/>
      <c r="G26" s="37"/>
      <c r="H26" s="17" t="str">
        <f t="shared" si="0"/>
        <v/>
      </c>
    </row>
    <row r="27" spans="2:9">
      <c r="B27" s="48"/>
      <c r="C27" s="14"/>
      <c r="D27" s="22"/>
      <c r="E27" s="36"/>
      <c r="F27" s="23"/>
      <c r="G27" s="44"/>
      <c r="H27" s="17" t="str">
        <f t="shared" si="0"/>
        <v/>
      </c>
    </row>
    <row r="28" spans="2:9" ht="25.5">
      <c r="B28" s="48" t="s">
        <v>2683</v>
      </c>
      <c r="C28" s="14" t="s">
        <v>2675</v>
      </c>
      <c r="D28" s="22" t="s">
        <v>85</v>
      </c>
      <c r="E28" s="36"/>
      <c r="F28" s="23"/>
      <c r="G28" s="42"/>
      <c r="H28" s="17">
        <f t="shared" si="0"/>
        <v>0</v>
      </c>
    </row>
    <row r="29" spans="2:9">
      <c r="B29" s="48"/>
      <c r="C29" s="14"/>
      <c r="D29" s="22"/>
      <c r="E29" s="36"/>
      <c r="F29" s="23"/>
      <c r="G29" s="42"/>
      <c r="H29" s="17" t="str">
        <f t="shared" si="0"/>
        <v/>
      </c>
    </row>
    <row r="30" spans="2:9" ht="25.5">
      <c r="B30" s="48" t="s">
        <v>2684</v>
      </c>
      <c r="C30" s="14" t="s">
        <v>2675</v>
      </c>
      <c r="D30" s="22" t="s">
        <v>347</v>
      </c>
      <c r="E30" s="36"/>
      <c r="F30" s="23"/>
      <c r="G30" s="44"/>
      <c r="H30" s="17">
        <f t="shared" si="0"/>
        <v>0</v>
      </c>
    </row>
    <row r="31" spans="2:9">
      <c r="B31" s="48"/>
      <c r="C31" s="14"/>
      <c r="D31" s="22"/>
      <c r="E31" s="22"/>
      <c r="F31" s="23"/>
      <c r="G31" s="37"/>
      <c r="H31" s="17" t="str">
        <f t="shared" si="0"/>
        <v/>
      </c>
      <c r="I31" s="41"/>
    </row>
    <row r="32" spans="2:9">
      <c r="B32" s="48" t="s">
        <v>2685</v>
      </c>
      <c r="C32" s="14" t="s">
        <v>2686</v>
      </c>
      <c r="D32" s="22"/>
      <c r="E32" s="15"/>
      <c r="F32" s="26"/>
      <c r="G32" s="27"/>
      <c r="H32" s="17" t="str">
        <f t="shared" si="0"/>
        <v/>
      </c>
      <c r="I32" s="18"/>
    </row>
    <row r="33" spans="2:9" s="35" customFormat="1">
      <c r="B33" s="48"/>
      <c r="C33" s="14"/>
      <c r="D33" s="15"/>
      <c r="E33" s="15"/>
      <c r="F33" s="26"/>
      <c r="G33" s="27"/>
      <c r="H33" s="17" t="str">
        <f t="shared" si="0"/>
        <v/>
      </c>
      <c r="I33" s="18"/>
    </row>
    <row r="34" spans="2:9" ht="25.5">
      <c r="B34" s="48" t="s">
        <v>2687</v>
      </c>
      <c r="C34" s="14" t="s">
        <v>2688</v>
      </c>
      <c r="D34" s="22" t="s">
        <v>85</v>
      </c>
      <c r="E34" s="22"/>
      <c r="F34" s="23"/>
      <c r="G34" s="37"/>
      <c r="H34" s="17">
        <f t="shared" si="0"/>
        <v>0</v>
      </c>
      <c r="I34" s="41"/>
    </row>
    <row r="35" spans="2:9">
      <c r="B35" s="48"/>
      <c r="C35" s="14"/>
      <c r="D35" s="22"/>
      <c r="E35" s="22"/>
      <c r="F35" s="23"/>
      <c r="G35" s="37"/>
      <c r="H35" s="17" t="str">
        <f t="shared" si="0"/>
        <v/>
      </c>
      <c r="I35" s="41"/>
    </row>
    <row r="36" spans="2:9">
      <c r="B36" s="48" t="s">
        <v>2689</v>
      </c>
      <c r="C36" s="14" t="s">
        <v>2690</v>
      </c>
      <c r="D36" s="22"/>
      <c r="E36" s="22"/>
      <c r="F36" s="23"/>
      <c r="G36" s="45"/>
      <c r="H36" s="17" t="str">
        <f t="shared" si="0"/>
        <v/>
      </c>
      <c r="I36" s="40"/>
    </row>
    <row r="37" spans="2:9">
      <c r="B37" s="48"/>
      <c r="C37" s="14"/>
      <c r="D37" s="22"/>
      <c r="E37" s="22"/>
      <c r="F37" s="23"/>
      <c r="G37" s="45"/>
      <c r="H37" s="17" t="str">
        <f t="shared" si="0"/>
        <v/>
      </c>
      <c r="I37" s="40"/>
    </row>
    <row r="38" spans="2:9" ht="25.5">
      <c r="B38" s="48" t="s">
        <v>2691</v>
      </c>
      <c r="C38" s="14" t="s">
        <v>2688</v>
      </c>
      <c r="D38" s="22" t="s">
        <v>85</v>
      </c>
      <c r="E38" s="22"/>
      <c r="F38" s="23"/>
      <c r="G38" s="42"/>
      <c r="H38" s="17">
        <f t="shared" si="0"/>
        <v>0</v>
      </c>
      <c r="I38" s="40"/>
    </row>
    <row r="39" spans="2:9">
      <c r="B39" s="48"/>
      <c r="C39" s="14"/>
      <c r="D39" s="22"/>
      <c r="E39" s="22"/>
      <c r="F39" s="23"/>
      <c r="G39" s="42"/>
      <c r="H39" s="17" t="str">
        <f t="shared" si="0"/>
        <v/>
      </c>
      <c r="I39" s="40"/>
    </row>
    <row r="40" spans="2:9">
      <c r="B40" s="48" t="s">
        <v>2692</v>
      </c>
      <c r="C40" s="14" t="s">
        <v>2693</v>
      </c>
      <c r="D40" s="22"/>
      <c r="E40" s="22"/>
      <c r="F40" s="22"/>
      <c r="G40" s="39"/>
      <c r="H40" s="17" t="str">
        <f t="shared" si="0"/>
        <v/>
      </c>
      <c r="I40" s="40"/>
    </row>
    <row r="41" spans="2:9">
      <c r="B41" s="48"/>
      <c r="C41" s="14"/>
      <c r="D41" s="22"/>
      <c r="E41" s="22"/>
      <c r="F41" s="22"/>
      <c r="G41" s="39"/>
      <c r="H41" s="17" t="str">
        <f t="shared" si="0"/>
        <v/>
      </c>
      <c r="I41" s="40"/>
    </row>
    <row r="42" spans="2:9" ht="14.25">
      <c r="B42" s="48" t="s">
        <v>2694</v>
      </c>
      <c r="C42" s="14" t="s">
        <v>2680</v>
      </c>
      <c r="D42" s="22" t="s">
        <v>124</v>
      </c>
      <c r="E42" s="22"/>
      <c r="F42" s="22"/>
      <c r="G42" s="37"/>
      <c r="H42" s="17">
        <f t="shared" si="0"/>
        <v>0</v>
      </c>
      <c r="I42" s="40"/>
    </row>
    <row r="43" spans="2:9">
      <c r="B43" s="48"/>
      <c r="C43" s="14"/>
      <c r="D43" s="22"/>
      <c r="E43" s="22"/>
      <c r="F43" s="22"/>
      <c r="G43" s="37"/>
      <c r="H43" s="17" t="str">
        <f t="shared" si="0"/>
        <v/>
      </c>
      <c r="I43" s="40"/>
    </row>
    <row r="44" spans="2:9">
      <c r="B44" s="48" t="s">
        <v>2695</v>
      </c>
      <c r="C44" s="14" t="s">
        <v>2696</v>
      </c>
      <c r="D44" s="22"/>
      <c r="E44" s="22"/>
      <c r="F44" s="22"/>
      <c r="G44" s="37"/>
      <c r="H44" s="17" t="str">
        <f t="shared" si="0"/>
        <v/>
      </c>
      <c r="I44" s="40"/>
    </row>
    <row r="45" spans="2:9">
      <c r="B45" s="48"/>
      <c r="C45" s="14"/>
      <c r="D45" s="22"/>
      <c r="E45" s="22"/>
      <c r="F45" s="22"/>
      <c r="G45" s="37"/>
      <c r="H45" s="17" t="str">
        <f t="shared" si="0"/>
        <v/>
      </c>
      <c r="I45" s="40"/>
    </row>
    <row r="46" spans="2:9" ht="14.25">
      <c r="B46" s="48" t="s">
        <v>2697</v>
      </c>
      <c r="C46" s="14" t="s">
        <v>2680</v>
      </c>
      <c r="D46" s="22" t="s">
        <v>124</v>
      </c>
      <c r="E46" s="22"/>
      <c r="F46" s="22"/>
      <c r="G46" s="37"/>
      <c r="H46" s="17">
        <f t="shared" si="0"/>
        <v>0</v>
      </c>
      <c r="I46" s="40"/>
    </row>
    <row r="47" spans="2:9">
      <c r="B47" s="48"/>
      <c r="C47" s="14"/>
      <c r="D47" s="22"/>
      <c r="E47" s="22"/>
      <c r="F47" s="22"/>
      <c r="G47" s="37"/>
      <c r="H47" s="17" t="str">
        <f t="shared" si="0"/>
        <v/>
      </c>
      <c r="I47" s="40"/>
    </row>
    <row r="48" spans="2:9">
      <c r="B48" s="48" t="s">
        <v>2698</v>
      </c>
      <c r="C48" s="14" t="s">
        <v>2699</v>
      </c>
      <c r="D48" s="22"/>
      <c r="E48" s="22"/>
      <c r="F48" s="22"/>
      <c r="G48" s="37"/>
      <c r="H48" s="17" t="str">
        <f t="shared" si="0"/>
        <v/>
      </c>
      <c r="I48" s="40"/>
    </row>
    <row r="49" spans="2:9">
      <c r="B49" s="48"/>
      <c r="C49" s="14"/>
      <c r="D49" s="22"/>
      <c r="E49" s="22"/>
      <c r="F49" s="22"/>
      <c r="G49" s="37"/>
      <c r="H49" s="17" t="str">
        <f t="shared" si="0"/>
        <v/>
      </c>
      <c r="I49" s="40"/>
    </row>
    <row r="50" spans="2:9" ht="14.25">
      <c r="B50" s="48" t="s">
        <v>2700</v>
      </c>
      <c r="C50" s="14" t="s">
        <v>2680</v>
      </c>
      <c r="D50" s="22" t="s">
        <v>124</v>
      </c>
      <c r="E50" s="22"/>
      <c r="F50" s="22"/>
      <c r="G50" s="46"/>
      <c r="H50" s="17">
        <f t="shared" si="0"/>
        <v>0</v>
      </c>
      <c r="I50" s="40"/>
    </row>
    <row r="51" spans="2:9">
      <c r="B51" s="48"/>
      <c r="C51" s="14"/>
      <c r="D51" s="22"/>
      <c r="E51" s="22"/>
      <c r="F51" s="22"/>
      <c r="G51" s="46"/>
      <c r="H51" s="17" t="str">
        <f t="shared" si="0"/>
        <v/>
      </c>
      <c r="I51" s="40"/>
    </row>
    <row r="52" spans="2:9">
      <c r="B52" s="48"/>
      <c r="C52" s="14"/>
      <c r="D52" s="22"/>
      <c r="E52" s="22"/>
      <c r="F52" s="22"/>
      <c r="G52" s="37"/>
      <c r="H52" s="17" t="str">
        <f t="shared" si="0"/>
        <v/>
      </c>
      <c r="I52" s="40"/>
    </row>
    <row r="53" spans="2:9">
      <c r="B53" s="48"/>
      <c r="C53" s="14"/>
      <c r="D53" s="22"/>
      <c r="E53" s="22"/>
      <c r="F53" s="22"/>
      <c r="G53" s="37"/>
      <c r="H53" s="17" t="str">
        <f t="shared" si="0"/>
        <v/>
      </c>
      <c r="I53" s="40"/>
    </row>
    <row r="54" spans="2:9">
      <c r="B54" s="48"/>
      <c r="C54" s="14"/>
      <c r="D54" s="22"/>
      <c r="E54" s="22"/>
      <c r="F54" s="22"/>
      <c r="G54" s="37"/>
      <c r="H54" s="17" t="str">
        <f t="shared" si="0"/>
        <v/>
      </c>
      <c r="I54" s="40"/>
    </row>
    <row r="55" spans="2:9">
      <c r="B55" s="48"/>
      <c r="C55" s="14"/>
      <c r="D55" s="22"/>
      <c r="E55" s="22"/>
      <c r="F55" s="22"/>
      <c r="G55" s="37"/>
      <c r="H55" s="17" t="str">
        <f t="shared" si="0"/>
        <v/>
      </c>
      <c r="I55" s="40"/>
    </row>
    <row r="56" spans="2:9">
      <c r="B56" s="48"/>
      <c r="C56" s="14"/>
      <c r="D56" s="22"/>
      <c r="E56" s="22"/>
      <c r="F56" s="22"/>
      <c r="G56" s="37"/>
      <c r="H56" s="17" t="str">
        <f t="shared" si="0"/>
        <v/>
      </c>
      <c r="I56" s="40"/>
    </row>
    <row r="57" spans="2:9">
      <c r="B57" s="48"/>
      <c r="C57" s="14"/>
      <c r="D57" s="22"/>
      <c r="E57" s="22"/>
      <c r="F57" s="22"/>
      <c r="G57" s="37"/>
      <c r="H57" s="17" t="str">
        <f t="shared" si="0"/>
        <v/>
      </c>
      <c r="I57" s="40"/>
    </row>
    <row r="58" spans="2:9">
      <c r="B58" s="48"/>
      <c r="C58" s="14"/>
      <c r="D58" s="36"/>
      <c r="E58" s="36"/>
      <c r="F58" s="36"/>
      <c r="G58" s="37"/>
      <c r="H58" s="17" t="str">
        <f t="shared" si="0"/>
        <v/>
      </c>
    </row>
    <row r="59" spans="2:9">
      <c r="B59" s="48"/>
      <c r="C59" s="14"/>
      <c r="D59" s="22"/>
      <c r="E59" s="22"/>
      <c r="F59" s="22"/>
      <c r="G59" s="37"/>
      <c r="H59" s="17" t="str">
        <f t="shared" si="0"/>
        <v/>
      </c>
      <c r="I59" s="40"/>
    </row>
    <row r="60" spans="2:9">
      <c r="B60" s="48"/>
      <c r="C60" s="14"/>
      <c r="D60" s="36"/>
      <c r="E60" s="36"/>
      <c r="F60" s="36"/>
      <c r="G60" s="37"/>
      <c r="H60" s="17" t="str">
        <f t="shared" si="0"/>
        <v/>
      </c>
      <c r="I60" s="47"/>
    </row>
    <row r="61" spans="2:9">
      <c r="B61" s="48"/>
      <c r="C61" s="14"/>
      <c r="D61" s="36"/>
      <c r="E61" s="36"/>
      <c r="F61" s="36"/>
      <c r="G61" s="37"/>
      <c r="H61" s="17" t="str">
        <f t="shared" si="0"/>
        <v/>
      </c>
    </row>
    <row r="62" spans="2:9">
      <c r="B62" s="48"/>
      <c r="C62" s="14"/>
      <c r="D62" s="22"/>
      <c r="E62" s="22"/>
      <c r="F62" s="22"/>
      <c r="G62" s="37"/>
      <c r="H62" s="17" t="str">
        <f t="shared" si="0"/>
        <v/>
      </c>
      <c r="I62" s="40"/>
    </row>
    <row r="63" spans="2:9">
      <c r="B63" s="48"/>
      <c r="C63" s="14"/>
      <c r="D63" s="22"/>
      <c r="E63" s="22"/>
      <c r="F63" s="22"/>
      <c r="G63" s="37"/>
      <c r="H63" s="17" t="str">
        <f t="shared" si="0"/>
        <v/>
      </c>
      <c r="I63" s="40"/>
    </row>
    <row r="64" spans="2:9">
      <c r="B64" s="48"/>
      <c r="C64" s="14"/>
      <c r="D64" s="22"/>
      <c r="E64" s="22"/>
      <c r="F64" s="22"/>
      <c r="G64" s="37"/>
      <c r="H64" s="17" t="str">
        <f t="shared" si="0"/>
        <v/>
      </c>
      <c r="I64" s="40"/>
    </row>
    <row r="65" spans="2:9">
      <c r="B65" s="48"/>
      <c r="C65" s="14"/>
      <c r="D65" s="22"/>
      <c r="E65" s="22"/>
      <c r="F65" s="22"/>
      <c r="G65" s="37"/>
      <c r="H65" s="17" t="str">
        <f t="shared" si="0"/>
        <v/>
      </c>
      <c r="I65" s="40"/>
    </row>
    <row r="66" spans="2:9">
      <c r="B66" s="48"/>
      <c r="C66" s="14"/>
      <c r="D66" s="22"/>
      <c r="E66" s="22"/>
      <c r="F66" s="22"/>
      <c r="G66" s="37"/>
      <c r="H66" s="17" t="str">
        <f t="shared" si="0"/>
        <v/>
      </c>
      <c r="I66" s="40"/>
    </row>
    <row r="67" spans="2:9">
      <c r="B67" s="48"/>
      <c r="C67" s="14"/>
      <c r="D67" s="22"/>
      <c r="E67" s="22"/>
      <c r="F67" s="22"/>
      <c r="G67" s="37"/>
      <c r="H67" s="17" t="str">
        <f t="shared" si="0"/>
        <v/>
      </c>
      <c r="I67" s="40"/>
    </row>
    <row r="68" spans="2:9">
      <c r="B68" s="48"/>
      <c r="C68" s="14"/>
      <c r="D68" s="22"/>
      <c r="E68" s="22"/>
      <c r="F68" s="22"/>
      <c r="G68" s="37"/>
      <c r="H68" s="17" t="str">
        <f t="shared" si="0"/>
        <v/>
      </c>
      <c r="I68" s="40"/>
    </row>
    <row r="69" spans="2:9">
      <c r="B69" s="13"/>
      <c r="C69" s="14"/>
      <c r="D69" s="22"/>
      <c r="E69" s="22"/>
      <c r="F69" s="22"/>
      <c r="G69" s="37"/>
      <c r="H69" s="17" t="str">
        <f t="shared" si="0"/>
        <v/>
      </c>
      <c r="I69" s="40"/>
    </row>
    <row r="70" spans="2:9">
      <c r="B70" s="21"/>
      <c r="C70" s="14"/>
      <c r="D70" s="22"/>
      <c r="E70" s="22"/>
      <c r="F70" s="22"/>
      <c r="G70" s="37"/>
      <c r="H70" s="17" t="str">
        <f t="shared" si="0"/>
        <v/>
      </c>
      <c r="I70" s="40"/>
    </row>
    <row r="71" spans="2:9" s="28" customFormat="1" ht="24.95" customHeight="1">
      <c r="B71" s="82" t="str">
        <f>$B$10</f>
        <v>C14.2</v>
      </c>
      <c r="C71" s="29" t="s">
        <v>125</v>
      </c>
      <c r="D71" s="30"/>
      <c r="E71" s="30"/>
      <c r="F71" s="31"/>
      <c r="G71" s="30"/>
      <c r="H71" s="32">
        <f>SUM(H9:H70)</f>
        <v>0</v>
      </c>
      <c r="I71" s="33"/>
    </row>
  </sheetData>
  <mergeCells count="4">
    <mergeCell ref="F1:H1"/>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42"/>
  <dimension ref="B1:I71"/>
  <sheetViews>
    <sheetView workbookViewId="0"/>
  </sheetViews>
  <sheetFormatPr defaultColWidth="6.85546875" defaultRowHeight="12.75"/>
  <cols>
    <col min="1" max="1" width="0.85546875" style="1" customWidth="1"/>
    <col min="2" max="2" width="11.7109375" style="11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109" t="str">
        <f>Client1</f>
        <v>AIRPORTS COMPANY - SOUTH AFRICA</v>
      </c>
      <c r="F1" s="732" t="str">
        <f>"Contract No. "&amp;ContractNo</f>
        <v>Contract No. KSIA7806/2025/RFP</v>
      </c>
      <c r="G1" s="732"/>
      <c r="H1" s="732"/>
    </row>
    <row r="2" spans="2:9">
      <c r="B2" s="109" t="str">
        <f>Client2</f>
        <v>ACSA</v>
      </c>
    </row>
    <row r="3" spans="2:9">
      <c r="B3" s="110"/>
      <c r="C3" s="71"/>
      <c r="D3" s="72"/>
      <c r="E3" s="72"/>
      <c r="F3" s="72"/>
      <c r="G3" s="73"/>
      <c r="H3" s="91"/>
    </row>
    <row r="4" spans="2:9">
      <c r="B4" s="695" t="s">
        <v>456</v>
      </c>
      <c r="C4" s="696"/>
      <c r="D4" s="696"/>
      <c r="E4" s="696"/>
      <c r="F4" s="696"/>
      <c r="G4" s="696"/>
      <c r="H4" s="770" t="str">
        <f>"CHAPTER "&amp;B10</f>
        <v>CHAPTER C14.3</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11" t="s">
        <v>11</v>
      </c>
      <c r="C8" s="11" t="s">
        <v>12</v>
      </c>
      <c r="D8" s="11" t="s">
        <v>13</v>
      </c>
      <c r="E8" s="11" t="s">
        <v>14</v>
      </c>
      <c r="F8" s="11" t="s">
        <v>15</v>
      </c>
      <c r="G8" s="11" t="s">
        <v>16</v>
      </c>
      <c r="H8" s="11" t="s">
        <v>17</v>
      </c>
      <c r="I8" s="12"/>
    </row>
    <row r="9" spans="2:9">
      <c r="B9" s="112"/>
      <c r="C9" s="14"/>
      <c r="D9" s="15"/>
      <c r="E9" s="15"/>
      <c r="F9" s="15"/>
      <c r="G9" s="16"/>
      <c r="H9" s="17" t="str">
        <f>IF(D9="","",F9*G9)</f>
        <v/>
      </c>
      <c r="I9" s="18"/>
    </row>
    <row r="10" spans="2:9" ht="25.5">
      <c r="B10" s="115" t="s">
        <v>2701</v>
      </c>
      <c r="C10" s="20" t="s">
        <v>2702</v>
      </c>
      <c r="D10" s="22"/>
      <c r="E10" s="22"/>
      <c r="F10" s="22"/>
      <c r="G10" s="39"/>
      <c r="H10" s="17" t="str">
        <f t="shared" ref="H10:H70" si="0">IF(D10="","",F10*G10)</f>
        <v/>
      </c>
      <c r="I10" s="40"/>
    </row>
    <row r="11" spans="2:9">
      <c r="B11" s="84"/>
      <c r="C11" s="14"/>
      <c r="D11" s="22"/>
      <c r="E11" s="22"/>
      <c r="F11" s="22"/>
      <c r="G11" s="39"/>
      <c r="H11" s="17" t="str">
        <f t="shared" si="0"/>
        <v/>
      </c>
      <c r="I11" s="40"/>
    </row>
    <row r="12" spans="2:9">
      <c r="B12" s="84" t="s">
        <v>2703</v>
      </c>
      <c r="C12" s="14" t="s">
        <v>2704</v>
      </c>
      <c r="D12" s="22"/>
      <c r="E12" s="22"/>
      <c r="F12" s="22"/>
      <c r="G12" s="39"/>
      <c r="H12" s="17" t="str">
        <f t="shared" si="0"/>
        <v/>
      </c>
      <c r="I12" s="40"/>
    </row>
    <row r="13" spans="2:9">
      <c r="B13" s="84"/>
      <c r="C13" s="14"/>
      <c r="D13" s="22"/>
      <c r="E13" s="22"/>
      <c r="F13" s="22"/>
      <c r="G13" s="39"/>
      <c r="H13" s="17" t="str">
        <f t="shared" si="0"/>
        <v/>
      </c>
      <c r="I13" s="40"/>
    </row>
    <row r="14" spans="2:9" ht="14.25">
      <c r="B14" s="84" t="s">
        <v>2705</v>
      </c>
      <c r="C14" s="14" t="s">
        <v>2706</v>
      </c>
      <c r="D14" s="22" t="s">
        <v>386</v>
      </c>
      <c r="E14" s="22"/>
      <c r="F14" s="23"/>
      <c r="G14" s="24"/>
      <c r="H14" s="17">
        <f t="shared" si="0"/>
        <v>0</v>
      </c>
      <c r="I14" s="41"/>
    </row>
    <row r="15" spans="2:9">
      <c r="B15" s="84"/>
      <c r="C15" s="14"/>
      <c r="D15" s="22"/>
      <c r="E15" s="22"/>
      <c r="F15" s="23"/>
      <c r="G15" s="24"/>
      <c r="H15" s="17" t="str">
        <f t="shared" si="0"/>
        <v/>
      </c>
      <c r="I15" s="41"/>
    </row>
    <row r="16" spans="2:9" ht="14.25">
      <c r="B16" s="84" t="s">
        <v>2707</v>
      </c>
      <c r="C16" s="14" t="s">
        <v>2708</v>
      </c>
      <c r="D16" s="22" t="s">
        <v>386</v>
      </c>
      <c r="E16" s="22"/>
      <c r="F16" s="23"/>
      <c r="G16" s="24"/>
      <c r="H16" s="17">
        <f t="shared" si="0"/>
        <v>0</v>
      </c>
      <c r="I16" s="41"/>
    </row>
    <row r="17" spans="2:9">
      <c r="B17" s="84"/>
      <c r="C17" s="14"/>
      <c r="D17" s="22"/>
      <c r="E17" s="22"/>
      <c r="F17" s="23"/>
      <c r="G17" s="24"/>
      <c r="H17" s="17" t="str">
        <f t="shared" si="0"/>
        <v/>
      </c>
      <c r="I17" s="41"/>
    </row>
    <row r="18" spans="2:9" ht="25.5">
      <c r="B18" s="84" t="s">
        <v>2709</v>
      </c>
      <c r="C18" s="14" t="s">
        <v>2710</v>
      </c>
      <c r="D18" s="22"/>
      <c r="E18" s="22"/>
      <c r="F18" s="23"/>
      <c r="G18" s="39"/>
      <c r="H18" s="17" t="str">
        <f t="shared" si="0"/>
        <v/>
      </c>
      <c r="I18" s="40"/>
    </row>
    <row r="19" spans="2:9">
      <c r="B19" s="84"/>
      <c r="C19" s="14"/>
      <c r="D19" s="22"/>
      <c r="E19" s="22"/>
      <c r="F19" s="23"/>
      <c r="G19" s="42"/>
      <c r="H19" s="17" t="str">
        <f t="shared" si="0"/>
        <v/>
      </c>
      <c r="I19" s="40"/>
    </row>
    <row r="20" spans="2:9" ht="14.25">
      <c r="B20" s="84" t="s">
        <v>2711</v>
      </c>
      <c r="C20" s="14" t="s">
        <v>2706</v>
      </c>
      <c r="D20" s="22" t="s">
        <v>386</v>
      </c>
      <c r="E20" s="22"/>
      <c r="F20" s="23"/>
      <c r="G20" s="39"/>
      <c r="H20" s="17">
        <f t="shared" si="0"/>
        <v>0</v>
      </c>
      <c r="I20" s="43"/>
    </row>
    <row r="21" spans="2:9">
      <c r="B21" s="84"/>
      <c r="C21" s="14"/>
      <c r="D21" s="22"/>
      <c r="E21" s="36"/>
      <c r="F21" s="23"/>
      <c r="G21" s="44"/>
      <c r="H21" s="17" t="str">
        <f t="shared" si="0"/>
        <v/>
      </c>
    </row>
    <row r="22" spans="2:9" ht="14.25">
      <c r="B22" s="84" t="s">
        <v>2712</v>
      </c>
      <c r="C22" s="14" t="s">
        <v>2708</v>
      </c>
      <c r="D22" s="22" t="s">
        <v>386</v>
      </c>
      <c r="E22" s="36"/>
      <c r="F22" s="23"/>
      <c r="G22" s="44"/>
      <c r="H22" s="17">
        <f t="shared" si="0"/>
        <v>0</v>
      </c>
    </row>
    <row r="23" spans="2:9">
      <c r="B23" s="84"/>
      <c r="C23" s="14"/>
      <c r="D23" s="22"/>
      <c r="E23" s="36"/>
      <c r="F23" s="23"/>
      <c r="G23" s="37"/>
      <c r="H23" s="17" t="str">
        <f t="shared" si="0"/>
        <v/>
      </c>
    </row>
    <row r="24" spans="2:9" ht="25.5">
      <c r="B24" s="84" t="s">
        <v>2713</v>
      </c>
      <c r="C24" s="14" t="s">
        <v>2714</v>
      </c>
      <c r="D24" s="22"/>
      <c r="E24" s="36"/>
      <c r="F24" s="23"/>
      <c r="G24" s="44"/>
      <c r="H24" s="17" t="str">
        <f t="shared" si="0"/>
        <v/>
      </c>
    </row>
    <row r="25" spans="2:9">
      <c r="B25" s="84"/>
      <c r="C25" s="14"/>
      <c r="D25" s="22"/>
      <c r="E25" s="36"/>
      <c r="F25" s="23"/>
      <c r="G25" s="42"/>
      <c r="H25" s="17" t="str">
        <f t="shared" si="0"/>
        <v/>
      </c>
    </row>
    <row r="26" spans="2:9">
      <c r="B26" s="84" t="s">
        <v>2715</v>
      </c>
      <c r="C26" s="14" t="s">
        <v>2706</v>
      </c>
      <c r="D26" s="22" t="s">
        <v>903</v>
      </c>
      <c r="E26" s="36"/>
      <c r="F26" s="23"/>
      <c r="G26" s="44"/>
      <c r="H26" s="17">
        <f t="shared" si="0"/>
        <v>0</v>
      </c>
    </row>
    <row r="27" spans="2:9">
      <c r="B27" s="84"/>
      <c r="C27" s="14"/>
      <c r="D27" s="22"/>
      <c r="E27" s="22"/>
      <c r="F27" s="23"/>
      <c r="G27" s="37"/>
      <c r="H27" s="17" t="str">
        <f t="shared" si="0"/>
        <v/>
      </c>
      <c r="I27" s="41"/>
    </row>
    <row r="28" spans="2:9">
      <c r="B28" s="84" t="s">
        <v>2716</v>
      </c>
      <c r="C28" s="14" t="s">
        <v>2708</v>
      </c>
      <c r="D28" s="22" t="s">
        <v>903</v>
      </c>
      <c r="E28" s="15"/>
      <c r="F28" s="26"/>
      <c r="G28" s="27"/>
      <c r="H28" s="17">
        <f t="shared" si="0"/>
        <v>0</v>
      </c>
      <c r="I28" s="18"/>
    </row>
    <row r="29" spans="2:9" s="35" customFormat="1">
      <c r="B29" s="84"/>
      <c r="C29" s="14"/>
      <c r="D29" s="15"/>
      <c r="E29" s="15"/>
      <c r="F29" s="26"/>
      <c r="G29" s="27"/>
      <c r="H29" s="17" t="str">
        <f t="shared" si="0"/>
        <v/>
      </c>
      <c r="I29" s="18"/>
    </row>
    <row r="30" spans="2:9" ht="38.25">
      <c r="B30" s="84" t="s">
        <v>2717</v>
      </c>
      <c r="C30" s="14" t="s">
        <v>2718</v>
      </c>
      <c r="D30" s="22"/>
      <c r="E30" s="22"/>
      <c r="F30" s="23"/>
      <c r="G30" s="37"/>
      <c r="H30" s="17" t="str">
        <f t="shared" si="0"/>
        <v/>
      </c>
      <c r="I30" s="41"/>
    </row>
    <row r="31" spans="2:9">
      <c r="B31" s="84"/>
      <c r="C31" s="14"/>
      <c r="D31" s="22"/>
      <c r="E31" s="22"/>
      <c r="F31" s="23"/>
      <c r="G31" s="37"/>
      <c r="H31" s="17" t="str">
        <f t="shared" si="0"/>
        <v/>
      </c>
      <c r="I31" s="41"/>
    </row>
    <row r="32" spans="2:9">
      <c r="B32" s="84" t="s">
        <v>2719</v>
      </c>
      <c r="C32" s="14" t="s">
        <v>2706</v>
      </c>
      <c r="D32" s="22" t="s">
        <v>903</v>
      </c>
      <c r="E32" s="22"/>
      <c r="F32" s="23"/>
      <c r="G32" s="45"/>
      <c r="H32" s="17">
        <f t="shared" si="0"/>
        <v>0</v>
      </c>
      <c r="I32" s="40"/>
    </row>
    <row r="33" spans="2:9">
      <c r="B33" s="84"/>
      <c r="C33" s="14"/>
      <c r="D33" s="22"/>
      <c r="E33" s="22"/>
      <c r="F33" s="23"/>
      <c r="G33" s="45"/>
      <c r="H33" s="17" t="str">
        <f t="shared" si="0"/>
        <v/>
      </c>
      <c r="I33" s="40"/>
    </row>
    <row r="34" spans="2:9">
      <c r="B34" s="84" t="s">
        <v>2720</v>
      </c>
      <c r="C34" s="14" t="s">
        <v>2708</v>
      </c>
      <c r="D34" s="22" t="s">
        <v>903</v>
      </c>
      <c r="E34" s="22"/>
      <c r="F34" s="23"/>
      <c r="G34" s="42"/>
      <c r="H34" s="17">
        <f t="shared" si="0"/>
        <v>0</v>
      </c>
      <c r="I34" s="40"/>
    </row>
    <row r="35" spans="2:9">
      <c r="B35" s="84"/>
      <c r="C35" s="14"/>
      <c r="D35" s="22"/>
      <c r="E35" s="22"/>
      <c r="F35" s="23"/>
      <c r="G35" s="42"/>
      <c r="H35" s="17" t="str">
        <f t="shared" si="0"/>
        <v/>
      </c>
      <c r="I35" s="40"/>
    </row>
    <row r="36" spans="2:9" ht="25.5">
      <c r="B36" s="84" t="s">
        <v>2721</v>
      </c>
      <c r="C36" s="14" t="s">
        <v>2722</v>
      </c>
      <c r="D36" s="22" t="s">
        <v>85</v>
      </c>
      <c r="E36" s="22"/>
      <c r="F36" s="22"/>
      <c r="G36" s="39"/>
      <c r="H36" s="17">
        <f t="shared" si="0"/>
        <v>0</v>
      </c>
      <c r="I36" s="40"/>
    </row>
    <row r="37" spans="2:9">
      <c r="B37" s="84"/>
      <c r="C37" s="14"/>
      <c r="D37" s="22"/>
      <c r="E37" s="22"/>
      <c r="F37" s="22"/>
      <c r="G37" s="39"/>
      <c r="H37" s="17" t="str">
        <f t="shared" si="0"/>
        <v/>
      </c>
      <c r="I37" s="40"/>
    </row>
    <row r="38" spans="2:9" ht="25.5">
      <c r="B38" s="84" t="s">
        <v>2723</v>
      </c>
      <c r="C38" s="14" t="s">
        <v>2724</v>
      </c>
      <c r="D38" s="22" t="s">
        <v>33</v>
      </c>
      <c r="E38" s="22"/>
      <c r="F38" s="22"/>
      <c r="G38" s="37"/>
      <c r="H38" s="17">
        <f t="shared" si="0"/>
        <v>0</v>
      </c>
      <c r="I38" s="40"/>
    </row>
    <row r="39" spans="2:9">
      <c r="B39" s="112"/>
      <c r="C39" s="14"/>
      <c r="D39" s="22"/>
      <c r="E39" s="22"/>
      <c r="F39" s="22"/>
      <c r="G39" s="37"/>
      <c r="H39" s="17" t="str">
        <f t="shared" si="0"/>
        <v/>
      </c>
      <c r="I39" s="40"/>
    </row>
    <row r="40" spans="2:9">
      <c r="B40" s="112"/>
      <c r="C40" s="14"/>
      <c r="D40" s="22"/>
      <c r="E40" s="22"/>
      <c r="F40" s="22"/>
      <c r="G40" s="37"/>
      <c r="H40" s="17" t="str">
        <f t="shared" si="0"/>
        <v/>
      </c>
      <c r="I40" s="40"/>
    </row>
    <row r="41" spans="2:9">
      <c r="B41" s="113"/>
      <c r="C41" s="14"/>
      <c r="D41" s="22"/>
      <c r="E41" s="22"/>
      <c r="F41" s="22"/>
      <c r="G41" s="37"/>
      <c r="H41" s="17" t="str">
        <f t="shared" si="0"/>
        <v/>
      </c>
      <c r="I41" s="40"/>
    </row>
    <row r="42" spans="2:9">
      <c r="B42" s="113"/>
      <c r="C42" s="14"/>
      <c r="D42" s="22"/>
      <c r="E42" s="22"/>
      <c r="F42" s="22"/>
      <c r="G42" s="37"/>
      <c r="H42" s="17" t="str">
        <f t="shared" si="0"/>
        <v/>
      </c>
      <c r="I42" s="40"/>
    </row>
    <row r="43" spans="2:9">
      <c r="B43" s="112"/>
      <c r="C43" s="14"/>
      <c r="D43" s="22"/>
      <c r="E43" s="22"/>
      <c r="F43" s="22"/>
      <c r="G43" s="37"/>
      <c r="H43" s="17" t="str">
        <f t="shared" si="0"/>
        <v/>
      </c>
      <c r="I43" s="40"/>
    </row>
    <row r="44" spans="2:9">
      <c r="B44" s="112"/>
      <c r="C44" s="14"/>
      <c r="D44" s="22"/>
      <c r="E44" s="22"/>
      <c r="F44" s="22"/>
      <c r="G44" s="37"/>
      <c r="H44" s="17" t="str">
        <f t="shared" si="0"/>
        <v/>
      </c>
      <c r="I44" s="40"/>
    </row>
    <row r="45" spans="2:9">
      <c r="B45" s="112"/>
      <c r="C45" s="14"/>
      <c r="D45" s="22"/>
      <c r="E45" s="22"/>
      <c r="F45" s="22"/>
      <c r="G45" s="37"/>
      <c r="H45" s="17" t="str">
        <f t="shared" si="0"/>
        <v/>
      </c>
      <c r="I45" s="40"/>
    </row>
    <row r="46" spans="2:9">
      <c r="B46" s="112"/>
      <c r="C46" s="14"/>
      <c r="D46" s="22"/>
      <c r="E46" s="22"/>
      <c r="F46" s="22"/>
      <c r="G46" s="46"/>
      <c r="H46" s="17" t="str">
        <f t="shared" si="0"/>
        <v/>
      </c>
      <c r="I46" s="40"/>
    </row>
    <row r="47" spans="2:9">
      <c r="B47" s="112"/>
      <c r="C47" s="14"/>
      <c r="D47" s="22"/>
      <c r="E47" s="22"/>
      <c r="F47" s="22"/>
      <c r="G47" s="46"/>
      <c r="H47" s="17" t="str">
        <f t="shared" si="0"/>
        <v/>
      </c>
      <c r="I47" s="40"/>
    </row>
    <row r="48" spans="2:9">
      <c r="B48" s="113"/>
      <c r="C48" s="14"/>
      <c r="D48" s="22"/>
      <c r="E48" s="22"/>
      <c r="F48" s="22"/>
      <c r="G48" s="37"/>
      <c r="H48" s="17" t="str">
        <f t="shared" si="0"/>
        <v/>
      </c>
      <c r="I48" s="40"/>
    </row>
    <row r="49" spans="2:9">
      <c r="B49" s="112"/>
      <c r="C49" s="14"/>
      <c r="D49" s="22"/>
      <c r="E49" s="22"/>
      <c r="F49" s="22"/>
      <c r="G49" s="37"/>
      <c r="H49" s="17" t="str">
        <f t="shared" si="0"/>
        <v/>
      </c>
      <c r="I49" s="40"/>
    </row>
    <row r="50" spans="2:9">
      <c r="B50" s="112"/>
      <c r="C50" s="14"/>
      <c r="D50" s="22"/>
      <c r="E50" s="22"/>
      <c r="F50" s="22"/>
      <c r="G50" s="37"/>
      <c r="H50" s="17" t="str">
        <f t="shared" si="0"/>
        <v/>
      </c>
      <c r="I50" s="40"/>
    </row>
    <row r="51" spans="2:9">
      <c r="B51" s="112"/>
      <c r="C51" s="14"/>
      <c r="D51" s="22"/>
      <c r="E51" s="22"/>
      <c r="F51" s="22"/>
      <c r="G51" s="37"/>
      <c r="H51" s="17" t="str">
        <f t="shared" si="0"/>
        <v/>
      </c>
      <c r="I51" s="40"/>
    </row>
    <row r="52" spans="2:9">
      <c r="B52" s="112"/>
      <c r="C52" s="14"/>
      <c r="D52" s="22"/>
      <c r="E52" s="22"/>
      <c r="F52" s="22"/>
      <c r="G52" s="37"/>
      <c r="H52" s="17" t="str">
        <f t="shared" si="0"/>
        <v/>
      </c>
      <c r="I52" s="40"/>
    </row>
    <row r="53" spans="2:9">
      <c r="B53" s="112"/>
      <c r="C53" s="14"/>
      <c r="D53" s="22"/>
      <c r="E53" s="22"/>
      <c r="F53" s="22"/>
      <c r="G53" s="37"/>
      <c r="H53" s="17" t="str">
        <f t="shared" si="0"/>
        <v/>
      </c>
      <c r="I53" s="40"/>
    </row>
    <row r="54" spans="2:9">
      <c r="B54" s="112"/>
      <c r="C54" s="14"/>
      <c r="D54" s="36"/>
      <c r="E54" s="36"/>
      <c r="F54" s="36"/>
      <c r="G54" s="37"/>
      <c r="H54" s="17" t="str">
        <f t="shared" si="0"/>
        <v/>
      </c>
    </row>
    <row r="55" spans="2:9">
      <c r="B55" s="112"/>
      <c r="C55" s="14"/>
      <c r="D55" s="22"/>
      <c r="E55" s="22"/>
      <c r="F55" s="22"/>
      <c r="G55" s="37"/>
      <c r="H55" s="17" t="str">
        <f t="shared" si="0"/>
        <v/>
      </c>
      <c r="I55" s="40"/>
    </row>
    <row r="56" spans="2:9">
      <c r="B56" s="113"/>
      <c r="C56" s="14"/>
      <c r="D56" s="36"/>
      <c r="E56" s="36"/>
      <c r="F56" s="36"/>
      <c r="G56" s="37"/>
      <c r="H56" s="17" t="str">
        <f t="shared" si="0"/>
        <v/>
      </c>
      <c r="I56" s="47"/>
    </row>
    <row r="57" spans="2:9">
      <c r="B57" s="112"/>
      <c r="C57" s="14"/>
      <c r="D57" s="36"/>
      <c r="E57" s="36"/>
      <c r="F57" s="36"/>
      <c r="G57" s="37"/>
      <c r="H57" s="17" t="str">
        <f t="shared" si="0"/>
        <v/>
      </c>
    </row>
    <row r="58" spans="2:9">
      <c r="B58" s="112"/>
      <c r="C58" s="14"/>
      <c r="D58" s="22"/>
      <c r="E58" s="22"/>
      <c r="F58" s="22"/>
      <c r="G58" s="37"/>
      <c r="H58" s="17" t="str">
        <f t="shared" si="0"/>
        <v/>
      </c>
      <c r="I58" s="40"/>
    </row>
    <row r="59" spans="2:9">
      <c r="B59" s="112"/>
      <c r="C59" s="14"/>
      <c r="D59" s="22"/>
      <c r="E59" s="22"/>
      <c r="F59" s="22"/>
      <c r="G59" s="37"/>
      <c r="H59" s="17" t="str">
        <f t="shared" si="0"/>
        <v/>
      </c>
      <c r="I59" s="40"/>
    </row>
    <row r="60" spans="2:9">
      <c r="B60" s="112"/>
      <c r="C60" s="14"/>
      <c r="D60" s="22"/>
      <c r="E60" s="22"/>
      <c r="F60" s="22"/>
      <c r="G60" s="37"/>
      <c r="H60" s="17" t="str">
        <f t="shared" si="0"/>
        <v/>
      </c>
      <c r="I60" s="40"/>
    </row>
    <row r="61" spans="2:9">
      <c r="B61" s="112"/>
      <c r="C61" s="14"/>
      <c r="D61" s="22"/>
      <c r="E61" s="22"/>
      <c r="F61" s="22"/>
      <c r="G61" s="37"/>
      <c r="H61" s="17" t="str">
        <f t="shared" si="0"/>
        <v/>
      </c>
      <c r="I61" s="40"/>
    </row>
    <row r="62" spans="2:9">
      <c r="B62" s="113"/>
      <c r="C62" s="14"/>
      <c r="D62" s="22"/>
      <c r="E62" s="22"/>
      <c r="F62" s="22"/>
      <c r="G62" s="37"/>
      <c r="H62" s="17" t="str">
        <f t="shared" si="0"/>
        <v/>
      </c>
      <c r="I62" s="40"/>
    </row>
    <row r="63" spans="2:9">
      <c r="B63" s="112"/>
      <c r="C63" s="14"/>
      <c r="D63" s="22"/>
      <c r="E63" s="22"/>
      <c r="F63" s="22"/>
      <c r="G63" s="37"/>
      <c r="H63" s="17" t="str">
        <f t="shared" si="0"/>
        <v/>
      </c>
      <c r="I63" s="40"/>
    </row>
    <row r="64" spans="2:9">
      <c r="B64" s="112"/>
      <c r="C64" s="14"/>
      <c r="D64" s="22"/>
      <c r="E64" s="22"/>
      <c r="F64" s="22"/>
      <c r="G64" s="37"/>
      <c r="H64" s="17" t="str">
        <f t="shared" si="0"/>
        <v/>
      </c>
      <c r="I64" s="40"/>
    </row>
    <row r="65" spans="2:9">
      <c r="B65" s="112"/>
      <c r="C65" s="14"/>
      <c r="D65" s="22"/>
      <c r="E65" s="22"/>
      <c r="F65" s="22"/>
      <c r="G65" s="37"/>
      <c r="H65" s="17" t="str">
        <f t="shared" si="0"/>
        <v/>
      </c>
      <c r="I65" s="40"/>
    </row>
    <row r="66" spans="2:9">
      <c r="B66" s="113"/>
      <c r="C66" s="14"/>
      <c r="D66" s="22"/>
      <c r="E66" s="22"/>
      <c r="F66" s="22"/>
      <c r="G66" s="37"/>
      <c r="H66" s="17" t="str">
        <f t="shared" si="0"/>
        <v/>
      </c>
      <c r="I66" s="40"/>
    </row>
    <row r="67" spans="2:9">
      <c r="B67" s="112"/>
      <c r="C67" s="14"/>
      <c r="D67" s="22"/>
      <c r="E67" s="22"/>
      <c r="F67" s="22"/>
      <c r="G67" s="37"/>
      <c r="H67" s="17" t="str">
        <f t="shared" si="0"/>
        <v/>
      </c>
      <c r="I67" s="40"/>
    </row>
    <row r="68" spans="2:9">
      <c r="B68" s="113"/>
      <c r="C68" s="14"/>
      <c r="D68" s="22"/>
      <c r="E68" s="22"/>
      <c r="F68" s="22"/>
      <c r="G68" s="37"/>
      <c r="H68" s="17" t="str">
        <f t="shared" si="0"/>
        <v/>
      </c>
      <c r="I68" s="40"/>
    </row>
    <row r="69" spans="2:9">
      <c r="B69" s="112"/>
      <c r="C69" s="14"/>
      <c r="D69" s="22"/>
      <c r="E69" s="22"/>
      <c r="F69" s="22"/>
      <c r="G69" s="37"/>
      <c r="H69" s="17" t="str">
        <f t="shared" si="0"/>
        <v/>
      </c>
      <c r="I69" s="40"/>
    </row>
    <row r="70" spans="2:9">
      <c r="B70" s="112"/>
      <c r="C70" s="14"/>
      <c r="D70" s="22"/>
      <c r="E70" s="22"/>
      <c r="F70" s="22"/>
      <c r="G70" s="37"/>
      <c r="H70" s="17" t="str">
        <f t="shared" si="0"/>
        <v/>
      </c>
      <c r="I70" s="40"/>
    </row>
    <row r="71" spans="2:9" s="28" customFormat="1" ht="24.95" customHeight="1">
      <c r="B71" s="82" t="str">
        <f>$B$10</f>
        <v>C14.3</v>
      </c>
      <c r="C71" s="29" t="s">
        <v>125</v>
      </c>
      <c r="D71" s="30"/>
      <c r="E71" s="30"/>
      <c r="F71" s="31"/>
      <c r="G71" s="30"/>
      <c r="H71" s="32">
        <f>SUM(H9:H70)</f>
        <v>0</v>
      </c>
      <c r="I71"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43"/>
  <dimension ref="B1:I74"/>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C14.4</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2725</v>
      </c>
      <c r="C10" s="20" t="s">
        <v>2726</v>
      </c>
      <c r="D10" s="22"/>
      <c r="E10" s="22"/>
      <c r="F10" s="22"/>
      <c r="G10" s="39"/>
      <c r="H10" s="17" t="str">
        <f t="shared" ref="H10:H73" si="0">IF(D10="","",F10*G10)</f>
        <v/>
      </c>
      <c r="I10" s="40"/>
    </row>
    <row r="11" spans="2:9">
      <c r="B11" s="48"/>
      <c r="C11" s="14"/>
      <c r="D11" s="22"/>
      <c r="E11" s="22"/>
      <c r="F11" s="22"/>
      <c r="G11" s="39"/>
      <c r="H11" s="17" t="str">
        <f t="shared" si="0"/>
        <v/>
      </c>
      <c r="I11" s="40"/>
    </row>
    <row r="12" spans="2:9" ht="25.5">
      <c r="B12" s="48" t="s">
        <v>2727</v>
      </c>
      <c r="C12" s="14" t="s">
        <v>2728</v>
      </c>
      <c r="D12" s="15" t="s">
        <v>898</v>
      </c>
      <c r="E12" s="22"/>
      <c r="F12" s="22"/>
      <c r="G12" s="39"/>
      <c r="H12" s="17">
        <f t="shared" si="0"/>
        <v>0</v>
      </c>
      <c r="I12" s="40"/>
    </row>
    <row r="13" spans="2:9">
      <c r="B13" s="48"/>
      <c r="C13" s="14"/>
      <c r="D13" s="22"/>
      <c r="E13" s="22"/>
      <c r="F13" s="22"/>
      <c r="G13" s="39"/>
      <c r="H13" s="17" t="str">
        <f t="shared" si="0"/>
        <v/>
      </c>
      <c r="I13" s="40"/>
    </row>
    <row r="14" spans="2:9">
      <c r="B14" s="48" t="s">
        <v>2729</v>
      </c>
      <c r="C14" s="14" t="s">
        <v>2730</v>
      </c>
      <c r="D14" s="15" t="s">
        <v>898</v>
      </c>
      <c r="E14" s="22"/>
      <c r="F14" s="23"/>
      <c r="G14" s="24"/>
      <c r="H14" s="17">
        <f t="shared" si="0"/>
        <v>0</v>
      </c>
      <c r="I14" s="41"/>
    </row>
    <row r="15" spans="2:9">
      <c r="B15" s="48"/>
      <c r="C15" s="14"/>
      <c r="D15" s="22"/>
      <c r="E15" s="22"/>
      <c r="F15" s="23"/>
      <c r="G15" s="24"/>
      <c r="H15" s="17" t="str">
        <f t="shared" si="0"/>
        <v/>
      </c>
      <c r="I15" s="41"/>
    </row>
    <row r="16" spans="2:9" ht="38.25">
      <c r="B16" s="48" t="s">
        <v>2731</v>
      </c>
      <c r="C16" s="14" t="s">
        <v>2732</v>
      </c>
      <c r="D16" s="22"/>
      <c r="E16" s="22"/>
      <c r="F16" s="23"/>
      <c r="G16" s="24"/>
      <c r="H16" s="17" t="str">
        <f t="shared" si="0"/>
        <v/>
      </c>
      <c r="I16" s="41"/>
    </row>
    <row r="17" spans="2:9">
      <c r="B17" s="48"/>
      <c r="C17" s="14"/>
      <c r="D17" s="22"/>
      <c r="E17" s="22"/>
      <c r="F17" s="23"/>
      <c r="G17" s="24"/>
      <c r="H17" s="17" t="str">
        <f t="shared" si="0"/>
        <v/>
      </c>
      <c r="I17" s="41"/>
    </row>
    <row r="18" spans="2:9">
      <c r="B18" s="48" t="s">
        <v>2733</v>
      </c>
      <c r="C18" s="14" t="s">
        <v>2734</v>
      </c>
      <c r="D18" s="22"/>
      <c r="E18" s="22"/>
      <c r="F18" s="23"/>
      <c r="G18" s="39"/>
      <c r="H18" s="17" t="str">
        <f t="shared" si="0"/>
        <v/>
      </c>
      <c r="I18" s="40"/>
    </row>
    <row r="19" spans="2:9">
      <c r="B19" s="48"/>
      <c r="C19" s="14"/>
      <c r="D19" s="22"/>
      <c r="E19" s="22"/>
      <c r="F19" s="23"/>
      <c r="G19" s="42"/>
      <c r="H19" s="17" t="str">
        <f t="shared" si="0"/>
        <v/>
      </c>
      <c r="I19" s="40"/>
    </row>
    <row r="20" spans="2:9">
      <c r="B20" s="48" t="s">
        <v>83</v>
      </c>
      <c r="C20" s="14" t="s">
        <v>2735</v>
      </c>
      <c r="D20" s="15" t="s">
        <v>898</v>
      </c>
      <c r="E20" s="22"/>
      <c r="F20" s="23"/>
      <c r="G20" s="39"/>
      <c r="H20" s="17">
        <f t="shared" si="0"/>
        <v>0</v>
      </c>
      <c r="I20" s="43"/>
    </row>
    <row r="21" spans="2:9">
      <c r="B21" s="48"/>
      <c r="C21" s="14"/>
      <c r="D21" s="22"/>
      <c r="E21" s="36"/>
      <c r="F21" s="23"/>
      <c r="G21" s="44"/>
      <c r="H21" s="17" t="str">
        <f t="shared" si="0"/>
        <v/>
      </c>
    </row>
    <row r="22" spans="2:9">
      <c r="B22" s="48" t="s">
        <v>86</v>
      </c>
      <c r="C22" s="14" t="s">
        <v>2736</v>
      </c>
      <c r="D22" s="15" t="s">
        <v>898</v>
      </c>
      <c r="E22" s="36"/>
      <c r="F22" s="23"/>
      <c r="G22" s="44"/>
      <c r="H22" s="17">
        <f t="shared" si="0"/>
        <v>0</v>
      </c>
    </row>
    <row r="23" spans="2:9">
      <c r="B23" s="48"/>
      <c r="C23" s="14"/>
      <c r="D23" s="22"/>
      <c r="E23" s="36"/>
      <c r="F23" s="23"/>
      <c r="G23" s="37"/>
      <c r="H23" s="17" t="str">
        <f t="shared" si="0"/>
        <v/>
      </c>
    </row>
    <row r="24" spans="2:9">
      <c r="B24" s="48" t="s">
        <v>2737</v>
      </c>
      <c r="C24" s="14" t="s">
        <v>2738</v>
      </c>
      <c r="D24" s="22"/>
      <c r="E24" s="36"/>
      <c r="F24" s="23"/>
      <c r="G24" s="44"/>
      <c r="H24" s="17" t="str">
        <f t="shared" si="0"/>
        <v/>
      </c>
    </row>
    <row r="25" spans="2:9">
      <c r="B25" s="48"/>
      <c r="C25" s="14"/>
      <c r="D25" s="22"/>
      <c r="E25" s="36"/>
      <c r="F25" s="23"/>
      <c r="G25" s="42"/>
      <c r="H25" s="17" t="str">
        <f t="shared" si="0"/>
        <v/>
      </c>
    </row>
    <row r="26" spans="2:9">
      <c r="B26" s="48" t="s">
        <v>83</v>
      </c>
      <c r="C26" s="14" t="s">
        <v>2735</v>
      </c>
      <c r="D26" s="15" t="s">
        <v>898</v>
      </c>
      <c r="E26" s="36"/>
      <c r="F26" s="23"/>
      <c r="G26" s="44"/>
      <c r="H26" s="17">
        <f t="shared" si="0"/>
        <v>0</v>
      </c>
    </row>
    <row r="27" spans="2:9">
      <c r="B27" s="48"/>
      <c r="C27" s="14"/>
      <c r="D27" s="22"/>
      <c r="E27" s="22"/>
      <c r="F27" s="23"/>
      <c r="G27" s="37"/>
      <c r="H27" s="17" t="str">
        <f t="shared" si="0"/>
        <v/>
      </c>
      <c r="I27" s="41"/>
    </row>
    <row r="28" spans="2:9">
      <c r="B28" s="48" t="s">
        <v>86</v>
      </c>
      <c r="C28" s="14" t="s">
        <v>2736</v>
      </c>
      <c r="D28" s="15" t="s">
        <v>898</v>
      </c>
      <c r="E28" s="15"/>
      <c r="F28" s="26"/>
      <c r="G28" s="27"/>
      <c r="H28" s="17">
        <f t="shared" si="0"/>
        <v>0</v>
      </c>
      <c r="I28" s="18"/>
    </row>
    <row r="29" spans="2:9" s="35" customFormat="1">
      <c r="B29" s="48"/>
      <c r="C29" s="14"/>
      <c r="D29" s="15"/>
      <c r="E29" s="15"/>
      <c r="F29" s="26"/>
      <c r="G29" s="27"/>
      <c r="H29" s="17" t="str">
        <f t="shared" si="0"/>
        <v/>
      </c>
      <c r="I29" s="18"/>
    </row>
    <row r="30" spans="2:9">
      <c r="B30" s="48" t="s">
        <v>2739</v>
      </c>
      <c r="C30" s="14" t="s">
        <v>2740</v>
      </c>
      <c r="D30" s="22"/>
      <c r="E30" s="22"/>
      <c r="F30" s="23"/>
      <c r="G30" s="37"/>
      <c r="H30" s="17" t="str">
        <f t="shared" si="0"/>
        <v/>
      </c>
      <c r="I30" s="41"/>
    </row>
    <row r="31" spans="2:9">
      <c r="B31" s="48"/>
      <c r="C31" s="14"/>
      <c r="D31" s="22"/>
      <c r="E31" s="22"/>
      <c r="F31" s="23"/>
      <c r="G31" s="37"/>
      <c r="H31" s="17" t="str">
        <f t="shared" si="0"/>
        <v/>
      </c>
      <c r="I31" s="41"/>
    </row>
    <row r="32" spans="2:9">
      <c r="B32" s="48" t="s">
        <v>83</v>
      </c>
      <c r="C32" s="14" t="s">
        <v>2735</v>
      </c>
      <c r="D32" s="15" t="s">
        <v>898</v>
      </c>
      <c r="E32" s="22"/>
      <c r="F32" s="23"/>
      <c r="G32" s="45"/>
      <c r="H32" s="17">
        <f t="shared" si="0"/>
        <v>0</v>
      </c>
      <c r="I32" s="40"/>
    </row>
    <row r="33" spans="2:9">
      <c r="B33" s="48"/>
      <c r="C33" s="14"/>
      <c r="D33" s="22"/>
      <c r="E33" s="22"/>
      <c r="F33" s="23"/>
      <c r="G33" s="45"/>
      <c r="H33" s="17" t="str">
        <f t="shared" si="0"/>
        <v/>
      </c>
      <c r="I33" s="40"/>
    </row>
    <row r="34" spans="2:9">
      <c r="B34" s="48" t="s">
        <v>86</v>
      </c>
      <c r="C34" s="14" t="s">
        <v>2736</v>
      </c>
      <c r="D34" s="15" t="s">
        <v>898</v>
      </c>
      <c r="E34" s="22"/>
      <c r="F34" s="23"/>
      <c r="G34" s="42"/>
      <c r="H34" s="17">
        <f t="shared" si="0"/>
        <v>0</v>
      </c>
      <c r="I34" s="40"/>
    </row>
    <row r="35" spans="2:9">
      <c r="B35" s="48"/>
      <c r="C35" s="14"/>
      <c r="D35" s="22"/>
      <c r="E35" s="22"/>
      <c r="F35" s="23"/>
      <c r="G35" s="42"/>
      <c r="H35" s="17" t="str">
        <f t="shared" si="0"/>
        <v/>
      </c>
      <c r="I35" s="40"/>
    </row>
    <row r="36" spans="2:9">
      <c r="B36" s="48" t="s">
        <v>2741</v>
      </c>
      <c r="C36" s="14" t="s">
        <v>2742</v>
      </c>
      <c r="D36" s="22"/>
      <c r="E36" s="22"/>
      <c r="F36" s="22"/>
      <c r="G36" s="39"/>
      <c r="H36" s="17" t="str">
        <f t="shared" si="0"/>
        <v/>
      </c>
      <c r="I36" s="40"/>
    </row>
    <row r="37" spans="2:9">
      <c r="B37" s="48"/>
      <c r="C37" s="14"/>
      <c r="D37" s="22"/>
      <c r="E37" s="22"/>
      <c r="F37" s="22"/>
      <c r="G37" s="39"/>
      <c r="H37" s="17" t="str">
        <f t="shared" si="0"/>
        <v/>
      </c>
      <c r="I37" s="40"/>
    </row>
    <row r="38" spans="2:9">
      <c r="B38" s="48" t="s">
        <v>83</v>
      </c>
      <c r="C38" s="14" t="s">
        <v>2735</v>
      </c>
      <c r="D38" s="15" t="s">
        <v>898</v>
      </c>
      <c r="E38" s="22"/>
      <c r="F38" s="22"/>
      <c r="G38" s="37"/>
      <c r="H38" s="17">
        <f t="shared" si="0"/>
        <v>0</v>
      </c>
      <c r="I38" s="40"/>
    </row>
    <row r="39" spans="2:9">
      <c r="B39" s="48"/>
      <c r="C39" s="14"/>
      <c r="D39" s="22"/>
      <c r="E39" s="22"/>
      <c r="F39" s="22"/>
      <c r="G39" s="37"/>
      <c r="H39" s="17" t="str">
        <f t="shared" si="0"/>
        <v/>
      </c>
      <c r="I39" s="40"/>
    </row>
    <row r="40" spans="2:9">
      <c r="B40" s="48" t="s">
        <v>86</v>
      </c>
      <c r="C40" s="14" t="s">
        <v>2736</v>
      </c>
      <c r="D40" s="15" t="s">
        <v>898</v>
      </c>
      <c r="E40" s="22"/>
      <c r="F40" s="22"/>
      <c r="G40" s="37"/>
      <c r="H40" s="17">
        <f t="shared" si="0"/>
        <v>0</v>
      </c>
      <c r="I40" s="40"/>
    </row>
    <row r="41" spans="2:9">
      <c r="B41" s="48"/>
      <c r="C41" s="14"/>
      <c r="D41" s="22"/>
      <c r="E41" s="22"/>
      <c r="F41" s="22"/>
      <c r="G41" s="37"/>
      <c r="H41" s="17" t="str">
        <f t="shared" si="0"/>
        <v/>
      </c>
      <c r="I41" s="40"/>
    </row>
    <row r="42" spans="2:9">
      <c r="B42" s="48" t="s">
        <v>2743</v>
      </c>
      <c r="C42" s="14" t="s">
        <v>2744</v>
      </c>
      <c r="D42" s="22"/>
      <c r="E42" s="22"/>
      <c r="F42" s="22"/>
      <c r="G42" s="37"/>
      <c r="H42" s="17" t="str">
        <f t="shared" si="0"/>
        <v/>
      </c>
      <c r="I42" s="40"/>
    </row>
    <row r="43" spans="2:9">
      <c r="B43" s="48"/>
      <c r="C43" s="14"/>
      <c r="D43" s="22"/>
      <c r="E43" s="22"/>
      <c r="F43" s="22"/>
      <c r="G43" s="37"/>
      <c r="H43" s="17" t="str">
        <f t="shared" si="0"/>
        <v/>
      </c>
      <c r="I43" s="40"/>
    </row>
    <row r="44" spans="2:9" ht="25.5">
      <c r="B44" s="48" t="s">
        <v>2745</v>
      </c>
      <c r="C44" s="14" t="s">
        <v>2746</v>
      </c>
      <c r="D44" s="22" t="s">
        <v>124</v>
      </c>
      <c r="E44" s="22"/>
      <c r="F44" s="22"/>
      <c r="G44" s="37"/>
      <c r="H44" s="17">
        <f t="shared" si="0"/>
        <v>0</v>
      </c>
      <c r="I44" s="40"/>
    </row>
    <row r="45" spans="2:9">
      <c r="B45" s="48"/>
      <c r="C45" s="14"/>
      <c r="D45" s="22"/>
      <c r="E45" s="22"/>
      <c r="F45" s="22"/>
      <c r="G45" s="37"/>
      <c r="H45" s="17" t="str">
        <f t="shared" si="0"/>
        <v/>
      </c>
      <c r="I45" s="40"/>
    </row>
    <row r="46" spans="2:9" ht="14.25">
      <c r="B46" s="48" t="s">
        <v>2747</v>
      </c>
      <c r="C46" s="14" t="s">
        <v>2748</v>
      </c>
      <c r="D46" s="22" t="s">
        <v>124</v>
      </c>
      <c r="E46" s="22"/>
      <c r="F46" s="22"/>
      <c r="G46" s="46"/>
      <c r="H46" s="17">
        <f t="shared" si="0"/>
        <v>0</v>
      </c>
      <c r="I46" s="40"/>
    </row>
    <row r="47" spans="2:9">
      <c r="B47" s="48"/>
      <c r="C47" s="14"/>
      <c r="D47" s="22"/>
      <c r="E47" s="22"/>
      <c r="F47" s="22"/>
      <c r="G47" s="46"/>
      <c r="H47" s="17" t="str">
        <f t="shared" si="0"/>
        <v/>
      </c>
      <c r="I47" s="40"/>
    </row>
    <row r="48" spans="2:9" ht="14.25">
      <c r="B48" s="48" t="s">
        <v>2749</v>
      </c>
      <c r="C48" s="14" t="s">
        <v>2750</v>
      </c>
      <c r="D48" s="22" t="s">
        <v>124</v>
      </c>
      <c r="E48" s="22"/>
      <c r="F48" s="22"/>
      <c r="G48" s="37"/>
      <c r="H48" s="17">
        <f t="shared" si="0"/>
        <v>0</v>
      </c>
      <c r="I48" s="40"/>
    </row>
    <row r="49" spans="2:9">
      <c r="B49" s="48"/>
      <c r="C49" s="14"/>
      <c r="D49" s="22"/>
      <c r="E49" s="22"/>
      <c r="F49" s="22"/>
      <c r="G49" s="37"/>
      <c r="H49" s="17" t="str">
        <f t="shared" si="0"/>
        <v/>
      </c>
      <c r="I49" s="40"/>
    </row>
    <row r="50" spans="2:9">
      <c r="B50" s="48"/>
      <c r="C50" s="14"/>
      <c r="D50" s="22"/>
      <c r="E50" s="22"/>
      <c r="F50" s="22"/>
      <c r="G50" s="37"/>
      <c r="H50" s="17" t="str">
        <f t="shared" si="0"/>
        <v/>
      </c>
      <c r="I50" s="40"/>
    </row>
    <row r="51" spans="2:9">
      <c r="B51" s="48"/>
      <c r="C51" s="14"/>
      <c r="D51" s="22"/>
      <c r="E51" s="22"/>
      <c r="F51" s="22"/>
      <c r="G51" s="37"/>
      <c r="H51" s="17" t="str">
        <f t="shared" si="0"/>
        <v/>
      </c>
      <c r="I51" s="40"/>
    </row>
    <row r="52" spans="2:9">
      <c r="B52" s="48"/>
      <c r="C52" s="14"/>
      <c r="D52" s="22"/>
      <c r="E52" s="22"/>
      <c r="F52" s="22"/>
      <c r="G52" s="37"/>
      <c r="H52" s="17" t="str">
        <f t="shared" si="0"/>
        <v/>
      </c>
      <c r="I52" s="40"/>
    </row>
    <row r="53" spans="2:9">
      <c r="B53" s="48"/>
      <c r="C53" s="14"/>
      <c r="D53" s="22"/>
      <c r="E53" s="22"/>
      <c r="F53" s="22"/>
      <c r="G53" s="37"/>
      <c r="H53" s="17" t="str">
        <f t="shared" si="0"/>
        <v/>
      </c>
      <c r="I53" s="40"/>
    </row>
    <row r="54" spans="2:9">
      <c r="B54" s="48"/>
      <c r="C54" s="14"/>
      <c r="D54" s="36"/>
      <c r="E54" s="36"/>
      <c r="F54" s="36"/>
      <c r="G54" s="37"/>
      <c r="H54" s="17" t="str">
        <f t="shared" si="0"/>
        <v/>
      </c>
    </row>
    <row r="55" spans="2:9">
      <c r="B55" s="48"/>
      <c r="C55" s="14"/>
      <c r="D55" s="22"/>
      <c r="E55" s="22"/>
      <c r="F55" s="22"/>
      <c r="G55" s="37"/>
      <c r="H55" s="17" t="str">
        <f t="shared" si="0"/>
        <v/>
      </c>
      <c r="I55" s="40"/>
    </row>
    <row r="56" spans="2:9">
      <c r="B56" s="48"/>
      <c r="C56" s="14"/>
      <c r="D56" s="36"/>
      <c r="E56" s="36"/>
      <c r="F56" s="36"/>
      <c r="G56" s="37"/>
      <c r="H56" s="17" t="str">
        <f t="shared" si="0"/>
        <v/>
      </c>
      <c r="I56" s="47"/>
    </row>
    <row r="57" spans="2:9">
      <c r="B57" s="48"/>
      <c r="C57" s="14"/>
      <c r="D57" s="36"/>
      <c r="E57" s="36"/>
      <c r="F57" s="36"/>
      <c r="G57" s="37"/>
      <c r="H57" s="17" t="str">
        <f t="shared" si="0"/>
        <v/>
      </c>
    </row>
    <row r="58" spans="2:9">
      <c r="B58" s="48"/>
      <c r="C58" s="14"/>
      <c r="D58" s="22"/>
      <c r="E58" s="22"/>
      <c r="F58" s="22"/>
      <c r="G58" s="37"/>
      <c r="H58" s="17" t="str">
        <f t="shared" si="0"/>
        <v/>
      </c>
      <c r="I58" s="40"/>
    </row>
    <row r="59" spans="2:9">
      <c r="B59" s="48"/>
      <c r="C59" s="14"/>
      <c r="D59" s="22"/>
      <c r="E59" s="22"/>
      <c r="F59" s="22"/>
      <c r="G59" s="37"/>
      <c r="H59" s="17" t="str">
        <f t="shared" si="0"/>
        <v/>
      </c>
      <c r="I59" s="40"/>
    </row>
    <row r="60" spans="2:9">
      <c r="B60" s="48"/>
      <c r="C60" s="14"/>
      <c r="D60" s="22"/>
      <c r="E60" s="22"/>
      <c r="F60" s="22"/>
      <c r="G60" s="37"/>
      <c r="H60" s="17" t="str">
        <f t="shared" si="0"/>
        <v/>
      </c>
      <c r="I60" s="40"/>
    </row>
    <row r="61" spans="2:9">
      <c r="B61" s="48"/>
      <c r="C61" s="14"/>
      <c r="D61" s="22"/>
      <c r="E61" s="22"/>
      <c r="F61" s="22"/>
      <c r="G61" s="37"/>
      <c r="H61" s="17" t="str">
        <f t="shared" si="0"/>
        <v/>
      </c>
      <c r="I61" s="40"/>
    </row>
    <row r="62" spans="2:9">
      <c r="B62" s="48"/>
      <c r="C62" s="14"/>
      <c r="D62" s="22"/>
      <c r="E62" s="22"/>
      <c r="F62" s="22"/>
      <c r="G62" s="37"/>
      <c r="H62" s="17" t="str">
        <f t="shared" si="0"/>
        <v/>
      </c>
      <c r="I62" s="40"/>
    </row>
    <row r="63" spans="2:9">
      <c r="B63" s="48"/>
      <c r="C63" s="14"/>
      <c r="D63" s="22"/>
      <c r="E63" s="22"/>
      <c r="F63" s="22"/>
      <c r="G63" s="37"/>
      <c r="H63" s="17" t="str">
        <f t="shared" si="0"/>
        <v/>
      </c>
      <c r="I63" s="40"/>
    </row>
    <row r="64" spans="2:9">
      <c r="B64" s="48"/>
      <c r="C64" s="14"/>
      <c r="D64" s="22"/>
      <c r="E64" s="22"/>
      <c r="F64" s="22"/>
      <c r="G64" s="37"/>
      <c r="H64" s="17" t="str">
        <f t="shared" si="0"/>
        <v/>
      </c>
      <c r="I64" s="40"/>
    </row>
    <row r="65" spans="2:9">
      <c r="B65" s="48"/>
      <c r="C65" s="14"/>
      <c r="D65" s="22"/>
      <c r="E65" s="22"/>
      <c r="F65" s="22"/>
      <c r="G65" s="37"/>
      <c r="H65" s="17" t="str">
        <f t="shared" si="0"/>
        <v/>
      </c>
      <c r="I65" s="40"/>
    </row>
    <row r="66" spans="2:9">
      <c r="B66" s="48"/>
      <c r="C66" s="14"/>
      <c r="D66" s="22"/>
      <c r="E66" s="22"/>
      <c r="F66" s="22"/>
      <c r="G66" s="37"/>
      <c r="H66" s="17" t="str">
        <f t="shared" si="0"/>
        <v/>
      </c>
      <c r="I66" s="40"/>
    </row>
    <row r="67" spans="2:9">
      <c r="B67" s="48"/>
      <c r="C67" s="14"/>
      <c r="D67" s="22"/>
      <c r="E67" s="22"/>
      <c r="F67" s="22"/>
      <c r="G67" s="37"/>
      <c r="H67" s="17" t="str">
        <f t="shared" si="0"/>
        <v/>
      </c>
      <c r="I67" s="40"/>
    </row>
    <row r="68" spans="2:9">
      <c r="B68" s="48"/>
      <c r="C68" s="14"/>
      <c r="D68" s="22"/>
      <c r="E68" s="22"/>
      <c r="F68" s="22"/>
      <c r="G68" s="37"/>
      <c r="H68" s="17" t="str">
        <f t="shared" si="0"/>
        <v/>
      </c>
      <c r="I68" s="40"/>
    </row>
    <row r="69" spans="2:9">
      <c r="B69" s="48"/>
      <c r="C69" s="14"/>
      <c r="D69" s="22"/>
      <c r="E69" s="22"/>
      <c r="F69" s="22"/>
      <c r="G69" s="37"/>
      <c r="H69" s="17" t="str">
        <f t="shared" si="0"/>
        <v/>
      </c>
      <c r="I69" s="40"/>
    </row>
    <row r="70" spans="2:9">
      <c r="B70" s="48"/>
      <c r="C70" s="14"/>
      <c r="D70" s="22"/>
      <c r="E70" s="22"/>
      <c r="F70" s="22"/>
      <c r="G70" s="37"/>
      <c r="H70" s="17" t="str">
        <f t="shared" si="0"/>
        <v/>
      </c>
      <c r="I70" s="40"/>
    </row>
    <row r="71" spans="2:9">
      <c r="B71" s="48"/>
      <c r="C71" s="14"/>
      <c r="D71" s="22"/>
      <c r="E71" s="22"/>
      <c r="F71" s="22"/>
      <c r="G71" s="37"/>
      <c r="H71" s="17" t="str">
        <f t="shared" si="0"/>
        <v/>
      </c>
      <c r="I71" s="40"/>
    </row>
    <row r="72" spans="2:9">
      <c r="B72" s="48"/>
      <c r="C72" s="14"/>
      <c r="D72" s="22"/>
      <c r="E72" s="22"/>
      <c r="F72" s="22"/>
      <c r="G72" s="37"/>
      <c r="H72" s="17" t="str">
        <f t="shared" si="0"/>
        <v/>
      </c>
      <c r="I72" s="40"/>
    </row>
    <row r="73" spans="2:9">
      <c r="B73" s="48"/>
      <c r="C73" s="14"/>
      <c r="D73" s="22"/>
      <c r="E73" s="22"/>
      <c r="F73" s="22"/>
      <c r="G73" s="37"/>
      <c r="H73" s="17" t="str">
        <f t="shared" si="0"/>
        <v/>
      </c>
      <c r="I73" s="40"/>
    </row>
    <row r="74" spans="2:9" s="28" customFormat="1" ht="24.95" customHeight="1">
      <c r="B74" s="82" t="str">
        <f>$B$10</f>
        <v>C14.4</v>
      </c>
      <c r="C74" s="29" t="s">
        <v>125</v>
      </c>
      <c r="D74" s="30"/>
      <c r="E74" s="30"/>
      <c r="F74" s="31"/>
      <c r="G74" s="30"/>
      <c r="H74" s="32">
        <f>SUM(H9:H73)</f>
        <v>0</v>
      </c>
      <c r="I74"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51">
    <tabColor rgb="FF00B0F0"/>
  </sheetPr>
  <dimension ref="B1:L125"/>
  <sheetViews>
    <sheetView view="pageBreakPreview" zoomScaleNormal="100" zoomScaleSheetLayoutView="100" workbookViewId="0">
      <selection activeCell="C27" sqref="C27"/>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5.7109375" style="4" customWidth="1"/>
    <col min="7" max="7" width="15.7109375" style="398" customWidth="1"/>
    <col min="8" max="8" width="15.7109375" style="399" customWidth="1"/>
    <col min="9" max="11" width="0" style="3" hidden="1" customWidth="1"/>
    <col min="12" max="12" width="8" style="3" hidden="1" customWidth="1"/>
    <col min="13" max="36" width="0" style="3" hidden="1" customWidth="1"/>
    <col min="37" max="16384" width="6.85546875" style="3"/>
  </cols>
  <sheetData>
    <row r="1" spans="2:8" ht="23.25" customHeight="1">
      <c r="B1" s="2" t="str">
        <f>Client1</f>
        <v>AIRPORTS COMPANY - SOUTH AFRICA</v>
      </c>
      <c r="F1" s="676" t="str">
        <f>"Contract No. "&amp;ContractNo</f>
        <v>Contract No. KSIA7806/2025/RFP</v>
      </c>
      <c r="G1" s="676"/>
      <c r="H1" s="676"/>
    </row>
    <row r="2" spans="2:8">
      <c r="B2" s="2" t="str">
        <f>Client2</f>
        <v>ACSA</v>
      </c>
    </row>
    <row r="3" spans="2:8">
      <c r="B3" s="71"/>
      <c r="C3" s="71"/>
      <c r="D3" s="71"/>
      <c r="E3" s="71"/>
      <c r="F3" s="72"/>
      <c r="G3" s="400"/>
      <c r="H3" s="401"/>
    </row>
    <row r="4" spans="2:8">
      <c r="B4" s="695" t="s">
        <v>10</v>
      </c>
      <c r="C4" s="696"/>
      <c r="D4" s="696"/>
      <c r="E4" s="696"/>
      <c r="F4" s="696"/>
      <c r="G4" s="696"/>
      <c r="H4" s="684" t="str">
        <f>"CHAPTER "&amp;B10</f>
        <v>CHAPTER C20.1</v>
      </c>
    </row>
    <row r="5" spans="2:8"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694"/>
    </row>
    <row r="6" spans="2:8" ht="22.5" customHeight="1">
      <c r="B6" s="690"/>
      <c r="C6" s="691"/>
      <c r="D6" s="691"/>
      <c r="E6" s="691"/>
      <c r="F6" s="691"/>
      <c r="G6" s="691"/>
      <c r="H6" s="694"/>
    </row>
    <row r="7" spans="2:8" ht="7.5" customHeight="1">
      <c r="B7" s="692"/>
      <c r="C7" s="693"/>
      <c r="D7" s="693"/>
      <c r="E7" s="693"/>
      <c r="F7" s="693"/>
      <c r="G7" s="693"/>
      <c r="H7" s="686"/>
    </row>
    <row r="8" spans="2:8" s="2" customFormat="1" ht="24.95" customHeight="1">
      <c r="B8" s="282" t="s">
        <v>11</v>
      </c>
      <c r="C8" s="280" t="s">
        <v>12</v>
      </c>
      <c r="D8" s="280" t="s">
        <v>13</v>
      </c>
      <c r="E8" s="280" t="s">
        <v>14</v>
      </c>
      <c r="F8" s="11" t="s">
        <v>15</v>
      </c>
      <c r="G8" s="409" t="s">
        <v>16</v>
      </c>
      <c r="H8" s="364" t="s">
        <v>17</v>
      </c>
    </row>
    <row r="9" spans="2:8">
      <c r="B9" s="13"/>
      <c r="C9" s="14"/>
      <c r="D9" s="14"/>
      <c r="E9" s="14"/>
      <c r="F9" s="22"/>
      <c r="G9" s="410"/>
      <c r="H9" s="363" t="str">
        <f>IF(D9="","",F9*G9)</f>
        <v/>
      </c>
    </row>
    <row r="10" spans="2:8" ht="25.5">
      <c r="B10" s="19" t="s">
        <v>348</v>
      </c>
      <c r="C10" s="20" t="s">
        <v>349</v>
      </c>
      <c r="D10" s="14"/>
      <c r="E10" s="14"/>
      <c r="F10" s="22"/>
      <c r="G10" s="410"/>
      <c r="H10" s="363" t="str">
        <f t="shared" ref="H10:H15" si="0">IF(D10="","",F10*G10)</f>
        <v/>
      </c>
    </row>
    <row r="11" spans="2:8">
      <c r="B11" s="13"/>
      <c r="C11" s="14"/>
      <c r="D11" s="14"/>
      <c r="E11" s="14"/>
      <c r="F11" s="22"/>
      <c r="G11" s="410"/>
      <c r="H11" s="363" t="str">
        <f t="shared" si="0"/>
        <v/>
      </c>
    </row>
    <row r="12" spans="2:8" ht="25.5">
      <c r="B12" s="13" t="s">
        <v>350</v>
      </c>
      <c r="C12" s="14" t="s">
        <v>351</v>
      </c>
      <c r="D12" s="14" t="s">
        <v>58</v>
      </c>
      <c r="E12" s="14"/>
      <c r="F12" s="240">
        <v>3500000</v>
      </c>
      <c r="G12" s="410">
        <v>1</v>
      </c>
      <c r="H12" s="363">
        <f t="shared" si="0"/>
        <v>3500000</v>
      </c>
    </row>
    <row r="13" spans="2:8">
      <c r="B13" s="13"/>
      <c r="C13" s="14"/>
      <c r="D13" s="14"/>
      <c r="E13" s="14"/>
      <c r="F13" s="22"/>
      <c r="G13" s="410"/>
      <c r="H13" s="363" t="str">
        <f t="shared" si="0"/>
        <v/>
      </c>
    </row>
    <row r="14" spans="2:8" ht="25.5">
      <c r="B14" s="13" t="s">
        <v>352</v>
      </c>
      <c r="C14" s="14" t="s">
        <v>353</v>
      </c>
      <c r="D14" s="14" t="s">
        <v>55</v>
      </c>
      <c r="E14" s="14"/>
      <c r="F14" s="518">
        <f>H12</f>
        <v>3500000</v>
      </c>
      <c r="G14" s="587"/>
      <c r="H14" s="363">
        <f t="shared" si="0"/>
        <v>0</v>
      </c>
    </row>
    <row r="15" spans="2:8">
      <c r="B15" s="13"/>
      <c r="C15" s="14"/>
      <c r="D15" s="14"/>
      <c r="E15" s="14"/>
      <c r="F15" s="22"/>
      <c r="G15" s="351"/>
      <c r="H15" s="363" t="str">
        <f t="shared" si="0"/>
        <v/>
      </c>
    </row>
    <row r="16" spans="2:8">
      <c r="B16" s="13"/>
      <c r="C16" s="14"/>
      <c r="D16" s="14"/>
      <c r="E16" s="14"/>
      <c r="F16" s="22"/>
      <c r="G16" s="351"/>
      <c r="H16" s="363" t="str">
        <f t="shared" ref="H16" si="1">IF(D16="","",F16*G16)</f>
        <v/>
      </c>
    </row>
    <row r="17" spans="2:8" s="2" customFormat="1" ht="24.95" customHeight="1">
      <c r="B17" s="290" t="str">
        <f>$B$10</f>
        <v>C20.1</v>
      </c>
      <c r="C17" s="276" t="s">
        <v>125</v>
      </c>
      <c r="D17" s="287"/>
      <c r="E17" s="287"/>
      <c r="F17" s="31"/>
      <c r="G17" s="412"/>
      <c r="H17" s="364">
        <f>SUM(H10:H16)</f>
        <v>3500000</v>
      </c>
    </row>
    <row r="43" spans="6:6">
      <c r="F43" s="4">
        <v>350000</v>
      </c>
    </row>
    <row r="49" spans="6:6">
      <c r="F49" s="4">
        <v>350000</v>
      </c>
    </row>
    <row r="55" spans="6:6">
      <c r="F55" s="4">
        <v>350000</v>
      </c>
    </row>
    <row r="91" spans="3:3">
      <c r="C91" s="3" t="s">
        <v>99</v>
      </c>
    </row>
    <row r="116" spans="6:6">
      <c r="F116" s="352"/>
    </row>
    <row r="117" spans="6:6">
      <c r="F117" s="352"/>
    </row>
    <row r="118" spans="6:6">
      <c r="F118" s="352"/>
    </row>
    <row r="119" spans="6:6">
      <c r="F119" s="352"/>
    </row>
    <row r="120" spans="6:6">
      <c r="F120" s="352"/>
    </row>
    <row r="121" spans="6:6">
      <c r="F121" s="352"/>
    </row>
    <row r="122" spans="6:6">
      <c r="F122" s="352"/>
    </row>
    <row r="123" spans="6:6">
      <c r="F123" s="352"/>
    </row>
    <row r="124" spans="6:6">
      <c r="F124" s="352"/>
    </row>
    <row r="125" spans="6:6">
      <c r="F125" s="352"/>
    </row>
  </sheetData>
  <sheetProtection algorithmName="SHA-512" hashValue="+/lb2SuWBAWPCdW6YEpRPvW4vO3ZMAKr71iqo80h193IMA3D65XGLrj360B0Mf++heaJXneql9B47Zs5Zp3Ndw==" saltValue="nmZ7lZ2PXOMA5WRq8pwhSA==" spinCount="100000" sheet="1" objects="1" scenarios="1"/>
  <mergeCells count="4">
    <mergeCell ref="F1:H1"/>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56" firstPageNumber="31" fitToHeight="0" orientation="portrait" cellComments="asDisplayed" useFirstPageNumber="1" r:id="rId1"/>
  <headerFooter>
    <oddHeader xml:space="preserve">&amp;CPREPARED BY NANKHOO CONSULTING ENGINEERS&amp;R&amp;"Arial,Bold Italic"
</oddHeader>
    <oddFooter>&amp;C&amp;F</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44"/>
  <dimension ref="B1:I71"/>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C14.5</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2751</v>
      </c>
      <c r="C10" s="20" t="s">
        <v>2752</v>
      </c>
      <c r="D10" s="22"/>
      <c r="E10" s="22"/>
      <c r="F10" s="22"/>
      <c r="G10" s="39"/>
      <c r="H10" s="17" t="str">
        <f t="shared" ref="H10:H70" si="0">IF(D10="","",F10*G10)</f>
        <v/>
      </c>
      <c r="I10" s="40"/>
    </row>
    <row r="11" spans="2:9">
      <c r="B11" s="48"/>
      <c r="C11" s="14"/>
      <c r="D11" s="22"/>
      <c r="E11" s="22"/>
      <c r="F11" s="22"/>
      <c r="G11" s="39"/>
      <c r="H11" s="17" t="str">
        <f t="shared" si="0"/>
        <v/>
      </c>
      <c r="I11" s="40"/>
    </row>
    <row r="12" spans="2:9">
      <c r="B12" s="48" t="s">
        <v>2753</v>
      </c>
      <c r="C12" s="14" t="s">
        <v>2754</v>
      </c>
      <c r="D12" s="22"/>
      <c r="E12" s="22"/>
      <c r="F12" s="22"/>
      <c r="G12" s="39"/>
      <c r="H12" s="17" t="str">
        <f t="shared" si="0"/>
        <v/>
      </c>
      <c r="I12" s="40"/>
    </row>
    <row r="13" spans="2:9">
      <c r="B13" s="48"/>
      <c r="C13" s="14"/>
      <c r="D13" s="22"/>
      <c r="E13" s="22"/>
      <c r="F13" s="22"/>
      <c r="G13" s="39"/>
      <c r="H13" s="17" t="str">
        <f t="shared" si="0"/>
        <v/>
      </c>
      <c r="I13" s="40"/>
    </row>
    <row r="14" spans="2:9" ht="38.25">
      <c r="B14" s="48" t="s">
        <v>2755</v>
      </c>
      <c r="C14" s="14" t="s">
        <v>2756</v>
      </c>
      <c r="D14" s="22" t="s">
        <v>85</v>
      </c>
      <c r="E14" s="22"/>
      <c r="F14" s="23"/>
      <c r="G14" s="24"/>
      <c r="H14" s="17">
        <f t="shared" si="0"/>
        <v>0</v>
      </c>
      <c r="I14" s="41"/>
    </row>
    <row r="15" spans="2:9">
      <c r="B15" s="48"/>
      <c r="C15" s="14"/>
      <c r="D15" s="22"/>
      <c r="E15" s="22"/>
      <c r="F15" s="23"/>
      <c r="G15" s="24"/>
      <c r="H15" s="17" t="str">
        <f t="shared" si="0"/>
        <v/>
      </c>
      <c r="I15" s="41"/>
    </row>
    <row r="16" spans="2:9" ht="25.5">
      <c r="B16" s="48" t="s">
        <v>2757</v>
      </c>
      <c r="C16" s="14" t="s">
        <v>2758</v>
      </c>
      <c r="D16" s="22" t="s">
        <v>85</v>
      </c>
      <c r="E16" s="22"/>
      <c r="F16" s="23"/>
      <c r="G16" s="24"/>
      <c r="H16" s="17">
        <f t="shared" si="0"/>
        <v>0</v>
      </c>
      <c r="I16" s="41"/>
    </row>
    <row r="17" spans="2:9">
      <c r="B17" s="48"/>
      <c r="C17" s="14"/>
      <c r="D17" s="22"/>
      <c r="E17" s="22"/>
      <c r="F17" s="23"/>
      <c r="G17" s="24"/>
      <c r="H17" s="17" t="str">
        <f t="shared" si="0"/>
        <v/>
      </c>
      <c r="I17" s="41"/>
    </row>
    <row r="18" spans="2:9" ht="25.5">
      <c r="B18" s="48" t="s">
        <v>2759</v>
      </c>
      <c r="C18" s="14" t="s">
        <v>2760</v>
      </c>
      <c r="D18" s="22" t="s">
        <v>85</v>
      </c>
      <c r="E18" s="22"/>
      <c r="F18" s="23"/>
      <c r="G18" s="39"/>
      <c r="H18" s="17">
        <f t="shared" si="0"/>
        <v>0</v>
      </c>
      <c r="I18" s="40"/>
    </row>
    <row r="19" spans="2:9">
      <c r="B19" s="48"/>
      <c r="C19" s="14"/>
      <c r="D19" s="22"/>
      <c r="E19" s="22"/>
      <c r="F19" s="23"/>
      <c r="G19" s="42"/>
      <c r="H19" s="17" t="str">
        <f t="shared" si="0"/>
        <v/>
      </c>
      <c r="I19" s="40"/>
    </row>
    <row r="20" spans="2:9">
      <c r="B20" s="48" t="s">
        <v>2761</v>
      </c>
      <c r="C20" s="14" t="s">
        <v>2762</v>
      </c>
      <c r="D20" s="22"/>
      <c r="E20" s="22"/>
      <c r="F20" s="23"/>
      <c r="G20" s="39"/>
      <c r="H20" s="17" t="str">
        <f t="shared" si="0"/>
        <v/>
      </c>
      <c r="I20" s="43"/>
    </row>
    <row r="21" spans="2:9">
      <c r="B21" s="48"/>
      <c r="C21" s="14"/>
      <c r="D21" s="22"/>
      <c r="E21" s="36"/>
      <c r="F21" s="23"/>
      <c r="G21" s="44"/>
      <c r="H21" s="17" t="str">
        <f t="shared" si="0"/>
        <v/>
      </c>
    </row>
    <row r="22" spans="2:9" ht="25.5">
      <c r="B22" s="48" t="s">
        <v>2763</v>
      </c>
      <c r="C22" s="14" t="s">
        <v>2764</v>
      </c>
      <c r="D22" s="15" t="s">
        <v>898</v>
      </c>
      <c r="E22" s="36"/>
      <c r="F22" s="23"/>
      <c r="G22" s="44"/>
      <c r="H22" s="17">
        <f t="shared" si="0"/>
        <v>0</v>
      </c>
    </row>
    <row r="23" spans="2:9">
      <c r="B23" s="48"/>
      <c r="C23" s="14"/>
      <c r="D23" s="22"/>
      <c r="E23" s="36"/>
      <c r="F23" s="23"/>
      <c r="G23" s="37"/>
      <c r="H23" s="17" t="str">
        <f t="shared" si="0"/>
        <v/>
      </c>
    </row>
    <row r="24" spans="2:9" ht="25.5">
      <c r="B24" s="48" t="s">
        <v>2765</v>
      </c>
      <c r="C24" s="14" t="s">
        <v>2766</v>
      </c>
      <c r="D24" s="15" t="s">
        <v>898</v>
      </c>
      <c r="E24" s="36"/>
      <c r="F24" s="23"/>
      <c r="G24" s="44"/>
      <c r="H24" s="17">
        <f t="shared" si="0"/>
        <v>0</v>
      </c>
    </row>
    <row r="25" spans="2:9">
      <c r="B25" s="48"/>
      <c r="C25" s="14"/>
      <c r="D25" s="22"/>
      <c r="E25" s="36"/>
      <c r="F25" s="23"/>
      <c r="G25" s="42"/>
      <c r="H25" s="17" t="str">
        <f t="shared" si="0"/>
        <v/>
      </c>
    </row>
    <row r="26" spans="2:9">
      <c r="B26" s="48" t="s">
        <v>2767</v>
      </c>
      <c r="C26" s="14" t="s">
        <v>2768</v>
      </c>
      <c r="D26" s="22" t="s">
        <v>33</v>
      </c>
      <c r="E26" s="36"/>
      <c r="F26" s="23"/>
      <c r="G26" s="44"/>
      <c r="H26" s="17">
        <f t="shared" si="0"/>
        <v>0</v>
      </c>
    </row>
    <row r="27" spans="2:9">
      <c r="B27" s="48"/>
      <c r="C27" s="14"/>
      <c r="D27" s="22"/>
      <c r="E27" s="22"/>
      <c r="F27" s="23"/>
      <c r="G27" s="37"/>
      <c r="H27" s="17" t="str">
        <f t="shared" si="0"/>
        <v/>
      </c>
      <c r="I27" s="41"/>
    </row>
    <row r="28" spans="2:9" ht="25.5">
      <c r="B28" s="48" t="s">
        <v>2769</v>
      </c>
      <c r="C28" s="14" t="s">
        <v>2770</v>
      </c>
      <c r="D28" s="22" t="s">
        <v>347</v>
      </c>
      <c r="E28" s="15"/>
      <c r="F28" s="26"/>
      <c r="G28" s="27"/>
      <c r="H28" s="17">
        <f t="shared" si="0"/>
        <v>0</v>
      </c>
      <c r="I28" s="18"/>
    </row>
    <row r="29" spans="2:9" s="35" customFormat="1">
      <c r="B29" s="48"/>
      <c r="C29" s="14"/>
      <c r="D29" s="15"/>
      <c r="E29" s="15"/>
      <c r="F29" s="26"/>
      <c r="G29" s="27"/>
      <c r="H29" s="17" t="str">
        <f t="shared" si="0"/>
        <v/>
      </c>
      <c r="I29" s="18"/>
    </row>
    <row r="30" spans="2:9">
      <c r="B30" s="48" t="s">
        <v>2771</v>
      </c>
      <c r="C30" s="14" t="s">
        <v>2772</v>
      </c>
      <c r="D30" s="15" t="s">
        <v>898</v>
      </c>
      <c r="E30" s="22"/>
      <c r="F30" s="23"/>
      <c r="G30" s="37"/>
      <c r="H30" s="17">
        <f t="shared" si="0"/>
        <v>0</v>
      </c>
      <c r="I30" s="41"/>
    </row>
    <row r="31" spans="2:9">
      <c r="B31" s="48"/>
      <c r="C31" s="14"/>
      <c r="D31" s="22"/>
      <c r="E31" s="22"/>
      <c r="F31" s="23"/>
      <c r="G31" s="37"/>
      <c r="H31" s="17" t="str">
        <f t="shared" si="0"/>
        <v/>
      </c>
      <c r="I31" s="41"/>
    </row>
    <row r="32" spans="2:9">
      <c r="B32" s="48" t="s">
        <v>2773</v>
      </c>
      <c r="C32" s="14" t="s">
        <v>2774</v>
      </c>
      <c r="D32" s="15"/>
      <c r="E32" s="22"/>
      <c r="F32" s="23"/>
      <c r="G32" s="45"/>
      <c r="H32" s="17" t="str">
        <f t="shared" si="0"/>
        <v/>
      </c>
      <c r="I32" s="40"/>
    </row>
    <row r="33" spans="2:9">
      <c r="B33" s="48"/>
      <c r="C33" s="14"/>
      <c r="D33" s="22"/>
      <c r="E33" s="22"/>
      <c r="F33" s="23"/>
      <c r="G33" s="45"/>
      <c r="H33" s="17" t="str">
        <f t="shared" si="0"/>
        <v/>
      </c>
      <c r="I33" s="40"/>
    </row>
    <row r="34" spans="2:9">
      <c r="B34" s="48" t="s">
        <v>2775</v>
      </c>
      <c r="C34" s="14" t="s">
        <v>2776</v>
      </c>
      <c r="D34" s="22" t="s">
        <v>347</v>
      </c>
      <c r="E34" s="22"/>
      <c r="F34" s="23"/>
      <c r="G34" s="42"/>
      <c r="H34" s="17">
        <f t="shared" si="0"/>
        <v>0</v>
      </c>
      <c r="I34" s="40"/>
    </row>
    <row r="35" spans="2:9">
      <c r="B35" s="48"/>
      <c r="C35" s="14"/>
      <c r="D35" s="22"/>
      <c r="E35" s="22"/>
      <c r="F35" s="23"/>
      <c r="G35" s="42"/>
      <c r="H35" s="17" t="str">
        <f t="shared" si="0"/>
        <v/>
      </c>
      <c r="I35" s="40"/>
    </row>
    <row r="36" spans="2:9">
      <c r="B36" s="48" t="s">
        <v>2777</v>
      </c>
      <c r="C36" s="14" t="s">
        <v>2778</v>
      </c>
      <c r="D36" s="22"/>
      <c r="E36" s="22"/>
      <c r="F36" s="22"/>
      <c r="G36" s="39"/>
      <c r="H36" s="17" t="str">
        <f t="shared" si="0"/>
        <v/>
      </c>
      <c r="I36" s="40"/>
    </row>
    <row r="37" spans="2:9">
      <c r="B37" s="48"/>
      <c r="C37" s="14"/>
      <c r="D37" s="22"/>
      <c r="E37" s="22"/>
      <c r="F37" s="22"/>
      <c r="G37" s="39"/>
      <c r="H37" s="17" t="str">
        <f t="shared" si="0"/>
        <v/>
      </c>
      <c r="I37" s="40"/>
    </row>
    <row r="38" spans="2:9">
      <c r="B38" s="48" t="s">
        <v>2779</v>
      </c>
      <c r="C38" s="14" t="s">
        <v>2780</v>
      </c>
      <c r="D38" s="22" t="s">
        <v>347</v>
      </c>
      <c r="E38" s="22"/>
      <c r="F38" s="22"/>
      <c r="G38" s="37"/>
      <c r="H38" s="17">
        <f t="shared" si="0"/>
        <v>0</v>
      </c>
      <c r="I38" s="40"/>
    </row>
    <row r="39" spans="2:9">
      <c r="B39" s="48"/>
      <c r="C39" s="14"/>
      <c r="D39" s="22"/>
      <c r="E39" s="22"/>
      <c r="F39" s="22"/>
      <c r="G39" s="37"/>
      <c r="H39" s="17" t="str">
        <f t="shared" si="0"/>
        <v/>
      </c>
      <c r="I39" s="40"/>
    </row>
    <row r="40" spans="2:9">
      <c r="B40" s="48" t="s">
        <v>2781</v>
      </c>
      <c r="C40" s="14" t="s">
        <v>2782</v>
      </c>
      <c r="D40" s="22" t="s">
        <v>52</v>
      </c>
      <c r="E40" s="22"/>
      <c r="F40" s="22"/>
      <c r="G40" s="37"/>
      <c r="H40" s="17">
        <f t="shared" si="0"/>
        <v>0</v>
      </c>
      <c r="I40" s="40"/>
    </row>
    <row r="41" spans="2:9">
      <c r="B41" s="48"/>
      <c r="C41" s="14"/>
      <c r="D41" s="22"/>
      <c r="E41" s="22"/>
      <c r="F41" s="22"/>
      <c r="G41" s="37"/>
      <c r="H41" s="17" t="str">
        <f t="shared" si="0"/>
        <v/>
      </c>
      <c r="I41" s="40"/>
    </row>
    <row r="42" spans="2:9">
      <c r="B42" s="48" t="s">
        <v>2783</v>
      </c>
      <c r="C42" s="14" t="s">
        <v>2784</v>
      </c>
      <c r="D42" s="22" t="s">
        <v>55</v>
      </c>
      <c r="E42" s="22"/>
      <c r="F42" s="22"/>
      <c r="G42" s="37"/>
      <c r="H42" s="17">
        <f t="shared" si="0"/>
        <v>0</v>
      </c>
      <c r="I42" s="40"/>
    </row>
    <row r="43" spans="2:9">
      <c r="B43" s="48"/>
      <c r="C43" s="14"/>
      <c r="D43" s="22"/>
      <c r="E43" s="22"/>
      <c r="F43" s="22"/>
      <c r="G43" s="37"/>
      <c r="H43" s="17" t="str">
        <f t="shared" si="0"/>
        <v/>
      </c>
      <c r="I43" s="40"/>
    </row>
    <row r="44" spans="2:9">
      <c r="B44" s="48"/>
      <c r="C44" s="14"/>
      <c r="D44" s="22"/>
      <c r="E44" s="22"/>
      <c r="F44" s="22"/>
      <c r="G44" s="37"/>
      <c r="H44" s="17" t="str">
        <f t="shared" si="0"/>
        <v/>
      </c>
      <c r="I44" s="40"/>
    </row>
    <row r="45" spans="2:9">
      <c r="B45" s="48"/>
      <c r="C45" s="14"/>
      <c r="D45" s="22"/>
      <c r="E45" s="22"/>
      <c r="F45" s="22"/>
      <c r="G45" s="37"/>
      <c r="H45" s="17" t="str">
        <f t="shared" si="0"/>
        <v/>
      </c>
      <c r="I45" s="40"/>
    </row>
    <row r="46" spans="2:9">
      <c r="B46" s="48"/>
      <c r="C46" s="14"/>
      <c r="D46" s="22"/>
      <c r="E46" s="22"/>
      <c r="F46" s="22"/>
      <c r="G46" s="46"/>
      <c r="H46" s="17" t="str">
        <f t="shared" si="0"/>
        <v/>
      </c>
      <c r="I46" s="40"/>
    </row>
    <row r="47" spans="2:9">
      <c r="B47" s="48"/>
      <c r="C47" s="14"/>
      <c r="D47" s="22"/>
      <c r="E47" s="22"/>
      <c r="F47" s="22"/>
      <c r="G47" s="46"/>
      <c r="H47" s="17" t="str">
        <f t="shared" si="0"/>
        <v/>
      </c>
      <c r="I47" s="40"/>
    </row>
    <row r="48" spans="2:9">
      <c r="B48" s="48"/>
      <c r="C48" s="14"/>
      <c r="D48" s="22"/>
      <c r="E48" s="22"/>
      <c r="F48" s="22"/>
      <c r="G48" s="37"/>
      <c r="H48" s="17" t="str">
        <f t="shared" si="0"/>
        <v/>
      </c>
      <c r="I48" s="40"/>
    </row>
    <row r="49" spans="2:9">
      <c r="B49" s="48"/>
      <c r="C49" s="14"/>
      <c r="D49" s="22"/>
      <c r="E49" s="22"/>
      <c r="F49" s="22"/>
      <c r="G49" s="37"/>
      <c r="H49" s="17" t="str">
        <f t="shared" si="0"/>
        <v/>
      </c>
      <c r="I49" s="40"/>
    </row>
    <row r="50" spans="2:9">
      <c r="B50" s="48"/>
      <c r="C50" s="14"/>
      <c r="D50" s="22"/>
      <c r="E50" s="22"/>
      <c r="F50" s="22"/>
      <c r="G50" s="37"/>
      <c r="H50" s="17" t="str">
        <f t="shared" si="0"/>
        <v/>
      </c>
      <c r="I50" s="40"/>
    </row>
    <row r="51" spans="2:9">
      <c r="B51" s="48"/>
      <c r="C51" s="14"/>
      <c r="D51" s="22"/>
      <c r="E51" s="22"/>
      <c r="F51" s="22"/>
      <c r="G51" s="37"/>
      <c r="H51" s="17" t="str">
        <f t="shared" si="0"/>
        <v/>
      </c>
      <c r="I51" s="40"/>
    </row>
    <row r="52" spans="2:9">
      <c r="B52" s="48"/>
      <c r="C52" s="14"/>
      <c r="D52" s="22"/>
      <c r="E52" s="22"/>
      <c r="F52" s="22"/>
      <c r="G52" s="37"/>
      <c r="H52" s="17" t="str">
        <f t="shared" si="0"/>
        <v/>
      </c>
      <c r="I52" s="40"/>
    </row>
    <row r="53" spans="2:9">
      <c r="B53" s="48"/>
      <c r="C53" s="14"/>
      <c r="D53" s="22"/>
      <c r="E53" s="22"/>
      <c r="F53" s="22"/>
      <c r="G53" s="37"/>
      <c r="H53" s="17" t="str">
        <f t="shared" si="0"/>
        <v/>
      </c>
      <c r="I53" s="40"/>
    </row>
    <row r="54" spans="2:9">
      <c r="B54" s="48"/>
      <c r="C54" s="14"/>
      <c r="D54" s="36"/>
      <c r="E54" s="36"/>
      <c r="F54" s="36"/>
      <c r="G54" s="37"/>
      <c r="H54" s="17" t="str">
        <f t="shared" si="0"/>
        <v/>
      </c>
    </row>
    <row r="55" spans="2:9">
      <c r="B55" s="48"/>
      <c r="C55" s="14"/>
      <c r="D55" s="22"/>
      <c r="E55" s="22"/>
      <c r="F55" s="22"/>
      <c r="G55" s="37"/>
      <c r="H55" s="17" t="str">
        <f t="shared" si="0"/>
        <v/>
      </c>
      <c r="I55" s="40"/>
    </row>
    <row r="56" spans="2:9">
      <c r="B56" s="48"/>
      <c r="C56" s="14"/>
      <c r="D56" s="36"/>
      <c r="E56" s="36"/>
      <c r="F56" s="36"/>
      <c r="G56" s="37"/>
      <c r="H56" s="17" t="str">
        <f t="shared" si="0"/>
        <v/>
      </c>
      <c r="I56" s="47"/>
    </row>
    <row r="57" spans="2:9">
      <c r="B57" s="13"/>
      <c r="C57" s="14"/>
      <c r="D57" s="36"/>
      <c r="E57" s="36"/>
      <c r="F57" s="36"/>
      <c r="G57" s="37"/>
      <c r="H57" s="17" t="str">
        <f t="shared" si="0"/>
        <v/>
      </c>
    </row>
    <row r="58" spans="2:9">
      <c r="B58" s="13"/>
      <c r="C58" s="14"/>
      <c r="D58" s="22"/>
      <c r="E58" s="22"/>
      <c r="F58" s="22"/>
      <c r="G58" s="37"/>
      <c r="H58" s="17" t="str">
        <f t="shared" si="0"/>
        <v/>
      </c>
      <c r="I58" s="40"/>
    </row>
    <row r="59" spans="2:9">
      <c r="B59" s="13"/>
      <c r="C59" s="14"/>
      <c r="D59" s="22"/>
      <c r="E59" s="22"/>
      <c r="F59" s="22"/>
      <c r="G59" s="37"/>
      <c r="H59" s="17" t="str">
        <f t="shared" si="0"/>
        <v/>
      </c>
      <c r="I59" s="40"/>
    </row>
    <row r="60" spans="2:9">
      <c r="B60" s="13"/>
      <c r="C60" s="14"/>
      <c r="D60" s="22"/>
      <c r="E60" s="22"/>
      <c r="F60" s="22"/>
      <c r="G60" s="37"/>
      <c r="H60" s="17" t="str">
        <f t="shared" si="0"/>
        <v/>
      </c>
      <c r="I60" s="40"/>
    </row>
    <row r="61" spans="2:9">
      <c r="B61" s="13"/>
      <c r="C61" s="14"/>
      <c r="D61" s="22"/>
      <c r="E61" s="22"/>
      <c r="F61" s="22"/>
      <c r="G61" s="37"/>
      <c r="H61" s="17" t="str">
        <f t="shared" si="0"/>
        <v/>
      </c>
      <c r="I61" s="40"/>
    </row>
    <row r="62" spans="2:9">
      <c r="B62" s="21"/>
      <c r="C62" s="14"/>
      <c r="D62" s="22"/>
      <c r="E62" s="22"/>
      <c r="F62" s="22"/>
      <c r="G62" s="37"/>
      <c r="H62" s="17" t="str">
        <f t="shared" si="0"/>
        <v/>
      </c>
      <c r="I62" s="40"/>
    </row>
    <row r="63" spans="2:9">
      <c r="B63" s="13"/>
      <c r="C63" s="14"/>
      <c r="D63" s="22"/>
      <c r="E63" s="22"/>
      <c r="F63" s="22"/>
      <c r="G63" s="37"/>
      <c r="H63" s="17" t="str">
        <f t="shared" si="0"/>
        <v/>
      </c>
      <c r="I63" s="40"/>
    </row>
    <row r="64" spans="2:9">
      <c r="B64" s="13"/>
      <c r="C64" s="14"/>
      <c r="D64" s="22"/>
      <c r="E64" s="22"/>
      <c r="F64" s="22"/>
      <c r="G64" s="37"/>
      <c r="H64" s="17" t="str">
        <f t="shared" si="0"/>
        <v/>
      </c>
      <c r="I64" s="40"/>
    </row>
    <row r="65" spans="2:9">
      <c r="B65" s="13"/>
      <c r="C65" s="14"/>
      <c r="D65" s="22"/>
      <c r="E65" s="22"/>
      <c r="F65" s="22"/>
      <c r="G65" s="37"/>
      <c r="H65" s="17" t="str">
        <f t="shared" si="0"/>
        <v/>
      </c>
      <c r="I65" s="40"/>
    </row>
    <row r="66" spans="2:9">
      <c r="B66" s="21"/>
      <c r="C66" s="14"/>
      <c r="D66" s="22"/>
      <c r="E66" s="22"/>
      <c r="F66" s="22"/>
      <c r="G66" s="37"/>
      <c r="H66" s="17" t="str">
        <f t="shared" si="0"/>
        <v/>
      </c>
      <c r="I66" s="40"/>
    </row>
    <row r="67" spans="2:9">
      <c r="B67" s="13"/>
      <c r="C67" s="14"/>
      <c r="D67" s="22"/>
      <c r="E67" s="22"/>
      <c r="F67" s="22"/>
      <c r="G67" s="37"/>
      <c r="H67" s="17" t="str">
        <f t="shared" si="0"/>
        <v/>
      </c>
      <c r="I67" s="40"/>
    </row>
    <row r="68" spans="2:9">
      <c r="B68" s="21"/>
      <c r="C68" s="14"/>
      <c r="D68" s="22"/>
      <c r="E68" s="22"/>
      <c r="F68" s="22"/>
      <c r="G68" s="37"/>
      <c r="H68" s="17" t="str">
        <f t="shared" si="0"/>
        <v/>
      </c>
      <c r="I68" s="40"/>
    </row>
    <row r="69" spans="2:9">
      <c r="B69" s="13"/>
      <c r="C69" s="14"/>
      <c r="D69" s="22"/>
      <c r="E69" s="22"/>
      <c r="F69" s="22"/>
      <c r="G69" s="37"/>
      <c r="H69" s="17" t="str">
        <f t="shared" si="0"/>
        <v/>
      </c>
      <c r="I69" s="40"/>
    </row>
    <row r="70" spans="2:9">
      <c r="B70" s="13"/>
      <c r="C70" s="14"/>
      <c r="D70" s="22"/>
      <c r="E70" s="22"/>
      <c r="F70" s="22"/>
      <c r="G70" s="37"/>
      <c r="H70" s="17" t="str">
        <f t="shared" si="0"/>
        <v/>
      </c>
      <c r="I70" s="40"/>
    </row>
    <row r="71" spans="2:9" s="28" customFormat="1" ht="24.95" customHeight="1">
      <c r="B71" s="82" t="str">
        <f>$B$10</f>
        <v>C14.5</v>
      </c>
      <c r="C71" s="29" t="s">
        <v>125</v>
      </c>
      <c r="D71" s="30"/>
      <c r="E71" s="30"/>
      <c r="F71" s="31"/>
      <c r="G71" s="30"/>
      <c r="H71" s="32">
        <f>SUM(H9:H70)</f>
        <v>0</v>
      </c>
      <c r="I71"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45"/>
  <dimension ref="B1:I75"/>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C14.6</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c r="B10" s="69" t="s">
        <v>2785</v>
      </c>
      <c r="C10" s="20" t="s">
        <v>2786</v>
      </c>
      <c r="D10" s="22"/>
      <c r="E10" s="22"/>
      <c r="F10" s="22"/>
      <c r="G10" s="39"/>
      <c r="H10" s="17" t="str">
        <f t="shared" ref="H10:H73" si="0">IF(D10="","",F10*G10)</f>
        <v/>
      </c>
      <c r="I10" s="40"/>
    </row>
    <row r="11" spans="2:9">
      <c r="B11" s="48"/>
      <c r="C11" s="14"/>
      <c r="D11" s="22"/>
      <c r="E11" s="22"/>
      <c r="F11" s="22"/>
      <c r="G11" s="39"/>
      <c r="H11" s="17" t="str">
        <f t="shared" si="0"/>
        <v/>
      </c>
      <c r="I11" s="40"/>
    </row>
    <row r="12" spans="2:9">
      <c r="B12" s="48" t="s">
        <v>2787</v>
      </c>
      <c r="C12" s="14" t="s">
        <v>2788</v>
      </c>
      <c r="D12" s="22" t="s">
        <v>33</v>
      </c>
      <c r="E12" s="22"/>
      <c r="F12" s="22"/>
      <c r="G12" s="39"/>
      <c r="H12" s="17">
        <f t="shared" si="0"/>
        <v>0</v>
      </c>
      <c r="I12" s="40"/>
    </row>
    <row r="13" spans="2:9">
      <c r="B13" s="48"/>
      <c r="C13" s="14"/>
      <c r="D13" s="22"/>
      <c r="E13" s="22"/>
      <c r="F13" s="22"/>
      <c r="G13" s="39"/>
      <c r="H13" s="17" t="str">
        <f t="shared" si="0"/>
        <v/>
      </c>
      <c r="I13" s="40"/>
    </row>
    <row r="14" spans="2:9" ht="14.25">
      <c r="B14" s="48" t="s">
        <v>2789</v>
      </c>
      <c r="C14" s="14" t="s">
        <v>2790</v>
      </c>
      <c r="D14" s="22" t="s">
        <v>124</v>
      </c>
      <c r="E14" s="22"/>
      <c r="F14" s="23"/>
      <c r="G14" s="24"/>
      <c r="H14" s="17">
        <f t="shared" si="0"/>
        <v>0</v>
      </c>
      <c r="I14" s="41"/>
    </row>
    <row r="15" spans="2:9">
      <c r="B15" s="48"/>
      <c r="C15" s="14"/>
      <c r="D15" s="22"/>
      <c r="E15" s="22"/>
      <c r="F15" s="23"/>
      <c r="G15" s="24"/>
      <c r="H15" s="17" t="str">
        <f t="shared" si="0"/>
        <v/>
      </c>
      <c r="I15" s="41"/>
    </row>
    <row r="16" spans="2:9" ht="38.25">
      <c r="B16" s="48" t="s">
        <v>2791</v>
      </c>
      <c r="C16" s="14" t="s">
        <v>2792</v>
      </c>
      <c r="D16" s="22"/>
      <c r="E16" s="22"/>
      <c r="F16" s="23"/>
      <c r="G16" s="24"/>
      <c r="H16" s="17" t="str">
        <f t="shared" si="0"/>
        <v/>
      </c>
      <c r="I16" s="41"/>
    </row>
    <row r="17" spans="2:9">
      <c r="B17" s="48"/>
      <c r="C17" s="14"/>
      <c r="D17" s="22"/>
      <c r="E17" s="22"/>
      <c r="F17" s="23"/>
      <c r="G17" s="24"/>
      <c r="H17" s="17" t="str">
        <f t="shared" si="0"/>
        <v/>
      </c>
      <c r="I17" s="41"/>
    </row>
    <row r="18" spans="2:9" ht="25.5">
      <c r="B18" s="48" t="s">
        <v>2793</v>
      </c>
      <c r="C18" s="14" t="s">
        <v>2794</v>
      </c>
      <c r="D18" s="22" t="s">
        <v>124</v>
      </c>
      <c r="E18" s="22"/>
      <c r="F18" s="23"/>
      <c r="G18" s="39"/>
      <c r="H18" s="17">
        <f t="shared" si="0"/>
        <v>0</v>
      </c>
      <c r="I18" s="40"/>
    </row>
    <row r="19" spans="2:9">
      <c r="B19" s="48"/>
      <c r="C19" s="14"/>
      <c r="D19" s="22"/>
      <c r="E19" s="22"/>
      <c r="F19" s="23"/>
      <c r="G19" s="42"/>
      <c r="H19" s="17" t="str">
        <f t="shared" si="0"/>
        <v/>
      </c>
      <c r="I19" s="40"/>
    </row>
    <row r="20" spans="2:9" ht="25.5">
      <c r="B20" s="48" t="s">
        <v>2795</v>
      </c>
      <c r="C20" s="14" t="s">
        <v>2796</v>
      </c>
      <c r="D20" s="22" t="s">
        <v>124</v>
      </c>
      <c r="E20" s="22"/>
      <c r="F20" s="23"/>
      <c r="G20" s="39"/>
      <c r="H20" s="17">
        <f t="shared" si="0"/>
        <v>0</v>
      </c>
      <c r="I20" s="43"/>
    </row>
    <row r="21" spans="2:9">
      <c r="B21" s="48"/>
      <c r="C21" s="14"/>
      <c r="D21" s="22"/>
      <c r="E21" s="36"/>
      <c r="F21" s="23"/>
      <c r="G21" s="44"/>
      <c r="H21" s="17" t="str">
        <f t="shared" si="0"/>
        <v/>
      </c>
    </row>
    <row r="22" spans="2:9" ht="14.25">
      <c r="B22" s="48" t="s">
        <v>2797</v>
      </c>
      <c r="C22" s="14" t="s">
        <v>2798</v>
      </c>
      <c r="D22" s="22" t="s">
        <v>124</v>
      </c>
      <c r="E22" s="36"/>
      <c r="F22" s="23"/>
      <c r="G22" s="44"/>
      <c r="H22" s="17">
        <f t="shared" si="0"/>
        <v>0</v>
      </c>
    </row>
    <row r="23" spans="2:9">
      <c r="B23" s="48"/>
      <c r="C23" s="14"/>
      <c r="D23" s="22"/>
      <c r="E23" s="36"/>
      <c r="F23" s="23"/>
      <c r="G23" s="37"/>
      <c r="H23" s="17" t="str">
        <f t="shared" si="0"/>
        <v/>
      </c>
    </row>
    <row r="24" spans="2:9">
      <c r="B24" s="48" t="s">
        <v>2799</v>
      </c>
      <c r="C24" s="14" t="s">
        <v>2800</v>
      </c>
      <c r="D24" s="22" t="s">
        <v>52</v>
      </c>
      <c r="E24" s="36"/>
      <c r="F24" s="23"/>
      <c r="G24" s="44"/>
      <c r="H24" s="17">
        <f t="shared" si="0"/>
        <v>0</v>
      </c>
    </row>
    <row r="25" spans="2:9">
      <c r="B25" s="48"/>
      <c r="C25" s="14"/>
      <c r="D25" s="22"/>
      <c r="E25" s="36"/>
      <c r="F25" s="23"/>
      <c r="G25" s="42"/>
      <c r="H25" s="17" t="str">
        <f t="shared" si="0"/>
        <v/>
      </c>
    </row>
    <row r="26" spans="2:9">
      <c r="B26" s="48"/>
      <c r="C26" s="14"/>
      <c r="D26" s="22"/>
      <c r="E26" s="36"/>
      <c r="F26" s="23"/>
      <c r="G26" s="44"/>
      <c r="H26" s="17" t="str">
        <f t="shared" si="0"/>
        <v/>
      </c>
    </row>
    <row r="27" spans="2:9">
      <c r="B27" s="48"/>
      <c r="C27" s="14"/>
      <c r="D27" s="22"/>
      <c r="E27" s="22"/>
      <c r="F27" s="23"/>
      <c r="G27" s="37"/>
      <c r="H27" s="17" t="str">
        <f t="shared" si="0"/>
        <v/>
      </c>
      <c r="I27" s="41"/>
    </row>
    <row r="28" spans="2:9">
      <c r="B28" s="48"/>
      <c r="C28" s="14"/>
      <c r="D28" s="22"/>
      <c r="E28" s="15"/>
      <c r="F28" s="26"/>
      <c r="G28" s="27"/>
      <c r="H28" s="17" t="str">
        <f t="shared" si="0"/>
        <v/>
      </c>
      <c r="I28" s="18"/>
    </row>
    <row r="29" spans="2:9" s="35" customFormat="1">
      <c r="B29" s="48"/>
      <c r="C29" s="14"/>
      <c r="D29" s="15"/>
      <c r="E29" s="15"/>
      <c r="F29" s="26"/>
      <c r="G29" s="27"/>
      <c r="H29" s="17" t="str">
        <f t="shared" si="0"/>
        <v/>
      </c>
      <c r="I29" s="18"/>
    </row>
    <row r="30" spans="2:9">
      <c r="B30" s="48"/>
      <c r="C30" s="14"/>
      <c r="D30" s="22"/>
      <c r="E30" s="22"/>
      <c r="F30" s="23"/>
      <c r="G30" s="37"/>
      <c r="H30" s="17" t="str">
        <f t="shared" si="0"/>
        <v/>
      </c>
      <c r="I30" s="41"/>
    </row>
    <row r="31" spans="2:9">
      <c r="B31" s="13"/>
      <c r="C31" s="14"/>
      <c r="D31" s="22"/>
      <c r="E31" s="22"/>
      <c r="F31" s="23"/>
      <c r="G31" s="37"/>
      <c r="H31" s="17" t="str">
        <f t="shared" si="0"/>
        <v/>
      </c>
      <c r="I31" s="41"/>
    </row>
    <row r="32" spans="2:9">
      <c r="B32" s="21"/>
      <c r="C32" s="14"/>
      <c r="D32" s="22"/>
      <c r="E32" s="22"/>
      <c r="F32" s="23"/>
      <c r="G32" s="45"/>
      <c r="H32" s="17" t="str">
        <f t="shared" si="0"/>
        <v/>
      </c>
      <c r="I32" s="40"/>
    </row>
    <row r="33" spans="2:9">
      <c r="B33" s="21"/>
      <c r="C33" s="14"/>
      <c r="D33" s="22"/>
      <c r="E33" s="22"/>
      <c r="F33" s="23"/>
      <c r="G33" s="45"/>
      <c r="H33" s="17" t="str">
        <f t="shared" si="0"/>
        <v/>
      </c>
      <c r="I33" s="40"/>
    </row>
    <row r="34" spans="2:9">
      <c r="B34" s="21"/>
      <c r="C34" s="14"/>
      <c r="D34" s="22"/>
      <c r="E34" s="22"/>
      <c r="F34" s="23"/>
      <c r="G34" s="42"/>
      <c r="H34" s="17" t="str">
        <f t="shared" si="0"/>
        <v/>
      </c>
      <c r="I34" s="40"/>
    </row>
    <row r="35" spans="2:9">
      <c r="B35" s="21"/>
      <c r="C35" s="14"/>
      <c r="D35" s="22"/>
      <c r="E35" s="22"/>
      <c r="F35" s="23"/>
      <c r="G35" s="42"/>
      <c r="H35" s="17" t="str">
        <f t="shared" si="0"/>
        <v/>
      </c>
      <c r="I35" s="40"/>
    </row>
    <row r="36" spans="2:9">
      <c r="B36" s="21"/>
      <c r="C36" s="14"/>
      <c r="D36" s="22"/>
      <c r="E36" s="22"/>
      <c r="F36" s="22"/>
      <c r="G36" s="39"/>
      <c r="H36" s="17" t="str">
        <f t="shared" si="0"/>
        <v/>
      </c>
      <c r="I36" s="40"/>
    </row>
    <row r="37" spans="2:9">
      <c r="B37" s="13"/>
      <c r="C37" s="14"/>
      <c r="D37" s="22"/>
      <c r="E37" s="22"/>
      <c r="F37" s="22"/>
      <c r="G37" s="39"/>
      <c r="H37" s="17" t="str">
        <f t="shared" si="0"/>
        <v/>
      </c>
      <c r="I37" s="40"/>
    </row>
    <row r="38" spans="2:9">
      <c r="B38" s="21"/>
      <c r="C38" s="14"/>
      <c r="D38" s="22"/>
      <c r="E38" s="22"/>
      <c r="F38" s="22"/>
      <c r="G38" s="37"/>
      <c r="H38" s="17" t="str">
        <f t="shared" si="0"/>
        <v/>
      </c>
      <c r="I38" s="40"/>
    </row>
    <row r="39" spans="2:9">
      <c r="B39" s="21"/>
      <c r="C39" s="14"/>
      <c r="D39" s="22"/>
      <c r="E39" s="22"/>
      <c r="F39" s="22"/>
      <c r="G39" s="37"/>
      <c r="H39" s="17" t="str">
        <f t="shared" si="0"/>
        <v/>
      </c>
      <c r="I39" s="40"/>
    </row>
    <row r="40" spans="2:9">
      <c r="B40" s="21"/>
      <c r="C40" s="14"/>
      <c r="D40" s="22"/>
      <c r="E40" s="22"/>
      <c r="F40" s="22"/>
      <c r="G40" s="37"/>
      <c r="H40" s="17" t="str">
        <f t="shared" si="0"/>
        <v/>
      </c>
      <c r="I40" s="40"/>
    </row>
    <row r="41" spans="2:9">
      <c r="B41" s="21"/>
      <c r="C41" s="14"/>
      <c r="D41" s="22"/>
      <c r="E41" s="22"/>
      <c r="F41" s="22"/>
      <c r="G41" s="37"/>
      <c r="H41" s="17" t="str">
        <f t="shared" si="0"/>
        <v/>
      </c>
      <c r="I41" s="40"/>
    </row>
    <row r="42" spans="2:9">
      <c r="B42" s="21"/>
      <c r="C42" s="14"/>
      <c r="D42" s="22"/>
      <c r="E42" s="22"/>
      <c r="F42" s="22"/>
      <c r="G42" s="37"/>
      <c r="H42" s="17" t="str">
        <f t="shared" si="0"/>
        <v/>
      </c>
      <c r="I42" s="40"/>
    </row>
    <row r="43" spans="2:9">
      <c r="B43" s="13"/>
      <c r="C43" s="14"/>
      <c r="D43" s="22"/>
      <c r="E43" s="22"/>
      <c r="F43" s="22"/>
      <c r="G43" s="37"/>
      <c r="H43" s="17" t="str">
        <f t="shared" si="0"/>
        <v/>
      </c>
      <c r="I43" s="40"/>
    </row>
    <row r="44" spans="2:9">
      <c r="B44" s="13"/>
      <c r="C44" s="14"/>
      <c r="D44" s="22"/>
      <c r="E44" s="22"/>
      <c r="F44" s="22"/>
      <c r="G44" s="37"/>
      <c r="H44" s="17" t="str">
        <f t="shared" si="0"/>
        <v/>
      </c>
      <c r="I44" s="40"/>
    </row>
    <row r="45" spans="2:9">
      <c r="B45" s="13"/>
      <c r="C45" s="14"/>
      <c r="D45" s="22"/>
      <c r="E45" s="22"/>
      <c r="F45" s="22"/>
      <c r="G45" s="37"/>
      <c r="H45" s="17" t="str">
        <f t="shared" si="0"/>
        <v/>
      </c>
      <c r="I45" s="40"/>
    </row>
    <row r="46" spans="2:9">
      <c r="B46" s="13"/>
      <c r="C46" s="14"/>
      <c r="D46" s="22"/>
      <c r="E46" s="22"/>
      <c r="F46" s="22"/>
      <c r="G46" s="46"/>
      <c r="H46" s="17" t="str">
        <f t="shared" si="0"/>
        <v/>
      </c>
      <c r="I46" s="40"/>
    </row>
    <row r="47" spans="2:9">
      <c r="B47" s="13"/>
      <c r="C47" s="14"/>
      <c r="D47" s="22"/>
      <c r="E47" s="22"/>
      <c r="F47" s="22"/>
      <c r="G47" s="46"/>
      <c r="H47" s="17" t="str">
        <f t="shared" si="0"/>
        <v/>
      </c>
      <c r="I47" s="40"/>
    </row>
    <row r="48" spans="2:9">
      <c r="B48" s="21"/>
      <c r="C48" s="14"/>
      <c r="D48" s="22"/>
      <c r="E48" s="22"/>
      <c r="F48" s="22"/>
      <c r="G48" s="37"/>
      <c r="H48" s="17" t="str">
        <f t="shared" si="0"/>
        <v/>
      </c>
      <c r="I48" s="40"/>
    </row>
    <row r="49" spans="2:9">
      <c r="B49" s="13"/>
      <c r="C49" s="14"/>
      <c r="D49" s="22"/>
      <c r="E49" s="22"/>
      <c r="F49" s="22"/>
      <c r="G49" s="37"/>
      <c r="H49" s="17" t="str">
        <f t="shared" si="0"/>
        <v/>
      </c>
      <c r="I49" s="40"/>
    </row>
    <row r="50" spans="2:9">
      <c r="B50" s="13"/>
      <c r="C50" s="14"/>
      <c r="D50" s="22"/>
      <c r="E50" s="22"/>
      <c r="F50" s="22"/>
      <c r="G50" s="37"/>
      <c r="H50" s="17" t="str">
        <f t="shared" si="0"/>
        <v/>
      </c>
      <c r="I50" s="40"/>
    </row>
    <row r="51" spans="2:9">
      <c r="B51" s="13"/>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22"/>
      <c r="E53" s="22"/>
      <c r="F53" s="22"/>
      <c r="G53" s="37"/>
      <c r="H53" s="17" t="str">
        <f t="shared" si="0"/>
        <v/>
      </c>
      <c r="I53" s="40"/>
    </row>
    <row r="54" spans="2:9">
      <c r="B54" s="13"/>
      <c r="C54" s="14"/>
      <c r="D54" s="36"/>
      <c r="E54" s="36"/>
      <c r="F54" s="36"/>
      <c r="G54" s="37"/>
      <c r="H54" s="17" t="str">
        <f t="shared" si="0"/>
        <v/>
      </c>
    </row>
    <row r="55" spans="2:9">
      <c r="B55" s="13"/>
      <c r="C55" s="14"/>
      <c r="D55" s="22"/>
      <c r="E55" s="22"/>
      <c r="F55" s="22"/>
      <c r="G55" s="37"/>
      <c r="H55" s="17" t="str">
        <f t="shared" si="0"/>
        <v/>
      </c>
      <c r="I55" s="40"/>
    </row>
    <row r="56" spans="2:9">
      <c r="B56" s="21"/>
      <c r="C56" s="14"/>
      <c r="D56" s="36"/>
      <c r="E56" s="36"/>
      <c r="F56" s="36"/>
      <c r="G56" s="37"/>
      <c r="H56" s="17" t="str">
        <f t="shared" si="0"/>
        <v/>
      </c>
      <c r="I56" s="47"/>
    </row>
    <row r="57" spans="2:9">
      <c r="B57" s="13"/>
      <c r="C57" s="14"/>
      <c r="D57" s="36"/>
      <c r="E57" s="36"/>
      <c r="F57" s="36"/>
      <c r="G57" s="37"/>
      <c r="H57" s="17" t="str">
        <f t="shared" si="0"/>
        <v/>
      </c>
    </row>
    <row r="58" spans="2:9">
      <c r="B58" s="13"/>
      <c r="C58" s="14"/>
      <c r="D58" s="22"/>
      <c r="E58" s="22"/>
      <c r="F58" s="22"/>
      <c r="G58" s="37"/>
      <c r="H58" s="17" t="str">
        <f t="shared" si="0"/>
        <v/>
      </c>
      <c r="I58" s="40"/>
    </row>
    <row r="59" spans="2:9">
      <c r="B59" s="13"/>
      <c r="C59" s="14"/>
      <c r="D59" s="22"/>
      <c r="E59" s="22"/>
      <c r="F59" s="22"/>
      <c r="G59" s="37"/>
      <c r="H59" s="17" t="str">
        <f t="shared" si="0"/>
        <v/>
      </c>
      <c r="I59" s="40"/>
    </row>
    <row r="60" spans="2:9">
      <c r="B60" s="13"/>
      <c r="C60" s="14"/>
      <c r="D60" s="22"/>
      <c r="E60" s="22"/>
      <c r="F60" s="22"/>
      <c r="G60" s="37"/>
      <c r="H60" s="17" t="str">
        <f t="shared" si="0"/>
        <v/>
      </c>
      <c r="I60" s="40"/>
    </row>
    <row r="61" spans="2:9">
      <c r="B61" s="13"/>
      <c r="C61" s="14"/>
      <c r="D61" s="22"/>
      <c r="E61" s="22"/>
      <c r="F61" s="22"/>
      <c r="G61" s="37"/>
      <c r="H61" s="17" t="str">
        <f t="shared" si="0"/>
        <v/>
      </c>
      <c r="I61" s="40"/>
    </row>
    <row r="62" spans="2:9">
      <c r="B62" s="21"/>
      <c r="C62" s="14"/>
      <c r="D62" s="22"/>
      <c r="E62" s="22"/>
      <c r="F62" s="22"/>
      <c r="G62" s="37"/>
      <c r="H62" s="17" t="str">
        <f t="shared" si="0"/>
        <v/>
      </c>
      <c r="I62" s="40"/>
    </row>
    <row r="63" spans="2:9">
      <c r="B63" s="13"/>
      <c r="C63" s="14"/>
      <c r="D63" s="22"/>
      <c r="E63" s="22"/>
      <c r="F63" s="22"/>
      <c r="G63" s="37"/>
      <c r="H63" s="17" t="str">
        <f t="shared" si="0"/>
        <v/>
      </c>
      <c r="I63" s="40"/>
    </row>
    <row r="64" spans="2:9">
      <c r="B64" s="13"/>
      <c r="C64" s="14"/>
      <c r="D64" s="22"/>
      <c r="E64" s="22"/>
      <c r="F64" s="22"/>
      <c r="G64" s="37"/>
      <c r="H64" s="17" t="str">
        <f t="shared" si="0"/>
        <v/>
      </c>
      <c r="I64" s="40"/>
    </row>
    <row r="65" spans="2:9">
      <c r="B65" s="13"/>
      <c r="C65" s="14"/>
      <c r="D65" s="22"/>
      <c r="E65" s="22"/>
      <c r="F65" s="22"/>
      <c r="G65" s="37"/>
      <c r="H65" s="17" t="str">
        <f t="shared" si="0"/>
        <v/>
      </c>
      <c r="I65" s="40"/>
    </row>
    <row r="66" spans="2:9">
      <c r="B66" s="21"/>
      <c r="C66" s="14"/>
      <c r="D66" s="22"/>
      <c r="E66" s="22"/>
      <c r="F66" s="22"/>
      <c r="G66" s="37"/>
      <c r="H66" s="17" t="str">
        <f t="shared" si="0"/>
        <v/>
      </c>
      <c r="I66" s="40"/>
    </row>
    <row r="67" spans="2:9">
      <c r="B67" s="13"/>
      <c r="C67" s="14"/>
      <c r="D67" s="22"/>
      <c r="E67" s="22"/>
      <c r="F67" s="22"/>
      <c r="G67" s="37"/>
      <c r="H67" s="17" t="str">
        <f t="shared" si="0"/>
        <v/>
      </c>
      <c r="I67" s="40"/>
    </row>
    <row r="68" spans="2:9">
      <c r="B68" s="21"/>
      <c r="C68" s="14"/>
      <c r="D68" s="22"/>
      <c r="E68" s="22"/>
      <c r="F68" s="22"/>
      <c r="G68" s="37"/>
      <c r="H68" s="17"/>
      <c r="I68" s="40"/>
    </row>
    <row r="69" spans="2:9">
      <c r="B69" s="13"/>
      <c r="C69" s="14"/>
      <c r="D69" s="22"/>
      <c r="E69" s="22"/>
      <c r="F69" s="22"/>
      <c r="G69" s="37"/>
      <c r="H69" s="17" t="str">
        <f t="shared" si="0"/>
        <v/>
      </c>
      <c r="I69" s="40"/>
    </row>
    <row r="70" spans="2:9">
      <c r="B70" s="13"/>
      <c r="C70" s="14"/>
      <c r="D70" s="22"/>
      <c r="E70" s="22"/>
      <c r="F70" s="22"/>
      <c r="G70" s="37"/>
      <c r="H70" s="17" t="str">
        <f t="shared" si="0"/>
        <v/>
      </c>
      <c r="I70" s="40"/>
    </row>
    <row r="71" spans="2:9">
      <c r="B71" s="13"/>
      <c r="C71" s="14"/>
      <c r="D71" s="22"/>
      <c r="E71" s="22"/>
      <c r="F71" s="22"/>
      <c r="G71" s="37"/>
      <c r="H71" s="17" t="str">
        <f t="shared" si="0"/>
        <v/>
      </c>
      <c r="I71" s="40"/>
    </row>
    <row r="72" spans="2:9">
      <c r="B72" s="13"/>
      <c r="C72" s="14"/>
      <c r="D72" s="22"/>
      <c r="E72" s="22"/>
      <c r="F72" s="22"/>
      <c r="G72" s="37"/>
      <c r="H72" s="17" t="str">
        <f t="shared" si="0"/>
        <v/>
      </c>
      <c r="I72" s="40"/>
    </row>
    <row r="73" spans="2:9">
      <c r="B73" s="13"/>
      <c r="C73" s="14"/>
      <c r="D73" s="22"/>
      <c r="E73" s="22"/>
      <c r="F73" s="22"/>
      <c r="G73" s="37"/>
      <c r="H73" s="17" t="str">
        <f t="shared" si="0"/>
        <v/>
      </c>
      <c r="I73" s="40"/>
    </row>
    <row r="74" spans="2:9">
      <c r="B74" s="21"/>
      <c r="C74" s="14"/>
      <c r="D74" s="22"/>
      <c r="E74" s="22"/>
      <c r="F74" s="22"/>
      <c r="G74" s="37"/>
      <c r="H74" s="17" t="str">
        <f t="shared" ref="H74" si="1">IF(D74="","",F74*G74)</f>
        <v/>
      </c>
      <c r="I74" s="40"/>
    </row>
    <row r="75" spans="2:9" s="28" customFormat="1" ht="24.95" customHeight="1">
      <c r="B75" s="82" t="str">
        <f>$B$10</f>
        <v>C14.6</v>
      </c>
      <c r="C75" s="29" t="s">
        <v>125</v>
      </c>
      <c r="D75" s="30"/>
      <c r="E75" s="30"/>
      <c r="F75" s="31"/>
      <c r="G75" s="30"/>
      <c r="H75" s="32">
        <f>SUM(H9:H74)</f>
        <v>0</v>
      </c>
      <c r="I75"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46"/>
  <dimension ref="B1:I75"/>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C14.7</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2801</v>
      </c>
      <c r="C10" s="20" t="s">
        <v>2802</v>
      </c>
      <c r="D10" s="22"/>
      <c r="E10" s="22"/>
      <c r="F10" s="22"/>
      <c r="G10" s="39"/>
      <c r="H10" s="17" t="str">
        <f t="shared" ref="H10:H73" si="0">IF(D10="","",F10*G10)</f>
        <v/>
      </c>
      <c r="I10" s="40"/>
    </row>
    <row r="11" spans="2:9">
      <c r="B11" s="48"/>
      <c r="C11" s="14"/>
      <c r="D11" s="22"/>
      <c r="E11" s="22"/>
      <c r="F11" s="22"/>
      <c r="G11" s="39"/>
      <c r="H11" s="17" t="str">
        <f t="shared" si="0"/>
        <v/>
      </c>
      <c r="I11" s="40"/>
    </row>
    <row r="12" spans="2:9" ht="25.5">
      <c r="B12" s="48" t="s">
        <v>2803</v>
      </c>
      <c r="C12" s="14" t="s">
        <v>2804</v>
      </c>
      <c r="D12" s="22" t="s">
        <v>124</v>
      </c>
      <c r="E12" s="22"/>
      <c r="F12" s="22"/>
      <c r="G12" s="39"/>
      <c r="H12" s="17">
        <f t="shared" si="0"/>
        <v>0</v>
      </c>
      <c r="I12" s="40"/>
    </row>
    <row r="13" spans="2:9">
      <c r="B13" s="48"/>
      <c r="C13" s="14"/>
      <c r="D13" s="22"/>
      <c r="E13" s="22"/>
      <c r="F13" s="22"/>
      <c r="G13" s="39"/>
      <c r="H13" s="17" t="str">
        <f t="shared" si="0"/>
        <v/>
      </c>
      <c r="I13" s="40"/>
    </row>
    <row r="14" spans="2:9" ht="25.5">
      <c r="B14" s="48" t="s">
        <v>2805</v>
      </c>
      <c r="C14" s="14" t="s">
        <v>2806</v>
      </c>
      <c r="D14" s="22" t="s">
        <v>124</v>
      </c>
      <c r="E14" s="22"/>
      <c r="F14" s="23"/>
      <c r="G14" s="24"/>
      <c r="H14" s="17">
        <f t="shared" si="0"/>
        <v>0</v>
      </c>
      <c r="I14" s="41"/>
    </row>
    <row r="15" spans="2:9">
      <c r="B15" s="48"/>
      <c r="C15" s="14"/>
      <c r="D15" s="22"/>
      <c r="E15" s="22"/>
      <c r="F15" s="23"/>
      <c r="G15" s="24"/>
      <c r="H15" s="17" t="str">
        <f t="shared" si="0"/>
        <v/>
      </c>
      <c r="I15" s="41"/>
    </row>
    <row r="16" spans="2:9" ht="25.5">
      <c r="B16" s="48" t="s">
        <v>2807</v>
      </c>
      <c r="C16" s="14" t="s">
        <v>2808</v>
      </c>
      <c r="D16" s="22" t="s">
        <v>33</v>
      </c>
      <c r="E16" s="22"/>
      <c r="F16" s="23"/>
      <c r="G16" s="24"/>
      <c r="H16" s="17">
        <f t="shared" si="0"/>
        <v>0</v>
      </c>
      <c r="I16" s="41"/>
    </row>
    <row r="17" spans="2:9">
      <c r="B17" s="48"/>
      <c r="C17" s="14"/>
      <c r="D17" s="22"/>
      <c r="E17" s="22"/>
      <c r="F17" s="23"/>
      <c r="G17" s="24"/>
      <c r="H17" s="17" t="str">
        <f t="shared" si="0"/>
        <v/>
      </c>
      <c r="I17" s="41"/>
    </row>
    <row r="18" spans="2:9" ht="14.25">
      <c r="B18" s="48" t="s">
        <v>2809</v>
      </c>
      <c r="C18" s="14" t="s">
        <v>2810</v>
      </c>
      <c r="D18" s="22" t="s">
        <v>124</v>
      </c>
      <c r="E18" s="22"/>
      <c r="F18" s="23"/>
      <c r="G18" s="39"/>
      <c r="H18" s="17">
        <f t="shared" si="0"/>
        <v>0</v>
      </c>
      <c r="I18" s="40"/>
    </row>
    <row r="19" spans="2:9">
      <c r="B19" s="48"/>
      <c r="C19" s="14"/>
      <c r="D19" s="22"/>
      <c r="E19" s="22"/>
      <c r="F19" s="23"/>
      <c r="G19" s="42"/>
      <c r="H19" s="17" t="str">
        <f t="shared" si="0"/>
        <v/>
      </c>
      <c r="I19" s="40"/>
    </row>
    <row r="20" spans="2:9">
      <c r="B20" s="48"/>
      <c r="C20" s="14"/>
      <c r="D20" s="22"/>
      <c r="E20" s="22"/>
      <c r="F20" s="23"/>
      <c r="G20" s="39"/>
      <c r="H20" s="17" t="str">
        <f t="shared" si="0"/>
        <v/>
      </c>
      <c r="I20" s="43"/>
    </row>
    <row r="21" spans="2:9">
      <c r="B21" s="48"/>
      <c r="C21" s="14"/>
      <c r="D21" s="22"/>
      <c r="E21" s="36"/>
      <c r="F21" s="23"/>
      <c r="G21" s="44"/>
      <c r="H21" s="17" t="str">
        <f t="shared" si="0"/>
        <v/>
      </c>
    </row>
    <row r="22" spans="2:9">
      <c r="B22" s="48"/>
      <c r="C22" s="14"/>
      <c r="D22" s="22"/>
      <c r="E22" s="36"/>
      <c r="F22" s="23"/>
      <c r="G22" s="44"/>
      <c r="H22" s="17" t="str">
        <f t="shared" si="0"/>
        <v/>
      </c>
    </row>
    <row r="23" spans="2:9">
      <c r="B23" s="13"/>
      <c r="C23" s="14"/>
      <c r="D23" s="22"/>
      <c r="E23" s="36"/>
      <c r="F23" s="23"/>
      <c r="G23" s="37"/>
      <c r="H23" s="17" t="str">
        <f t="shared" si="0"/>
        <v/>
      </c>
    </row>
    <row r="24" spans="2:9">
      <c r="B24" s="21"/>
      <c r="C24" s="14"/>
      <c r="D24" s="22"/>
      <c r="E24" s="36"/>
      <c r="F24" s="23"/>
      <c r="G24" s="44"/>
      <c r="H24" s="17" t="str">
        <f t="shared" si="0"/>
        <v/>
      </c>
    </row>
    <row r="25" spans="2:9">
      <c r="B25" s="13"/>
      <c r="C25" s="14"/>
      <c r="D25" s="22"/>
      <c r="E25" s="36"/>
      <c r="F25" s="23"/>
      <c r="G25" s="42"/>
      <c r="H25" s="17" t="str">
        <f t="shared" si="0"/>
        <v/>
      </c>
    </row>
    <row r="26" spans="2:9">
      <c r="B26" s="21"/>
      <c r="C26" s="14"/>
      <c r="D26" s="22"/>
      <c r="E26" s="36"/>
      <c r="F26" s="23"/>
      <c r="G26" s="44"/>
      <c r="H26" s="17" t="str">
        <f t="shared" si="0"/>
        <v/>
      </c>
    </row>
    <row r="27" spans="2:9">
      <c r="B27" s="21"/>
      <c r="C27" s="14"/>
      <c r="D27" s="22"/>
      <c r="E27" s="22"/>
      <c r="F27" s="23"/>
      <c r="G27" s="37"/>
      <c r="H27" s="17" t="str">
        <f t="shared" si="0"/>
        <v/>
      </c>
      <c r="I27" s="41"/>
    </row>
    <row r="28" spans="2:9">
      <c r="B28" s="21"/>
      <c r="C28" s="14"/>
      <c r="D28" s="22"/>
      <c r="E28" s="15"/>
      <c r="F28" s="26"/>
      <c r="G28" s="27"/>
      <c r="H28" s="17" t="str">
        <f t="shared" si="0"/>
        <v/>
      </c>
      <c r="I28" s="18"/>
    </row>
    <row r="29" spans="2:9" s="35" customFormat="1">
      <c r="B29" s="13"/>
      <c r="C29" s="14"/>
      <c r="D29" s="15"/>
      <c r="E29" s="15"/>
      <c r="F29" s="26"/>
      <c r="G29" s="27"/>
      <c r="H29" s="17" t="str">
        <f t="shared" si="0"/>
        <v/>
      </c>
      <c r="I29" s="18"/>
    </row>
    <row r="30" spans="2:9">
      <c r="B30" s="21"/>
      <c r="C30" s="14"/>
      <c r="D30" s="22"/>
      <c r="E30" s="22"/>
      <c r="F30" s="23"/>
      <c r="G30" s="37"/>
      <c r="H30" s="17" t="str">
        <f t="shared" si="0"/>
        <v/>
      </c>
      <c r="I30" s="41"/>
    </row>
    <row r="31" spans="2:9">
      <c r="B31" s="13"/>
      <c r="C31" s="14"/>
      <c r="D31" s="22"/>
      <c r="E31" s="22"/>
      <c r="F31" s="23"/>
      <c r="G31" s="37"/>
      <c r="H31" s="17" t="str">
        <f t="shared" si="0"/>
        <v/>
      </c>
      <c r="I31" s="41"/>
    </row>
    <row r="32" spans="2:9">
      <c r="B32" s="21"/>
      <c r="C32" s="14"/>
      <c r="D32" s="22"/>
      <c r="E32" s="22"/>
      <c r="F32" s="23"/>
      <c r="G32" s="45"/>
      <c r="H32" s="17" t="str">
        <f t="shared" si="0"/>
        <v/>
      </c>
      <c r="I32" s="40"/>
    </row>
    <row r="33" spans="2:9">
      <c r="B33" s="21"/>
      <c r="C33" s="14"/>
      <c r="D33" s="22"/>
      <c r="E33" s="22"/>
      <c r="F33" s="23"/>
      <c r="G33" s="45"/>
      <c r="H33" s="17" t="str">
        <f t="shared" si="0"/>
        <v/>
      </c>
      <c r="I33" s="40"/>
    </row>
    <row r="34" spans="2:9">
      <c r="B34" s="21"/>
      <c r="C34" s="14"/>
      <c r="D34" s="22"/>
      <c r="E34" s="22"/>
      <c r="F34" s="23"/>
      <c r="G34" s="42"/>
      <c r="H34" s="17" t="str">
        <f t="shared" si="0"/>
        <v/>
      </c>
      <c r="I34" s="40"/>
    </row>
    <row r="35" spans="2:9">
      <c r="B35" s="21"/>
      <c r="C35" s="14"/>
      <c r="D35" s="22"/>
      <c r="E35" s="22"/>
      <c r="F35" s="23"/>
      <c r="G35" s="42"/>
      <c r="H35" s="17" t="str">
        <f t="shared" si="0"/>
        <v/>
      </c>
      <c r="I35" s="40"/>
    </row>
    <row r="36" spans="2:9">
      <c r="B36" s="21"/>
      <c r="C36" s="14"/>
      <c r="D36" s="22"/>
      <c r="E36" s="22"/>
      <c r="F36" s="22"/>
      <c r="G36" s="39"/>
      <c r="H36" s="17" t="str">
        <f t="shared" si="0"/>
        <v/>
      </c>
      <c r="I36" s="40"/>
    </row>
    <row r="37" spans="2:9">
      <c r="B37" s="13"/>
      <c r="C37" s="14"/>
      <c r="D37" s="22"/>
      <c r="E37" s="22"/>
      <c r="F37" s="22"/>
      <c r="G37" s="39"/>
      <c r="H37" s="17" t="str">
        <f t="shared" si="0"/>
        <v/>
      </c>
      <c r="I37" s="40"/>
    </row>
    <row r="38" spans="2:9">
      <c r="B38" s="21"/>
      <c r="C38" s="14"/>
      <c r="D38" s="22"/>
      <c r="E38" s="22"/>
      <c r="F38" s="22"/>
      <c r="G38" s="37"/>
      <c r="H38" s="17" t="str">
        <f t="shared" si="0"/>
        <v/>
      </c>
      <c r="I38" s="40"/>
    </row>
    <row r="39" spans="2:9">
      <c r="B39" s="21"/>
      <c r="C39" s="14"/>
      <c r="D39" s="22"/>
      <c r="E39" s="22"/>
      <c r="F39" s="22"/>
      <c r="G39" s="37"/>
      <c r="H39" s="17" t="str">
        <f t="shared" si="0"/>
        <v/>
      </c>
      <c r="I39" s="40"/>
    </row>
    <row r="40" spans="2:9">
      <c r="B40" s="21"/>
      <c r="C40" s="14"/>
      <c r="D40" s="22"/>
      <c r="E40" s="22"/>
      <c r="F40" s="22"/>
      <c r="G40" s="37"/>
      <c r="H40" s="17" t="str">
        <f t="shared" si="0"/>
        <v/>
      </c>
      <c r="I40" s="40"/>
    </row>
    <row r="41" spans="2:9">
      <c r="B41" s="21"/>
      <c r="C41" s="14"/>
      <c r="D41" s="22"/>
      <c r="E41" s="22"/>
      <c r="F41" s="22"/>
      <c r="G41" s="37"/>
      <c r="H41" s="17" t="str">
        <f t="shared" si="0"/>
        <v/>
      </c>
      <c r="I41" s="40"/>
    </row>
    <row r="42" spans="2:9">
      <c r="B42" s="21"/>
      <c r="C42" s="14"/>
      <c r="D42" s="22"/>
      <c r="E42" s="22"/>
      <c r="F42" s="22"/>
      <c r="G42" s="37"/>
      <c r="H42" s="17" t="str">
        <f t="shared" si="0"/>
        <v/>
      </c>
      <c r="I42" s="40"/>
    </row>
    <row r="43" spans="2:9">
      <c r="B43" s="13"/>
      <c r="C43" s="14"/>
      <c r="D43" s="22"/>
      <c r="E43" s="22"/>
      <c r="F43" s="22"/>
      <c r="G43" s="37"/>
      <c r="H43" s="17" t="str">
        <f t="shared" si="0"/>
        <v/>
      </c>
      <c r="I43" s="40"/>
    </row>
    <row r="44" spans="2:9">
      <c r="B44" s="13"/>
      <c r="C44" s="14"/>
      <c r="D44" s="22"/>
      <c r="E44" s="22"/>
      <c r="F44" s="22"/>
      <c r="G44" s="37"/>
      <c r="H44" s="17" t="str">
        <f t="shared" si="0"/>
        <v/>
      </c>
      <c r="I44" s="40"/>
    </row>
    <row r="45" spans="2:9">
      <c r="B45" s="13"/>
      <c r="C45" s="14"/>
      <c r="D45" s="22"/>
      <c r="E45" s="22"/>
      <c r="F45" s="22"/>
      <c r="G45" s="37"/>
      <c r="H45" s="17" t="str">
        <f t="shared" si="0"/>
        <v/>
      </c>
      <c r="I45" s="40"/>
    </row>
    <row r="46" spans="2:9">
      <c r="B46" s="13"/>
      <c r="C46" s="14"/>
      <c r="D46" s="22"/>
      <c r="E46" s="22"/>
      <c r="F46" s="22"/>
      <c r="G46" s="46"/>
      <c r="H46" s="17" t="str">
        <f t="shared" si="0"/>
        <v/>
      </c>
      <c r="I46" s="40"/>
    </row>
    <row r="47" spans="2:9">
      <c r="B47" s="13"/>
      <c r="C47" s="14"/>
      <c r="D47" s="22"/>
      <c r="E47" s="22"/>
      <c r="F47" s="22"/>
      <c r="G47" s="46"/>
      <c r="H47" s="17" t="str">
        <f t="shared" si="0"/>
        <v/>
      </c>
      <c r="I47" s="40"/>
    </row>
    <row r="48" spans="2:9">
      <c r="B48" s="21"/>
      <c r="C48" s="14"/>
      <c r="D48" s="22"/>
      <c r="E48" s="22"/>
      <c r="F48" s="22"/>
      <c r="G48" s="37"/>
      <c r="H48" s="17" t="str">
        <f t="shared" si="0"/>
        <v/>
      </c>
      <c r="I48" s="40"/>
    </row>
    <row r="49" spans="2:9">
      <c r="B49" s="13"/>
      <c r="C49" s="14"/>
      <c r="D49" s="22"/>
      <c r="E49" s="22"/>
      <c r="F49" s="22"/>
      <c r="G49" s="37"/>
      <c r="H49" s="17" t="str">
        <f t="shared" si="0"/>
        <v/>
      </c>
      <c r="I49" s="40"/>
    </row>
    <row r="50" spans="2:9">
      <c r="B50" s="13"/>
      <c r="C50" s="14"/>
      <c r="D50" s="22"/>
      <c r="E50" s="22"/>
      <c r="F50" s="22"/>
      <c r="G50" s="37"/>
      <c r="H50" s="17" t="str">
        <f t="shared" si="0"/>
        <v/>
      </c>
      <c r="I50" s="40"/>
    </row>
    <row r="51" spans="2:9">
      <c r="B51" s="13"/>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22"/>
      <c r="E53" s="22"/>
      <c r="F53" s="22"/>
      <c r="G53" s="37"/>
      <c r="H53" s="17" t="str">
        <f t="shared" si="0"/>
        <v/>
      </c>
      <c r="I53" s="40"/>
    </row>
    <row r="54" spans="2:9">
      <c r="B54" s="13"/>
      <c r="C54" s="14"/>
      <c r="D54" s="36"/>
      <c r="E54" s="36"/>
      <c r="F54" s="36"/>
      <c r="G54" s="37"/>
      <c r="H54" s="17" t="str">
        <f t="shared" si="0"/>
        <v/>
      </c>
    </row>
    <row r="55" spans="2:9">
      <c r="B55" s="13"/>
      <c r="C55" s="14"/>
      <c r="D55" s="22"/>
      <c r="E55" s="22"/>
      <c r="F55" s="22"/>
      <c r="G55" s="37"/>
      <c r="H55" s="17" t="str">
        <f t="shared" si="0"/>
        <v/>
      </c>
      <c r="I55" s="40"/>
    </row>
    <row r="56" spans="2:9">
      <c r="B56" s="21"/>
      <c r="C56" s="14"/>
      <c r="D56" s="36"/>
      <c r="E56" s="36"/>
      <c r="F56" s="36"/>
      <c r="G56" s="37"/>
      <c r="H56" s="17" t="str">
        <f t="shared" si="0"/>
        <v/>
      </c>
      <c r="I56" s="47"/>
    </row>
    <row r="57" spans="2:9">
      <c r="B57" s="13"/>
      <c r="C57" s="14"/>
      <c r="D57" s="36"/>
      <c r="E57" s="36"/>
      <c r="F57" s="36"/>
      <c r="G57" s="37"/>
      <c r="H57" s="17" t="str">
        <f t="shared" si="0"/>
        <v/>
      </c>
    </row>
    <row r="58" spans="2:9">
      <c r="B58" s="13"/>
      <c r="C58" s="14"/>
      <c r="D58" s="22"/>
      <c r="E58" s="22"/>
      <c r="F58" s="22"/>
      <c r="G58" s="37"/>
      <c r="H58" s="17" t="str">
        <f t="shared" si="0"/>
        <v/>
      </c>
      <c r="I58" s="40"/>
    </row>
    <row r="59" spans="2:9">
      <c r="B59" s="13"/>
      <c r="C59" s="14"/>
      <c r="D59" s="22"/>
      <c r="E59" s="22"/>
      <c r="F59" s="22"/>
      <c r="G59" s="37"/>
      <c r="H59" s="17" t="str">
        <f t="shared" si="0"/>
        <v/>
      </c>
      <c r="I59" s="40"/>
    </row>
    <row r="60" spans="2:9">
      <c r="B60" s="13"/>
      <c r="C60" s="14"/>
      <c r="D60" s="22"/>
      <c r="E60" s="22"/>
      <c r="F60" s="22"/>
      <c r="G60" s="37"/>
      <c r="H60" s="17" t="str">
        <f t="shared" si="0"/>
        <v/>
      </c>
      <c r="I60" s="40"/>
    </row>
    <row r="61" spans="2:9">
      <c r="B61" s="13"/>
      <c r="C61" s="14"/>
      <c r="D61" s="22"/>
      <c r="E61" s="22"/>
      <c r="F61" s="22"/>
      <c r="G61" s="37"/>
      <c r="H61" s="17" t="str">
        <f t="shared" si="0"/>
        <v/>
      </c>
      <c r="I61" s="40"/>
    </row>
    <row r="62" spans="2:9">
      <c r="B62" s="21"/>
      <c r="C62" s="14"/>
      <c r="D62" s="22"/>
      <c r="E62" s="22"/>
      <c r="F62" s="22"/>
      <c r="G62" s="37"/>
      <c r="H62" s="17" t="str">
        <f t="shared" si="0"/>
        <v/>
      </c>
      <c r="I62" s="40"/>
    </row>
    <row r="63" spans="2:9">
      <c r="B63" s="13"/>
      <c r="C63" s="14"/>
      <c r="D63" s="22"/>
      <c r="E63" s="22"/>
      <c r="F63" s="22"/>
      <c r="G63" s="37"/>
      <c r="H63" s="17" t="str">
        <f t="shared" si="0"/>
        <v/>
      </c>
      <c r="I63" s="40"/>
    </row>
    <row r="64" spans="2:9">
      <c r="B64" s="13"/>
      <c r="C64" s="14"/>
      <c r="D64" s="22"/>
      <c r="E64" s="22"/>
      <c r="F64" s="22"/>
      <c r="G64" s="37"/>
      <c r="H64" s="17" t="str">
        <f t="shared" si="0"/>
        <v/>
      </c>
      <c r="I64" s="40"/>
    </row>
    <row r="65" spans="2:9">
      <c r="B65" s="13"/>
      <c r="C65" s="14"/>
      <c r="D65" s="22"/>
      <c r="E65" s="22"/>
      <c r="F65" s="22"/>
      <c r="G65" s="37"/>
      <c r="H65" s="17" t="str">
        <f t="shared" si="0"/>
        <v/>
      </c>
      <c r="I65" s="40"/>
    </row>
    <row r="66" spans="2:9">
      <c r="B66" s="21"/>
      <c r="C66" s="14"/>
      <c r="D66" s="22"/>
      <c r="E66" s="22"/>
      <c r="F66" s="22"/>
      <c r="G66" s="37"/>
      <c r="H66" s="17" t="str">
        <f t="shared" si="0"/>
        <v/>
      </c>
      <c r="I66" s="40"/>
    </row>
    <row r="67" spans="2:9">
      <c r="B67" s="13"/>
      <c r="C67" s="14"/>
      <c r="D67" s="22"/>
      <c r="E67" s="22"/>
      <c r="F67" s="22"/>
      <c r="G67" s="37"/>
      <c r="H67" s="17" t="str">
        <f t="shared" si="0"/>
        <v/>
      </c>
      <c r="I67" s="40"/>
    </row>
    <row r="68" spans="2:9">
      <c r="B68" s="21"/>
      <c r="C68" s="14"/>
      <c r="D68" s="22"/>
      <c r="E68" s="22"/>
      <c r="F68" s="22"/>
      <c r="G68" s="37"/>
      <c r="H68" s="17" t="str">
        <f t="shared" si="0"/>
        <v/>
      </c>
      <c r="I68" s="40"/>
    </row>
    <row r="69" spans="2:9">
      <c r="B69" s="13"/>
      <c r="C69" s="14"/>
      <c r="D69" s="22"/>
      <c r="E69" s="22"/>
      <c r="F69" s="22"/>
      <c r="G69" s="37"/>
      <c r="H69" s="17" t="str">
        <f t="shared" si="0"/>
        <v/>
      </c>
      <c r="I69" s="40"/>
    </row>
    <row r="70" spans="2:9">
      <c r="B70" s="13"/>
      <c r="C70" s="14"/>
      <c r="D70" s="22"/>
      <c r="E70" s="22"/>
      <c r="F70" s="22"/>
      <c r="G70" s="37"/>
      <c r="H70" s="17" t="str">
        <f t="shared" si="0"/>
        <v/>
      </c>
      <c r="I70" s="40"/>
    </row>
    <row r="71" spans="2:9">
      <c r="B71" s="13"/>
      <c r="C71" s="14"/>
      <c r="D71" s="22"/>
      <c r="E71" s="22"/>
      <c r="F71" s="22"/>
      <c r="G71" s="37"/>
      <c r="H71" s="17" t="str">
        <f t="shared" si="0"/>
        <v/>
      </c>
      <c r="I71" s="40"/>
    </row>
    <row r="72" spans="2:9">
      <c r="B72" s="13"/>
      <c r="C72" s="14"/>
      <c r="D72" s="22"/>
      <c r="E72" s="22"/>
      <c r="F72" s="22"/>
      <c r="G72" s="37"/>
      <c r="H72" s="17" t="str">
        <f t="shared" si="0"/>
        <v/>
      </c>
      <c r="I72" s="40"/>
    </row>
    <row r="73" spans="2:9">
      <c r="B73" s="13"/>
      <c r="C73" s="14"/>
      <c r="D73" s="22"/>
      <c r="E73" s="22"/>
      <c r="F73" s="22"/>
      <c r="G73" s="37"/>
      <c r="H73" s="17" t="str">
        <f t="shared" si="0"/>
        <v/>
      </c>
      <c r="I73" s="40"/>
    </row>
    <row r="74" spans="2:9">
      <c r="B74" s="21"/>
      <c r="C74" s="14"/>
      <c r="D74" s="22"/>
      <c r="E74" s="22"/>
      <c r="F74" s="22"/>
      <c r="G74" s="37"/>
      <c r="H74" s="17" t="str">
        <f t="shared" ref="H74" si="1">IF(D74="","",F74*G74)</f>
        <v/>
      </c>
      <c r="I74" s="40"/>
    </row>
    <row r="75" spans="2:9" s="28" customFormat="1" ht="24.95" customHeight="1">
      <c r="B75" s="82" t="str">
        <f>$B$10</f>
        <v>C14.7</v>
      </c>
      <c r="C75" s="29" t="s">
        <v>125</v>
      </c>
      <c r="D75" s="30"/>
      <c r="E75" s="30"/>
      <c r="F75" s="31"/>
      <c r="G75" s="30"/>
      <c r="H75" s="32">
        <f>SUM(H9:H74)</f>
        <v>0</v>
      </c>
      <c r="I75"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47"/>
  <dimension ref="B1:I74"/>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C14.8</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2811</v>
      </c>
      <c r="C10" s="20" t="s">
        <v>2812</v>
      </c>
      <c r="D10" s="22"/>
      <c r="E10" s="22"/>
      <c r="F10" s="22"/>
      <c r="G10" s="39"/>
      <c r="H10" s="17" t="str">
        <f t="shared" ref="H10:H73" si="0">IF(D10="","",F10*G10)</f>
        <v/>
      </c>
      <c r="I10" s="40"/>
    </row>
    <row r="11" spans="2:9">
      <c r="B11" s="48"/>
      <c r="C11" s="14"/>
      <c r="D11" s="22"/>
      <c r="E11" s="22"/>
      <c r="F11" s="22"/>
      <c r="G11" s="39"/>
      <c r="H11" s="17" t="str">
        <f t="shared" si="0"/>
        <v/>
      </c>
      <c r="I11" s="40"/>
    </row>
    <row r="12" spans="2:9" ht="25.5">
      <c r="B12" s="48" t="s">
        <v>2813</v>
      </c>
      <c r="C12" s="14" t="s">
        <v>2814</v>
      </c>
      <c r="D12" s="22" t="s">
        <v>85</v>
      </c>
      <c r="E12" s="22"/>
      <c r="F12" s="22"/>
      <c r="G12" s="39"/>
      <c r="H12" s="17">
        <f t="shared" si="0"/>
        <v>0</v>
      </c>
      <c r="I12" s="40"/>
    </row>
    <row r="13" spans="2:9">
      <c r="B13" s="48"/>
      <c r="C13" s="14"/>
      <c r="D13" s="22"/>
      <c r="E13" s="22"/>
      <c r="F13" s="22"/>
      <c r="G13" s="39"/>
      <c r="H13" s="17"/>
      <c r="I13" s="40"/>
    </row>
    <row r="14" spans="2:9">
      <c r="B14" s="48" t="s">
        <v>2815</v>
      </c>
      <c r="C14" s="14" t="s">
        <v>2816</v>
      </c>
      <c r="D14" s="22"/>
      <c r="E14" s="22"/>
      <c r="F14" s="22"/>
      <c r="G14" s="39"/>
      <c r="H14" s="17" t="str">
        <f t="shared" si="0"/>
        <v/>
      </c>
      <c r="I14" s="40"/>
    </row>
    <row r="15" spans="2:9">
      <c r="B15" s="48"/>
      <c r="C15" s="14"/>
      <c r="D15" s="22"/>
      <c r="E15" s="22"/>
      <c r="F15" s="22"/>
      <c r="G15" s="39"/>
      <c r="H15" s="17"/>
      <c r="I15" s="40"/>
    </row>
    <row r="16" spans="2:9" ht="25.5">
      <c r="B16" s="48" t="s">
        <v>2817</v>
      </c>
      <c r="C16" s="14" t="s">
        <v>2818</v>
      </c>
      <c r="D16" s="22" t="s">
        <v>124</v>
      </c>
      <c r="E16" s="22"/>
      <c r="F16" s="23"/>
      <c r="G16" s="24"/>
      <c r="H16" s="17">
        <f t="shared" si="0"/>
        <v>0</v>
      </c>
      <c r="I16" s="41"/>
    </row>
    <row r="17" spans="2:9">
      <c r="B17" s="48"/>
      <c r="C17" s="14"/>
      <c r="D17" s="22"/>
      <c r="E17" s="22"/>
      <c r="F17" s="23"/>
      <c r="G17" s="24"/>
      <c r="H17" s="17"/>
      <c r="I17" s="41"/>
    </row>
    <row r="18" spans="2:9" ht="25.5">
      <c r="B18" s="48" t="s">
        <v>2819</v>
      </c>
      <c r="C18" s="14" t="s">
        <v>2820</v>
      </c>
      <c r="D18" s="22" t="s">
        <v>347</v>
      </c>
      <c r="E18" s="22"/>
      <c r="F18" s="23"/>
      <c r="G18" s="24"/>
      <c r="H18" s="17">
        <f t="shared" si="0"/>
        <v>0</v>
      </c>
      <c r="I18" s="41"/>
    </row>
    <row r="19" spans="2:9">
      <c r="B19" s="48"/>
      <c r="C19" s="14"/>
      <c r="D19" s="22"/>
      <c r="E19" s="22"/>
      <c r="F19" s="23"/>
      <c r="G19" s="24"/>
      <c r="H19" s="17" t="str">
        <f t="shared" si="0"/>
        <v/>
      </c>
      <c r="I19" s="41"/>
    </row>
    <row r="20" spans="2:9">
      <c r="B20" s="48" t="s">
        <v>2821</v>
      </c>
      <c r="C20" s="14" t="s">
        <v>2822</v>
      </c>
      <c r="D20" s="22"/>
      <c r="E20" s="22"/>
      <c r="F20" s="23"/>
      <c r="G20" s="24"/>
      <c r="H20" s="17" t="str">
        <f t="shared" si="0"/>
        <v/>
      </c>
      <c r="I20" s="41"/>
    </row>
    <row r="21" spans="2:9">
      <c r="B21" s="48"/>
      <c r="C21" s="14"/>
      <c r="D21" s="22"/>
      <c r="E21" s="22"/>
      <c r="F21" s="23"/>
      <c r="G21" s="39"/>
      <c r="H21" s="17" t="str">
        <f t="shared" si="0"/>
        <v/>
      </c>
      <c r="I21" s="40"/>
    </row>
    <row r="22" spans="2:9">
      <c r="B22" s="48" t="s">
        <v>2823</v>
      </c>
      <c r="C22" s="14" t="s">
        <v>2824</v>
      </c>
      <c r="D22" s="15" t="s">
        <v>898</v>
      </c>
      <c r="E22" s="22"/>
      <c r="F22" s="23"/>
      <c r="G22" s="42"/>
      <c r="H22" s="17">
        <f t="shared" si="0"/>
        <v>0</v>
      </c>
      <c r="I22" s="40"/>
    </row>
    <row r="23" spans="2:9">
      <c r="B23" s="48"/>
      <c r="C23" s="14"/>
      <c r="D23" s="22"/>
      <c r="E23" s="36"/>
      <c r="F23" s="23"/>
      <c r="G23" s="44"/>
      <c r="H23" s="17" t="str">
        <f t="shared" si="0"/>
        <v/>
      </c>
    </row>
    <row r="24" spans="2:9">
      <c r="B24" s="48" t="s">
        <v>2825</v>
      </c>
      <c r="C24" s="14" t="s">
        <v>2826</v>
      </c>
      <c r="D24" s="22" t="s">
        <v>764</v>
      </c>
      <c r="E24" s="36"/>
      <c r="F24" s="23"/>
      <c r="G24" s="44"/>
      <c r="H24" s="17">
        <f t="shared" si="0"/>
        <v>0</v>
      </c>
    </row>
    <row r="25" spans="2:9">
      <c r="B25" s="48"/>
      <c r="C25" s="14"/>
      <c r="D25" s="22"/>
      <c r="E25" s="36"/>
      <c r="F25" s="23"/>
      <c r="G25" s="37"/>
      <c r="H25" s="17" t="str">
        <f t="shared" si="0"/>
        <v/>
      </c>
    </row>
    <row r="26" spans="2:9">
      <c r="B26" s="48" t="s">
        <v>2827</v>
      </c>
      <c r="C26" s="14" t="s">
        <v>2828</v>
      </c>
      <c r="D26" s="22"/>
      <c r="E26" s="36"/>
      <c r="F26" s="23"/>
      <c r="G26" s="44"/>
      <c r="H26" s="17" t="str">
        <f t="shared" si="0"/>
        <v/>
      </c>
    </row>
    <row r="27" spans="2:9">
      <c r="B27" s="48"/>
      <c r="C27" s="14"/>
      <c r="D27" s="22"/>
      <c r="E27" s="36"/>
      <c r="F27" s="23"/>
      <c r="G27" s="42"/>
      <c r="H27" s="17" t="str">
        <f t="shared" si="0"/>
        <v/>
      </c>
    </row>
    <row r="28" spans="2:9">
      <c r="B28" s="48" t="s">
        <v>2829</v>
      </c>
      <c r="C28" s="14" t="s">
        <v>2830</v>
      </c>
      <c r="D28" s="22" t="s">
        <v>85</v>
      </c>
      <c r="E28" s="36"/>
      <c r="F28" s="23"/>
      <c r="G28" s="44"/>
      <c r="H28" s="17">
        <f t="shared" si="0"/>
        <v>0</v>
      </c>
    </row>
    <row r="29" spans="2:9">
      <c r="B29" s="48"/>
      <c r="C29" s="14"/>
      <c r="D29" s="22"/>
      <c r="E29" s="22"/>
      <c r="F29" s="23"/>
      <c r="G29" s="37"/>
      <c r="H29" s="17" t="str">
        <f t="shared" si="0"/>
        <v/>
      </c>
      <c r="I29" s="41"/>
    </row>
    <row r="30" spans="2:9">
      <c r="B30" s="48" t="s">
        <v>2831</v>
      </c>
      <c r="C30" s="14" t="s">
        <v>2832</v>
      </c>
      <c r="D30" s="22" t="s">
        <v>764</v>
      </c>
      <c r="E30" s="15"/>
      <c r="F30" s="26"/>
      <c r="G30" s="27"/>
      <c r="H30" s="17">
        <f t="shared" si="0"/>
        <v>0</v>
      </c>
      <c r="I30" s="18"/>
    </row>
    <row r="31" spans="2:9" s="35" customFormat="1">
      <c r="B31" s="48"/>
      <c r="C31" s="14"/>
      <c r="D31" s="15"/>
      <c r="E31" s="15"/>
      <c r="F31" s="26"/>
      <c r="G31" s="27"/>
      <c r="H31" s="17" t="str">
        <f t="shared" si="0"/>
        <v/>
      </c>
      <c r="I31" s="18"/>
    </row>
    <row r="32" spans="2:9">
      <c r="B32" s="48" t="s">
        <v>2833</v>
      </c>
      <c r="C32" s="14" t="s">
        <v>2834</v>
      </c>
      <c r="D32" s="22" t="s">
        <v>85</v>
      </c>
      <c r="E32" s="22"/>
      <c r="F32" s="23"/>
      <c r="G32" s="37"/>
      <c r="H32" s="17">
        <f t="shared" si="0"/>
        <v>0</v>
      </c>
      <c r="I32" s="41"/>
    </row>
    <row r="33" spans="2:9">
      <c r="B33" s="48"/>
      <c r="C33" s="14"/>
      <c r="D33" s="22"/>
      <c r="E33" s="22"/>
      <c r="F33" s="23"/>
      <c r="G33" s="37"/>
      <c r="H33" s="17" t="str">
        <f t="shared" si="0"/>
        <v/>
      </c>
      <c r="I33" s="41"/>
    </row>
    <row r="34" spans="2:9">
      <c r="B34" s="48" t="s">
        <v>2835</v>
      </c>
      <c r="C34" s="14" t="s">
        <v>2836</v>
      </c>
      <c r="D34" s="22" t="s">
        <v>85</v>
      </c>
      <c r="E34" s="22"/>
      <c r="F34" s="23"/>
      <c r="G34" s="45"/>
      <c r="H34" s="17">
        <f t="shared" si="0"/>
        <v>0</v>
      </c>
      <c r="I34" s="40"/>
    </row>
    <row r="35" spans="2:9">
      <c r="B35" s="48"/>
      <c r="C35" s="14"/>
      <c r="D35" s="22"/>
      <c r="E35" s="22"/>
      <c r="F35" s="23"/>
      <c r="G35" s="45"/>
      <c r="H35" s="17" t="str">
        <f t="shared" si="0"/>
        <v/>
      </c>
      <c r="I35" s="40"/>
    </row>
    <row r="36" spans="2:9" ht="14.25">
      <c r="B36" s="48" t="s">
        <v>2837</v>
      </c>
      <c r="C36" s="14" t="s">
        <v>2838</v>
      </c>
      <c r="D36" s="22" t="s">
        <v>124</v>
      </c>
      <c r="E36" s="22"/>
      <c r="F36" s="23"/>
      <c r="G36" s="42"/>
      <c r="H36" s="17">
        <f t="shared" si="0"/>
        <v>0</v>
      </c>
      <c r="I36" s="40"/>
    </row>
    <row r="37" spans="2:9">
      <c r="B37" s="48"/>
      <c r="C37" s="14"/>
      <c r="D37" s="22"/>
      <c r="E37" s="22"/>
      <c r="F37" s="23"/>
      <c r="G37" s="42"/>
      <c r="H37" s="17" t="str">
        <f t="shared" si="0"/>
        <v/>
      </c>
      <c r="I37" s="40"/>
    </row>
    <row r="38" spans="2:9">
      <c r="B38" s="48" t="s">
        <v>2839</v>
      </c>
      <c r="C38" s="14" t="s">
        <v>2840</v>
      </c>
      <c r="D38" s="22" t="s">
        <v>85</v>
      </c>
      <c r="E38" s="22"/>
      <c r="F38" s="22"/>
      <c r="G38" s="39"/>
      <c r="H38" s="17">
        <f t="shared" si="0"/>
        <v>0</v>
      </c>
      <c r="I38" s="40"/>
    </row>
    <row r="39" spans="2:9">
      <c r="B39" s="48"/>
      <c r="C39" s="14"/>
      <c r="D39" s="22"/>
      <c r="E39" s="22"/>
      <c r="F39" s="22"/>
      <c r="G39" s="39"/>
      <c r="H39" s="17" t="str">
        <f t="shared" si="0"/>
        <v/>
      </c>
      <c r="I39" s="40"/>
    </row>
    <row r="40" spans="2:9" ht="25.5">
      <c r="B40" s="48" t="s">
        <v>2841</v>
      </c>
      <c r="C40" s="14" t="s">
        <v>2842</v>
      </c>
      <c r="D40" s="22" t="s">
        <v>124</v>
      </c>
      <c r="E40" s="22"/>
      <c r="F40" s="22"/>
      <c r="G40" s="37"/>
      <c r="H40" s="17">
        <f t="shared" si="0"/>
        <v>0</v>
      </c>
      <c r="I40" s="40"/>
    </row>
    <row r="41" spans="2:9">
      <c r="B41" s="21"/>
      <c r="C41" s="14"/>
      <c r="D41" s="22"/>
      <c r="E41" s="22"/>
      <c r="F41" s="22"/>
      <c r="G41" s="37"/>
      <c r="H41" s="17" t="str">
        <f t="shared" si="0"/>
        <v/>
      </c>
      <c r="I41" s="40"/>
    </row>
    <row r="42" spans="2:9">
      <c r="B42" s="21"/>
      <c r="C42" s="14"/>
      <c r="D42" s="22"/>
      <c r="E42" s="22"/>
      <c r="F42" s="22"/>
      <c r="G42" s="37"/>
      <c r="H42" s="17" t="str">
        <f t="shared" si="0"/>
        <v/>
      </c>
      <c r="I42" s="40"/>
    </row>
    <row r="43" spans="2:9">
      <c r="B43" s="21"/>
      <c r="C43" s="14"/>
      <c r="D43" s="22"/>
      <c r="E43" s="22"/>
      <c r="F43" s="22"/>
      <c r="G43" s="37"/>
      <c r="H43" s="17" t="str">
        <f t="shared" si="0"/>
        <v/>
      </c>
      <c r="I43" s="40"/>
    </row>
    <row r="44" spans="2:9">
      <c r="B44" s="21"/>
      <c r="C44" s="14"/>
      <c r="D44" s="22"/>
      <c r="E44" s="22"/>
      <c r="F44" s="22"/>
      <c r="G44" s="37"/>
      <c r="H44" s="17" t="str">
        <f t="shared" si="0"/>
        <v/>
      </c>
      <c r="I44" s="40"/>
    </row>
    <row r="45" spans="2:9">
      <c r="B45" s="13"/>
      <c r="C45" s="14"/>
      <c r="D45" s="22"/>
      <c r="E45" s="22"/>
      <c r="F45" s="22"/>
      <c r="G45" s="37"/>
      <c r="H45" s="17" t="str">
        <f t="shared" si="0"/>
        <v/>
      </c>
      <c r="I45" s="40"/>
    </row>
    <row r="46" spans="2:9">
      <c r="B46" s="13"/>
      <c r="C46" s="14"/>
      <c r="D46" s="22"/>
      <c r="E46" s="22"/>
      <c r="F46" s="22"/>
      <c r="G46" s="37"/>
      <c r="H46" s="17" t="str">
        <f t="shared" si="0"/>
        <v/>
      </c>
      <c r="I46" s="40"/>
    </row>
    <row r="47" spans="2:9">
      <c r="B47" s="13"/>
      <c r="C47" s="14"/>
      <c r="D47" s="22"/>
      <c r="E47" s="22"/>
      <c r="F47" s="22"/>
      <c r="G47" s="37"/>
      <c r="H47" s="17" t="str">
        <f t="shared" si="0"/>
        <v/>
      </c>
      <c r="I47" s="40"/>
    </row>
    <row r="48" spans="2:9">
      <c r="B48" s="13"/>
      <c r="C48" s="14"/>
      <c r="D48" s="22"/>
      <c r="E48" s="22"/>
      <c r="F48" s="22"/>
      <c r="G48" s="46"/>
      <c r="H48" s="17" t="str">
        <f t="shared" si="0"/>
        <v/>
      </c>
      <c r="I48" s="40"/>
    </row>
    <row r="49" spans="2:9">
      <c r="B49" s="13"/>
      <c r="C49" s="14"/>
      <c r="D49" s="22"/>
      <c r="E49" s="22"/>
      <c r="F49" s="22"/>
      <c r="G49" s="46"/>
      <c r="H49" s="17" t="str">
        <f t="shared" si="0"/>
        <v/>
      </c>
      <c r="I49" s="40"/>
    </row>
    <row r="50" spans="2:9">
      <c r="B50" s="21"/>
      <c r="C50" s="14"/>
      <c r="D50" s="22"/>
      <c r="E50" s="22"/>
      <c r="F50" s="22"/>
      <c r="G50" s="37"/>
      <c r="H50" s="17" t="str">
        <f t="shared" si="0"/>
        <v/>
      </c>
      <c r="I50" s="40"/>
    </row>
    <row r="51" spans="2:9">
      <c r="B51" s="13"/>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22"/>
      <c r="E53" s="22"/>
      <c r="F53" s="22"/>
      <c r="G53" s="37"/>
      <c r="H53" s="17" t="str">
        <f t="shared" si="0"/>
        <v/>
      </c>
      <c r="I53" s="40"/>
    </row>
    <row r="54" spans="2:9">
      <c r="B54" s="13"/>
      <c r="C54" s="14"/>
      <c r="D54" s="22"/>
      <c r="E54" s="22"/>
      <c r="F54" s="22"/>
      <c r="G54" s="37"/>
      <c r="H54" s="17" t="str">
        <f t="shared" si="0"/>
        <v/>
      </c>
      <c r="I54" s="40"/>
    </row>
    <row r="55" spans="2:9">
      <c r="B55" s="13"/>
      <c r="C55" s="14"/>
      <c r="D55" s="22"/>
      <c r="E55" s="22"/>
      <c r="F55" s="22"/>
      <c r="G55" s="37"/>
      <c r="H55" s="17" t="str">
        <f t="shared" si="0"/>
        <v/>
      </c>
      <c r="I55" s="40"/>
    </row>
    <row r="56" spans="2:9">
      <c r="B56" s="13"/>
      <c r="C56" s="14"/>
      <c r="D56" s="36"/>
      <c r="E56" s="36"/>
      <c r="F56" s="36"/>
      <c r="G56" s="37"/>
      <c r="H56" s="17" t="str">
        <f t="shared" si="0"/>
        <v/>
      </c>
    </row>
    <row r="57" spans="2:9">
      <c r="B57" s="13"/>
      <c r="C57" s="14"/>
      <c r="D57" s="22"/>
      <c r="E57" s="22"/>
      <c r="F57" s="22"/>
      <c r="G57" s="37"/>
      <c r="H57" s="17" t="str">
        <f t="shared" si="0"/>
        <v/>
      </c>
      <c r="I57" s="40"/>
    </row>
    <row r="58" spans="2:9">
      <c r="B58" s="21"/>
      <c r="C58" s="14"/>
      <c r="D58" s="36"/>
      <c r="E58" s="36"/>
      <c r="F58" s="36"/>
      <c r="G58" s="37"/>
      <c r="H58" s="17" t="str">
        <f t="shared" si="0"/>
        <v/>
      </c>
      <c r="I58" s="47"/>
    </row>
    <row r="59" spans="2:9">
      <c r="B59" s="13"/>
      <c r="C59" s="14"/>
      <c r="D59" s="36"/>
      <c r="E59" s="36"/>
      <c r="F59" s="36"/>
      <c r="G59" s="37"/>
      <c r="H59" s="17" t="str">
        <f t="shared" si="0"/>
        <v/>
      </c>
    </row>
    <row r="60" spans="2:9">
      <c r="B60" s="13"/>
      <c r="C60" s="14"/>
      <c r="D60" s="22"/>
      <c r="E60" s="22"/>
      <c r="F60" s="22"/>
      <c r="G60" s="37"/>
      <c r="H60" s="17" t="str">
        <f t="shared" si="0"/>
        <v/>
      </c>
      <c r="I60" s="40"/>
    </row>
    <row r="61" spans="2:9">
      <c r="B61" s="13"/>
      <c r="C61" s="14"/>
      <c r="D61" s="22"/>
      <c r="E61" s="22"/>
      <c r="F61" s="22"/>
      <c r="G61" s="37"/>
      <c r="H61" s="17" t="str">
        <f t="shared" si="0"/>
        <v/>
      </c>
      <c r="I61" s="40"/>
    </row>
    <row r="62" spans="2:9">
      <c r="B62" s="13"/>
      <c r="C62" s="14"/>
      <c r="D62" s="22"/>
      <c r="E62" s="22"/>
      <c r="F62" s="22"/>
      <c r="G62" s="37"/>
      <c r="H62" s="17" t="str">
        <f t="shared" si="0"/>
        <v/>
      </c>
      <c r="I62" s="40"/>
    </row>
    <row r="63" spans="2:9">
      <c r="B63" s="13"/>
      <c r="C63" s="14"/>
      <c r="D63" s="22"/>
      <c r="E63" s="22"/>
      <c r="F63" s="22"/>
      <c r="G63" s="37"/>
      <c r="H63" s="17" t="str">
        <f t="shared" si="0"/>
        <v/>
      </c>
      <c r="I63" s="40"/>
    </row>
    <row r="64" spans="2:9">
      <c r="B64" s="21"/>
      <c r="C64" s="14"/>
      <c r="D64" s="22"/>
      <c r="E64" s="22"/>
      <c r="F64" s="22"/>
      <c r="G64" s="37"/>
      <c r="H64" s="17" t="str">
        <f t="shared" si="0"/>
        <v/>
      </c>
      <c r="I64" s="40"/>
    </row>
    <row r="65" spans="2:9">
      <c r="B65" s="13"/>
      <c r="C65" s="14"/>
      <c r="D65" s="22"/>
      <c r="E65" s="22"/>
      <c r="F65" s="22"/>
      <c r="G65" s="37"/>
      <c r="H65" s="17" t="str">
        <f t="shared" si="0"/>
        <v/>
      </c>
      <c r="I65" s="40"/>
    </row>
    <row r="66" spans="2:9">
      <c r="B66" s="13"/>
      <c r="C66" s="14"/>
      <c r="D66" s="22"/>
      <c r="E66" s="22"/>
      <c r="F66" s="22"/>
      <c r="G66" s="37"/>
      <c r="H66" s="17" t="str">
        <f t="shared" si="0"/>
        <v/>
      </c>
      <c r="I66" s="40"/>
    </row>
    <row r="67" spans="2:9">
      <c r="B67" s="13"/>
      <c r="C67" s="14"/>
      <c r="D67" s="22"/>
      <c r="E67" s="22"/>
      <c r="F67" s="22"/>
      <c r="G67" s="37"/>
      <c r="H67" s="17" t="str">
        <f t="shared" si="0"/>
        <v/>
      </c>
      <c r="I67" s="40"/>
    </row>
    <row r="68" spans="2:9">
      <c r="B68" s="21"/>
      <c r="C68" s="14"/>
      <c r="D68" s="22"/>
      <c r="E68" s="22"/>
      <c r="F68" s="22"/>
      <c r="G68" s="37"/>
      <c r="H68" s="17" t="str">
        <f t="shared" si="0"/>
        <v/>
      </c>
      <c r="I68" s="40"/>
    </row>
    <row r="69" spans="2:9">
      <c r="B69" s="13"/>
      <c r="C69" s="14"/>
      <c r="D69" s="22"/>
      <c r="E69" s="22"/>
      <c r="F69" s="22"/>
      <c r="G69" s="37"/>
      <c r="H69" s="17" t="str">
        <f t="shared" si="0"/>
        <v/>
      </c>
      <c r="I69" s="40"/>
    </row>
    <row r="70" spans="2:9">
      <c r="B70" s="13"/>
      <c r="C70" s="14"/>
      <c r="D70" s="22"/>
      <c r="E70" s="22"/>
      <c r="F70" s="22"/>
      <c r="G70" s="37"/>
      <c r="H70" s="17" t="str">
        <f t="shared" si="0"/>
        <v/>
      </c>
      <c r="I70" s="40"/>
    </row>
    <row r="71" spans="2:9">
      <c r="B71" s="13"/>
      <c r="C71" s="14"/>
      <c r="D71" s="22"/>
      <c r="E71" s="22"/>
      <c r="F71" s="22"/>
      <c r="G71" s="37"/>
      <c r="H71" s="17" t="str">
        <f t="shared" si="0"/>
        <v/>
      </c>
      <c r="I71" s="40"/>
    </row>
    <row r="72" spans="2:9">
      <c r="B72" s="13"/>
      <c r="C72" s="14"/>
      <c r="D72" s="22"/>
      <c r="E72" s="22"/>
      <c r="F72" s="22"/>
      <c r="G72" s="37"/>
      <c r="H72" s="17" t="str">
        <f t="shared" si="0"/>
        <v/>
      </c>
      <c r="I72" s="40"/>
    </row>
    <row r="73" spans="2:9">
      <c r="B73" s="21"/>
      <c r="C73" s="14"/>
      <c r="D73" s="22"/>
      <c r="E73" s="22"/>
      <c r="F73" s="22"/>
      <c r="G73" s="37"/>
      <c r="H73" s="17" t="str">
        <f t="shared" si="0"/>
        <v/>
      </c>
      <c r="I73" s="40"/>
    </row>
    <row r="74" spans="2:9" s="28" customFormat="1" ht="24.95" customHeight="1">
      <c r="B74" s="82" t="str">
        <f>$B$10</f>
        <v>C14.8</v>
      </c>
      <c r="C74" s="29" t="s">
        <v>125</v>
      </c>
      <c r="D74" s="30"/>
      <c r="E74" s="30"/>
      <c r="F74" s="31"/>
      <c r="G74" s="30"/>
      <c r="H74" s="32">
        <f>SUM(H9:H73)</f>
        <v>0</v>
      </c>
      <c r="I74" s="33"/>
    </row>
  </sheetData>
  <mergeCells count="4">
    <mergeCell ref="F1:H1"/>
    <mergeCell ref="B5:G7"/>
    <mergeCell ref="H4:H7"/>
    <mergeCell ref="B4:G4"/>
  </mergeCells>
  <phoneticPr fontId="17" type="noConversion"/>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48"/>
  <dimension ref="B1:I149"/>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C14.9</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ht="25.5">
      <c r="B10" s="69" t="s">
        <v>2843</v>
      </c>
      <c r="C10" s="20" t="s">
        <v>2844</v>
      </c>
      <c r="D10" s="22"/>
      <c r="E10" s="22"/>
      <c r="F10" s="22"/>
      <c r="G10" s="39"/>
      <c r="H10" s="17" t="str">
        <f t="shared" ref="H10:H71" si="0">IF(D10="","",F10*G10)</f>
        <v/>
      </c>
      <c r="I10" s="40"/>
    </row>
    <row r="11" spans="2:9">
      <c r="B11" s="48"/>
      <c r="C11" s="14"/>
      <c r="D11" s="22"/>
      <c r="E11" s="22"/>
      <c r="F11" s="22"/>
      <c r="G11" s="39"/>
      <c r="H11" s="17" t="str">
        <f t="shared" si="0"/>
        <v/>
      </c>
      <c r="I11" s="40"/>
    </row>
    <row r="12" spans="2:9">
      <c r="B12" s="48" t="s">
        <v>2845</v>
      </c>
      <c r="C12" s="14" t="s">
        <v>2846</v>
      </c>
      <c r="D12" s="22" t="s">
        <v>347</v>
      </c>
      <c r="E12" s="22"/>
      <c r="F12" s="22"/>
      <c r="G12" s="39"/>
      <c r="H12" s="17">
        <f t="shared" si="0"/>
        <v>0</v>
      </c>
      <c r="I12" s="40"/>
    </row>
    <row r="13" spans="2:9">
      <c r="B13" s="48"/>
      <c r="C13" s="14"/>
      <c r="D13" s="22"/>
      <c r="E13" s="22"/>
      <c r="F13" s="22"/>
      <c r="G13" s="39"/>
      <c r="H13" s="17" t="str">
        <f t="shared" si="0"/>
        <v/>
      </c>
      <c r="I13" s="40"/>
    </row>
    <row r="14" spans="2:9" ht="25.5">
      <c r="B14" s="48" t="s">
        <v>2847</v>
      </c>
      <c r="C14" s="14" t="s">
        <v>2848</v>
      </c>
      <c r="D14" s="22" t="s">
        <v>85</v>
      </c>
      <c r="E14" s="22"/>
      <c r="F14" s="23"/>
      <c r="G14" s="24"/>
      <c r="H14" s="17">
        <f t="shared" si="0"/>
        <v>0</v>
      </c>
      <c r="I14" s="41"/>
    </row>
    <row r="15" spans="2:9">
      <c r="B15" s="69"/>
      <c r="C15" s="14"/>
      <c r="D15" s="22"/>
      <c r="E15" s="22"/>
      <c r="F15" s="23"/>
      <c r="G15" s="24"/>
      <c r="H15" s="17" t="str">
        <f t="shared" si="0"/>
        <v/>
      </c>
      <c r="I15" s="41"/>
    </row>
    <row r="16" spans="2:9">
      <c r="B16" s="48" t="s">
        <v>2849</v>
      </c>
      <c r="C16" s="14" t="s">
        <v>2850</v>
      </c>
      <c r="D16" s="22"/>
      <c r="E16" s="22"/>
      <c r="F16" s="23"/>
      <c r="G16" s="24"/>
      <c r="H16" s="17" t="str">
        <f t="shared" si="0"/>
        <v/>
      </c>
      <c r="I16" s="41"/>
    </row>
    <row r="17" spans="2:9">
      <c r="B17" s="69"/>
      <c r="C17" s="14"/>
      <c r="D17" s="22"/>
      <c r="E17" s="22"/>
      <c r="F17" s="23"/>
      <c r="G17" s="24"/>
      <c r="H17" s="17" t="str">
        <f t="shared" si="0"/>
        <v/>
      </c>
      <c r="I17" s="41"/>
    </row>
    <row r="18" spans="2:9">
      <c r="B18" s="48" t="s">
        <v>2851</v>
      </c>
      <c r="C18" s="14" t="s">
        <v>2852</v>
      </c>
      <c r="D18" s="22" t="s">
        <v>347</v>
      </c>
      <c r="E18" s="22"/>
      <c r="F18" s="23"/>
      <c r="G18" s="39"/>
      <c r="H18" s="17">
        <f t="shared" si="0"/>
        <v>0</v>
      </c>
      <c r="I18" s="40"/>
    </row>
    <row r="19" spans="2:9">
      <c r="B19" s="48"/>
      <c r="C19" s="14"/>
      <c r="D19" s="22"/>
      <c r="E19" s="22"/>
      <c r="F19" s="23"/>
      <c r="G19" s="42"/>
      <c r="H19" s="17" t="str">
        <f t="shared" si="0"/>
        <v/>
      </c>
      <c r="I19" s="40"/>
    </row>
    <row r="20" spans="2:9">
      <c r="B20" s="48" t="s">
        <v>2853</v>
      </c>
      <c r="C20" s="14" t="s">
        <v>2854</v>
      </c>
      <c r="D20" s="22"/>
      <c r="E20" s="36"/>
      <c r="F20" s="23"/>
      <c r="G20" s="44"/>
      <c r="H20" s="17" t="str">
        <f t="shared" si="0"/>
        <v/>
      </c>
    </row>
    <row r="21" spans="2:9">
      <c r="B21" s="48"/>
      <c r="C21" s="14"/>
      <c r="D21" s="22"/>
      <c r="E21" s="36"/>
      <c r="F21" s="23"/>
      <c r="G21" s="44"/>
      <c r="H21" s="17" t="str">
        <f t="shared" si="0"/>
        <v/>
      </c>
    </row>
    <row r="22" spans="2:9">
      <c r="B22" s="48" t="s">
        <v>2855</v>
      </c>
      <c r="C22" s="14" t="s">
        <v>2856</v>
      </c>
      <c r="D22" s="22" t="s">
        <v>85</v>
      </c>
      <c r="E22" s="36"/>
      <c r="F22" s="23"/>
      <c r="G22" s="37"/>
      <c r="H22" s="17">
        <f t="shared" si="0"/>
        <v>0</v>
      </c>
    </row>
    <row r="23" spans="2:9">
      <c r="B23" s="48"/>
      <c r="C23" s="14"/>
      <c r="D23" s="22"/>
      <c r="E23" s="36"/>
      <c r="F23" s="23"/>
      <c r="G23" s="44"/>
      <c r="H23" s="17" t="str">
        <f t="shared" si="0"/>
        <v/>
      </c>
    </row>
    <row r="24" spans="2:9">
      <c r="B24" s="48" t="s">
        <v>2857</v>
      </c>
      <c r="C24" s="14" t="s">
        <v>2858</v>
      </c>
      <c r="D24" s="22" t="s">
        <v>85</v>
      </c>
      <c r="E24" s="36"/>
      <c r="F24" s="23"/>
      <c r="G24" s="42"/>
      <c r="H24" s="17">
        <f t="shared" si="0"/>
        <v>0</v>
      </c>
    </row>
    <row r="25" spans="2:9">
      <c r="B25" s="48"/>
      <c r="C25" s="14"/>
      <c r="D25" s="22"/>
      <c r="E25" s="36"/>
      <c r="F25" s="23"/>
      <c r="G25" s="44"/>
      <c r="H25" s="17" t="str">
        <f t="shared" si="0"/>
        <v/>
      </c>
    </row>
    <row r="26" spans="2:9" ht="25.5">
      <c r="B26" s="48" t="s">
        <v>2859</v>
      </c>
      <c r="C26" s="14" t="s">
        <v>2860</v>
      </c>
      <c r="D26" s="22"/>
      <c r="E26" s="22"/>
      <c r="F26" s="23"/>
      <c r="G26" s="37"/>
      <c r="H26" s="17" t="str">
        <f t="shared" si="0"/>
        <v/>
      </c>
      <c r="I26" s="41"/>
    </row>
    <row r="27" spans="2:9">
      <c r="B27" s="48"/>
      <c r="C27" s="14"/>
      <c r="D27" s="22"/>
      <c r="E27" s="15"/>
      <c r="F27" s="26"/>
      <c r="G27" s="27"/>
      <c r="H27" s="17" t="str">
        <f t="shared" si="0"/>
        <v/>
      </c>
      <c r="I27" s="18"/>
    </row>
    <row r="28" spans="2:9" s="35" customFormat="1">
      <c r="B28" s="48" t="s">
        <v>2861</v>
      </c>
      <c r="C28" s="14" t="s">
        <v>2862</v>
      </c>
      <c r="D28" s="22" t="s">
        <v>85</v>
      </c>
      <c r="E28" s="15"/>
      <c r="F28" s="26"/>
      <c r="G28" s="27"/>
      <c r="H28" s="17">
        <f t="shared" si="0"/>
        <v>0</v>
      </c>
      <c r="I28" s="18"/>
    </row>
    <row r="29" spans="2:9">
      <c r="B29" s="48"/>
      <c r="C29" s="14"/>
      <c r="D29" s="22"/>
      <c r="E29" s="22"/>
      <c r="F29" s="23"/>
      <c r="G29" s="37"/>
      <c r="H29" s="17" t="str">
        <f t="shared" si="0"/>
        <v/>
      </c>
      <c r="I29" s="41"/>
    </row>
    <row r="30" spans="2:9">
      <c r="B30" s="48" t="s">
        <v>2863</v>
      </c>
      <c r="C30" s="14" t="s">
        <v>2858</v>
      </c>
      <c r="D30" s="22" t="s">
        <v>85</v>
      </c>
      <c r="E30" s="22"/>
      <c r="F30" s="23"/>
      <c r="G30" s="37"/>
      <c r="H30" s="17">
        <f t="shared" si="0"/>
        <v>0</v>
      </c>
      <c r="I30" s="41"/>
    </row>
    <row r="31" spans="2:9">
      <c r="B31" s="48"/>
      <c r="C31" s="14"/>
      <c r="D31" s="22"/>
      <c r="E31" s="22"/>
      <c r="F31" s="23"/>
      <c r="G31" s="45"/>
      <c r="H31" s="17" t="str">
        <f t="shared" si="0"/>
        <v/>
      </c>
      <c r="I31" s="40"/>
    </row>
    <row r="32" spans="2:9">
      <c r="B32" s="48" t="s">
        <v>2864</v>
      </c>
      <c r="C32" s="14" t="s">
        <v>2865</v>
      </c>
      <c r="D32" s="22" t="s">
        <v>347</v>
      </c>
      <c r="E32" s="22"/>
      <c r="F32" s="23"/>
      <c r="G32" s="45"/>
      <c r="H32" s="17">
        <f t="shared" si="0"/>
        <v>0</v>
      </c>
      <c r="I32" s="40"/>
    </row>
    <row r="33" spans="2:9">
      <c r="B33" s="48"/>
      <c r="C33" s="14"/>
      <c r="D33" s="22"/>
      <c r="E33" s="22"/>
      <c r="F33" s="23"/>
      <c r="G33" s="42"/>
      <c r="H33" s="17" t="str">
        <f t="shared" si="0"/>
        <v/>
      </c>
      <c r="I33" s="40"/>
    </row>
    <row r="34" spans="2:9" ht="25.5">
      <c r="B34" s="48" t="s">
        <v>2866</v>
      </c>
      <c r="C34" s="14" t="s">
        <v>2867</v>
      </c>
      <c r="D34" s="22" t="s">
        <v>124</v>
      </c>
      <c r="E34" s="22"/>
      <c r="F34" s="23"/>
      <c r="G34" s="42"/>
      <c r="H34" s="17">
        <f t="shared" si="0"/>
        <v>0</v>
      </c>
      <c r="I34" s="40"/>
    </row>
    <row r="35" spans="2:9">
      <c r="B35" s="48"/>
      <c r="C35" s="14"/>
      <c r="D35" s="22"/>
      <c r="E35" s="22"/>
      <c r="F35" s="22"/>
      <c r="G35" s="39"/>
      <c r="H35" s="17" t="str">
        <f t="shared" si="0"/>
        <v/>
      </c>
      <c r="I35" s="40"/>
    </row>
    <row r="36" spans="2:9" ht="25.5">
      <c r="B36" s="48" t="s">
        <v>2868</v>
      </c>
      <c r="C36" s="14" t="s">
        <v>2869</v>
      </c>
      <c r="D36" s="22" t="s">
        <v>85</v>
      </c>
      <c r="E36" s="22"/>
      <c r="F36" s="22"/>
      <c r="G36" s="39"/>
      <c r="H36" s="17">
        <f t="shared" si="0"/>
        <v>0</v>
      </c>
      <c r="I36" s="40"/>
    </row>
    <row r="37" spans="2:9">
      <c r="B37" s="48"/>
      <c r="C37" s="14"/>
      <c r="D37" s="22"/>
      <c r="E37" s="22"/>
      <c r="F37" s="22"/>
      <c r="G37" s="37"/>
      <c r="H37" s="17" t="str">
        <f t="shared" si="0"/>
        <v/>
      </c>
      <c r="I37" s="40"/>
    </row>
    <row r="38" spans="2:9">
      <c r="B38" s="48" t="s">
        <v>2870</v>
      </c>
      <c r="C38" s="14" t="s">
        <v>2871</v>
      </c>
      <c r="D38" s="22"/>
      <c r="E38" s="22"/>
      <c r="F38" s="22"/>
      <c r="G38" s="37"/>
      <c r="H38" s="17" t="str">
        <f t="shared" si="0"/>
        <v/>
      </c>
      <c r="I38" s="40"/>
    </row>
    <row r="39" spans="2:9">
      <c r="B39" s="48"/>
      <c r="C39" s="14"/>
      <c r="D39" s="22"/>
      <c r="E39" s="22"/>
      <c r="F39" s="22"/>
      <c r="G39" s="37"/>
      <c r="H39" s="17" t="str">
        <f t="shared" si="0"/>
        <v/>
      </c>
      <c r="I39" s="40"/>
    </row>
    <row r="40" spans="2:9">
      <c r="B40" s="48" t="s">
        <v>2872</v>
      </c>
      <c r="C40" s="14" t="s">
        <v>2873</v>
      </c>
      <c r="D40" s="22" t="s">
        <v>85</v>
      </c>
      <c r="E40" s="22"/>
      <c r="F40" s="22"/>
      <c r="G40" s="37"/>
      <c r="H40" s="17">
        <f t="shared" si="0"/>
        <v>0</v>
      </c>
      <c r="I40" s="40"/>
    </row>
    <row r="41" spans="2:9">
      <c r="B41" s="48"/>
      <c r="C41" s="14"/>
      <c r="D41" s="22"/>
      <c r="E41" s="22"/>
      <c r="F41" s="22"/>
      <c r="G41" s="37"/>
      <c r="H41" s="17" t="str">
        <f t="shared" si="0"/>
        <v/>
      </c>
      <c r="I41" s="40"/>
    </row>
    <row r="42" spans="2:9">
      <c r="B42" s="48" t="s">
        <v>2874</v>
      </c>
      <c r="C42" s="14" t="s">
        <v>2875</v>
      </c>
      <c r="D42" s="22" t="s">
        <v>85</v>
      </c>
      <c r="E42" s="22"/>
      <c r="F42" s="22"/>
      <c r="G42" s="37"/>
      <c r="H42" s="17">
        <f t="shared" si="0"/>
        <v>0</v>
      </c>
      <c r="I42" s="40"/>
    </row>
    <row r="43" spans="2:9">
      <c r="B43" s="48"/>
      <c r="C43" s="14"/>
      <c r="D43" s="22"/>
      <c r="E43" s="22"/>
      <c r="F43" s="22"/>
      <c r="G43" s="37"/>
      <c r="H43" s="17" t="str">
        <f t="shared" si="0"/>
        <v/>
      </c>
      <c r="I43" s="40"/>
    </row>
    <row r="44" spans="2:9" ht="25.5">
      <c r="B44" s="48" t="s">
        <v>2876</v>
      </c>
      <c r="C44" s="14" t="s">
        <v>2877</v>
      </c>
      <c r="D44" s="22" t="s">
        <v>85</v>
      </c>
      <c r="E44" s="22"/>
      <c r="F44" s="22"/>
      <c r="G44" s="37"/>
      <c r="H44" s="17">
        <f t="shared" si="0"/>
        <v>0</v>
      </c>
      <c r="I44" s="40"/>
    </row>
    <row r="45" spans="2:9">
      <c r="B45" s="48"/>
      <c r="C45" s="14"/>
      <c r="D45" s="22"/>
      <c r="E45" s="22"/>
      <c r="F45" s="22"/>
      <c r="G45" s="46"/>
      <c r="H45" s="17" t="str">
        <f t="shared" si="0"/>
        <v/>
      </c>
      <c r="I45" s="40"/>
    </row>
    <row r="46" spans="2:9" ht="25.5">
      <c r="B46" s="48" t="s">
        <v>2878</v>
      </c>
      <c r="C46" s="14" t="s">
        <v>2879</v>
      </c>
      <c r="D46" s="22" t="s">
        <v>85</v>
      </c>
      <c r="E46" s="22"/>
      <c r="F46" s="22"/>
      <c r="G46" s="46"/>
      <c r="H46" s="17">
        <f t="shared" si="0"/>
        <v>0</v>
      </c>
      <c r="I46" s="40"/>
    </row>
    <row r="47" spans="2:9">
      <c r="B47" s="48"/>
      <c r="C47" s="14"/>
      <c r="D47" s="22"/>
      <c r="E47" s="22"/>
      <c r="F47" s="22"/>
      <c r="G47" s="37"/>
      <c r="H47" s="17" t="str">
        <f t="shared" si="0"/>
        <v/>
      </c>
      <c r="I47" s="40"/>
    </row>
    <row r="48" spans="2:9">
      <c r="B48" s="48" t="s">
        <v>2880</v>
      </c>
      <c r="C48" s="14" t="s">
        <v>2881</v>
      </c>
      <c r="D48" s="22"/>
      <c r="E48" s="22"/>
      <c r="F48" s="22"/>
      <c r="G48" s="37"/>
      <c r="H48" s="17" t="str">
        <f t="shared" si="0"/>
        <v/>
      </c>
      <c r="I48" s="40"/>
    </row>
    <row r="49" spans="2:9">
      <c r="B49" s="48"/>
      <c r="C49" s="14"/>
      <c r="D49" s="22"/>
      <c r="E49" s="22"/>
      <c r="F49" s="22"/>
      <c r="G49" s="37"/>
      <c r="H49" s="17" t="str">
        <f t="shared" si="0"/>
        <v/>
      </c>
      <c r="I49" s="40"/>
    </row>
    <row r="50" spans="2:9">
      <c r="B50" s="48" t="s">
        <v>2882</v>
      </c>
      <c r="C50" s="14" t="s">
        <v>2883</v>
      </c>
      <c r="D50" s="22" t="s">
        <v>85</v>
      </c>
      <c r="E50" s="22"/>
      <c r="F50" s="22"/>
      <c r="G50" s="37"/>
      <c r="H50" s="17">
        <f t="shared" si="0"/>
        <v>0</v>
      </c>
      <c r="I50" s="40"/>
    </row>
    <row r="51" spans="2:9">
      <c r="B51" s="48"/>
      <c r="C51" s="14"/>
      <c r="D51" s="22"/>
      <c r="E51" s="22"/>
      <c r="F51" s="22"/>
      <c r="G51" s="37"/>
      <c r="H51" s="17" t="str">
        <f t="shared" si="0"/>
        <v/>
      </c>
      <c r="I51" s="40"/>
    </row>
    <row r="52" spans="2:9">
      <c r="B52" s="48" t="s">
        <v>2884</v>
      </c>
      <c r="C52" s="14" t="s">
        <v>2885</v>
      </c>
      <c r="D52" s="22" t="s">
        <v>85</v>
      </c>
      <c r="E52" s="22"/>
      <c r="F52" s="22"/>
      <c r="G52" s="37"/>
      <c r="H52" s="17">
        <f t="shared" si="0"/>
        <v>0</v>
      </c>
      <c r="I52" s="40"/>
    </row>
    <row r="53" spans="2:9">
      <c r="B53" s="48"/>
      <c r="C53" s="14"/>
      <c r="D53" s="36"/>
      <c r="E53" s="36"/>
      <c r="F53" s="36"/>
      <c r="G53" s="37"/>
      <c r="H53" s="17" t="str">
        <f t="shared" si="0"/>
        <v/>
      </c>
    </row>
    <row r="54" spans="2:9">
      <c r="B54" s="48" t="s">
        <v>2886</v>
      </c>
      <c r="C54" s="14" t="s">
        <v>2887</v>
      </c>
      <c r="D54" s="22" t="s">
        <v>85</v>
      </c>
      <c r="E54" s="22"/>
      <c r="F54" s="22"/>
      <c r="G54" s="37"/>
      <c r="H54" s="17">
        <f t="shared" si="0"/>
        <v>0</v>
      </c>
      <c r="I54" s="40"/>
    </row>
    <row r="55" spans="2:9">
      <c r="B55" s="48"/>
      <c r="C55" s="14"/>
      <c r="D55" s="36"/>
      <c r="E55" s="36"/>
      <c r="F55" s="36"/>
      <c r="G55" s="37"/>
      <c r="H55" s="17" t="str">
        <f t="shared" si="0"/>
        <v/>
      </c>
      <c r="I55" s="47"/>
    </row>
    <row r="56" spans="2:9">
      <c r="B56" s="48" t="s">
        <v>2888</v>
      </c>
      <c r="C56" s="14" t="s">
        <v>2889</v>
      </c>
      <c r="D56" s="22"/>
      <c r="E56" s="36"/>
      <c r="F56" s="36"/>
      <c r="G56" s="37"/>
      <c r="H56" s="17" t="str">
        <f t="shared" si="0"/>
        <v/>
      </c>
    </row>
    <row r="57" spans="2:9">
      <c r="B57" s="48"/>
      <c r="C57" s="14"/>
      <c r="D57" s="22"/>
      <c r="E57" s="22"/>
      <c r="F57" s="22"/>
      <c r="G57" s="37"/>
      <c r="H57" s="17" t="str">
        <f t="shared" si="0"/>
        <v/>
      </c>
      <c r="I57" s="40"/>
    </row>
    <row r="58" spans="2:9">
      <c r="B58" s="48" t="s">
        <v>2890</v>
      </c>
      <c r="C58" s="14" t="s">
        <v>2891</v>
      </c>
      <c r="D58" s="22" t="s">
        <v>85</v>
      </c>
      <c r="E58" s="22"/>
      <c r="F58" s="22"/>
      <c r="G58" s="37"/>
      <c r="H58" s="17">
        <f t="shared" si="0"/>
        <v>0</v>
      </c>
      <c r="I58" s="40"/>
    </row>
    <row r="59" spans="2:9">
      <c r="B59" s="48"/>
      <c r="C59" s="14"/>
      <c r="D59" s="22"/>
      <c r="E59" s="22"/>
      <c r="F59" s="22"/>
      <c r="G59" s="37"/>
      <c r="H59" s="17" t="str">
        <f t="shared" si="0"/>
        <v/>
      </c>
      <c r="I59" s="40"/>
    </row>
    <row r="60" spans="2:9">
      <c r="B60" s="48" t="s">
        <v>2892</v>
      </c>
      <c r="C60" s="14" t="s">
        <v>2893</v>
      </c>
      <c r="D60" s="22" t="s">
        <v>85</v>
      </c>
      <c r="E60" s="22"/>
      <c r="F60" s="22"/>
      <c r="G60" s="37"/>
      <c r="H60" s="17">
        <f t="shared" si="0"/>
        <v>0</v>
      </c>
      <c r="I60" s="40"/>
    </row>
    <row r="61" spans="2:9">
      <c r="B61" s="48"/>
      <c r="C61" s="14"/>
      <c r="D61" s="22"/>
      <c r="E61" s="22"/>
      <c r="F61" s="22"/>
      <c r="G61" s="37"/>
      <c r="H61" s="17" t="str">
        <f t="shared" si="0"/>
        <v/>
      </c>
      <c r="I61" s="40"/>
    </row>
    <row r="62" spans="2:9">
      <c r="B62" s="48" t="s">
        <v>2894</v>
      </c>
      <c r="C62" s="14" t="s">
        <v>2895</v>
      </c>
      <c r="D62" s="22"/>
      <c r="E62" s="22"/>
      <c r="F62" s="22"/>
      <c r="G62" s="37"/>
      <c r="H62" s="17" t="str">
        <f t="shared" si="0"/>
        <v/>
      </c>
      <c r="I62" s="40"/>
    </row>
    <row r="63" spans="2:9">
      <c r="B63" s="48"/>
      <c r="C63" s="14"/>
      <c r="D63" s="22"/>
      <c r="E63" s="22"/>
      <c r="F63" s="22"/>
      <c r="G63" s="37"/>
      <c r="H63" s="17" t="str">
        <f t="shared" si="0"/>
        <v/>
      </c>
      <c r="I63" s="40"/>
    </row>
    <row r="64" spans="2:9">
      <c r="B64" s="48" t="s">
        <v>2896</v>
      </c>
      <c r="C64" s="14" t="s">
        <v>2897</v>
      </c>
      <c r="D64" s="22" t="s">
        <v>347</v>
      </c>
      <c r="E64" s="22"/>
      <c r="F64" s="22"/>
      <c r="G64" s="37"/>
      <c r="H64" s="17">
        <f t="shared" si="0"/>
        <v>0</v>
      </c>
      <c r="I64" s="40"/>
    </row>
    <row r="65" spans="2:9">
      <c r="B65" s="48"/>
      <c r="C65" s="14"/>
      <c r="D65" s="22"/>
      <c r="E65" s="22"/>
      <c r="F65" s="22"/>
      <c r="G65" s="37"/>
      <c r="H65" s="17" t="str">
        <f t="shared" si="0"/>
        <v/>
      </c>
      <c r="I65" s="40"/>
    </row>
    <row r="66" spans="2:9">
      <c r="B66" s="48" t="s">
        <v>2898</v>
      </c>
      <c r="C66" s="14" t="s">
        <v>2897</v>
      </c>
      <c r="D66" s="22" t="s">
        <v>85</v>
      </c>
      <c r="E66" s="22"/>
      <c r="F66" s="22"/>
      <c r="G66" s="37"/>
      <c r="H66" s="17">
        <f t="shared" si="0"/>
        <v>0</v>
      </c>
      <c r="I66" s="40"/>
    </row>
    <row r="67" spans="2:9">
      <c r="B67" s="48"/>
      <c r="C67" s="14"/>
      <c r="D67" s="22"/>
      <c r="E67" s="22"/>
      <c r="F67" s="22"/>
      <c r="G67" s="37"/>
      <c r="H67" s="17" t="str">
        <f t="shared" si="0"/>
        <v/>
      </c>
      <c r="I67" s="40"/>
    </row>
    <row r="68" spans="2:9" ht="14.25">
      <c r="B68" s="48" t="s">
        <v>2899</v>
      </c>
      <c r="C68" s="14" t="s">
        <v>2897</v>
      </c>
      <c r="D68" s="22" t="s">
        <v>124</v>
      </c>
      <c r="E68" s="22"/>
      <c r="F68" s="22"/>
      <c r="G68" s="37"/>
      <c r="H68" s="17">
        <f t="shared" si="0"/>
        <v>0</v>
      </c>
      <c r="I68" s="40"/>
    </row>
    <row r="69" spans="2:9">
      <c r="B69" s="48"/>
      <c r="C69" s="14"/>
      <c r="D69" s="22"/>
      <c r="E69" s="22"/>
      <c r="F69" s="22"/>
      <c r="G69" s="37"/>
      <c r="H69" s="17" t="str">
        <f t="shared" si="0"/>
        <v/>
      </c>
      <c r="I69" s="40"/>
    </row>
    <row r="70" spans="2:9">
      <c r="B70" s="48"/>
      <c r="C70" s="14"/>
      <c r="D70" s="22"/>
      <c r="E70" s="22"/>
      <c r="F70" s="22"/>
      <c r="G70" s="37"/>
      <c r="H70" s="17" t="str">
        <f t="shared" si="0"/>
        <v/>
      </c>
      <c r="I70" s="40"/>
    </row>
    <row r="71" spans="2:9">
      <c r="B71" s="48"/>
      <c r="C71" s="14"/>
      <c r="D71" s="22"/>
      <c r="E71" s="22"/>
      <c r="F71" s="22"/>
      <c r="G71" s="37"/>
      <c r="H71" s="17" t="str">
        <f t="shared" si="0"/>
        <v/>
      </c>
      <c r="I71" s="40"/>
    </row>
    <row r="72" spans="2:9" s="28" customFormat="1" ht="19.5" customHeight="1">
      <c r="B72" s="101" t="str">
        <f>$B$10</f>
        <v>C14.9</v>
      </c>
      <c r="C72" s="29" t="s">
        <v>99</v>
      </c>
      <c r="D72" s="30"/>
      <c r="E72" s="30"/>
      <c r="F72" s="31"/>
      <c r="G72" s="30"/>
      <c r="H72" s="32">
        <f>SUM(H9:H71)</f>
        <v>0</v>
      </c>
      <c r="I72" s="33"/>
    </row>
    <row r="73" spans="2:9">
      <c r="B73" s="736" t="str">
        <f>Client1</f>
        <v>AIRPORTS COMPANY - SOUTH AFRICA</v>
      </c>
      <c r="C73" s="736"/>
      <c r="D73" s="736"/>
      <c r="E73" s="736"/>
      <c r="F73" s="737" t="str">
        <f>"Contract No. "&amp;ContractNo</f>
        <v>Contract No. KSIA7806/2025/RFP</v>
      </c>
      <c r="G73" s="737"/>
      <c r="H73" s="737"/>
    </row>
    <row r="74" spans="2:9">
      <c r="B74" s="736" t="str">
        <f>Client2</f>
        <v>ACSA</v>
      </c>
      <c r="C74" s="736"/>
      <c r="D74" s="736"/>
      <c r="E74" s="736"/>
      <c r="F74" s="737"/>
      <c r="G74" s="737"/>
      <c r="H74" s="737"/>
    </row>
    <row r="75" spans="2:9">
      <c r="B75" s="739"/>
      <c r="C75" s="739"/>
      <c r="D75" s="739"/>
      <c r="E75" s="739"/>
      <c r="F75" s="738"/>
      <c r="G75" s="738"/>
      <c r="H75" s="738"/>
    </row>
    <row r="76" spans="2:9">
      <c r="B76" s="695" t="s">
        <v>456</v>
      </c>
      <c r="C76" s="696"/>
      <c r="D76" s="696"/>
      <c r="E76" s="696"/>
      <c r="F76" s="696"/>
      <c r="G76" s="696"/>
      <c r="H76" s="740" t="str">
        <f>$H$4</f>
        <v>CHAPTER C14.9</v>
      </c>
      <c r="I76" s="6"/>
    </row>
    <row r="77" spans="2:9">
      <c r="B77" s="690" t="str">
        <f>ContractDescription</f>
        <v>PROCUREMENT OF A CIDB GRADE 9 CE CONTRACTOR THE COMPLETION OF BRAVO TAXIWAY EXTENSION AT KING SHAKA INTERNATIONAL AIRPORT FOR A PERIOD OF 12 MONTHS AT KING SHAKA INTERNATIONAL AIRPORT</v>
      </c>
      <c r="C77" s="691"/>
      <c r="D77" s="691"/>
      <c r="E77" s="691"/>
      <c r="F77" s="691"/>
      <c r="G77" s="691"/>
      <c r="H77" s="737"/>
      <c r="I77" s="8"/>
    </row>
    <row r="78" spans="2:9">
      <c r="B78" s="690"/>
      <c r="C78" s="691"/>
      <c r="D78" s="691"/>
      <c r="E78" s="691"/>
      <c r="F78" s="691"/>
      <c r="G78" s="691"/>
      <c r="H78" s="737"/>
      <c r="I78" s="8"/>
    </row>
    <row r="79" spans="2:9">
      <c r="B79" s="692"/>
      <c r="C79" s="693"/>
      <c r="D79" s="693"/>
      <c r="E79" s="693"/>
      <c r="F79" s="693"/>
      <c r="G79" s="693"/>
      <c r="H79" s="738"/>
      <c r="I79" s="8"/>
    </row>
    <row r="80" spans="2:9" s="9" customFormat="1" ht="24.95" customHeight="1">
      <c r="B80" s="70" t="s">
        <v>11</v>
      </c>
      <c r="C80" s="11" t="s">
        <v>12</v>
      </c>
      <c r="D80" s="11" t="s">
        <v>13</v>
      </c>
      <c r="E80" s="11" t="s">
        <v>14</v>
      </c>
      <c r="F80" s="11" t="s">
        <v>15</v>
      </c>
      <c r="G80" s="11" t="s">
        <v>16</v>
      </c>
      <c r="H80" s="11" t="s">
        <v>17</v>
      </c>
      <c r="I80" s="12"/>
    </row>
    <row r="81" spans="2:9" s="28" customFormat="1" ht="19.5" customHeight="1">
      <c r="B81" s="74"/>
      <c r="C81" s="29" t="s">
        <v>140</v>
      </c>
      <c r="D81" s="30"/>
      <c r="E81" s="30"/>
      <c r="F81" s="31"/>
      <c r="G81" s="30"/>
      <c r="H81" s="32">
        <f>H72</f>
        <v>0</v>
      </c>
      <c r="I81" s="33"/>
    </row>
    <row r="82" spans="2:9">
      <c r="B82" s="48"/>
      <c r="C82" s="14"/>
      <c r="D82" s="22"/>
      <c r="E82" s="22"/>
      <c r="F82" s="22"/>
      <c r="G82" s="37"/>
      <c r="H82" s="17" t="str">
        <f t="shared" ref="H82:H144" si="1">IF(D82="","",F82*G82)</f>
        <v/>
      </c>
      <c r="I82" s="40"/>
    </row>
    <row r="83" spans="2:9">
      <c r="B83" s="48" t="s">
        <v>2900</v>
      </c>
      <c r="C83" s="14" t="s">
        <v>2901</v>
      </c>
      <c r="D83" s="22"/>
      <c r="E83" s="22"/>
      <c r="F83" s="22"/>
      <c r="G83" s="37"/>
      <c r="H83" s="17" t="str">
        <f t="shared" si="1"/>
        <v/>
      </c>
      <c r="I83" s="40"/>
    </row>
    <row r="84" spans="2:9">
      <c r="B84" s="48"/>
      <c r="C84" s="14"/>
      <c r="D84" s="22"/>
      <c r="E84" s="22"/>
      <c r="F84" s="22"/>
      <c r="G84" s="37"/>
      <c r="H84" s="17" t="str">
        <f t="shared" si="1"/>
        <v/>
      </c>
      <c r="I84" s="40"/>
    </row>
    <row r="85" spans="2:9">
      <c r="B85" s="48" t="s">
        <v>2902</v>
      </c>
      <c r="C85" s="14" t="s">
        <v>2897</v>
      </c>
      <c r="D85" s="22" t="s">
        <v>347</v>
      </c>
      <c r="E85" s="22"/>
      <c r="F85" s="22"/>
      <c r="G85" s="37"/>
      <c r="H85" s="17">
        <f t="shared" si="1"/>
        <v>0</v>
      </c>
      <c r="I85" s="40"/>
    </row>
    <row r="86" spans="2:9">
      <c r="B86" s="48"/>
      <c r="C86" s="14"/>
      <c r="D86" s="22"/>
      <c r="E86" s="22"/>
      <c r="F86" s="22"/>
      <c r="G86" s="37"/>
      <c r="H86" s="17" t="str">
        <f t="shared" si="1"/>
        <v/>
      </c>
      <c r="I86" s="40"/>
    </row>
    <row r="87" spans="2:9" ht="14.25">
      <c r="B87" s="48" t="s">
        <v>2903</v>
      </c>
      <c r="C87" s="14" t="s">
        <v>2897</v>
      </c>
      <c r="D87" s="22" t="s">
        <v>124</v>
      </c>
      <c r="E87" s="22"/>
      <c r="F87" s="22"/>
      <c r="G87" s="37"/>
      <c r="H87" s="17">
        <f t="shared" si="1"/>
        <v>0</v>
      </c>
      <c r="I87" s="40"/>
    </row>
    <row r="88" spans="2:9">
      <c r="B88" s="48"/>
      <c r="C88" s="14"/>
      <c r="D88" s="22"/>
      <c r="E88" s="22"/>
      <c r="F88" s="22"/>
      <c r="G88" s="37"/>
      <c r="H88" s="17" t="str">
        <f t="shared" si="1"/>
        <v/>
      </c>
      <c r="I88" s="40"/>
    </row>
    <row r="89" spans="2:9">
      <c r="B89" s="48" t="s">
        <v>2904</v>
      </c>
      <c r="C89" s="14" t="s">
        <v>2905</v>
      </c>
      <c r="D89" s="22" t="s">
        <v>52</v>
      </c>
      <c r="E89" s="22"/>
      <c r="F89" s="22"/>
      <c r="G89" s="37"/>
      <c r="H89" s="17">
        <f t="shared" si="1"/>
        <v>0</v>
      </c>
      <c r="I89" s="40"/>
    </row>
    <row r="90" spans="2:9">
      <c r="B90" s="48"/>
      <c r="C90" s="14"/>
      <c r="D90" s="22"/>
      <c r="E90" s="22"/>
      <c r="F90" s="22"/>
      <c r="G90" s="37"/>
      <c r="H90" s="17" t="str">
        <f t="shared" si="1"/>
        <v/>
      </c>
      <c r="I90" s="40"/>
    </row>
    <row r="91" spans="2:9">
      <c r="B91" s="48"/>
      <c r="C91" s="14"/>
      <c r="D91" s="22"/>
      <c r="E91" s="22"/>
      <c r="F91" s="22"/>
      <c r="G91" s="37"/>
      <c r="H91" s="17" t="str">
        <f t="shared" si="1"/>
        <v/>
      </c>
      <c r="I91" s="40"/>
    </row>
    <row r="92" spans="2:9">
      <c r="B92" s="48"/>
      <c r="C92" s="14"/>
      <c r="D92" s="22"/>
      <c r="E92" s="22"/>
      <c r="F92" s="22"/>
      <c r="G92" s="37"/>
      <c r="H92" s="17" t="str">
        <f t="shared" si="1"/>
        <v/>
      </c>
      <c r="I92" s="40"/>
    </row>
    <row r="93" spans="2:9">
      <c r="B93" s="48"/>
      <c r="C93" s="14"/>
      <c r="D93" s="22"/>
      <c r="E93" s="22"/>
      <c r="F93" s="22"/>
      <c r="G93" s="37"/>
      <c r="H93" s="17" t="str">
        <f t="shared" si="1"/>
        <v/>
      </c>
      <c r="I93" s="40"/>
    </row>
    <row r="94" spans="2:9">
      <c r="B94" s="48"/>
      <c r="C94" s="14"/>
      <c r="D94" s="22"/>
      <c r="E94" s="22"/>
      <c r="F94" s="22"/>
      <c r="G94" s="37"/>
      <c r="H94" s="17" t="str">
        <f t="shared" si="1"/>
        <v/>
      </c>
      <c r="I94" s="40"/>
    </row>
    <row r="95" spans="2:9">
      <c r="B95" s="48"/>
      <c r="C95" s="14"/>
      <c r="D95" s="22"/>
      <c r="E95" s="22"/>
      <c r="F95" s="22"/>
      <c r="G95" s="37"/>
      <c r="H95" s="17" t="str">
        <f t="shared" si="1"/>
        <v/>
      </c>
      <c r="I95" s="40"/>
    </row>
    <row r="96" spans="2:9">
      <c r="B96" s="48"/>
      <c r="C96" s="14"/>
      <c r="D96" s="22"/>
      <c r="E96" s="22"/>
      <c r="F96" s="22"/>
      <c r="G96" s="37"/>
      <c r="H96" s="17" t="str">
        <f t="shared" si="1"/>
        <v/>
      </c>
      <c r="I96" s="40"/>
    </row>
    <row r="97" spans="2:9">
      <c r="B97" s="48"/>
      <c r="C97" s="14"/>
      <c r="D97" s="22"/>
      <c r="E97" s="22"/>
      <c r="F97" s="22"/>
      <c r="G97" s="37"/>
      <c r="H97" s="17" t="str">
        <f t="shared" si="1"/>
        <v/>
      </c>
      <c r="I97" s="40"/>
    </row>
    <row r="98" spans="2:9">
      <c r="B98" s="48"/>
      <c r="C98" s="14"/>
      <c r="D98" s="22"/>
      <c r="E98" s="22"/>
      <c r="F98" s="22"/>
      <c r="G98" s="37"/>
      <c r="H98" s="17" t="str">
        <f t="shared" si="1"/>
        <v/>
      </c>
      <c r="I98" s="40"/>
    </row>
    <row r="99" spans="2:9">
      <c r="B99" s="48"/>
      <c r="C99" s="14"/>
      <c r="D99" s="22"/>
      <c r="E99" s="22"/>
      <c r="F99" s="22"/>
      <c r="G99" s="37"/>
      <c r="H99" s="17" t="str">
        <f t="shared" si="1"/>
        <v/>
      </c>
      <c r="I99" s="40"/>
    </row>
    <row r="100" spans="2:9">
      <c r="B100" s="48"/>
      <c r="C100" s="14"/>
      <c r="D100" s="22"/>
      <c r="E100" s="22"/>
      <c r="F100" s="22"/>
      <c r="G100" s="37"/>
      <c r="H100" s="17" t="str">
        <f t="shared" si="1"/>
        <v/>
      </c>
      <c r="I100" s="40"/>
    </row>
    <row r="101" spans="2:9">
      <c r="B101" s="48"/>
      <c r="C101" s="14"/>
      <c r="D101" s="22"/>
      <c r="E101" s="22"/>
      <c r="F101" s="22"/>
      <c r="G101" s="37"/>
      <c r="H101" s="17" t="str">
        <f t="shared" si="1"/>
        <v/>
      </c>
      <c r="I101" s="40"/>
    </row>
    <row r="102" spans="2:9">
      <c r="B102" s="48"/>
      <c r="C102" s="14"/>
      <c r="D102" s="22"/>
      <c r="E102" s="22"/>
      <c r="F102" s="22"/>
      <c r="G102" s="37"/>
      <c r="H102" s="17" t="str">
        <f t="shared" si="1"/>
        <v/>
      </c>
      <c r="I102" s="40"/>
    </row>
    <row r="103" spans="2:9">
      <c r="B103" s="48"/>
      <c r="C103" s="14"/>
      <c r="D103" s="22"/>
      <c r="E103" s="22"/>
      <c r="F103" s="22"/>
      <c r="G103" s="37"/>
      <c r="H103" s="17" t="str">
        <f t="shared" si="1"/>
        <v/>
      </c>
      <c r="I103" s="40"/>
    </row>
    <row r="104" spans="2:9">
      <c r="B104" s="48"/>
      <c r="C104" s="14"/>
      <c r="D104" s="22"/>
      <c r="E104" s="22"/>
      <c r="F104" s="22"/>
      <c r="G104" s="37"/>
      <c r="H104" s="17" t="str">
        <f t="shared" si="1"/>
        <v/>
      </c>
      <c r="I104" s="40"/>
    </row>
    <row r="105" spans="2:9">
      <c r="B105" s="48"/>
      <c r="C105" s="14"/>
      <c r="D105" s="22"/>
      <c r="E105" s="22"/>
      <c r="F105" s="22"/>
      <c r="G105" s="37"/>
      <c r="H105" s="17" t="str">
        <f t="shared" si="1"/>
        <v/>
      </c>
      <c r="I105" s="40"/>
    </row>
    <row r="106" spans="2:9">
      <c r="B106" s="48"/>
      <c r="C106" s="14"/>
      <c r="D106" s="22"/>
      <c r="E106" s="22"/>
      <c r="F106" s="22"/>
      <c r="G106" s="37"/>
      <c r="H106" s="17" t="str">
        <f t="shared" si="1"/>
        <v/>
      </c>
      <c r="I106" s="40"/>
    </row>
    <row r="107" spans="2:9">
      <c r="B107" s="48"/>
      <c r="C107" s="14"/>
      <c r="D107" s="22"/>
      <c r="E107" s="22"/>
      <c r="F107" s="22"/>
      <c r="G107" s="37"/>
      <c r="H107" s="17" t="str">
        <f t="shared" si="1"/>
        <v/>
      </c>
      <c r="I107" s="40"/>
    </row>
    <row r="108" spans="2:9">
      <c r="B108" s="48"/>
      <c r="C108" s="14"/>
      <c r="D108" s="22"/>
      <c r="E108" s="22"/>
      <c r="F108" s="22"/>
      <c r="G108" s="37"/>
      <c r="H108" s="17" t="str">
        <f t="shared" si="1"/>
        <v/>
      </c>
      <c r="I108" s="40"/>
    </row>
    <row r="109" spans="2:9">
      <c r="B109" s="48"/>
      <c r="C109" s="14"/>
      <c r="D109" s="22"/>
      <c r="E109" s="22"/>
      <c r="F109" s="22"/>
      <c r="G109" s="37"/>
      <c r="H109" s="17" t="str">
        <f t="shared" si="1"/>
        <v/>
      </c>
      <c r="I109" s="40"/>
    </row>
    <row r="110" spans="2:9">
      <c r="B110" s="48"/>
      <c r="C110" s="14"/>
      <c r="D110" s="22"/>
      <c r="E110" s="22"/>
      <c r="F110" s="22"/>
      <c r="G110" s="37"/>
      <c r="H110" s="17" t="str">
        <f t="shared" si="1"/>
        <v/>
      </c>
      <c r="I110" s="40"/>
    </row>
    <row r="111" spans="2:9">
      <c r="B111" s="48"/>
      <c r="C111" s="14"/>
      <c r="D111" s="22"/>
      <c r="E111" s="22"/>
      <c r="F111" s="22"/>
      <c r="G111" s="37"/>
      <c r="H111" s="17" t="str">
        <f t="shared" si="1"/>
        <v/>
      </c>
      <c r="I111" s="40"/>
    </row>
    <row r="112" spans="2:9">
      <c r="B112" s="48"/>
      <c r="C112" s="14"/>
      <c r="D112" s="22"/>
      <c r="E112" s="22"/>
      <c r="F112" s="22"/>
      <c r="G112" s="37"/>
      <c r="H112" s="17" t="str">
        <f t="shared" si="1"/>
        <v/>
      </c>
      <c r="I112" s="40"/>
    </row>
    <row r="113" spans="2:9">
      <c r="B113" s="48"/>
      <c r="C113" s="14"/>
      <c r="D113" s="22"/>
      <c r="E113" s="22"/>
      <c r="F113" s="22"/>
      <c r="G113" s="37"/>
      <c r="H113" s="17" t="str">
        <f t="shared" si="1"/>
        <v/>
      </c>
      <c r="I113" s="40"/>
    </row>
    <row r="114" spans="2:9">
      <c r="B114" s="48"/>
      <c r="C114" s="14"/>
      <c r="D114" s="22"/>
      <c r="E114" s="22"/>
      <c r="F114" s="22"/>
      <c r="G114" s="37"/>
      <c r="H114" s="17" t="str">
        <f t="shared" si="1"/>
        <v/>
      </c>
      <c r="I114" s="40"/>
    </row>
    <row r="115" spans="2:9">
      <c r="B115" s="48"/>
      <c r="C115" s="14"/>
      <c r="D115" s="22"/>
      <c r="E115" s="22"/>
      <c r="F115" s="22"/>
      <c r="G115" s="37"/>
      <c r="H115" s="17" t="str">
        <f t="shared" si="1"/>
        <v/>
      </c>
      <c r="I115" s="40"/>
    </row>
    <row r="116" spans="2:9">
      <c r="B116" s="48"/>
      <c r="C116" s="14"/>
      <c r="D116" s="22"/>
      <c r="E116" s="22"/>
      <c r="F116" s="22"/>
      <c r="G116" s="37"/>
      <c r="H116" s="17" t="str">
        <f t="shared" si="1"/>
        <v/>
      </c>
      <c r="I116" s="40"/>
    </row>
    <row r="117" spans="2:9">
      <c r="B117" s="48"/>
      <c r="C117" s="14"/>
      <c r="D117" s="22"/>
      <c r="E117" s="22"/>
      <c r="F117" s="22"/>
      <c r="G117" s="37"/>
      <c r="H117" s="17" t="str">
        <f t="shared" si="1"/>
        <v/>
      </c>
      <c r="I117" s="40"/>
    </row>
    <row r="118" spans="2:9">
      <c r="B118" s="48"/>
      <c r="C118" s="14"/>
      <c r="D118" s="22"/>
      <c r="E118" s="22"/>
      <c r="F118" s="22"/>
      <c r="G118" s="37"/>
      <c r="H118" s="17" t="str">
        <f t="shared" si="1"/>
        <v/>
      </c>
      <c r="I118" s="40"/>
    </row>
    <row r="119" spans="2:9">
      <c r="B119" s="69"/>
      <c r="C119" s="20"/>
      <c r="D119" s="22"/>
      <c r="E119" s="22"/>
      <c r="F119" s="22"/>
      <c r="G119" s="37"/>
      <c r="H119" s="17" t="str">
        <f t="shared" si="1"/>
        <v/>
      </c>
      <c r="I119" s="40"/>
    </row>
    <row r="120" spans="2:9">
      <c r="B120" s="48"/>
      <c r="C120" s="14"/>
      <c r="D120" s="22"/>
      <c r="E120" s="22"/>
      <c r="F120" s="22"/>
      <c r="G120" s="37"/>
      <c r="H120" s="17" t="str">
        <f t="shared" si="1"/>
        <v/>
      </c>
      <c r="I120" s="40"/>
    </row>
    <row r="121" spans="2:9">
      <c r="B121" s="48"/>
      <c r="C121" s="14"/>
      <c r="D121" s="22"/>
      <c r="E121" s="22"/>
      <c r="F121" s="22"/>
      <c r="G121" s="37"/>
      <c r="H121" s="17" t="str">
        <f t="shared" si="1"/>
        <v/>
      </c>
      <c r="I121" s="40"/>
    </row>
    <row r="122" spans="2:9">
      <c r="B122" s="48"/>
      <c r="C122" s="14"/>
      <c r="D122" s="22"/>
      <c r="E122" s="22"/>
      <c r="F122" s="22"/>
      <c r="G122" s="37"/>
      <c r="H122" s="17" t="str">
        <f t="shared" si="1"/>
        <v/>
      </c>
      <c r="I122" s="40"/>
    </row>
    <row r="123" spans="2:9">
      <c r="B123" s="48"/>
      <c r="C123" s="14"/>
      <c r="D123" s="22"/>
      <c r="E123" s="22"/>
      <c r="F123" s="22"/>
      <c r="G123" s="37"/>
      <c r="H123" s="17" t="str">
        <f t="shared" si="1"/>
        <v/>
      </c>
      <c r="I123" s="40"/>
    </row>
    <row r="124" spans="2:9">
      <c r="B124" s="48"/>
      <c r="C124" s="14"/>
      <c r="D124" s="22"/>
      <c r="E124" s="22"/>
      <c r="F124" s="22"/>
      <c r="G124" s="37"/>
      <c r="H124" s="17" t="str">
        <f t="shared" si="1"/>
        <v/>
      </c>
      <c r="I124" s="40"/>
    </row>
    <row r="125" spans="2:9">
      <c r="B125" s="48"/>
      <c r="C125" s="14"/>
      <c r="D125" s="22"/>
      <c r="E125" s="22"/>
      <c r="F125" s="22"/>
      <c r="G125" s="37"/>
      <c r="H125" s="17" t="str">
        <f t="shared" si="1"/>
        <v/>
      </c>
      <c r="I125" s="40"/>
    </row>
    <row r="126" spans="2:9">
      <c r="B126" s="48"/>
      <c r="C126" s="14"/>
      <c r="D126" s="22"/>
      <c r="E126" s="22"/>
      <c r="F126" s="22"/>
      <c r="G126" s="37"/>
      <c r="H126" s="17" t="str">
        <f t="shared" si="1"/>
        <v/>
      </c>
      <c r="I126" s="40"/>
    </row>
    <row r="127" spans="2:9">
      <c r="B127" s="48"/>
      <c r="C127" s="14"/>
      <c r="D127" s="22"/>
      <c r="E127" s="22"/>
      <c r="F127" s="22"/>
      <c r="G127" s="37"/>
      <c r="H127" s="17" t="str">
        <f t="shared" si="1"/>
        <v/>
      </c>
      <c r="I127" s="40"/>
    </row>
    <row r="128" spans="2:9">
      <c r="B128" s="48"/>
      <c r="C128" s="14"/>
      <c r="D128" s="22"/>
      <c r="E128" s="22"/>
      <c r="F128" s="22"/>
      <c r="G128" s="37"/>
      <c r="H128" s="17" t="str">
        <f t="shared" si="1"/>
        <v/>
      </c>
      <c r="I128" s="40"/>
    </row>
    <row r="129" spans="2:9">
      <c r="B129" s="48"/>
      <c r="C129" s="14"/>
      <c r="D129" s="22"/>
      <c r="E129" s="22"/>
      <c r="F129" s="22"/>
      <c r="G129" s="37"/>
      <c r="H129" s="17" t="str">
        <f t="shared" si="1"/>
        <v/>
      </c>
      <c r="I129" s="40"/>
    </row>
    <row r="130" spans="2:9">
      <c r="B130" s="48"/>
      <c r="C130" s="14"/>
      <c r="D130" s="22"/>
      <c r="E130" s="22"/>
      <c r="F130" s="22"/>
      <c r="G130" s="37"/>
      <c r="H130" s="17" t="str">
        <f t="shared" si="1"/>
        <v/>
      </c>
      <c r="I130" s="40"/>
    </row>
    <row r="131" spans="2:9">
      <c r="B131" s="48"/>
      <c r="C131" s="14"/>
      <c r="D131" s="22"/>
      <c r="E131" s="22"/>
      <c r="F131" s="22"/>
      <c r="G131" s="37"/>
      <c r="H131" s="17" t="str">
        <f t="shared" si="1"/>
        <v/>
      </c>
      <c r="I131" s="40"/>
    </row>
    <row r="132" spans="2:9">
      <c r="B132" s="48"/>
      <c r="C132" s="14"/>
      <c r="D132" s="22"/>
      <c r="E132" s="22"/>
      <c r="F132" s="22"/>
      <c r="G132" s="37"/>
      <c r="H132" s="17" t="str">
        <f t="shared" si="1"/>
        <v/>
      </c>
      <c r="I132" s="40"/>
    </row>
    <row r="133" spans="2:9">
      <c r="B133" s="48"/>
      <c r="C133" s="14"/>
      <c r="D133" s="22"/>
      <c r="E133" s="22"/>
      <c r="F133" s="22"/>
      <c r="G133" s="37"/>
      <c r="H133" s="17" t="str">
        <f t="shared" si="1"/>
        <v/>
      </c>
      <c r="I133" s="40"/>
    </row>
    <row r="134" spans="2:9">
      <c r="B134" s="48"/>
      <c r="C134" s="14"/>
      <c r="D134" s="22"/>
      <c r="E134" s="22"/>
      <c r="F134" s="22"/>
      <c r="G134" s="37"/>
      <c r="H134" s="17" t="str">
        <f t="shared" si="1"/>
        <v/>
      </c>
      <c r="I134" s="40"/>
    </row>
    <row r="135" spans="2:9">
      <c r="B135" s="48"/>
      <c r="C135" s="14"/>
      <c r="D135" s="22"/>
      <c r="E135" s="22"/>
      <c r="F135" s="22"/>
      <c r="G135" s="37"/>
      <c r="H135" s="17" t="str">
        <f t="shared" si="1"/>
        <v/>
      </c>
      <c r="I135" s="40"/>
    </row>
    <row r="136" spans="2:9">
      <c r="B136" s="48"/>
      <c r="C136" s="14"/>
      <c r="D136" s="22"/>
      <c r="E136" s="22"/>
      <c r="F136" s="22"/>
      <c r="G136" s="37"/>
      <c r="H136" s="17" t="str">
        <f t="shared" si="1"/>
        <v/>
      </c>
      <c r="I136" s="40"/>
    </row>
    <row r="137" spans="2:9">
      <c r="B137" s="48"/>
      <c r="C137" s="14"/>
      <c r="D137" s="22"/>
      <c r="E137" s="22"/>
      <c r="F137" s="22"/>
      <c r="G137" s="37"/>
      <c r="H137" s="17" t="str">
        <f t="shared" si="1"/>
        <v/>
      </c>
      <c r="I137" s="40"/>
    </row>
    <row r="138" spans="2:9">
      <c r="B138" s="48"/>
      <c r="C138" s="14"/>
      <c r="D138" s="22"/>
      <c r="E138" s="22"/>
      <c r="F138" s="22"/>
      <c r="G138" s="37"/>
      <c r="H138" s="17" t="str">
        <f t="shared" si="1"/>
        <v/>
      </c>
      <c r="I138" s="40"/>
    </row>
    <row r="139" spans="2:9">
      <c r="B139" s="48"/>
      <c r="C139" s="14"/>
      <c r="D139" s="22"/>
      <c r="E139" s="22"/>
      <c r="F139" s="22"/>
      <c r="G139" s="37"/>
      <c r="H139" s="17" t="str">
        <f t="shared" si="1"/>
        <v/>
      </c>
      <c r="I139" s="40"/>
    </row>
    <row r="140" spans="2:9">
      <c r="B140" s="48"/>
      <c r="C140" s="14"/>
      <c r="D140" s="22"/>
      <c r="E140" s="22"/>
      <c r="F140" s="22"/>
      <c r="G140" s="37"/>
      <c r="H140" s="17" t="str">
        <f t="shared" si="1"/>
        <v/>
      </c>
      <c r="I140" s="40"/>
    </row>
    <row r="141" spans="2:9">
      <c r="B141" s="48"/>
      <c r="C141" s="14"/>
      <c r="D141" s="22"/>
      <c r="E141" s="22"/>
      <c r="F141" s="22"/>
      <c r="G141" s="37"/>
      <c r="H141" s="17" t="str">
        <f t="shared" si="1"/>
        <v/>
      </c>
      <c r="I141" s="40"/>
    </row>
    <row r="142" spans="2:9">
      <c r="B142" s="48"/>
      <c r="C142" s="14"/>
      <c r="D142" s="22"/>
      <c r="E142" s="22"/>
      <c r="F142" s="22"/>
      <c r="G142" s="37"/>
      <c r="H142" s="17" t="str">
        <f t="shared" si="1"/>
        <v/>
      </c>
      <c r="I142" s="40"/>
    </row>
    <row r="143" spans="2:9">
      <c r="B143" s="48"/>
      <c r="C143" s="14"/>
      <c r="D143" s="22"/>
      <c r="E143" s="22"/>
      <c r="F143" s="22"/>
      <c r="G143" s="37"/>
      <c r="H143" s="17" t="str">
        <f t="shared" si="1"/>
        <v/>
      </c>
      <c r="I143" s="40"/>
    </row>
    <row r="144" spans="2:9">
      <c r="B144" s="48"/>
      <c r="C144" s="14"/>
      <c r="D144" s="22"/>
      <c r="E144" s="22"/>
      <c r="F144" s="22"/>
      <c r="G144" s="37"/>
      <c r="H144" s="17" t="str">
        <f t="shared" si="1"/>
        <v/>
      </c>
      <c r="I144" s="40"/>
    </row>
    <row r="145" spans="2:9">
      <c r="B145" s="48"/>
      <c r="C145" s="14"/>
      <c r="D145" s="22"/>
      <c r="E145" s="22"/>
      <c r="F145" s="22"/>
      <c r="G145" s="37"/>
      <c r="H145" s="17" t="str">
        <f t="shared" ref="H145:H148" si="2">IF(D145="","",F145*G145)</f>
        <v/>
      </c>
      <c r="I145" s="40"/>
    </row>
    <row r="146" spans="2:9">
      <c r="B146" s="48"/>
      <c r="C146" s="14"/>
      <c r="D146" s="22"/>
      <c r="E146" s="22"/>
      <c r="F146" s="22"/>
      <c r="G146" s="37"/>
      <c r="H146" s="17" t="str">
        <f t="shared" si="2"/>
        <v/>
      </c>
      <c r="I146" s="40"/>
    </row>
    <row r="147" spans="2:9">
      <c r="B147" s="48"/>
      <c r="C147" s="14"/>
      <c r="D147" s="22"/>
      <c r="E147" s="22"/>
      <c r="F147" s="22"/>
      <c r="G147" s="37"/>
      <c r="H147" s="17" t="str">
        <f t="shared" si="2"/>
        <v/>
      </c>
      <c r="I147" s="40"/>
    </row>
    <row r="148" spans="2:9">
      <c r="B148" s="48"/>
      <c r="C148" s="14"/>
      <c r="D148" s="22"/>
      <c r="E148" s="22"/>
      <c r="F148" s="22"/>
      <c r="G148" s="37"/>
      <c r="H148" s="17" t="str">
        <f t="shared" si="2"/>
        <v/>
      </c>
      <c r="I148" s="40"/>
    </row>
    <row r="149" spans="2:9" s="28" customFormat="1" ht="24.95" customHeight="1">
      <c r="B149" s="82" t="str">
        <f>$B$10</f>
        <v>C14.9</v>
      </c>
      <c r="C149" s="29" t="s">
        <v>125</v>
      </c>
      <c r="D149" s="30"/>
      <c r="E149" s="30"/>
      <c r="F149" s="31"/>
      <c r="G149" s="30"/>
      <c r="H149" s="32">
        <f>SUM(H81:H148)</f>
        <v>0</v>
      </c>
      <c r="I149" s="33"/>
    </row>
  </sheetData>
  <mergeCells count="11">
    <mergeCell ref="F1:H1"/>
    <mergeCell ref="B5:G7"/>
    <mergeCell ref="H4:H7"/>
    <mergeCell ref="B4:G4"/>
    <mergeCell ref="B76:G76"/>
    <mergeCell ref="H76:H79"/>
    <mergeCell ref="B77:G79"/>
    <mergeCell ref="B73:E73"/>
    <mergeCell ref="F73:H75"/>
    <mergeCell ref="B74:E74"/>
    <mergeCell ref="B75:E75"/>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49"/>
  <dimension ref="B1:I76"/>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ht="12.75" customHeight="1">
      <c r="B4" s="695" t="s">
        <v>456</v>
      </c>
      <c r="C4" s="696"/>
      <c r="D4" s="696"/>
      <c r="E4" s="696"/>
      <c r="F4" s="696"/>
      <c r="G4" s="696"/>
      <c r="H4" s="776" t="str">
        <f>"CHAPTER "&amp;B10</f>
        <v>CHAPTER C14.10</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7"/>
      <c r="I5" s="8"/>
    </row>
    <row r="6" spans="2:9" ht="12.75" customHeight="1">
      <c r="B6" s="690"/>
      <c r="C6" s="691"/>
      <c r="D6" s="691"/>
      <c r="E6" s="691"/>
      <c r="F6" s="691"/>
      <c r="G6" s="691"/>
      <c r="H6" s="777"/>
      <c r="I6" s="8"/>
    </row>
    <row r="7" spans="2:9" ht="7.5" customHeight="1">
      <c r="B7" s="692"/>
      <c r="C7" s="693"/>
      <c r="D7" s="693"/>
      <c r="E7" s="693"/>
      <c r="F7" s="693"/>
      <c r="G7" s="693"/>
      <c r="H7" s="778"/>
      <c r="I7" s="8"/>
    </row>
    <row r="8" spans="2:9" s="9" customFormat="1" ht="24.95" customHeight="1">
      <c r="B8" s="10" t="s">
        <v>11</v>
      </c>
      <c r="C8" s="11" t="s">
        <v>12</v>
      </c>
      <c r="D8" s="11" t="s">
        <v>13</v>
      </c>
      <c r="E8" s="11" t="s">
        <v>14</v>
      </c>
      <c r="F8" s="11" t="s">
        <v>15</v>
      </c>
      <c r="G8" s="11" t="s">
        <v>16</v>
      </c>
      <c r="H8" s="11" t="s">
        <v>17</v>
      </c>
      <c r="I8" s="12"/>
    </row>
    <row r="9" spans="2:9">
      <c r="B9" s="13"/>
      <c r="C9" s="14"/>
      <c r="D9" s="15"/>
      <c r="E9" s="15"/>
      <c r="F9" s="15"/>
      <c r="G9" s="16"/>
      <c r="H9" s="17" t="str">
        <f>IF(D9="","",F9*G9)</f>
        <v/>
      </c>
      <c r="I9" s="18"/>
    </row>
    <row r="10" spans="2:9">
      <c r="B10" s="69" t="s">
        <v>2906</v>
      </c>
      <c r="C10" s="20" t="s">
        <v>2907</v>
      </c>
      <c r="D10" s="22"/>
      <c r="E10" s="22"/>
      <c r="F10" s="22"/>
      <c r="G10" s="39"/>
      <c r="H10" s="17" t="str">
        <f t="shared" ref="H10:H73" si="0">IF(D10="","",F10*G10)</f>
        <v/>
      </c>
      <c r="I10" s="40"/>
    </row>
    <row r="11" spans="2:9">
      <c r="B11" s="48"/>
      <c r="C11" s="14"/>
      <c r="D11" s="22"/>
      <c r="E11" s="22"/>
      <c r="F11" s="22"/>
      <c r="G11" s="39"/>
      <c r="H11" s="17" t="str">
        <f t="shared" si="0"/>
        <v/>
      </c>
      <c r="I11" s="40"/>
    </row>
    <row r="12" spans="2:9">
      <c r="B12" s="48" t="s">
        <v>2908</v>
      </c>
      <c r="C12" s="14" t="s">
        <v>2909</v>
      </c>
      <c r="D12" s="22"/>
      <c r="E12" s="22"/>
      <c r="F12" s="22"/>
      <c r="G12" s="39"/>
      <c r="H12" s="17" t="str">
        <f t="shared" si="0"/>
        <v/>
      </c>
      <c r="I12" s="40"/>
    </row>
    <row r="13" spans="2:9">
      <c r="B13" s="48"/>
      <c r="C13" s="14"/>
      <c r="D13" s="22"/>
      <c r="E13" s="22"/>
      <c r="F13" s="22"/>
      <c r="G13" s="39"/>
      <c r="H13" s="17" t="str">
        <f t="shared" si="0"/>
        <v/>
      </c>
      <c r="I13" s="40"/>
    </row>
    <row r="14" spans="2:9" ht="25.5">
      <c r="B14" s="48" t="s">
        <v>2910</v>
      </c>
      <c r="C14" s="14" t="s">
        <v>2911</v>
      </c>
      <c r="D14" s="22" t="s">
        <v>33</v>
      </c>
      <c r="E14" s="22"/>
      <c r="F14" s="23"/>
      <c r="G14" s="24"/>
      <c r="H14" s="17">
        <f t="shared" si="0"/>
        <v>0</v>
      </c>
      <c r="I14" s="41"/>
    </row>
    <row r="15" spans="2:9">
      <c r="B15" s="48"/>
      <c r="C15" s="14"/>
      <c r="D15" s="22"/>
      <c r="E15" s="22"/>
      <c r="F15" s="23"/>
      <c r="G15" s="24"/>
      <c r="H15" s="17" t="str">
        <f t="shared" si="0"/>
        <v/>
      </c>
      <c r="I15" s="41"/>
    </row>
    <row r="16" spans="2:9">
      <c r="B16" s="48" t="s">
        <v>2910</v>
      </c>
      <c r="C16" s="14" t="s">
        <v>2912</v>
      </c>
      <c r="D16" s="22" t="s">
        <v>33</v>
      </c>
      <c r="E16" s="22"/>
      <c r="F16" s="23"/>
      <c r="G16" s="24"/>
      <c r="H16" s="17">
        <f t="shared" si="0"/>
        <v>0</v>
      </c>
      <c r="I16" s="41"/>
    </row>
    <row r="17" spans="2:9">
      <c r="B17" s="48"/>
      <c r="C17" s="14"/>
      <c r="D17" s="22"/>
      <c r="E17" s="22"/>
      <c r="F17" s="23"/>
      <c r="G17" s="24"/>
      <c r="H17" s="17" t="str">
        <f t="shared" si="0"/>
        <v/>
      </c>
      <c r="I17" s="41"/>
    </row>
    <row r="18" spans="2:9">
      <c r="B18" s="48" t="s">
        <v>2913</v>
      </c>
      <c r="C18" s="14" t="s">
        <v>2914</v>
      </c>
      <c r="D18" s="22"/>
      <c r="E18" s="22"/>
      <c r="F18" s="23"/>
      <c r="G18" s="39"/>
      <c r="H18" s="17" t="str">
        <f t="shared" si="0"/>
        <v/>
      </c>
      <c r="I18" s="40"/>
    </row>
    <row r="19" spans="2:9">
      <c r="B19" s="48"/>
      <c r="C19" s="14"/>
      <c r="D19" s="22"/>
      <c r="E19" s="22"/>
      <c r="F19" s="23"/>
      <c r="G19" s="42"/>
      <c r="H19" s="17" t="str">
        <f t="shared" si="0"/>
        <v/>
      </c>
      <c r="I19" s="40"/>
    </row>
    <row r="20" spans="2:9" ht="25.5">
      <c r="B20" s="48" t="s">
        <v>2915</v>
      </c>
      <c r="C20" s="14" t="s">
        <v>2916</v>
      </c>
      <c r="D20" s="22" t="s">
        <v>33</v>
      </c>
      <c r="E20" s="36"/>
      <c r="F20" s="23"/>
      <c r="G20" s="44"/>
      <c r="H20" s="17">
        <f t="shared" si="0"/>
        <v>0</v>
      </c>
    </row>
    <row r="21" spans="2:9">
      <c r="B21" s="48"/>
      <c r="C21" s="14"/>
      <c r="D21" s="22"/>
      <c r="E21" s="36"/>
      <c r="F21" s="23"/>
      <c r="G21" s="44"/>
      <c r="H21" s="17" t="str">
        <f t="shared" si="0"/>
        <v/>
      </c>
    </row>
    <row r="22" spans="2:9" ht="25.5">
      <c r="B22" s="48" t="s">
        <v>2917</v>
      </c>
      <c r="C22" s="14" t="s">
        <v>2918</v>
      </c>
      <c r="D22" s="22" t="s">
        <v>33</v>
      </c>
      <c r="E22" s="36"/>
      <c r="F22" s="23"/>
      <c r="G22" s="37"/>
      <c r="H22" s="17">
        <f t="shared" si="0"/>
        <v>0</v>
      </c>
    </row>
    <row r="23" spans="2:9">
      <c r="B23" s="48"/>
      <c r="C23" s="14"/>
      <c r="D23" s="22"/>
      <c r="E23" s="36"/>
      <c r="F23" s="23"/>
      <c r="G23" s="44"/>
      <c r="H23" s="17" t="str">
        <f t="shared" si="0"/>
        <v/>
      </c>
    </row>
    <row r="24" spans="2:9">
      <c r="B24" s="48" t="s">
        <v>2919</v>
      </c>
      <c r="C24" s="14" t="s">
        <v>2920</v>
      </c>
      <c r="D24" s="22" t="s">
        <v>85</v>
      </c>
      <c r="E24" s="36"/>
      <c r="F24" s="23"/>
      <c r="G24" s="42"/>
      <c r="H24" s="17">
        <f t="shared" si="0"/>
        <v>0</v>
      </c>
    </row>
    <row r="25" spans="2:9">
      <c r="B25" s="21"/>
      <c r="C25" s="14"/>
      <c r="D25" s="22"/>
      <c r="E25" s="36"/>
      <c r="F25" s="23"/>
      <c r="G25" s="44"/>
      <c r="H25" s="17" t="str">
        <f t="shared" si="0"/>
        <v/>
      </c>
    </row>
    <row r="26" spans="2:9">
      <c r="B26" s="21"/>
      <c r="C26" s="14"/>
      <c r="D26" s="22"/>
      <c r="E26" s="22"/>
      <c r="F26" s="23"/>
      <c r="G26" s="37"/>
      <c r="H26" s="17" t="str">
        <f t="shared" si="0"/>
        <v/>
      </c>
      <c r="I26" s="41"/>
    </row>
    <row r="27" spans="2:9">
      <c r="B27" s="21"/>
      <c r="C27" s="14"/>
      <c r="D27" s="22"/>
      <c r="E27" s="15"/>
      <c r="F27" s="26"/>
      <c r="G27" s="27"/>
      <c r="H27" s="17" t="str">
        <f t="shared" si="0"/>
        <v/>
      </c>
      <c r="I27" s="18"/>
    </row>
    <row r="28" spans="2:9" s="35" customFormat="1">
      <c r="B28" s="21"/>
      <c r="C28" s="14"/>
      <c r="D28" s="15"/>
      <c r="E28" s="15"/>
      <c r="F28" s="26"/>
      <c r="G28" s="27"/>
      <c r="H28" s="17" t="str">
        <f t="shared" si="0"/>
        <v/>
      </c>
      <c r="I28" s="18"/>
    </row>
    <row r="29" spans="2:9">
      <c r="B29" s="21"/>
      <c r="C29" s="14"/>
      <c r="D29" s="22"/>
      <c r="E29" s="22"/>
      <c r="F29" s="23"/>
      <c r="G29" s="37"/>
      <c r="H29" s="17" t="str">
        <f t="shared" si="0"/>
        <v/>
      </c>
      <c r="I29" s="41"/>
    </row>
    <row r="30" spans="2:9">
      <c r="B30" s="21"/>
      <c r="C30" s="14"/>
      <c r="D30" s="22"/>
      <c r="E30" s="22"/>
      <c r="F30" s="23"/>
      <c r="G30" s="37"/>
      <c r="H30" s="17" t="str">
        <f t="shared" si="0"/>
        <v/>
      </c>
      <c r="I30" s="41"/>
    </row>
    <row r="31" spans="2:9">
      <c r="B31" s="21"/>
      <c r="C31" s="14"/>
      <c r="D31" s="22"/>
      <c r="E31" s="22"/>
      <c r="F31" s="23"/>
      <c r="G31" s="45"/>
      <c r="H31" s="17" t="str">
        <f t="shared" si="0"/>
        <v/>
      </c>
      <c r="I31" s="40"/>
    </row>
    <row r="32" spans="2:9">
      <c r="B32" s="21"/>
      <c r="C32" s="14"/>
      <c r="D32" s="22"/>
      <c r="E32" s="22"/>
      <c r="F32" s="23"/>
      <c r="G32" s="45"/>
      <c r="H32" s="17" t="str">
        <f t="shared" si="0"/>
        <v/>
      </c>
      <c r="I32" s="40"/>
    </row>
    <row r="33" spans="2:9">
      <c r="B33" s="21"/>
      <c r="C33" s="14"/>
      <c r="D33" s="22"/>
      <c r="E33" s="22"/>
      <c r="F33" s="23"/>
      <c r="G33" s="42"/>
      <c r="H33" s="17" t="str">
        <f t="shared" si="0"/>
        <v/>
      </c>
      <c r="I33" s="40"/>
    </row>
    <row r="34" spans="2:9">
      <c r="B34" s="21"/>
      <c r="C34" s="14"/>
      <c r="D34" s="22"/>
      <c r="E34" s="22"/>
      <c r="F34" s="23"/>
      <c r="G34" s="42"/>
      <c r="H34" s="17" t="str">
        <f t="shared" si="0"/>
        <v/>
      </c>
      <c r="I34" s="40"/>
    </row>
    <row r="35" spans="2:9">
      <c r="B35" s="21"/>
      <c r="C35" s="14"/>
      <c r="D35" s="22"/>
      <c r="E35" s="22"/>
      <c r="F35" s="22"/>
      <c r="G35" s="39"/>
      <c r="H35" s="17" t="str">
        <f t="shared" si="0"/>
        <v/>
      </c>
      <c r="I35" s="40"/>
    </row>
    <row r="36" spans="2:9">
      <c r="B36" s="13"/>
      <c r="C36" s="14"/>
      <c r="D36" s="22"/>
      <c r="E36" s="22"/>
      <c r="F36" s="22"/>
      <c r="G36" s="39"/>
      <c r="H36" s="17" t="str">
        <f t="shared" si="0"/>
        <v/>
      </c>
      <c r="I36" s="40"/>
    </row>
    <row r="37" spans="2:9">
      <c r="B37" s="21"/>
      <c r="C37" s="14"/>
      <c r="D37" s="22"/>
      <c r="E37" s="22"/>
      <c r="F37" s="22"/>
      <c r="G37" s="37"/>
      <c r="H37" s="17" t="str">
        <f t="shared" si="0"/>
        <v/>
      </c>
      <c r="I37" s="40"/>
    </row>
    <row r="38" spans="2:9">
      <c r="B38" s="21"/>
      <c r="C38" s="14"/>
      <c r="D38" s="22"/>
      <c r="E38" s="22"/>
      <c r="F38" s="22"/>
      <c r="G38" s="37"/>
      <c r="H38" s="17" t="str">
        <f t="shared" si="0"/>
        <v/>
      </c>
      <c r="I38" s="40"/>
    </row>
    <row r="39" spans="2:9">
      <c r="B39" s="21"/>
      <c r="C39" s="14"/>
      <c r="D39" s="22"/>
      <c r="E39" s="22"/>
      <c r="F39" s="22"/>
      <c r="G39" s="37"/>
      <c r="H39" s="17" t="str">
        <f t="shared" si="0"/>
        <v/>
      </c>
      <c r="I39" s="40"/>
    </row>
    <row r="40" spans="2:9">
      <c r="B40" s="21"/>
      <c r="C40" s="14"/>
      <c r="D40" s="22"/>
      <c r="E40" s="22"/>
      <c r="F40" s="22"/>
      <c r="G40" s="37"/>
      <c r="H40" s="17" t="str">
        <f t="shared" si="0"/>
        <v/>
      </c>
      <c r="I40" s="40"/>
    </row>
    <row r="41" spans="2:9">
      <c r="B41" s="21"/>
      <c r="C41" s="14"/>
      <c r="D41" s="22"/>
      <c r="E41" s="22"/>
      <c r="F41" s="22"/>
      <c r="G41" s="37"/>
      <c r="H41" s="17" t="str">
        <f t="shared" si="0"/>
        <v/>
      </c>
      <c r="I41" s="40"/>
    </row>
    <row r="42" spans="2:9">
      <c r="B42" s="13"/>
      <c r="C42" s="14"/>
      <c r="D42" s="22"/>
      <c r="E42" s="22"/>
      <c r="F42" s="22"/>
      <c r="G42" s="37"/>
      <c r="H42" s="17" t="str">
        <f t="shared" si="0"/>
        <v/>
      </c>
      <c r="I42" s="40"/>
    </row>
    <row r="43" spans="2:9">
      <c r="B43" s="13"/>
      <c r="C43" s="14"/>
      <c r="D43" s="22"/>
      <c r="E43" s="22"/>
      <c r="F43" s="22"/>
      <c r="G43" s="37"/>
      <c r="H43" s="17" t="str">
        <f t="shared" si="0"/>
        <v/>
      </c>
      <c r="I43" s="40"/>
    </row>
    <row r="44" spans="2:9">
      <c r="B44" s="13"/>
      <c r="C44" s="14"/>
      <c r="D44" s="22"/>
      <c r="E44" s="22"/>
      <c r="F44" s="22"/>
      <c r="G44" s="37"/>
      <c r="H44" s="17" t="str">
        <f t="shared" si="0"/>
        <v/>
      </c>
      <c r="I44" s="40"/>
    </row>
    <row r="45" spans="2:9">
      <c r="B45" s="13"/>
      <c r="C45" s="14"/>
      <c r="D45" s="22"/>
      <c r="E45" s="22"/>
      <c r="F45" s="22"/>
      <c r="G45" s="46"/>
      <c r="H45" s="17" t="str">
        <f t="shared" si="0"/>
        <v/>
      </c>
      <c r="I45" s="40"/>
    </row>
    <row r="46" spans="2:9">
      <c r="B46" s="13"/>
      <c r="C46" s="14"/>
      <c r="D46" s="22"/>
      <c r="E46" s="22"/>
      <c r="F46" s="22"/>
      <c r="G46" s="46"/>
      <c r="H46" s="17" t="str">
        <f t="shared" si="0"/>
        <v/>
      </c>
      <c r="I46" s="40"/>
    </row>
    <row r="47" spans="2:9">
      <c r="B47" s="21"/>
      <c r="C47" s="14"/>
      <c r="D47" s="22"/>
      <c r="E47" s="22"/>
      <c r="F47" s="22"/>
      <c r="G47" s="37"/>
      <c r="H47" s="17" t="str">
        <f t="shared" si="0"/>
        <v/>
      </c>
      <c r="I47" s="40"/>
    </row>
    <row r="48" spans="2:9">
      <c r="B48" s="13"/>
      <c r="C48" s="14"/>
      <c r="D48" s="22"/>
      <c r="E48" s="22"/>
      <c r="F48" s="22"/>
      <c r="G48" s="37"/>
      <c r="H48" s="17" t="str">
        <f t="shared" si="0"/>
        <v/>
      </c>
      <c r="I48" s="40"/>
    </row>
    <row r="49" spans="2:9">
      <c r="B49" s="13"/>
      <c r="C49" s="14"/>
      <c r="D49" s="22"/>
      <c r="E49" s="22"/>
      <c r="F49" s="22"/>
      <c r="G49" s="37"/>
      <c r="H49" s="17" t="str">
        <f t="shared" si="0"/>
        <v/>
      </c>
      <c r="I49" s="40"/>
    </row>
    <row r="50" spans="2:9">
      <c r="B50" s="13"/>
      <c r="C50" s="14"/>
      <c r="D50" s="22"/>
      <c r="E50" s="22"/>
      <c r="F50" s="22"/>
      <c r="G50" s="37"/>
      <c r="H50" s="17" t="str">
        <f t="shared" si="0"/>
        <v/>
      </c>
      <c r="I50" s="40"/>
    </row>
    <row r="51" spans="2:9">
      <c r="B51" s="13"/>
      <c r="C51" s="14"/>
      <c r="D51" s="22"/>
      <c r="E51" s="22"/>
      <c r="F51" s="22"/>
      <c r="G51" s="37"/>
      <c r="H51" s="17" t="str">
        <f t="shared" si="0"/>
        <v/>
      </c>
      <c r="I51" s="40"/>
    </row>
    <row r="52" spans="2:9">
      <c r="B52" s="13"/>
      <c r="C52" s="14"/>
      <c r="D52" s="22"/>
      <c r="E52" s="22"/>
      <c r="F52" s="22"/>
      <c r="G52" s="37"/>
      <c r="H52" s="17" t="str">
        <f t="shared" si="0"/>
        <v/>
      </c>
      <c r="I52" s="40"/>
    </row>
    <row r="53" spans="2:9">
      <c r="B53" s="13"/>
      <c r="C53" s="14"/>
      <c r="D53" s="36"/>
      <c r="E53" s="36"/>
      <c r="F53" s="36"/>
      <c r="G53" s="37"/>
      <c r="H53" s="17" t="str">
        <f t="shared" si="0"/>
        <v/>
      </c>
    </row>
    <row r="54" spans="2:9">
      <c r="B54" s="13"/>
      <c r="C54" s="14"/>
      <c r="D54" s="22"/>
      <c r="E54" s="22"/>
      <c r="F54" s="22"/>
      <c r="G54" s="37"/>
      <c r="H54" s="17" t="str">
        <f t="shared" si="0"/>
        <v/>
      </c>
      <c r="I54" s="40"/>
    </row>
    <row r="55" spans="2:9">
      <c r="B55" s="21"/>
      <c r="C55" s="14"/>
      <c r="D55" s="36"/>
      <c r="E55" s="36"/>
      <c r="F55" s="36"/>
      <c r="G55" s="37"/>
      <c r="H55" s="17" t="str">
        <f t="shared" si="0"/>
        <v/>
      </c>
      <c r="I55" s="47"/>
    </row>
    <row r="56" spans="2:9">
      <c r="B56" s="13"/>
      <c r="C56" s="14"/>
      <c r="D56" s="36"/>
      <c r="E56" s="36"/>
      <c r="F56" s="36"/>
      <c r="G56" s="37"/>
      <c r="H56" s="17" t="str">
        <f t="shared" si="0"/>
        <v/>
      </c>
    </row>
    <row r="57" spans="2:9">
      <c r="B57" s="13"/>
      <c r="C57" s="14"/>
      <c r="D57" s="22"/>
      <c r="E57" s="22"/>
      <c r="F57" s="22"/>
      <c r="G57" s="37"/>
      <c r="H57" s="17" t="str">
        <f t="shared" si="0"/>
        <v/>
      </c>
      <c r="I57" s="40"/>
    </row>
    <row r="58" spans="2:9">
      <c r="B58" s="13"/>
      <c r="C58" s="14"/>
      <c r="D58" s="22"/>
      <c r="E58" s="22"/>
      <c r="F58" s="22"/>
      <c r="G58" s="37"/>
      <c r="H58" s="17" t="str">
        <f t="shared" si="0"/>
        <v/>
      </c>
      <c r="I58" s="40"/>
    </row>
    <row r="59" spans="2:9">
      <c r="B59" s="13"/>
      <c r="C59" s="14"/>
      <c r="D59" s="22"/>
      <c r="E59" s="22"/>
      <c r="F59" s="22"/>
      <c r="G59" s="37"/>
      <c r="H59" s="17" t="str">
        <f t="shared" si="0"/>
        <v/>
      </c>
      <c r="I59" s="40"/>
    </row>
    <row r="60" spans="2:9">
      <c r="B60" s="13"/>
      <c r="C60" s="14"/>
      <c r="D60" s="22"/>
      <c r="E60" s="22"/>
      <c r="F60" s="22"/>
      <c r="G60" s="37"/>
      <c r="H60" s="17" t="str">
        <f t="shared" si="0"/>
        <v/>
      </c>
      <c r="I60" s="40"/>
    </row>
    <row r="61" spans="2:9">
      <c r="B61" s="21"/>
      <c r="C61" s="14"/>
      <c r="D61" s="22"/>
      <c r="E61" s="22"/>
      <c r="F61" s="22"/>
      <c r="G61" s="37"/>
      <c r="H61" s="17" t="str">
        <f t="shared" si="0"/>
        <v/>
      </c>
      <c r="I61" s="40"/>
    </row>
    <row r="62" spans="2:9">
      <c r="B62" s="13"/>
      <c r="C62" s="14"/>
      <c r="D62" s="22"/>
      <c r="E62" s="22"/>
      <c r="F62" s="22"/>
      <c r="G62" s="37"/>
      <c r="H62" s="17" t="str">
        <f t="shared" si="0"/>
        <v/>
      </c>
      <c r="I62" s="40"/>
    </row>
    <row r="63" spans="2:9">
      <c r="B63" s="13"/>
      <c r="C63" s="14"/>
      <c r="D63" s="22"/>
      <c r="E63" s="22"/>
      <c r="F63" s="22"/>
      <c r="G63" s="37"/>
      <c r="H63" s="17" t="str">
        <f t="shared" si="0"/>
        <v/>
      </c>
      <c r="I63" s="40"/>
    </row>
    <row r="64" spans="2:9">
      <c r="B64" s="13"/>
      <c r="C64" s="14"/>
      <c r="D64" s="22"/>
      <c r="E64" s="22"/>
      <c r="F64" s="22"/>
      <c r="G64" s="37"/>
      <c r="H64" s="17" t="str">
        <f t="shared" si="0"/>
        <v/>
      </c>
      <c r="I64" s="40"/>
    </row>
    <row r="65" spans="2:9">
      <c r="B65" s="21"/>
      <c r="C65" s="14"/>
      <c r="D65" s="22"/>
      <c r="E65" s="22"/>
      <c r="F65" s="22"/>
      <c r="G65" s="37"/>
      <c r="H65" s="17" t="str">
        <f t="shared" si="0"/>
        <v/>
      </c>
      <c r="I65" s="40"/>
    </row>
    <row r="66" spans="2:9">
      <c r="B66" s="13"/>
      <c r="C66" s="14"/>
      <c r="D66" s="22"/>
      <c r="E66" s="22"/>
      <c r="F66" s="22"/>
      <c r="G66" s="37"/>
      <c r="H66" s="17" t="str">
        <f t="shared" si="0"/>
        <v/>
      </c>
      <c r="I66" s="40"/>
    </row>
    <row r="67" spans="2:9">
      <c r="B67" s="21"/>
      <c r="C67" s="14"/>
      <c r="D67" s="22"/>
      <c r="E67" s="22"/>
      <c r="F67" s="22"/>
      <c r="G67" s="37"/>
      <c r="H67" s="17" t="str">
        <f t="shared" si="0"/>
        <v/>
      </c>
      <c r="I67" s="40"/>
    </row>
    <row r="68" spans="2:9">
      <c r="B68" s="13"/>
      <c r="C68" s="14"/>
      <c r="D68" s="22"/>
      <c r="E68" s="22"/>
      <c r="F68" s="22"/>
      <c r="G68" s="37"/>
      <c r="H68" s="17" t="str">
        <f t="shared" si="0"/>
        <v/>
      </c>
      <c r="I68" s="40"/>
    </row>
    <row r="69" spans="2:9">
      <c r="B69" s="13"/>
      <c r="C69" s="14"/>
      <c r="D69" s="22"/>
      <c r="E69" s="22"/>
      <c r="F69" s="22"/>
      <c r="G69" s="37"/>
      <c r="H69" s="17" t="str">
        <f t="shared" si="0"/>
        <v/>
      </c>
      <c r="I69" s="40"/>
    </row>
    <row r="70" spans="2:9">
      <c r="B70" s="13"/>
      <c r="C70" s="14"/>
      <c r="D70" s="22"/>
      <c r="E70" s="22"/>
      <c r="F70" s="22"/>
      <c r="G70" s="37"/>
      <c r="H70" s="17" t="str">
        <f t="shared" si="0"/>
        <v/>
      </c>
      <c r="I70" s="40"/>
    </row>
    <row r="71" spans="2:9">
      <c r="B71" s="13"/>
      <c r="C71" s="14"/>
      <c r="D71" s="22"/>
      <c r="E71" s="22"/>
      <c r="F71" s="22"/>
      <c r="G71" s="37"/>
      <c r="H71" s="17" t="str">
        <f t="shared" si="0"/>
        <v/>
      </c>
      <c r="I71" s="40"/>
    </row>
    <row r="72" spans="2:9">
      <c r="B72" s="13"/>
      <c r="C72" s="14"/>
      <c r="D72" s="22"/>
      <c r="E72" s="22"/>
      <c r="F72" s="22"/>
      <c r="G72" s="37"/>
      <c r="H72" s="17" t="str">
        <f t="shared" si="0"/>
        <v/>
      </c>
      <c r="I72" s="40"/>
    </row>
    <row r="73" spans="2:9">
      <c r="B73" s="21"/>
      <c r="C73" s="14"/>
      <c r="D73" s="22"/>
      <c r="E73" s="22"/>
      <c r="F73" s="22"/>
      <c r="G73" s="37"/>
      <c r="H73" s="17" t="str">
        <f t="shared" si="0"/>
        <v/>
      </c>
      <c r="I73" s="40"/>
    </row>
    <row r="74" spans="2:9">
      <c r="B74" s="13"/>
      <c r="C74" s="14"/>
      <c r="D74" s="22"/>
      <c r="E74" s="22"/>
      <c r="F74" s="22"/>
      <c r="G74" s="37"/>
      <c r="H74" s="17" t="str">
        <f t="shared" ref="H74:H75" si="1">IF(D74="","",F74*G74)</f>
        <v/>
      </c>
      <c r="I74" s="40"/>
    </row>
    <row r="75" spans="2:9">
      <c r="B75" s="13"/>
      <c r="C75" s="14"/>
      <c r="D75" s="22"/>
      <c r="E75" s="22"/>
      <c r="F75" s="22"/>
      <c r="G75" s="37"/>
      <c r="H75" s="17" t="str">
        <f t="shared" si="1"/>
        <v/>
      </c>
      <c r="I75" s="40"/>
    </row>
    <row r="76" spans="2:9" s="28" customFormat="1" ht="24.95" customHeight="1">
      <c r="B76" s="82" t="str">
        <f>$B$10</f>
        <v>C14.10</v>
      </c>
      <c r="C76" s="29" t="s">
        <v>125</v>
      </c>
      <c r="D76" s="30"/>
      <c r="E76" s="30"/>
      <c r="F76" s="31"/>
      <c r="G76" s="30"/>
      <c r="H76" s="32">
        <f>SUM(H9:H75)</f>
        <v>0</v>
      </c>
      <c r="I76"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7"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50"/>
  <dimension ref="B1:I77"/>
  <sheetViews>
    <sheetView workbookViewId="0"/>
  </sheetViews>
  <sheetFormatPr defaultColWidth="6.85546875" defaultRowHeight="12.75"/>
  <cols>
    <col min="1" max="1" width="0.85546875" style="1" customWidth="1"/>
    <col min="2" max="2" width="11.7109375" style="34" customWidth="1"/>
    <col min="3" max="3" width="45.7109375" style="3" customWidth="1"/>
    <col min="4" max="4" width="13.7109375" style="4" customWidth="1"/>
    <col min="5" max="5" width="5.7109375" style="4" customWidth="1"/>
    <col min="6" max="6" width="15.7109375" style="4" customWidth="1"/>
    <col min="7" max="7" width="15.7109375" style="1" customWidth="1"/>
    <col min="8" max="8" width="15.7109375" style="5" customWidth="1"/>
    <col min="9" max="9" width="0.85546875" style="5" customWidth="1"/>
    <col min="10" max="16384" width="6.85546875" style="1"/>
  </cols>
  <sheetData>
    <row r="1" spans="2:9">
      <c r="B1" s="2" t="str">
        <f>Client1</f>
        <v>AIRPORTS COMPANY - SOUTH AFRICA</v>
      </c>
      <c r="F1" s="732" t="str">
        <f>"Contract No. "&amp;ContractNo</f>
        <v>Contract No. KSIA7806/2025/RFP</v>
      </c>
      <c r="G1" s="732"/>
      <c r="H1" s="732"/>
    </row>
    <row r="2" spans="2:9">
      <c r="B2" s="90" t="str">
        <f>Client2</f>
        <v>ACSA</v>
      </c>
    </row>
    <row r="3" spans="2:9">
      <c r="B3" s="71"/>
      <c r="C3" s="71"/>
      <c r="D3" s="72"/>
      <c r="E3" s="72"/>
      <c r="F3" s="72"/>
      <c r="G3" s="73"/>
      <c r="H3" s="91"/>
    </row>
    <row r="4" spans="2:9">
      <c r="B4" s="695" t="s">
        <v>456</v>
      </c>
      <c r="C4" s="696"/>
      <c r="D4" s="696"/>
      <c r="E4" s="696"/>
      <c r="F4" s="696"/>
      <c r="G4" s="696"/>
      <c r="H4" s="770" t="str">
        <f>"CHAPTER "&amp;B10</f>
        <v>CHAPTER C14.11</v>
      </c>
      <c r="I4" s="6"/>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71"/>
      <c r="I5" s="8"/>
    </row>
    <row r="6" spans="2:9" ht="12.75" customHeight="1">
      <c r="B6" s="690"/>
      <c r="C6" s="691"/>
      <c r="D6" s="691"/>
      <c r="E6" s="691"/>
      <c r="F6" s="691"/>
      <c r="G6" s="691"/>
      <c r="H6" s="771"/>
      <c r="I6" s="8"/>
    </row>
    <row r="7" spans="2:9" ht="7.5" customHeight="1">
      <c r="B7" s="692"/>
      <c r="C7" s="693"/>
      <c r="D7" s="693"/>
      <c r="E7" s="693"/>
      <c r="F7" s="693"/>
      <c r="G7" s="693"/>
      <c r="H7" s="772"/>
      <c r="I7" s="8"/>
    </row>
    <row r="8" spans="2:9" s="9" customFormat="1" ht="24.95" customHeight="1">
      <c r="B8" s="10" t="s">
        <v>11</v>
      </c>
      <c r="C8" s="11" t="s">
        <v>12</v>
      </c>
      <c r="D8" s="11" t="s">
        <v>13</v>
      </c>
      <c r="E8" s="11" t="s">
        <v>14</v>
      </c>
      <c r="F8" s="11" t="s">
        <v>15</v>
      </c>
      <c r="G8" s="11" t="s">
        <v>16</v>
      </c>
      <c r="H8" s="11" t="s">
        <v>17</v>
      </c>
      <c r="I8" s="12"/>
    </row>
    <row r="9" spans="2:9">
      <c r="B9" s="48"/>
      <c r="C9" s="14"/>
      <c r="D9" s="15"/>
      <c r="E9" s="15"/>
      <c r="F9" s="15"/>
      <c r="G9" s="16"/>
      <c r="H9" s="17" t="str">
        <f>IF(D9="","",F9*G9)</f>
        <v/>
      </c>
      <c r="I9" s="18"/>
    </row>
    <row r="10" spans="2:9">
      <c r="B10" s="69" t="s">
        <v>2921</v>
      </c>
      <c r="C10" s="20" t="s">
        <v>2922</v>
      </c>
      <c r="D10" s="22"/>
      <c r="E10" s="22"/>
      <c r="F10" s="22"/>
      <c r="G10" s="39"/>
      <c r="H10" s="25" t="str">
        <f t="shared" ref="H10:H14" si="0">IF(D10="","",F10*G10)</f>
        <v/>
      </c>
      <c r="I10" s="40"/>
    </row>
    <row r="11" spans="2:9">
      <c r="B11" s="48"/>
      <c r="C11" s="14"/>
      <c r="D11" s="22"/>
      <c r="E11" s="22"/>
      <c r="F11" s="22"/>
      <c r="G11" s="39"/>
      <c r="H11" s="25" t="str">
        <f t="shared" si="0"/>
        <v/>
      </c>
      <c r="I11" s="40"/>
    </row>
    <row r="12" spans="2:9">
      <c r="B12" s="48" t="s">
        <v>2923</v>
      </c>
      <c r="C12" s="14" t="s">
        <v>2924</v>
      </c>
      <c r="D12" s="22" t="s">
        <v>85</v>
      </c>
      <c r="E12" s="22"/>
      <c r="F12" s="22"/>
      <c r="G12" s="39"/>
      <c r="H12" s="25">
        <f t="shared" si="0"/>
        <v>0</v>
      </c>
      <c r="I12" s="40"/>
    </row>
    <row r="13" spans="2:9">
      <c r="B13" s="48"/>
      <c r="C13" s="14"/>
      <c r="D13" s="22"/>
      <c r="E13" s="22"/>
      <c r="F13" s="22"/>
      <c r="G13" s="39"/>
      <c r="H13" s="25" t="str">
        <f t="shared" si="0"/>
        <v/>
      </c>
      <c r="I13" s="40"/>
    </row>
    <row r="14" spans="2:9" ht="25.5">
      <c r="B14" s="48" t="s">
        <v>2925</v>
      </c>
      <c r="C14" s="14" t="s">
        <v>2926</v>
      </c>
      <c r="D14" s="22" t="s">
        <v>85</v>
      </c>
      <c r="E14" s="22"/>
      <c r="F14" s="23"/>
      <c r="G14" s="24"/>
      <c r="H14" s="25">
        <f t="shared" si="0"/>
        <v>0</v>
      </c>
      <c r="I14" s="41"/>
    </row>
    <row r="15" spans="2:9">
      <c r="B15" s="69"/>
      <c r="C15" s="14"/>
      <c r="D15" s="22"/>
      <c r="E15" s="22"/>
      <c r="F15" s="23"/>
      <c r="G15" s="24"/>
      <c r="H15" s="25"/>
      <c r="I15" s="41"/>
    </row>
    <row r="16" spans="2:9">
      <c r="B16" s="48"/>
      <c r="C16" s="14"/>
      <c r="D16" s="22"/>
      <c r="E16" s="22"/>
      <c r="F16" s="23"/>
      <c r="G16" s="24"/>
      <c r="H16" s="25"/>
      <c r="I16" s="41"/>
    </row>
    <row r="17" spans="2:9">
      <c r="B17" s="69"/>
      <c r="C17" s="14"/>
      <c r="D17" s="22"/>
      <c r="E17" s="22"/>
      <c r="F17" s="23"/>
      <c r="G17" s="24"/>
      <c r="H17" s="25"/>
      <c r="I17" s="41"/>
    </row>
    <row r="18" spans="2:9">
      <c r="B18" s="48"/>
      <c r="C18" s="14"/>
      <c r="D18" s="22"/>
      <c r="E18" s="22"/>
      <c r="F18" s="23"/>
      <c r="G18" s="39"/>
      <c r="H18" s="25"/>
      <c r="I18" s="40"/>
    </row>
    <row r="19" spans="2:9">
      <c r="B19" s="48"/>
      <c r="C19" s="14"/>
      <c r="D19" s="22"/>
      <c r="E19" s="22"/>
      <c r="F19" s="23"/>
      <c r="G19" s="42"/>
      <c r="H19" s="25"/>
      <c r="I19" s="40"/>
    </row>
    <row r="20" spans="2:9">
      <c r="B20" s="48"/>
      <c r="C20" s="14"/>
      <c r="D20" s="22"/>
      <c r="E20" s="36"/>
      <c r="F20" s="23"/>
      <c r="G20" s="44"/>
      <c r="H20" s="25"/>
    </row>
    <row r="21" spans="2:9">
      <c r="B21" s="48"/>
      <c r="C21" s="14"/>
      <c r="D21" s="22"/>
      <c r="E21" s="36"/>
      <c r="F21" s="23"/>
      <c r="G21" s="44"/>
      <c r="H21" s="25"/>
    </row>
    <row r="22" spans="2:9">
      <c r="B22" s="48"/>
      <c r="C22" s="14"/>
      <c r="D22" s="22"/>
      <c r="E22" s="36"/>
      <c r="F22" s="23"/>
      <c r="G22" s="37"/>
      <c r="H22" s="25"/>
    </row>
    <row r="23" spans="2:9">
      <c r="B23" s="48"/>
      <c r="C23" s="14"/>
      <c r="D23" s="22"/>
      <c r="E23" s="36"/>
      <c r="F23" s="23"/>
      <c r="G23" s="44"/>
      <c r="H23" s="25"/>
    </row>
    <row r="24" spans="2:9">
      <c r="B24" s="48"/>
      <c r="C24" s="14"/>
      <c r="D24" s="22"/>
      <c r="E24" s="36"/>
      <c r="F24" s="23"/>
      <c r="G24" s="42"/>
      <c r="H24" s="25"/>
    </row>
    <row r="25" spans="2:9">
      <c r="B25" s="48"/>
      <c r="C25" s="14"/>
      <c r="D25" s="22"/>
      <c r="E25" s="36"/>
      <c r="F25" s="23"/>
      <c r="G25" s="44"/>
      <c r="H25" s="25"/>
    </row>
    <row r="26" spans="2:9">
      <c r="B26" s="48"/>
      <c r="C26" s="14"/>
      <c r="D26" s="22"/>
      <c r="E26" s="22"/>
      <c r="F26" s="23"/>
      <c r="G26" s="37"/>
      <c r="H26" s="25"/>
      <c r="I26" s="41"/>
    </row>
    <row r="27" spans="2:9">
      <c r="B27" s="48"/>
      <c r="C27" s="14"/>
      <c r="D27" s="22"/>
      <c r="E27" s="15"/>
      <c r="F27" s="26"/>
      <c r="G27" s="27"/>
      <c r="H27" s="25"/>
      <c r="I27" s="18"/>
    </row>
    <row r="28" spans="2:9" s="35" customFormat="1">
      <c r="B28" s="48"/>
      <c r="C28" s="14"/>
      <c r="D28" s="15"/>
      <c r="E28" s="15"/>
      <c r="F28" s="26"/>
      <c r="G28" s="27"/>
      <c r="H28" s="17"/>
      <c r="I28" s="18"/>
    </row>
    <row r="29" spans="2:9">
      <c r="B29" s="48"/>
      <c r="C29" s="14"/>
      <c r="D29" s="22"/>
      <c r="E29" s="22"/>
      <c r="F29" s="23"/>
      <c r="G29" s="37"/>
      <c r="H29" s="25"/>
      <c r="I29" s="41"/>
    </row>
    <row r="30" spans="2:9">
      <c r="B30" s="48"/>
      <c r="C30" s="14"/>
      <c r="D30" s="22"/>
      <c r="E30" s="22"/>
      <c r="F30" s="23"/>
      <c r="G30" s="37"/>
      <c r="H30" s="25"/>
      <c r="I30" s="41"/>
    </row>
    <row r="31" spans="2:9">
      <c r="B31" s="48"/>
      <c r="C31" s="14"/>
      <c r="D31" s="22"/>
      <c r="E31" s="22"/>
      <c r="F31" s="23"/>
      <c r="G31" s="45"/>
      <c r="H31" s="25"/>
      <c r="I31" s="40"/>
    </row>
    <row r="32" spans="2:9">
      <c r="B32" s="48"/>
      <c r="C32" s="14"/>
      <c r="D32" s="22"/>
      <c r="E32" s="22"/>
      <c r="F32" s="23"/>
      <c r="G32" s="45"/>
      <c r="H32" s="25"/>
      <c r="I32" s="40"/>
    </row>
    <row r="33" spans="2:9">
      <c r="B33" s="48"/>
      <c r="C33" s="14"/>
      <c r="D33" s="22"/>
      <c r="E33" s="22"/>
      <c r="F33" s="23"/>
      <c r="G33" s="42"/>
      <c r="H33" s="25"/>
      <c r="I33" s="40"/>
    </row>
    <row r="34" spans="2:9">
      <c r="B34" s="48"/>
      <c r="C34" s="14"/>
      <c r="D34" s="22"/>
      <c r="E34" s="22"/>
      <c r="F34" s="23"/>
      <c r="G34" s="42"/>
      <c r="H34" s="25"/>
      <c r="I34" s="40"/>
    </row>
    <row r="35" spans="2:9">
      <c r="B35" s="48"/>
      <c r="C35" s="14"/>
      <c r="D35" s="22"/>
      <c r="E35" s="22"/>
      <c r="F35" s="22"/>
      <c r="G35" s="39"/>
      <c r="H35" s="25"/>
      <c r="I35" s="40"/>
    </row>
    <row r="36" spans="2:9">
      <c r="B36" s="48"/>
      <c r="C36" s="14"/>
      <c r="D36" s="22"/>
      <c r="E36" s="22"/>
      <c r="F36" s="22"/>
      <c r="G36" s="39"/>
      <c r="H36" s="25"/>
      <c r="I36" s="40"/>
    </row>
    <row r="37" spans="2:9">
      <c r="B37" s="48"/>
      <c r="C37" s="14"/>
      <c r="D37" s="22"/>
      <c r="E37" s="22"/>
      <c r="F37" s="22"/>
      <c r="G37" s="37"/>
      <c r="H37" s="25"/>
      <c r="I37" s="40"/>
    </row>
    <row r="38" spans="2:9">
      <c r="B38" s="48"/>
      <c r="C38" s="14"/>
      <c r="D38" s="22"/>
      <c r="E38" s="22"/>
      <c r="F38" s="22"/>
      <c r="G38" s="37"/>
      <c r="H38" s="25"/>
      <c r="I38" s="40"/>
    </row>
    <row r="39" spans="2:9">
      <c r="B39" s="48"/>
      <c r="C39" s="14"/>
      <c r="D39" s="22"/>
      <c r="E39" s="22"/>
      <c r="F39" s="22"/>
      <c r="G39" s="37"/>
      <c r="H39" s="25"/>
      <c r="I39" s="40"/>
    </row>
    <row r="40" spans="2:9">
      <c r="B40" s="48"/>
      <c r="C40" s="14"/>
      <c r="D40" s="22"/>
      <c r="E40" s="22"/>
      <c r="F40" s="22"/>
      <c r="G40" s="37"/>
      <c r="H40" s="25"/>
      <c r="I40" s="40"/>
    </row>
    <row r="41" spans="2:9">
      <c r="B41" s="48"/>
      <c r="C41" s="14"/>
      <c r="D41" s="22"/>
      <c r="E41" s="22"/>
      <c r="F41" s="22"/>
      <c r="G41" s="37"/>
      <c r="H41" s="25"/>
      <c r="I41" s="40"/>
    </row>
    <row r="42" spans="2:9">
      <c r="B42" s="48"/>
      <c r="C42" s="14"/>
      <c r="D42" s="22"/>
      <c r="E42" s="22"/>
      <c r="F42" s="22"/>
      <c r="G42" s="37"/>
      <c r="H42" s="25"/>
      <c r="I42" s="40"/>
    </row>
    <row r="43" spans="2:9">
      <c r="B43" s="48"/>
      <c r="C43" s="14"/>
      <c r="D43" s="22"/>
      <c r="E43" s="22"/>
      <c r="F43" s="22"/>
      <c r="G43" s="37"/>
      <c r="H43" s="25"/>
      <c r="I43" s="40"/>
    </row>
    <row r="44" spans="2:9">
      <c r="B44" s="48"/>
      <c r="C44" s="14"/>
      <c r="D44" s="22"/>
      <c r="E44" s="22"/>
      <c r="F44" s="22"/>
      <c r="G44" s="37"/>
      <c r="H44" s="25"/>
      <c r="I44" s="40"/>
    </row>
    <row r="45" spans="2:9">
      <c r="B45" s="48"/>
      <c r="C45" s="14"/>
      <c r="D45" s="22"/>
      <c r="E45" s="22"/>
      <c r="F45" s="22"/>
      <c r="G45" s="46"/>
      <c r="H45" s="25"/>
      <c r="I45" s="40"/>
    </row>
    <row r="46" spans="2:9">
      <c r="B46" s="48"/>
      <c r="C46" s="14"/>
      <c r="D46" s="22"/>
      <c r="E46" s="22"/>
      <c r="F46" s="22"/>
      <c r="G46" s="46"/>
      <c r="H46" s="25"/>
      <c r="I46" s="40"/>
    </row>
    <row r="47" spans="2:9">
      <c r="B47" s="48"/>
      <c r="C47" s="14"/>
      <c r="D47" s="22"/>
      <c r="E47" s="22"/>
      <c r="F47" s="22"/>
      <c r="G47" s="37"/>
      <c r="H47" s="25"/>
      <c r="I47" s="40"/>
    </row>
    <row r="48" spans="2:9">
      <c r="B48" s="48"/>
      <c r="C48" s="14"/>
      <c r="D48" s="22"/>
      <c r="E48" s="22"/>
      <c r="F48" s="22"/>
      <c r="G48" s="37"/>
      <c r="H48" s="25"/>
      <c r="I48" s="40"/>
    </row>
    <row r="49" spans="2:9">
      <c r="B49" s="48"/>
      <c r="C49" s="14"/>
      <c r="D49" s="22"/>
      <c r="E49" s="22"/>
      <c r="F49" s="22"/>
      <c r="G49" s="37"/>
      <c r="H49" s="25"/>
      <c r="I49" s="40"/>
    </row>
    <row r="50" spans="2:9">
      <c r="B50" s="48"/>
      <c r="C50" s="14"/>
      <c r="D50" s="22"/>
      <c r="E50" s="22"/>
      <c r="F50" s="22"/>
      <c r="G50" s="37"/>
      <c r="H50" s="25"/>
      <c r="I50" s="40"/>
    </row>
    <row r="51" spans="2:9">
      <c r="B51" s="48"/>
      <c r="C51" s="14"/>
      <c r="D51" s="22"/>
      <c r="E51" s="22"/>
      <c r="F51" s="22"/>
      <c r="G51" s="37"/>
      <c r="H51" s="25"/>
      <c r="I51" s="40"/>
    </row>
    <row r="52" spans="2:9">
      <c r="B52" s="48"/>
      <c r="C52" s="14"/>
      <c r="D52" s="22"/>
      <c r="E52" s="22"/>
      <c r="F52" s="22"/>
      <c r="G52" s="37"/>
      <c r="H52" s="25"/>
      <c r="I52" s="40"/>
    </row>
    <row r="53" spans="2:9">
      <c r="B53" s="48"/>
      <c r="C53" s="14"/>
      <c r="D53" s="36"/>
      <c r="E53" s="36"/>
      <c r="F53" s="36"/>
      <c r="G53" s="37"/>
      <c r="H53" s="25"/>
    </row>
    <row r="54" spans="2:9">
      <c r="B54" s="48"/>
      <c r="C54" s="14"/>
      <c r="D54" s="22"/>
      <c r="E54" s="22"/>
      <c r="F54" s="22"/>
      <c r="G54" s="37"/>
      <c r="H54" s="25"/>
      <c r="I54" s="40"/>
    </row>
    <row r="55" spans="2:9">
      <c r="B55" s="48"/>
      <c r="C55" s="14"/>
      <c r="D55" s="36"/>
      <c r="E55" s="36"/>
      <c r="F55" s="36"/>
      <c r="G55" s="37"/>
      <c r="H55" s="25"/>
      <c r="I55" s="47"/>
    </row>
    <row r="56" spans="2:9">
      <c r="B56" s="48"/>
      <c r="C56" s="14"/>
      <c r="D56" s="36"/>
      <c r="E56" s="36"/>
      <c r="F56" s="36"/>
      <c r="G56" s="37"/>
      <c r="H56" s="25"/>
    </row>
    <row r="57" spans="2:9">
      <c r="B57" s="48"/>
      <c r="C57" s="14"/>
      <c r="D57" s="22"/>
      <c r="E57" s="22"/>
      <c r="F57" s="22"/>
      <c r="G57" s="37"/>
      <c r="H57" s="25"/>
      <c r="I57" s="40"/>
    </row>
    <row r="58" spans="2:9">
      <c r="B58" s="48"/>
      <c r="C58" s="14"/>
      <c r="D58" s="22"/>
      <c r="E58" s="22"/>
      <c r="F58" s="22"/>
      <c r="G58" s="37"/>
      <c r="H58" s="25"/>
      <c r="I58" s="40"/>
    </row>
    <row r="59" spans="2:9">
      <c r="B59" s="48"/>
      <c r="C59" s="14"/>
      <c r="D59" s="22"/>
      <c r="E59" s="22"/>
      <c r="F59" s="22"/>
      <c r="G59" s="37"/>
      <c r="H59" s="25"/>
      <c r="I59" s="40"/>
    </row>
    <row r="60" spans="2:9">
      <c r="B60" s="48"/>
      <c r="C60" s="14"/>
      <c r="D60" s="22"/>
      <c r="E60" s="22"/>
      <c r="F60" s="22"/>
      <c r="G60" s="37"/>
      <c r="H60" s="25"/>
      <c r="I60" s="40"/>
    </row>
    <row r="61" spans="2:9">
      <c r="B61" s="48"/>
      <c r="C61" s="14"/>
      <c r="D61" s="22"/>
      <c r="E61" s="22"/>
      <c r="F61" s="22"/>
      <c r="G61" s="37"/>
      <c r="H61" s="25"/>
      <c r="I61" s="40"/>
    </row>
    <row r="62" spans="2:9">
      <c r="B62" s="48"/>
      <c r="C62" s="14"/>
      <c r="D62" s="22"/>
      <c r="E62" s="22"/>
      <c r="F62" s="22"/>
      <c r="G62" s="37"/>
      <c r="H62" s="25"/>
      <c r="I62" s="40"/>
    </row>
    <row r="63" spans="2:9">
      <c r="B63" s="48"/>
      <c r="C63" s="14"/>
      <c r="D63" s="22"/>
      <c r="E63" s="22"/>
      <c r="F63" s="22"/>
      <c r="G63" s="37"/>
      <c r="H63" s="25"/>
      <c r="I63" s="40"/>
    </row>
    <row r="64" spans="2:9">
      <c r="B64" s="48"/>
      <c r="C64" s="14"/>
      <c r="D64" s="22"/>
      <c r="E64" s="22"/>
      <c r="F64" s="22"/>
      <c r="G64" s="37"/>
      <c r="H64" s="25"/>
      <c r="I64" s="40"/>
    </row>
    <row r="65" spans="2:9">
      <c r="B65" s="48"/>
      <c r="C65" s="14"/>
      <c r="D65" s="22"/>
      <c r="E65" s="22"/>
      <c r="F65" s="22"/>
      <c r="G65" s="37"/>
      <c r="H65" s="25"/>
      <c r="I65" s="40"/>
    </row>
    <row r="66" spans="2:9">
      <c r="B66" s="48"/>
      <c r="C66" s="14"/>
      <c r="D66" s="22"/>
      <c r="E66" s="22"/>
      <c r="F66" s="22"/>
      <c r="G66" s="37"/>
      <c r="H66" s="25"/>
      <c r="I66" s="40"/>
    </row>
    <row r="67" spans="2:9">
      <c r="B67" s="48"/>
      <c r="C67" s="14"/>
      <c r="D67" s="22"/>
      <c r="E67" s="22"/>
      <c r="F67" s="22"/>
      <c r="G67" s="37"/>
      <c r="H67" s="25"/>
      <c r="I67" s="40"/>
    </row>
    <row r="68" spans="2:9">
      <c r="B68" s="48"/>
      <c r="C68" s="14"/>
      <c r="D68" s="22"/>
      <c r="E68" s="22"/>
      <c r="F68" s="22"/>
      <c r="G68" s="37"/>
      <c r="H68" s="25"/>
      <c r="I68" s="40"/>
    </row>
    <row r="69" spans="2:9">
      <c r="B69" s="48"/>
      <c r="C69" s="14"/>
      <c r="D69" s="22"/>
      <c r="E69" s="22"/>
      <c r="F69" s="22"/>
      <c r="G69" s="37"/>
      <c r="H69" s="25"/>
      <c r="I69" s="40"/>
    </row>
    <row r="70" spans="2:9">
      <c r="B70" s="48"/>
      <c r="C70" s="14"/>
      <c r="D70" s="22"/>
      <c r="E70" s="22"/>
      <c r="F70" s="22"/>
      <c r="G70" s="37"/>
      <c r="H70" s="25"/>
      <c r="I70" s="40"/>
    </row>
    <row r="71" spans="2:9">
      <c r="B71" s="48"/>
      <c r="C71" s="14"/>
      <c r="D71" s="22"/>
      <c r="E71" s="22"/>
      <c r="F71" s="22"/>
      <c r="G71" s="37"/>
      <c r="H71" s="25"/>
      <c r="I71" s="40"/>
    </row>
    <row r="72" spans="2:9">
      <c r="B72" s="48"/>
      <c r="C72" s="14"/>
      <c r="D72" s="22"/>
      <c r="E72" s="22"/>
      <c r="F72" s="22"/>
      <c r="G72" s="37"/>
      <c r="H72" s="25"/>
      <c r="I72" s="40"/>
    </row>
    <row r="73" spans="2:9">
      <c r="B73" s="48"/>
      <c r="C73" s="14"/>
      <c r="D73" s="22"/>
      <c r="E73" s="22"/>
      <c r="F73" s="22"/>
      <c r="G73" s="37"/>
      <c r="H73" s="25"/>
      <c r="I73" s="40"/>
    </row>
    <row r="74" spans="2:9">
      <c r="B74" s="48"/>
      <c r="C74" s="14"/>
      <c r="D74" s="22"/>
      <c r="E74" s="22"/>
      <c r="F74" s="22"/>
      <c r="G74" s="37"/>
      <c r="H74" s="25"/>
      <c r="I74" s="40"/>
    </row>
    <row r="75" spans="2:9">
      <c r="B75" s="48"/>
      <c r="C75" s="14"/>
      <c r="D75" s="22"/>
      <c r="E75" s="22"/>
      <c r="F75" s="22"/>
      <c r="G75" s="37"/>
      <c r="H75" s="25"/>
      <c r="I75" s="40"/>
    </row>
    <row r="76" spans="2:9">
      <c r="B76" s="48"/>
      <c r="C76" s="14"/>
      <c r="D76" s="22"/>
      <c r="E76" s="22"/>
      <c r="F76" s="22"/>
      <c r="G76" s="37"/>
      <c r="H76" s="25"/>
      <c r="I76" s="40"/>
    </row>
    <row r="77" spans="2:9" s="28" customFormat="1" ht="24.95" customHeight="1">
      <c r="B77" s="82" t="str">
        <f>$B$10</f>
        <v>C14.11</v>
      </c>
      <c r="C77" s="29" t="s">
        <v>125</v>
      </c>
      <c r="D77" s="30"/>
      <c r="E77" s="30"/>
      <c r="F77" s="31"/>
      <c r="G77" s="30"/>
      <c r="H77" s="32">
        <f>SUM(H9:H76)</f>
        <v>0</v>
      </c>
      <c r="I77" s="33"/>
    </row>
  </sheetData>
  <mergeCells count="4">
    <mergeCell ref="F1:H1"/>
    <mergeCell ref="B5:G7"/>
    <mergeCell ref="H4:H7"/>
    <mergeCell ref="B4:G4"/>
  </mergeCells>
  <pageMargins left="0.43307086614173229" right="0.31496062992125984" top="0.43307086614173229" bottom="0.62992125984251968" header="0.35433070866141736" footer="0.31496062992125984"/>
  <pageSetup paperSize="9" scale="78" firstPageNumber="31" orientation="portrait" cellComments="asDisplayed" useFirstPageNumber="1" r:id="rId1"/>
  <headerFooter>
    <oddHeader xml:space="preserve">&amp;R&amp;"Arial,Bold Italic"
</oddHeader>
    <oddFooter xml:space="preserve">&amp;L&amp;"Arial,Bold"_____________________________________________________________________________________________________________________
ZNT 4198/17T Standard Quotation Document Ver. 2019-09-02&amp;R&amp;"Arial,Bold"_____________________
C&amp;P   </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0">
    <tabColor rgb="FF00B0F0"/>
  </sheetPr>
  <dimension ref="B1:I23"/>
  <sheetViews>
    <sheetView view="pageBreakPreview" zoomScaleNormal="100" zoomScaleSheetLayoutView="100" workbookViewId="0">
      <selection activeCell="C27" sqref="C27"/>
    </sheetView>
  </sheetViews>
  <sheetFormatPr defaultColWidth="8.85546875" defaultRowHeight="12.75"/>
  <cols>
    <col min="1" max="1" width="0.85546875" style="52" customWidth="1"/>
    <col min="2" max="2" width="11.7109375" style="52" customWidth="1"/>
    <col min="3" max="3" width="39.140625" style="52" customWidth="1"/>
    <col min="4" max="4" width="15.28515625" style="52" customWidth="1"/>
    <col min="5" max="5" width="24" style="291" customWidth="1"/>
    <col min="6" max="6" width="10.140625" style="54" customWidth="1"/>
    <col min="7" max="7" width="15.7109375" style="404" customWidth="1"/>
    <col min="8" max="8" width="4.42578125" style="404" customWidth="1"/>
    <col min="9" max="9" width="0.85546875" style="52" hidden="1" customWidth="1"/>
    <col min="10" max="36" width="0" style="52" hidden="1" customWidth="1"/>
    <col min="37" max="16384" width="8.85546875" style="52"/>
  </cols>
  <sheetData>
    <row r="1" spans="2:8" ht="22.5" customHeight="1">
      <c r="B1" s="2" t="str">
        <f>Client1</f>
        <v>AIRPORTS COMPANY - SOUTH AFRICA</v>
      </c>
      <c r="D1" s="3"/>
      <c r="E1" s="3"/>
      <c r="F1" s="676" t="str">
        <f>"Contract No. "&amp;ContractNo</f>
        <v>Contract No. KSIA7806/2025/RFP</v>
      </c>
      <c r="G1" s="676"/>
      <c r="H1" s="676"/>
    </row>
    <row r="2" spans="2:8" s="3" customFormat="1" ht="18" customHeight="1">
      <c r="B2" s="90" t="str">
        <f>Client2</f>
        <v>ACSA</v>
      </c>
      <c r="C2" s="52"/>
      <c r="F2" s="4"/>
      <c r="G2" s="399"/>
      <c r="H2" s="399"/>
    </row>
    <row r="3" spans="2:8" s="3" customFormat="1" ht="16.5" customHeight="1">
      <c r="B3" s="71"/>
      <c r="C3" s="92"/>
      <c r="D3" s="71"/>
      <c r="E3" s="71"/>
      <c r="F3" s="72"/>
      <c r="G3" s="401"/>
      <c r="H3" s="401"/>
    </row>
    <row r="4" spans="2:8" s="3" customFormat="1" ht="7.5" customHeight="1">
      <c r="B4" s="690" t="s">
        <v>354</v>
      </c>
      <c r="C4" s="691"/>
      <c r="D4" s="691"/>
      <c r="E4" s="691"/>
      <c r="F4" s="691"/>
      <c r="G4" s="691"/>
      <c r="H4" s="711"/>
    </row>
    <row r="5" spans="2:8" ht="22.5" customHeight="1">
      <c r="B5" s="690"/>
      <c r="C5" s="691"/>
      <c r="D5" s="691"/>
      <c r="E5" s="691"/>
      <c r="F5" s="691"/>
      <c r="G5" s="691"/>
      <c r="H5" s="711"/>
    </row>
    <row r="6" spans="2:8" ht="7.5" customHeight="1">
      <c r="B6" s="692"/>
      <c r="C6" s="693"/>
      <c r="D6" s="693"/>
      <c r="E6" s="693"/>
      <c r="F6" s="693"/>
      <c r="G6" s="693"/>
      <c r="H6" s="712"/>
    </row>
    <row r="7" spans="2:8" ht="25.5" customHeight="1">
      <c r="B7" s="713" t="s">
        <v>2927</v>
      </c>
      <c r="C7" s="714"/>
      <c r="D7" s="714"/>
      <c r="E7" s="714"/>
      <c r="F7" s="714"/>
      <c r="G7" s="714"/>
      <c r="H7" s="715"/>
    </row>
    <row r="8" spans="2:8" ht="25.5">
      <c r="B8" s="280" t="s">
        <v>356</v>
      </c>
      <c r="C8" s="716" t="s">
        <v>12</v>
      </c>
      <c r="D8" s="717"/>
      <c r="E8" s="718"/>
      <c r="F8" s="85" t="s">
        <v>357</v>
      </c>
      <c r="G8" s="798" t="s">
        <v>17</v>
      </c>
      <c r="H8" s="796"/>
    </row>
    <row r="9" spans="2:8" ht="15.75" customHeight="1">
      <c r="B9" s="14" t="str">
        <f>'C1.6B'!B10</f>
        <v>C1.6</v>
      </c>
      <c r="C9" s="721" t="str">
        <f>'C1.6B'!C10</f>
        <v>CLEARING AND GRUBBING</v>
      </c>
      <c r="D9" s="722">
        <f>'C1.6B'!D10</f>
        <v>0</v>
      </c>
      <c r="E9" s="722">
        <f>'C1.6B'!E10</f>
        <v>0</v>
      </c>
      <c r="F9" s="528" t="s">
        <v>2928</v>
      </c>
      <c r="G9" s="792">
        <f>'C1.6B'!H24</f>
        <v>0</v>
      </c>
      <c r="H9" s="708"/>
    </row>
    <row r="10" spans="2:8" ht="15.75" customHeight="1">
      <c r="B10" s="14" t="str">
        <f>'C1.7B'!B10</f>
        <v>C1.7</v>
      </c>
      <c r="C10" s="721" t="str">
        <f>'C1.7B'!C10</f>
        <v>LOADING AND HAULING</v>
      </c>
      <c r="D10" s="722">
        <f>'C1.7B'!D10</f>
        <v>0</v>
      </c>
      <c r="E10" s="722">
        <f>'C1.7B'!E10</f>
        <v>0</v>
      </c>
      <c r="F10" s="528" t="s">
        <v>2929</v>
      </c>
      <c r="G10" s="791">
        <f>'C1.7B'!H39</f>
        <v>0</v>
      </c>
      <c r="H10" s="709"/>
    </row>
    <row r="11" spans="2:8" ht="15.75" customHeight="1">
      <c r="B11" s="14" t="str">
        <f>'C3.1B'!B9</f>
        <v>C3.1</v>
      </c>
      <c r="C11" s="721" t="str">
        <f>'C3.1B'!C9</f>
        <v>DRAINS</v>
      </c>
      <c r="D11" s="722">
        <f>'C3.1B'!D9</f>
        <v>0</v>
      </c>
      <c r="E11" s="722">
        <f>'C3.1B'!E9</f>
        <v>0</v>
      </c>
      <c r="F11" s="528" t="s">
        <v>2930</v>
      </c>
      <c r="G11" s="791">
        <f>'C3.1B'!H60</f>
        <v>0</v>
      </c>
      <c r="H11" s="709"/>
    </row>
    <row r="12" spans="2:8" ht="15.75" customHeight="1">
      <c r="B12" s="14" t="str">
        <f>'C3.2B'!B10</f>
        <v>C3.2</v>
      </c>
      <c r="C12" s="721" t="str">
        <f>'C3.2B'!C10</f>
        <v>CULVERTS</v>
      </c>
      <c r="D12" s="722">
        <f>'C3.2B'!D10</f>
        <v>0</v>
      </c>
      <c r="E12" s="722">
        <f>'C3.2B'!E10</f>
        <v>0</v>
      </c>
      <c r="F12" s="528" t="s">
        <v>2931</v>
      </c>
      <c r="G12" s="791">
        <f>'C3.2B'!H67</f>
        <v>0</v>
      </c>
      <c r="H12" s="709"/>
    </row>
    <row r="13" spans="2:8" ht="15.75" customHeight="1">
      <c r="B13" s="14" t="str">
        <f>'C4.2B'!B10</f>
        <v>C4.2</v>
      </c>
      <c r="C13" s="721" t="str">
        <f>'C4.2B'!C10</f>
        <v>CUT MATERIALS</v>
      </c>
      <c r="D13" s="722">
        <f>'C4.2B'!D10</f>
        <v>0</v>
      </c>
      <c r="E13" s="722">
        <f>'C4.2B'!E10</f>
        <v>0</v>
      </c>
      <c r="F13" s="528" t="s">
        <v>2932</v>
      </c>
      <c r="G13" s="791">
        <f>'C4.2B'!H42</f>
        <v>0</v>
      </c>
      <c r="H13" s="709"/>
    </row>
    <row r="14" spans="2:8" ht="15.75" customHeight="1">
      <c r="B14" s="14" t="s">
        <v>783</v>
      </c>
      <c r="C14" s="275" t="s">
        <v>784</v>
      </c>
      <c r="E14" s="52"/>
      <c r="F14" s="528" t="s">
        <v>2933</v>
      </c>
      <c r="G14" s="791">
        <f>'C4.3B'!H65</f>
        <v>100000</v>
      </c>
      <c r="H14" s="709"/>
    </row>
    <row r="15" spans="2:8" ht="15.75" customHeight="1">
      <c r="B15" s="14" t="str">
        <f>'C4.4B'!B10</f>
        <v>C4.4</v>
      </c>
      <c r="C15" s="721" t="str">
        <f>'C4.4B'!C10</f>
        <v>COMMERCIAL MATERIALS</v>
      </c>
      <c r="D15" s="722" t="e">
        <f>'C4.4B'!#REF!</f>
        <v>#REF!</v>
      </c>
      <c r="E15" s="722" t="e">
        <f>'C4.4B'!#REF!</f>
        <v>#REF!</v>
      </c>
      <c r="F15" s="528" t="s">
        <v>2934</v>
      </c>
      <c r="G15" s="791">
        <f>'C4.4B'!H40</f>
        <v>75000</v>
      </c>
      <c r="H15" s="709"/>
    </row>
    <row r="16" spans="2:8" ht="15.75" customHeight="1">
      <c r="B16" s="14" t="str">
        <f>'C5.2B'!B10</f>
        <v>C5.2</v>
      </c>
      <c r="C16" s="721" t="str">
        <f>'C5.2B'!C10</f>
        <v>FILL</v>
      </c>
      <c r="D16" s="722">
        <f>'C5.2B'!D10</f>
        <v>0</v>
      </c>
      <c r="E16" s="722">
        <f>'C5.2B'!E10</f>
        <v>0</v>
      </c>
      <c r="F16" s="528" t="s">
        <v>2935</v>
      </c>
      <c r="G16" s="791">
        <f>'C5.2B'!$H$43</f>
        <v>0</v>
      </c>
      <c r="H16" s="709"/>
    </row>
    <row r="17" spans="2:9" ht="15.75" customHeight="1">
      <c r="B17" s="14" t="s">
        <v>1133</v>
      </c>
      <c r="C17" s="275" t="s">
        <v>1134</v>
      </c>
      <c r="E17" s="52"/>
      <c r="F17" s="528" t="s">
        <v>2936</v>
      </c>
      <c r="G17" s="791">
        <f>'C8.1B'!H31</f>
        <v>0</v>
      </c>
      <c r="H17" s="709"/>
    </row>
    <row r="18" spans="2:9" ht="15.75" customHeight="1">
      <c r="B18" s="14" t="s">
        <v>1185</v>
      </c>
      <c r="C18" s="721" t="s">
        <v>1186</v>
      </c>
      <c r="D18" s="722"/>
      <c r="E18" s="722"/>
      <c r="F18" s="528" t="s">
        <v>2937</v>
      </c>
      <c r="G18" s="791">
        <f>'C8.5B'!H79</f>
        <v>0</v>
      </c>
      <c r="H18" s="709"/>
    </row>
    <row r="19" spans="2:9" ht="15.75" customHeight="1">
      <c r="B19" s="14" t="s">
        <v>1226</v>
      </c>
      <c r="C19" s="721" t="s">
        <v>1227</v>
      </c>
      <c r="D19" s="722"/>
      <c r="E19" s="722"/>
      <c r="F19" s="528" t="s">
        <v>2938</v>
      </c>
      <c r="G19" s="791">
        <f>'C8.8B'!H70</f>
        <v>0</v>
      </c>
      <c r="H19" s="709"/>
    </row>
    <row r="20" spans="2:9" ht="15.75" customHeight="1">
      <c r="B20" s="14" t="s">
        <v>1237</v>
      </c>
      <c r="C20" s="721" t="s">
        <v>1238</v>
      </c>
      <c r="D20" s="722"/>
      <c r="E20" s="722"/>
      <c r="F20" s="528" t="s">
        <v>2939</v>
      </c>
      <c r="G20" s="791">
        <f>'C9.1B'!H108</f>
        <v>0</v>
      </c>
      <c r="H20" s="709"/>
    </row>
    <row r="21" spans="2:9" ht="15.75" customHeight="1">
      <c r="B21" s="14" t="str">
        <f>'C11.7B'!B10</f>
        <v>C11.7</v>
      </c>
      <c r="C21" s="721" t="str">
        <f>'C11.7B'!C10</f>
        <v>MARKINGS AND ROAD STUDS</v>
      </c>
      <c r="D21" s="722">
        <f>'C11.7B'!D12</f>
        <v>0</v>
      </c>
      <c r="E21" s="722">
        <f>'C11.7B'!E12</f>
        <v>0</v>
      </c>
      <c r="F21" s="528" t="s">
        <v>2940</v>
      </c>
      <c r="G21" s="791">
        <f>'C11.7B'!H45</f>
        <v>0</v>
      </c>
      <c r="H21" s="709"/>
    </row>
    <row r="22" spans="2:9" ht="15.75" customHeight="1">
      <c r="B22" s="14" t="str">
        <f>'C11.8B'!B10</f>
        <v>C11.8</v>
      </c>
      <c r="C22" s="721" t="str">
        <f>'C11.8B'!C10</f>
        <v>LANDSCAPING AND PLANTING PLANTS</v>
      </c>
      <c r="D22" s="722" t="e">
        <f>'C11.8B'!#REF!</f>
        <v>#REF!</v>
      </c>
      <c r="E22" s="722" t="e">
        <f>'C11.8B'!#REF!</f>
        <v>#REF!</v>
      </c>
      <c r="F22" s="528" t="s">
        <v>2941</v>
      </c>
      <c r="G22" s="797">
        <f>'C11.8B'!H50</f>
        <v>0</v>
      </c>
      <c r="H22" s="710"/>
    </row>
    <row r="23" spans="2:9" s="2" customFormat="1" ht="19.5" customHeight="1">
      <c r="B23" s="793" t="s">
        <v>2942</v>
      </c>
      <c r="C23" s="794"/>
      <c r="D23" s="794"/>
      <c r="E23" s="794"/>
      <c r="F23" s="741"/>
      <c r="G23" s="795">
        <f>SUM(G9:H22)</f>
        <v>175000</v>
      </c>
      <c r="H23" s="796"/>
      <c r="I23" s="289"/>
    </row>
  </sheetData>
  <sheetProtection algorithmName="SHA-512" hashValue="t/P08kTvUAI36hFsbwG5Vmqb7l8h3vnR0dbeL6/WrflSTNVIQif4xRQJfwITvdXYOddr8Njx87lYl4dZW5toLQ==" saltValue="j2pfVm9Wf84AQ9VNAau2jg==" spinCount="100000" sheet="1" objects="1" scenarios="1"/>
  <mergeCells count="34">
    <mergeCell ref="F1:H1"/>
    <mergeCell ref="B7:H7"/>
    <mergeCell ref="G8:H8"/>
    <mergeCell ref="H4:H6"/>
    <mergeCell ref="B4:G6"/>
    <mergeCell ref="C8:E8"/>
    <mergeCell ref="G20:H20"/>
    <mergeCell ref="G16:H16"/>
    <mergeCell ref="G21:H21"/>
    <mergeCell ref="C20:E20"/>
    <mergeCell ref="G15:H15"/>
    <mergeCell ref="G18:H18"/>
    <mergeCell ref="G19:H19"/>
    <mergeCell ref="C18:E18"/>
    <mergeCell ref="C19:E19"/>
    <mergeCell ref="B23:F23"/>
    <mergeCell ref="G23:H23"/>
    <mergeCell ref="C21:E21"/>
    <mergeCell ref="G22:H22"/>
    <mergeCell ref="C22:E22"/>
    <mergeCell ref="C9:E9"/>
    <mergeCell ref="C10:E10"/>
    <mergeCell ref="G14:H14"/>
    <mergeCell ref="G17:H17"/>
    <mergeCell ref="C15:E15"/>
    <mergeCell ref="C16:E16"/>
    <mergeCell ref="C13:E13"/>
    <mergeCell ref="G9:H9"/>
    <mergeCell ref="G10:H10"/>
    <mergeCell ref="G11:H11"/>
    <mergeCell ref="G12:H12"/>
    <mergeCell ref="C11:E11"/>
    <mergeCell ref="C12:E12"/>
    <mergeCell ref="G13:H13"/>
  </mergeCells>
  <phoneticPr fontId="17" type="noConversion"/>
  <pageMargins left="0.43307086614173229" right="0.31496062992125984" top="0.43307086614173229" bottom="0.62992125984251968" header="0.35433070866141736" footer="0.31496062992125984"/>
  <pageSetup paperSize="9" scale="75" firstPageNumber="31" fitToHeight="0"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32AFC-D88C-4903-83BB-B06A4B5289EC}">
  <sheetPr codeName="Sheet78">
    <tabColor rgb="FF00B0F0"/>
  </sheetPr>
  <dimension ref="B1:I60"/>
  <sheetViews>
    <sheetView view="pageBreakPreview" zoomScaleNormal="85" zoomScaleSheetLayoutView="100" workbookViewId="0">
      <selection activeCell="G14" sqref="G14"/>
    </sheetView>
  </sheetViews>
  <sheetFormatPr defaultColWidth="6.85546875" defaultRowHeight="12.75"/>
  <cols>
    <col min="1" max="1" width="0.85546875" style="3" customWidth="1"/>
    <col min="2" max="2" width="11.7109375" style="34" customWidth="1"/>
    <col min="3" max="3" width="45.7109375" style="3" customWidth="1"/>
    <col min="4" max="4" width="15.28515625" style="3" customWidth="1"/>
    <col min="5" max="5" width="5.7109375" style="3" customWidth="1"/>
    <col min="6" max="6" width="13.85546875" style="4" customWidth="1"/>
    <col min="7" max="7" width="13.140625" style="398" customWidth="1"/>
    <col min="8" max="8" width="15.7109375" style="399" customWidth="1"/>
    <col min="9" max="9" width="50.140625" style="3" hidden="1" customWidth="1"/>
    <col min="10" max="36" width="0" style="3" hidden="1" customWidth="1"/>
    <col min="37" max="16384" width="6.85546875" style="3"/>
  </cols>
  <sheetData>
    <row r="1" spans="2:9" ht="21.75" customHeight="1">
      <c r="B1" s="2" t="str">
        <f>Client1</f>
        <v>AIRPORTS COMPANY - SOUTH AFRICA</v>
      </c>
      <c r="F1" s="676" t="str">
        <f>"Contract No. "&amp;ContractNo</f>
        <v>Contract No. KSIA7806/2025/RFP</v>
      </c>
      <c r="G1" s="676"/>
      <c r="H1" s="676"/>
    </row>
    <row r="2" spans="2:9">
      <c r="B2" s="90" t="str">
        <f>Client2</f>
        <v>ACSA</v>
      </c>
    </row>
    <row r="3" spans="2:9">
      <c r="B3" s="71"/>
      <c r="C3" s="71"/>
      <c r="D3" s="71"/>
      <c r="E3" s="71"/>
      <c r="F3" s="72"/>
      <c r="G3" s="400"/>
      <c r="H3" s="401"/>
    </row>
    <row r="4" spans="2:9">
      <c r="B4" s="695" t="s">
        <v>2943</v>
      </c>
      <c r="C4" s="696"/>
      <c r="D4" s="696"/>
      <c r="E4" s="696"/>
      <c r="F4" s="696"/>
      <c r="G4" s="696"/>
      <c r="H4" s="742" t="str">
        <f>"CHAPTER "&amp;B10</f>
        <v>CHAPTER C1.6</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13.5" customHeight="1">
      <c r="B7" s="692"/>
      <c r="C7" s="693"/>
      <c r="D7" s="693"/>
      <c r="E7" s="693"/>
      <c r="F7" s="693"/>
      <c r="G7" s="693"/>
      <c r="H7" s="744"/>
      <c r="I7" s="676"/>
    </row>
    <row r="8" spans="2:9" s="2" customFormat="1" ht="24.95" customHeight="1">
      <c r="B8" s="282" t="s">
        <v>11</v>
      </c>
      <c r="C8" s="280" t="s">
        <v>12</v>
      </c>
      <c r="D8" s="280" t="s">
        <v>13</v>
      </c>
      <c r="E8" s="280" t="s">
        <v>14</v>
      </c>
      <c r="F8" s="11" t="s">
        <v>15</v>
      </c>
      <c r="G8" s="409" t="s">
        <v>16</v>
      </c>
      <c r="H8" s="364" t="s">
        <v>17</v>
      </c>
      <c r="I8" s="676"/>
    </row>
    <row r="9" spans="2:9">
      <c r="B9" s="13"/>
      <c r="C9" s="14"/>
      <c r="D9" s="38"/>
      <c r="E9" s="38"/>
      <c r="F9" s="15"/>
      <c r="G9" s="427"/>
      <c r="H9" s="363" t="str">
        <f t="shared" ref="H9:H59" si="0">IF(D9="","",F9*G9)</f>
        <v/>
      </c>
      <c r="I9" s="299"/>
    </row>
    <row r="10" spans="2:9">
      <c r="B10" s="19" t="s">
        <v>367</v>
      </c>
      <c r="C10" s="20" t="s">
        <v>368</v>
      </c>
      <c r="D10" s="14"/>
      <c r="E10" s="14"/>
      <c r="F10" s="22"/>
      <c r="G10" s="410"/>
      <c r="H10" s="363" t="str">
        <f t="shared" si="0"/>
        <v/>
      </c>
      <c r="I10" s="284"/>
    </row>
    <row r="11" spans="2:9">
      <c r="B11" s="13"/>
      <c r="C11" s="14"/>
      <c r="D11" s="14"/>
      <c r="E11" s="14"/>
      <c r="F11" s="22"/>
      <c r="G11" s="410"/>
      <c r="H11" s="363" t="str">
        <f t="shared" si="0"/>
        <v/>
      </c>
      <c r="I11" s="284"/>
    </row>
    <row r="12" spans="2:9">
      <c r="B12" s="13" t="s">
        <v>369</v>
      </c>
      <c r="C12" s="14" t="s">
        <v>370</v>
      </c>
      <c r="D12" s="14"/>
      <c r="E12" s="14"/>
      <c r="F12" s="22"/>
      <c r="G12" s="410"/>
      <c r="H12" s="363" t="str">
        <f t="shared" si="0"/>
        <v/>
      </c>
      <c r="I12" s="284"/>
    </row>
    <row r="13" spans="2:9">
      <c r="B13" s="13"/>
      <c r="C13" s="14"/>
      <c r="D13" s="14"/>
      <c r="E13" s="14"/>
      <c r="F13" s="22"/>
      <c r="G13" s="410"/>
      <c r="H13" s="363" t="str">
        <f t="shared" si="0"/>
        <v/>
      </c>
      <c r="I13" s="284"/>
    </row>
    <row r="14" spans="2:9" ht="25.5">
      <c r="B14" s="13" t="s">
        <v>371</v>
      </c>
      <c r="C14" s="14" t="s">
        <v>372</v>
      </c>
      <c r="D14" s="14" t="s">
        <v>373</v>
      </c>
      <c r="E14" s="14"/>
      <c r="F14" s="357">
        <v>3.5</v>
      </c>
      <c r="G14" s="587"/>
      <c r="H14" s="363">
        <f t="shared" si="0"/>
        <v>0</v>
      </c>
      <c r="I14" s="332"/>
    </row>
    <row r="15" spans="2:9">
      <c r="B15" s="13"/>
      <c r="C15" s="14"/>
      <c r="D15" s="14"/>
      <c r="E15" s="14"/>
      <c r="F15" s="240"/>
      <c r="G15" s="586"/>
      <c r="H15" s="363" t="str">
        <f t="shared" si="0"/>
        <v/>
      </c>
      <c r="I15" s="331"/>
    </row>
    <row r="16" spans="2:9">
      <c r="B16" s="13" t="s">
        <v>376</v>
      </c>
      <c r="C16" s="14" t="s">
        <v>377</v>
      </c>
      <c r="D16" s="14"/>
      <c r="E16" s="14"/>
      <c r="F16" s="240"/>
      <c r="G16" s="585"/>
      <c r="H16" s="363" t="str">
        <f t="shared" si="0"/>
        <v/>
      </c>
      <c r="I16" s="331"/>
    </row>
    <row r="17" spans="2:9">
      <c r="B17" s="13"/>
      <c r="C17" s="14"/>
      <c r="D17" s="14"/>
      <c r="E17" s="14"/>
      <c r="F17" s="240"/>
      <c r="G17" s="586"/>
      <c r="H17" s="363" t="str">
        <f t="shared" si="0"/>
        <v/>
      </c>
      <c r="I17" s="331"/>
    </row>
    <row r="18" spans="2:9" ht="25.5">
      <c r="B18" s="13" t="s">
        <v>378</v>
      </c>
      <c r="C18" s="14" t="s">
        <v>379</v>
      </c>
      <c r="D18" s="14" t="s">
        <v>373</v>
      </c>
      <c r="E18" s="50"/>
      <c r="F18" s="357">
        <v>3.5</v>
      </c>
      <c r="G18" s="587"/>
      <c r="H18" s="363">
        <f t="shared" si="0"/>
        <v>0</v>
      </c>
      <c r="I18" s="332"/>
    </row>
    <row r="19" spans="2:9">
      <c r="B19" s="13"/>
      <c r="C19" s="14"/>
      <c r="D19" s="14"/>
      <c r="E19" s="50"/>
      <c r="F19" s="240"/>
      <c r="G19" s="431"/>
      <c r="H19" s="363" t="str">
        <f t="shared" si="0"/>
        <v/>
      </c>
    </row>
    <row r="20" spans="2:9" ht="27.75" customHeight="1">
      <c r="B20" s="13"/>
      <c r="C20" s="14"/>
      <c r="D20" s="14"/>
      <c r="E20" s="50"/>
      <c r="F20" s="240"/>
      <c r="G20" s="431"/>
      <c r="H20" s="363"/>
    </row>
    <row r="21" spans="2:9">
      <c r="B21" s="13"/>
      <c r="C21" s="14"/>
      <c r="D21" s="14"/>
      <c r="E21" s="50"/>
      <c r="F21" s="240"/>
      <c r="G21" s="431"/>
      <c r="H21" s="363"/>
    </row>
    <row r="22" spans="2:9">
      <c r="B22" s="13"/>
      <c r="C22" s="14"/>
      <c r="D22" s="14"/>
      <c r="E22" s="50"/>
      <c r="F22" s="240"/>
      <c r="G22" s="351"/>
      <c r="H22" s="363"/>
    </row>
    <row r="23" spans="2:9">
      <c r="B23" s="13"/>
      <c r="C23" s="14"/>
      <c r="D23" s="14"/>
      <c r="E23" s="50"/>
      <c r="F23" s="240"/>
      <c r="G23" s="351"/>
      <c r="H23" s="363"/>
    </row>
    <row r="24" spans="2:9">
      <c r="B24" s="13"/>
      <c r="C24" s="14"/>
      <c r="D24" s="14"/>
      <c r="E24" s="50"/>
      <c r="F24" s="240"/>
      <c r="G24" s="431"/>
      <c r="H24" s="363"/>
    </row>
    <row r="25" spans="2:9">
      <c r="B25" s="13"/>
      <c r="C25" s="100"/>
      <c r="D25" s="14"/>
      <c r="E25" s="50"/>
      <c r="F25" s="240"/>
      <c r="G25" s="379"/>
      <c r="H25" s="363"/>
    </row>
    <row r="26" spans="2:9" ht="14.25" customHeight="1">
      <c r="B26" s="13"/>
      <c r="C26" s="100"/>
      <c r="D26" s="14"/>
      <c r="E26" s="50"/>
      <c r="F26" s="240"/>
      <c r="G26" s="431"/>
      <c r="H26" s="363"/>
    </row>
    <row r="27" spans="2:9">
      <c r="B27" s="13"/>
      <c r="C27" s="14"/>
      <c r="D27" s="14"/>
      <c r="E27" s="14"/>
      <c r="F27" s="240"/>
      <c r="G27" s="410"/>
      <c r="H27" s="363"/>
      <c r="I27" s="284"/>
    </row>
    <row r="28" spans="2:9">
      <c r="B28" s="13"/>
      <c r="C28" s="14"/>
      <c r="D28" s="14"/>
      <c r="E28" s="14"/>
      <c r="F28" s="240"/>
      <c r="G28" s="410"/>
      <c r="H28" s="363"/>
      <c r="I28" s="284"/>
    </row>
    <row r="29" spans="2:9">
      <c r="B29" s="13"/>
      <c r="C29" s="14"/>
      <c r="D29" s="14"/>
      <c r="E29" s="14"/>
      <c r="F29" s="240"/>
      <c r="G29" s="410"/>
      <c r="H29" s="363"/>
      <c r="I29" s="284"/>
    </row>
    <row r="30" spans="2:9">
      <c r="B30" s="13"/>
      <c r="C30" s="14"/>
      <c r="D30" s="14"/>
      <c r="E30" s="14"/>
      <c r="F30" s="240"/>
      <c r="G30" s="351"/>
      <c r="H30" s="363"/>
      <c r="I30" s="285"/>
    </row>
    <row r="31" spans="2:9">
      <c r="B31" s="13"/>
      <c r="C31" s="14"/>
      <c r="D31" s="14"/>
      <c r="E31" s="14"/>
      <c r="F31" s="240"/>
      <c r="G31" s="351"/>
      <c r="H31" s="363"/>
      <c r="I31" s="285"/>
    </row>
    <row r="32" spans="2:9">
      <c r="B32" s="13"/>
      <c r="C32" s="14"/>
      <c r="D32" s="14"/>
      <c r="E32" s="38"/>
      <c r="F32" s="249"/>
      <c r="G32" s="427"/>
      <c r="H32" s="363"/>
      <c r="I32" s="299"/>
    </row>
    <row r="33" spans="2:9">
      <c r="B33" s="13"/>
      <c r="C33" s="14"/>
      <c r="D33" s="14"/>
      <c r="E33" s="38"/>
      <c r="F33" s="249"/>
      <c r="G33" s="427"/>
      <c r="H33" s="363"/>
      <c r="I33" s="299"/>
    </row>
    <row r="34" spans="2:9" s="300" customFormat="1">
      <c r="B34" s="13"/>
      <c r="C34" s="14"/>
      <c r="D34" s="38"/>
      <c r="E34" s="38"/>
      <c r="F34" s="249"/>
      <c r="G34" s="427"/>
      <c r="H34" s="363"/>
      <c r="I34" s="299"/>
    </row>
    <row r="35" spans="2:9">
      <c r="B35" s="13"/>
      <c r="C35" s="14"/>
      <c r="D35" s="14"/>
      <c r="E35" s="14"/>
      <c r="F35" s="240"/>
      <c r="G35" s="351"/>
      <c r="H35" s="363"/>
      <c r="I35" s="285"/>
    </row>
    <row r="36" spans="2:9">
      <c r="B36" s="13"/>
      <c r="C36" s="14"/>
      <c r="D36" s="14"/>
      <c r="E36" s="14"/>
      <c r="F36" s="240"/>
      <c r="G36" s="351"/>
      <c r="H36" s="363"/>
      <c r="I36" s="285"/>
    </row>
    <row r="37" spans="2:9">
      <c r="B37" s="13"/>
      <c r="C37" s="14"/>
      <c r="D37" s="14"/>
      <c r="E37" s="14"/>
      <c r="F37" s="240"/>
      <c r="G37" s="351"/>
      <c r="H37" s="363"/>
      <c r="I37" s="285"/>
    </row>
    <row r="38" spans="2:9">
      <c r="B38" s="13"/>
      <c r="C38" s="14"/>
      <c r="D38" s="14"/>
      <c r="E38" s="14"/>
      <c r="F38" s="240"/>
      <c r="G38" s="410"/>
      <c r="H38" s="363"/>
      <c r="I38" s="284"/>
    </row>
    <row r="39" spans="2:9">
      <c r="B39" s="13"/>
      <c r="C39" s="50"/>
      <c r="D39" s="14"/>
      <c r="E39" s="14"/>
      <c r="F39" s="240"/>
      <c r="G39" s="410"/>
      <c r="H39" s="363"/>
      <c r="I39" s="284"/>
    </row>
    <row r="40" spans="2:9">
      <c r="B40" s="13"/>
      <c r="C40" s="14"/>
      <c r="D40" s="14"/>
      <c r="E40" s="14"/>
      <c r="F40" s="240"/>
      <c r="G40" s="379"/>
      <c r="H40" s="363"/>
      <c r="I40" s="284"/>
    </row>
    <row r="41" spans="2:9">
      <c r="B41" s="13"/>
      <c r="C41" s="14"/>
      <c r="D41" s="14"/>
      <c r="E41" s="14"/>
      <c r="F41" s="240"/>
      <c r="G41" s="379"/>
      <c r="H41" s="363"/>
      <c r="I41" s="284"/>
    </row>
    <row r="42" spans="2:9">
      <c r="B42" s="13"/>
      <c r="C42" s="14"/>
      <c r="D42" s="14"/>
      <c r="E42" s="14"/>
      <c r="F42" s="22"/>
      <c r="G42" s="410"/>
      <c r="H42" s="363"/>
      <c r="I42" s="284"/>
    </row>
    <row r="43" spans="2:9">
      <c r="B43" s="13"/>
      <c r="C43" s="14"/>
      <c r="D43" s="14"/>
      <c r="E43" s="14"/>
      <c r="F43" s="22"/>
      <c r="G43" s="410"/>
      <c r="H43" s="363"/>
      <c r="I43" s="284"/>
    </row>
    <row r="44" spans="2:9">
      <c r="B44" s="13"/>
      <c r="C44" s="14"/>
      <c r="D44" s="14"/>
      <c r="E44" s="14"/>
      <c r="F44" s="22"/>
      <c r="G44" s="351"/>
      <c r="H44" s="363"/>
      <c r="I44" s="284"/>
    </row>
    <row r="45" spans="2:9">
      <c r="B45" s="13"/>
      <c r="C45" s="14"/>
      <c r="D45" s="14"/>
      <c r="E45" s="14"/>
      <c r="F45" s="22"/>
      <c r="G45" s="351"/>
      <c r="H45" s="363"/>
      <c r="I45" s="284"/>
    </row>
    <row r="46" spans="2:9">
      <c r="B46" s="13"/>
      <c r="C46" s="14"/>
      <c r="D46" s="20"/>
      <c r="E46" s="20"/>
      <c r="F46" s="49"/>
      <c r="G46" s="380"/>
      <c r="H46" s="368"/>
      <c r="I46" s="284"/>
    </row>
    <row r="47" spans="2:9">
      <c r="B47" s="13"/>
      <c r="C47" s="14"/>
      <c r="D47" s="14"/>
      <c r="E47" s="14"/>
      <c r="F47" s="22"/>
      <c r="G47" s="351"/>
      <c r="H47" s="363"/>
      <c r="I47" s="284"/>
    </row>
    <row r="48" spans="2:9">
      <c r="B48" s="13"/>
      <c r="C48" s="14"/>
      <c r="D48" s="14"/>
      <c r="E48" s="14"/>
      <c r="F48" s="22"/>
      <c r="G48" s="351"/>
      <c r="H48" s="363"/>
      <c r="I48" s="284"/>
    </row>
    <row r="49" spans="2:9">
      <c r="B49" s="13"/>
      <c r="C49" s="14"/>
      <c r="D49" s="14"/>
      <c r="E49" s="14"/>
      <c r="F49" s="22"/>
      <c r="G49" s="351"/>
      <c r="H49" s="363"/>
      <c r="I49" s="284"/>
    </row>
    <row r="50" spans="2:9">
      <c r="B50" s="13"/>
      <c r="C50" s="14"/>
      <c r="D50" s="14"/>
      <c r="E50" s="14"/>
      <c r="F50" s="22"/>
      <c r="G50" s="351"/>
      <c r="H50" s="363"/>
      <c r="I50" s="284"/>
    </row>
    <row r="51" spans="2:9">
      <c r="B51" s="13"/>
      <c r="C51" s="14"/>
      <c r="D51" s="14"/>
      <c r="E51" s="14"/>
      <c r="F51" s="22"/>
      <c r="G51" s="351"/>
      <c r="H51" s="363"/>
      <c r="I51" s="284"/>
    </row>
    <row r="52" spans="2:9">
      <c r="B52" s="13"/>
      <c r="C52" s="14"/>
      <c r="D52" s="14"/>
      <c r="E52" s="14"/>
      <c r="F52" s="22"/>
      <c r="G52" s="351"/>
      <c r="H52" s="363"/>
      <c r="I52" s="284"/>
    </row>
    <row r="53" spans="2:9">
      <c r="B53" s="13"/>
      <c r="C53" s="14"/>
      <c r="D53" s="14"/>
      <c r="E53" s="14"/>
      <c r="F53" s="22"/>
      <c r="G53" s="351"/>
      <c r="H53" s="363"/>
      <c r="I53" s="284"/>
    </row>
    <row r="54" spans="2:9">
      <c r="B54" s="13"/>
      <c r="C54" s="14"/>
      <c r="D54" s="14"/>
      <c r="E54" s="14"/>
      <c r="F54" s="22"/>
      <c r="G54" s="351"/>
      <c r="H54" s="363"/>
      <c r="I54" s="284"/>
    </row>
    <row r="55" spans="2:9">
      <c r="B55" s="13"/>
      <c r="C55" s="14"/>
      <c r="D55" s="14"/>
      <c r="E55" s="14"/>
      <c r="F55" s="22"/>
      <c r="G55" s="351"/>
      <c r="H55" s="363"/>
      <c r="I55" s="284"/>
    </row>
    <row r="56" spans="2:9">
      <c r="B56" s="13"/>
      <c r="C56" s="14"/>
      <c r="D56" s="14"/>
      <c r="E56" s="14"/>
      <c r="F56" s="22"/>
      <c r="G56" s="351"/>
      <c r="H56" s="363"/>
      <c r="I56" s="284"/>
    </row>
    <row r="57" spans="2:9">
      <c r="B57" s="13"/>
      <c r="C57" s="14"/>
      <c r="D57" s="14"/>
      <c r="E57" s="14"/>
      <c r="F57" s="22"/>
      <c r="G57" s="351"/>
      <c r="H57" s="363"/>
      <c r="I57" s="284"/>
    </row>
    <row r="58" spans="2:9">
      <c r="B58" s="13"/>
      <c r="C58" s="14"/>
      <c r="D58" s="14"/>
      <c r="E58" s="14"/>
      <c r="F58" s="22"/>
      <c r="G58" s="351"/>
      <c r="H58" s="363"/>
      <c r="I58" s="284"/>
    </row>
    <row r="59" spans="2:9">
      <c r="B59" s="13"/>
      <c r="C59" s="14"/>
      <c r="D59" s="14"/>
      <c r="E59" s="14"/>
      <c r="F59" s="22"/>
      <c r="G59" s="351"/>
      <c r="H59" s="363" t="str">
        <f t="shared" si="0"/>
        <v/>
      </c>
      <c r="I59" s="284"/>
    </row>
    <row r="60" spans="2:9" s="2" customFormat="1" ht="20.100000000000001" customHeight="1">
      <c r="B60" s="411" t="str">
        <f>$B$10</f>
        <v>C1.6</v>
      </c>
      <c r="C60" s="276" t="s">
        <v>125</v>
      </c>
      <c r="D60" s="287"/>
      <c r="E60" s="287"/>
      <c r="F60" s="31"/>
      <c r="G60" s="412"/>
      <c r="H60" s="364">
        <f>SUM(H9:H59)</f>
        <v>0</v>
      </c>
      <c r="I60" s="289"/>
    </row>
  </sheetData>
  <sheetProtection algorithmName="SHA-512" hashValue="NW16QMzpJmIrGl2lpJ3bubX6UQOFcePbLNqMVbFXJbDpskojc0mPBYH2RUc7lt3hsYlPfVrsu2kUobZioKD4mg==" saltValue="fh3PY/TkRiM9fIn8CvN4pA=="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6E4EA-C3FE-46EC-BBC4-BF3583E7151C}">
  <sheetPr codeName="Sheet79">
    <tabColor rgb="FF00B0F0"/>
  </sheetPr>
  <dimension ref="B1:T65"/>
  <sheetViews>
    <sheetView view="pageBreakPreview" topLeftCell="C33" zoomScaleNormal="100" zoomScaleSheetLayoutView="100" workbookViewId="0">
      <selection activeCell="G14" sqref="G14"/>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4.7109375" style="4" customWidth="1"/>
    <col min="7" max="7" width="15.7109375" style="398" customWidth="1"/>
    <col min="8" max="8" width="23.5703125" style="399" customWidth="1"/>
    <col min="9" max="9" width="42.42578125" style="5" hidden="1" customWidth="1"/>
    <col min="10" max="11" width="0" style="1" hidden="1" customWidth="1"/>
    <col min="12" max="12" width="14.28515625" style="1" hidden="1" customWidth="1"/>
    <col min="13" max="19" width="0" style="1" hidden="1" customWidth="1"/>
    <col min="20" max="20" width="21" style="1" hidden="1" customWidth="1"/>
    <col min="21" max="36" width="0" style="1" hidden="1" customWidth="1"/>
    <col min="37" max="16384" width="6.85546875" style="1"/>
  </cols>
  <sheetData>
    <row r="1" spans="2:12" ht="17.25" customHeight="1">
      <c r="B1" s="2" t="str">
        <f>Client1</f>
        <v>AIRPORTS COMPANY - SOUTH AFRICA</v>
      </c>
      <c r="F1" s="676" t="str">
        <f>"Contract No. "&amp;ContractNo</f>
        <v>Contract No. KSIA7806/2025/RFP</v>
      </c>
      <c r="G1" s="676"/>
      <c r="H1" s="676"/>
    </row>
    <row r="2" spans="2:12">
      <c r="B2" s="90" t="str">
        <f>Client2</f>
        <v>ACSA</v>
      </c>
    </row>
    <row r="3" spans="2:12">
      <c r="B3" s="71"/>
      <c r="C3" s="71"/>
      <c r="D3" s="72"/>
      <c r="E3" s="72"/>
      <c r="F3" s="72"/>
      <c r="G3" s="400"/>
      <c r="H3" s="401"/>
    </row>
    <row r="4" spans="2:12">
      <c r="B4" s="695" t="s">
        <v>2943</v>
      </c>
      <c r="C4" s="696"/>
      <c r="D4" s="696"/>
      <c r="E4" s="696"/>
      <c r="F4" s="696"/>
      <c r="G4" s="696"/>
      <c r="H4" s="742" t="str">
        <f>"CHAPTER "&amp;B10</f>
        <v>CHAPTER C1.7</v>
      </c>
      <c r="I4" s="676" t="s">
        <v>100</v>
      </c>
    </row>
    <row r="5" spans="2:12"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12" ht="12.75" customHeight="1">
      <c r="B6" s="690"/>
      <c r="C6" s="691"/>
      <c r="D6" s="691"/>
      <c r="E6" s="691"/>
      <c r="F6" s="691"/>
      <c r="G6" s="691"/>
      <c r="H6" s="743"/>
      <c r="I6" s="676"/>
    </row>
    <row r="7" spans="2:12" ht="18" customHeight="1">
      <c r="B7" s="692"/>
      <c r="C7" s="693"/>
      <c r="D7" s="693"/>
      <c r="E7" s="693"/>
      <c r="F7" s="693"/>
      <c r="G7" s="693"/>
      <c r="H7" s="744"/>
      <c r="I7" s="676"/>
    </row>
    <row r="8" spans="2:12" s="9" customFormat="1" ht="24.95" customHeight="1">
      <c r="B8" s="10" t="s">
        <v>11</v>
      </c>
      <c r="C8" s="11" t="s">
        <v>12</v>
      </c>
      <c r="D8" s="11" t="s">
        <v>13</v>
      </c>
      <c r="E8" s="11" t="s">
        <v>14</v>
      </c>
      <c r="F8" s="11" t="s">
        <v>15</v>
      </c>
      <c r="G8" s="409" t="s">
        <v>16</v>
      </c>
      <c r="H8" s="364" t="s">
        <v>17</v>
      </c>
      <c r="I8" s="676"/>
    </row>
    <row r="9" spans="2:12">
      <c r="B9" s="48"/>
      <c r="C9" s="14"/>
      <c r="D9" s="15"/>
      <c r="E9" s="15"/>
      <c r="F9" s="15"/>
      <c r="G9" s="427"/>
      <c r="H9" s="363" t="str">
        <f t="shared" ref="H9:H59" si="0">IF(D9="","",F9*G9)</f>
        <v/>
      </c>
      <c r="I9" s="239"/>
    </row>
    <row r="10" spans="2:12">
      <c r="B10" s="69" t="s">
        <v>380</v>
      </c>
      <c r="C10" s="20" t="s">
        <v>381</v>
      </c>
      <c r="D10" s="22"/>
      <c r="E10" s="22"/>
      <c r="F10" s="22"/>
      <c r="G10" s="410"/>
      <c r="H10" s="363" t="str">
        <f t="shared" si="0"/>
        <v/>
      </c>
      <c r="I10" s="277"/>
    </row>
    <row r="11" spans="2:12">
      <c r="B11" s="48"/>
      <c r="C11" s="14"/>
      <c r="D11" s="22"/>
      <c r="E11" s="22"/>
      <c r="F11" s="22"/>
      <c r="G11" s="410"/>
      <c r="H11" s="363" t="str">
        <f t="shared" si="0"/>
        <v/>
      </c>
      <c r="I11" s="277"/>
    </row>
    <row r="12" spans="2:12">
      <c r="B12" s="48" t="s">
        <v>382</v>
      </c>
      <c r="C12" s="14" t="s">
        <v>383</v>
      </c>
      <c r="D12" s="22"/>
      <c r="E12" s="22"/>
      <c r="F12" s="22"/>
      <c r="G12" s="410"/>
      <c r="H12" s="363" t="str">
        <f t="shared" si="0"/>
        <v/>
      </c>
      <c r="I12" s="277"/>
    </row>
    <row r="13" spans="2:12">
      <c r="B13" s="48"/>
      <c r="C13" s="14"/>
      <c r="D13" s="22"/>
      <c r="E13" s="22"/>
      <c r="F13" s="22"/>
      <c r="G13" s="410"/>
      <c r="H13" s="363" t="str">
        <f t="shared" si="0"/>
        <v/>
      </c>
      <c r="I13" s="277"/>
    </row>
    <row r="14" spans="2:12" ht="25.5">
      <c r="B14" s="48" t="s">
        <v>384</v>
      </c>
      <c r="C14" s="14" t="s">
        <v>385</v>
      </c>
      <c r="D14" s="22" t="s">
        <v>386</v>
      </c>
      <c r="E14" s="22"/>
      <c r="F14" s="240">
        <v>2000</v>
      </c>
      <c r="G14" s="587"/>
      <c r="H14" s="363">
        <f t="shared" si="0"/>
        <v>0</v>
      </c>
      <c r="I14" s="278"/>
      <c r="L14" s="1" t="s">
        <v>2944</v>
      </c>
    </row>
    <row r="15" spans="2:12">
      <c r="B15" s="48"/>
      <c r="C15" s="14"/>
      <c r="D15" s="22"/>
      <c r="E15" s="22"/>
      <c r="F15" s="240"/>
      <c r="G15" s="587"/>
      <c r="H15" s="363" t="str">
        <f t="shared" si="0"/>
        <v/>
      </c>
      <c r="I15" s="278"/>
    </row>
    <row r="16" spans="2:12">
      <c r="B16" s="48" t="s">
        <v>391</v>
      </c>
      <c r="C16" s="14" t="s">
        <v>392</v>
      </c>
      <c r="D16" s="22"/>
      <c r="E16" s="22"/>
      <c r="F16" s="240"/>
      <c r="G16" s="586"/>
      <c r="H16" s="363" t="str">
        <f t="shared" si="0"/>
        <v/>
      </c>
      <c r="I16" s="277"/>
    </row>
    <row r="17" spans="2:17">
      <c r="B17" s="48"/>
      <c r="C17" s="14"/>
      <c r="D17" s="22"/>
      <c r="E17" s="22"/>
      <c r="F17" s="240"/>
      <c r="G17" s="585"/>
      <c r="H17" s="363" t="str">
        <f t="shared" si="0"/>
        <v/>
      </c>
      <c r="I17" s="277"/>
    </row>
    <row r="18" spans="2:17" ht="25.5">
      <c r="B18" s="48" t="s">
        <v>393</v>
      </c>
      <c r="C18" s="14" t="s">
        <v>394</v>
      </c>
      <c r="D18" s="22"/>
      <c r="E18" s="22"/>
      <c r="F18" s="240"/>
      <c r="G18" s="586"/>
      <c r="H18" s="363"/>
      <c r="I18" s="279"/>
    </row>
    <row r="19" spans="2:17">
      <c r="B19" s="48"/>
      <c r="C19" s="14"/>
      <c r="D19" s="22"/>
      <c r="E19" s="22"/>
      <c r="F19" s="240"/>
      <c r="G19" s="586"/>
      <c r="H19" s="363" t="str">
        <f t="shared" si="0"/>
        <v/>
      </c>
      <c r="I19" s="279"/>
    </row>
    <row r="20" spans="2:17" ht="25.5">
      <c r="B20" s="48" t="s">
        <v>83</v>
      </c>
      <c r="C20" s="14" t="s">
        <v>395</v>
      </c>
      <c r="D20" s="22" t="s">
        <v>396</v>
      </c>
      <c r="E20" s="36"/>
      <c r="F20" s="240">
        <v>20000</v>
      </c>
      <c r="G20" s="590"/>
      <c r="H20" s="363">
        <f t="shared" si="0"/>
        <v>0</v>
      </c>
      <c r="M20" s="428"/>
    </row>
    <row r="21" spans="2:17">
      <c r="B21" s="48"/>
      <c r="C21" s="14"/>
      <c r="D21" s="22"/>
      <c r="E21" s="36"/>
      <c r="F21" s="240"/>
      <c r="G21" s="590"/>
      <c r="H21" s="363" t="str">
        <f t="shared" si="0"/>
        <v/>
      </c>
    </row>
    <row r="22" spans="2:17" ht="25.5">
      <c r="B22" s="48" t="s">
        <v>397</v>
      </c>
      <c r="C22" s="14" t="s">
        <v>398</v>
      </c>
      <c r="D22" s="22"/>
      <c r="E22" s="36"/>
      <c r="F22" s="240"/>
      <c r="G22" s="587"/>
      <c r="H22" s="363" t="str">
        <f t="shared" si="0"/>
        <v/>
      </c>
    </row>
    <row r="23" spans="2:17">
      <c r="B23" s="48"/>
      <c r="C23" s="14"/>
      <c r="D23" s="22"/>
      <c r="E23" s="36"/>
      <c r="F23" s="240"/>
      <c r="G23" s="587"/>
      <c r="H23" s="363" t="str">
        <f t="shared" si="0"/>
        <v/>
      </c>
    </row>
    <row r="24" spans="2:17" ht="25.5">
      <c r="B24" s="48" t="s">
        <v>83</v>
      </c>
      <c r="C24" s="14" t="s">
        <v>2945</v>
      </c>
      <c r="D24" s="22" t="s">
        <v>396</v>
      </c>
      <c r="E24" s="36"/>
      <c r="F24" s="240">
        <v>22000</v>
      </c>
      <c r="G24" s="590"/>
      <c r="H24" s="363">
        <f t="shared" si="0"/>
        <v>0</v>
      </c>
      <c r="O24" s="428"/>
      <c r="Q24" s="428"/>
    </row>
    <row r="25" spans="2:17">
      <c r="B25" s="48"/>
      <c r="C25" s="100"/>
      <c r="D25" s="22"/>
      <c r="E25" s="36"/>
      <c r="F25" s="240"/>
      <c r="G25" s="590"/>
      <c r="H25" s="363" t="str">
        <f t="shared" si="0"/>
        <v/>
      </c>
      <c r="O25" s="428"/>
    </row>
    <row r="26" spans="2:17" ht="14.25">
      <c r="B26" s="48" t="s">
        <v>86</v>
      </c>
      <c r="C26" s="100" t="s">
        <v>399</v>
      </c>
      <c r="D26" s="22" t="s">
        <v>396</v>
      </c>
      <c r="E26" s="36"/>
      <c r="F26" s="240">
        <v>80000</v>
      </c>
      <c r="G26" s="585"/>
      <c r="H26" s="363">
        <f t="shared" si="0"/>
        <v>0</v>
      </c>
      <c r="I26" s="505" t="s">
        <v>2946</v>
      </c>
      <c r="O26" s="428"/>
    </row>
    <row r="27" spans="2:17">
      <c r="B27" s="48"/>
      <c r="C27" s="100"/>
      <c r="D27" s="22"/>
      <c r="E27" s="36"/>
      <c r="F27" s="240"/>
      <c r="G27" s="585"/>
      <c r="H27" s="363" t="str">
        <f t="shared" si="0"/>
        <v/>
      </c>
    </row>
    <row r="28" spans="2:17" ht="14.25">
      <c r="B28" s="48" t="s">
        <v>117</v>
      </c>
      <c r="C28" s="100" t="s">
        <v>401</v>
      </c>
      <c r="D28" s="22" t="s">
        <v>396</v>
      </c>
      <c r="E28" s="36"/>
      <c r="F28" s="240">
        <v>10000</v>
      </c>
      <c r="G28" s="590"/>
      <c r="H28" s="363">
        <f t="shared" si="0"/>
        <v>0</v>
      </c>
      <c r="O28" s="428"/>
      <c r="Q28" s="428"/>
    </row>
    <row r="29" spans="2:17">
      <c r="B29" s="48"/>
      <c r="C29" s="14"/>
      <c r="D29" s="22"/>
      <c r="E29" s="22"/>
      <c r="F29" s="240"/>
      <c r="G29" s="410"/>
      <c r="H29" s="363" t="str">
        <f t="shared" si="0"/>
        <v/>
      </c>
      <c r="I29" s="277"/>
    </row>
    <row r="30" spans="2:17">
      <c r="B30" s="48"/>
      <c r="C30" s="14"/>
      <c r="D30" s="22"/>
      <c r="E30" s="22"/>
      <c r="F30" s="240"/>
      <c r="G30" s="410"/>
      <c r="H30" s="363" t="str">
        <f t="shared" si="0"/>
        <v/>
      </c>
      <c r="I30" s="277"/>
    </row>
    <row r="31" spans="2:17">
      <c r="B31" s="48"/>
      <c r="C31" s="14"/>
      <c r="D31" s="22"/>
      <c r="E31" s="22"/>
      <c r="F31" s="240"/>
      <c r="G31" s="351"/>
      <c r="H31" s="363" t="str">
        <f t="shared" si="0"/>
        <v/>
      </c>
      <c r="I31" s="278"/>
    </row>
    <row r="32" spans="2:17">
      <c r="B32" s="48"/>
      <c r="C32" s="14"/>
      <c r="D32" s="15"/>
      <c r="E32" s="15"/>
      <c r="F32" s="249"/>
      <c r="G32" s="427"/>
      <c r="H32" s="363" t="str">
        <f t="shared" si="0"/>
        <v/>
      </c>
      <c r="I32" s="239"/>
    </row>
    <row r="33" spans="2:9" s="35" customFormat="1">
      <c r="B33" s="48"/>
      <c r="C33" s="14"/>
      <c r="D33" s="15"/>
      <c r="E33" s="15"/>
      <c r="F33" s="249"/>
      <c r="G33" s="427"/>
      <c r="H33" s="363" t="str">
        <f t="shared" si="0"/>
        <v/>
      </c>
      <c r="I33" s="239"/>
    </row>
    <row r="34" spans="2:9">
      <c r="B34" s="48"/>
      <c r="C34" s="14"/>
      <c r="D34" s="22"/>
      <c r="E34" s="22"/>
      <c r="F34" s="240"/>
      <c r="G34" s="351"/>
      <c r="H34" s="363" t="str">
        <f t="shared" si="0"/>
        <v/>
      </c>
      <c r="I34" s="278"/>
    </row>
    <row r="35" spans="2:9">
      <c r="B35" s="48"/>
      <c r="C35" s="14"/>
      <c r="D35" s="22"/>
      <c r="E35" s="22"/>
      <c r="F35" s="240"/>
      <c r="G35" s="351"/>
      <c r="H35" s="363" t="str">
        <f t="shared" si="0"/>
        <v/>
      </c>
      <c r="I35" s="278"/>
    </row>
    <row r="36" spans="2:9">
      <c r="B36" s="48"/>
      <c r="C36" s="14"/>
      <c r="D36" s="22"/>
      <c r="E36" s="22"/>
      <c r="F36" s="240"/>
      <c r="G36" s="410"/>
      <c r="H36" s="363" t="str">
        <f t="shared" si="0"/>
        <v/>
      </c>
      <c r="I36" s="277"/>
    </row>
    <row r="37" spans="2:9">
      <c r="B37" s="48"/>
      <c r="C37" s="14"/>
      <c r="D37" s="22"/>
      <c r="E37" s="22"/>
      <c r="F37" s="240"/>
      <c r="G37" s="410"/>
      <c r="H37" s="363" t="str">
        <f t="shared" si="0"/>
        <v/>
      </c>
      <c r="I37" s="277"/>
    </row>
    <row r="38" spans="2:9">
      <c r="B38" s="48"/>
      <c r="C38" s="14"/>
      <c r="D38" s="22"/>
      <c r="E38" s="22"/>
      <c r="F38" s="240"/>
      <c r="G38" s="379"/>
      <c r="H38" s="363" t="str">
        <f t="shared" si="0"/>
        <v/>
      </c>
      <c r="I38" s="277"/>
    </row>
    <row r="39" spans="2:9">
      <c r="B39" s="48"/>
      <c r="C39" s="50"/>
      <c r="D39" s="22"/>
      <c r="E39" s="22"/>
      <c r="F39" s="240"/>
      <c r="G39" s="379"/>
      <c r="H39" s="363" t="str">
        <f t="shared" si="0"/>
        <v/>
      </c>
      <c r="I39" s="277"/>
    </row>
    <row r="40" spans="2:9">
      <c r="B40" s="48"/>
      <c r="C40" s="14"/>
      <c r="D40" s="22"/>
      <c r="E40" s="22"/>
      <c r="F40" s="22"/>
      <c r="G40" s="410"/>
      <c r="H40" s="363" t="str">
        <f t="shared" si="0"/>
        <v/>
      </c>
      <c r="I40" s="277"/>
    </row>
    <row r="41" spans="2:9">
      <c r="B41" s="48"/>
      <c r="C41" s="14"/>
      <c r="D41" s="22"/>
      <c r="E41" s="22"/>
      <c r="F41" s="22"/>
      <c r="G41" s="410"/>
      <c r="H41" s="363" t="str">
        <f t="shared" si="0"/>
        <v/>
      </c>
      <c r="I41" s="277"/>
    </row>
    <row r="42" spans="2:9">
      <c r="B42" s="48"/>
      <c r="C42" s="14"/>
      <c r="D42" s="22"/>
      <c r="E42" s="22"/>
      <c r="F42" s="22"/>
      <c r="G42" s="351"/>
      <c r="H42" s="363" t="str">
        <f t="shared" si="0"/>
        <v/>
      </c>
      <c r="I42" s="277"/>
    </row>
    <row r="43" spans="2:9">
      <c r="B43" s="48"/>
      <c r="C43" s="14"/>
      <c r="D43" s="22"/>
      <c r="E43" s="22"/>
      <c r="F43" s="22"/>
      <c r="G43" s="351"/>
      <c r="H43" s="363" t="str">
        <f t="shared" si="0"/>
        <v/>
      </c>
      <c r="I43" s="277"/>
    </row>
    <row r="44" spans="2:9">
      <c r="B44" s="48"/>
      <c r="C44" s="14"/>
      <c r="D44" s="22"/>
      <c r="E44" s="22"/>
      <c r="F44" s="22"/>
      <c r="G44" s="351"/>
      <c r="H44" s="363" t="str">
        <f t="shared" si="0"/>
        <v/>
      </c>
      <c r="I44" s="277"/>
    </row>
    <row r="45" spans="2:9">
      <c r="B45" s="48"/>
      <c r="C45" s="14"/>
      <c r="D45" s="22"/>
      <c r="E45" s="22"/>
      <c r="F45" s="22"/>
      <c r="G45" s="351"/>
      <c r="H45" s="363" t="str">
        <f t="shared" si="0"/>
        <v/>
      </c>
      <c r="I45" s="277"/>
    </row>
    <row r="46" spans="2:9">
      <c r="B46" s="48"/>
      <c r="C46" s="14"/>
      <c r="D46" s="22"/>
      <c r="E46" s="22"/>
      <c r="F46" s="22"/>
      <c r="G46" s="351"/>
      <c r="H46" s="363" t="str">
        <f t="shared" si="0"/>
        <v/>
      </c>
      <c r="I46" s="277"/>
    </row>
    <row r="47" spans="2:9">
      <c r="B47" s="48"/>
      <c r="C47" s="14"/>
      <c r="D47" s="22"/>
      <c r="E47" s="22"/>
      <c r="F47" s="22"/>
      <c r="G47" s="351"/>
      <c r="H47" s="363" t="str">
        <f t="shared" si="0"/>
        <v/>
      </c>
      <c r="I47" s="277"/>
    </row>
    <row r="48" spans="2:9">
      <c r="B48" s="48"/>
      <c r="C48" s="14"/>
      <c r="D48" s="22"/>
      <c r="E48" s="22"/>
      <c r="F48" s="22"/>
      <c r="G48" s="351"/>
      <c r="H48" s="363" t="str">
        <f t="shared" si="0"/>
        <v/>
      </c>
      <c r="I48" s="277"/>
    </row>
    <row r="49" spans="2:9">
      <c r="B49" s="48"/>
      <c r="C49" s="14"/>
      <c r="D49" s="22"/>
      <c r="E49" s="22"/>
      <c r="F49" s="22"/>
      <c r="G49" s="351"/>
      <c r="H49" s="363" t="str">
        <f t="shared" si="0"/>
        <v/>
      </c>
      <c r="I49" s="277"/>
    </row>
    <row r="50" spans="2:9">
      <c r="B50" s="48"/>
      <c r="C50" s="14"/>
      <c r="D50" s="22"/>
      <c r="E50" s="22"/>
      <c r="F50" s="22"/>
      <c r="G50" s="351"/>
      <c r="H50" s="363" t="str">
        <f t="shared" si="0"/>
        <v/>
      </c>
      <c r="I50" s="277"/>
    </row>
    <row r="51" spans="2:9">
      <c r="B51" s="48"/>
      <c r="C51" s="14"/>
      <c r="D51" s="22"/>
      <c r="E51" s="22"/>
      <c r="F51" s="22"/>
      <c r="G51" s="351"/>
      <c r="H51" s="363" t="str">
        <f t="shared" si="0"/>
        <v/>
      </c>
      <c r="I51" s="277"/>
    </row>
    <row r="52" spans="2:9">
      <c r="B52" s="48"/>
      <c r="C52" s="14"/>
      <c r="D52" s="22"/>
      <c r="E52" s="22"/>
      <c r="F52" s="22"/>
      <c r="G52" s="351"/>
      <c r="H52" s="363" t="str">
        <f t="shared" si="0"/>
        <v/>
      </c>
      <c r="I52" s="277"/>
    </row>
    <row r="53" spans="2:9">
      <c r="B53" s="48"/>
      <c r="C53" s="14"/>
      <c r="D53" s="22"/>
      <c r="E53" s="22"/>
      <c r="F53" s="22"/>
      <c r="G53" s="351"/>
      <c r="H53" s="363" t="str">
        <f t="shared" si="0"/>
        <v/>
      </c>
      <c r="I53" s="277"/>
    </row>
    <row r="54" spans="2:9">
      <c r="B54" s="48"/>
      <c r="C54" s="14"/>
      <c r="D54" s="22"/>
      <c r="E54" s="22"/>
      <c r="F54" s="22"/>
      <c r="G54" s="351"/>
      <c r="H54" s="363" t="str">
        <f t="shared" si="0"/>
        <v/>
      </c>
      <c r="I54" s="277"/>
    </row>
    <row r="55" spans="2:9">
      <c r="B55" s="48"/>
      <c r="C55" s="14"/>
      <c r="D55" s="22"/>
      <c r="E55" s="22"/>
      <c r="F55" s="22"/>
      <c r="G55" s="351"/>
      <c r="H55" s="363" t="str">
        <f t="shared" si="0"/>
        <v/>
      </c>
      <c r="I55" s="277"/>
    </row>
    <row r="56" spans="2:9">
      <c r="B56" s="48"/>
      <c r="C56" s="14"/>
      <c r="D56" s="22"/>
      <c r="E56" s="22"/>
      <c r="F56" s="22"/>
      <c r="G56" s="351"/>
      <c r="H56" s="363" t="str">
        <f t="shared" si="0"/>
        <v/>
      </c>
      <c r="I56" s="277"/>
    </row>
    <row r="57" spans="2:9">
      <c r="B57" s="48"/>
      <c r="C57" s="100"/>
      <c r="D57" s="22"/>
      <c r="E57" s="22"/>
      <c r="F57" s="22"/>
      <c r="G57" s="351"/>
      <c r="H57" s="363" t="str">
        <f t="shared" si="0"/>
        <v/>
      </c>
      <c r="I57" s="277"/>
    </row>
    <row r="58" spans="2:9">
      <c r="B58" s="48"/>
      <c r="C58" s="100"/>
      <c r="D58" s="36"/>
      <c r="E58" s="36"/>
      <c r="F58" s="36"/>
      <c r="G58" s="351"/>
      <c r="H58" s="363" t="str">
        <f t="shared" si="0"/>
        <v/>
      </c>
    </row>
    <row r="59" spans="2:9">
      <c r="B59" s="48"/>
      <c r="C59" s="14"/>
      <c r="D59" s="22"/>
      <c r="E59" s="22"/>
      <c r="F59" s="22"/>
      <c r="G59" s="351"/>
      <c r="H59" s="363" t="str">
        <f t="shared" si="0"/>
        <v/>
      </c>
      <c r="I59" s="277"/>
    </row>
    <row r="60" spans="2:9">
      <c r="B60" s="48"/>
      <c r="C60" s="100"/>
      <c r="D60" s="36"/>
      <c r="E60" s="36"/>
      <c r="F60" s="36"/>
      <c r="G60" s="351"/>
      <c r="H60" s="363"/>
      <c r="I60" s="47"/>
    </row>
    <row r="61" spans="2:9">
      <c r="B61" s="48"/>
      <c r="C61" s="252"/>
      <c r="D61" s="36"/>
      <c r="E61" s="36"/>
      <c r="F61" s="36"/>
      <c r="G61" s="351"/>
      <c r="H61" s="363"/>
    </row>
    <row r="62" spans="2:9">
      <c r="B62" s="48"/>
      <c r="C62" s="14"/>
      <c r="D62" s="22"/>
      <c r="E62" s="22"/>
      <c r="F62" s="22"/>
      <c r="G62" s="351"/>
      <c r="H62" s="363"/>
      <c r="I62" s="277"/>
    </row>
    <row r="63" spans="2:9">
      <c r="B63" s="48"/>
      <c r="C63" s="14"/>
      <c r="D63" s="22"/>
      <c r="E63" s="22"/>
      <c r="F63" s="22"/>
      <c r="G63" s="351"/>
      <c r="H63" s="363"/>
      <c r="I63" s="277"/>
    </row>
    <row r="64" spans="2:9">
      <c r="B64" s="48"/>
      <c r="C64" s="14"/>
      <c r="D64" s="22"/>
      <c r="E64" s="22"/>
      <c r="F64" s="22"/>
      <c r="G64" s="351"/>
      <c r="H64" s="363"/>
      <c r="I64" s="277"/>
    </row>
    <row r="65" spans="2:9" s="28" customFormat="1" ht="24.95" customHeight="1">
      <c r="B65" s="82" t="str">
        <f>B10</f>
        <v>C1.7</v>
      </c>
      <c r="C65" s="29" t="s">
        <v>125</v>
      </c>
      <c r="D65" s="30"/>
      <c r="E65" s="30"/>
      <c r="F65" s="31"/>
      <c r="G65" s="412"/>
      <c r="H65" s="364">
        <f>SUM(H4:H64)</f>
        <v>0</v>
      </c>
      <c r="I65" s="236"/>
    </row>
  </sheetData>
  <sheetProtection algorithmName="SHA-512" hashValue="fHgn6rRdNVzKUmxNvDtQaMebHYcJ19nfpb4gIeQ19WFY/22unWMeptPgwxKPoG9o03m3i9a8Br7JuEWEys+hGA==" saltValue="1o31KHqnMRiNCTRs3mq1Og=="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6CCF-7A19-4989-A11F-7097B11AA40A}">
  <sheetPr codeName="Sheet25">
    <tabColor rgb="FF00B0F0"/>
  </sheetPr>
  <dimension ref="B1:I40"/>
  <sheetViews>
    <sheetView view="pageBreakPreview" zoomScaleNormal="100" zoomScaleSheetLayoutView="100" workbookViewId="0">
      <selection activeCell="G10" sqref="G10:H10"/>
    </sheetView>
  </sheetViews>
  <sheetFormatPr defaultColWidth="8.85546875" defaultRowHeight="12.75"/>
  <cols>
    <col min="1" max="1" width="0.85546875" style="52" customWidth="1"/>
    <col min="2" max="2" width="11.7109375" style="52" customWidth="1"/>
    <col min="3" max="3" width="39.140625" style="52" customWidth="1"/>
    <col min="4" max="4" width="15.28515625" style="52" customWidth="1"/>
    <col min="5" max="5" width="24" style="291" customWidth="1"/>
    <col min="6" max="6" width="10.140625" style="54" customWidth="1"/>
    <col min="7" max="7" width="15.7109375" style="403" customWidth="1"/>
    <col min="8" max="8" width="4.42578125" style="404" customWidth="1"/>
    <col min="9" max="9" width="0.85546875" style="52" hidden="1" customWidth="1"/>
    <col min="10" max="36" width="0" style="52" hidden="1" customWidth="1"/>
    <col min="37" max="16384" width="8.85546875" style="52"/>
  </cols>
  <sheetData>
    <row r="1" spans="2:9" ht="27" customHeight="1">
      <c r="B1" s="2" t="str">
        <f>Client1</f>
        <v>AIRPORTS COMPANY - SOUTH AFRICA</v>
      </c>
      <c r="D1" s="3"/>
      <c r="E1" s="3"/>
      <c r="F1" s="676" t="str">
        <f>"Contract No. "&amp;ContractNo</f>
        <v>Contract No. KSIA7806/2025/RFP</v>
      </c>
      <c r="G1" s="676"/>
      <c r="H1" s="676"/>
    </row>
    <row r="2" spans="2:9" s="3" customFormat="1" ht="18" customHeight="1">
      <c r="B2" s="90" t="s">
        <v>3</v>
      </c>
      <c r="C2" s="52"/>
      <c r="F2" s="4"/>
      <c r="G2" s="398"/>
      <c r="H2" s="399"/>
    </row>
    <row r="3" spans="2:9" s="3" customFormat="1" ht="16.5" customHeight="1">
      <c r="B3" s="71"/>
      <c r="C3" s="92"/>
      <c r="D3" s="71"/>
      <c r="E3" s="71"/>
      <c r="F3" s="72"/>
      <c r="G3" s="400"/>
      <c r="H3" s="401"/>
    </row>
    <row r="4" spans="2:9" s="3" customFormat="1" ht="7.5" customHeight="1">
      <c r="B4" s="690" t="s">
        <v>354</v>
      </c>
      <c r="C4" s="691"/>
      <c r="D4" s="691"/>
      <c r="E4" s="691"/>
      <c r="F4" s="691"/>
      <c r="G4" s="691"/>
      <c r="H4" s="711"/>
    </row>
    <row r="5" spans="2:9" ht="22.5" customHeight="1">
      <c r="B5" s="690"/>
      <c r="C5" s="691"/>
      <c r="D5" s="691"/>
      <c r="E5" s="691"/>
      <c r="F5" s="691"/>
      <c r="G5" s="691"/>
      <c r="H5" s="711"/>
    </row>
    <row r="6" spans="2:9" ht="7.5" customHeight="1">
      <c r="B6" s="692"/>
      <c r="C6" s="693"/>
      <c r="D6" s="693"/>
      <c r="E6" s="693"/>
      <c r="F6" s="693"/>
      <c r="G6" s="693"/>
      <c r="H6" s="712"/>
    </row>
    <row r="7" spans="2:9" ht="25.5" customHeight="1">
      <c r="B7" s="713" t="s">
        <v>355</v>
      </c>
      <c r="C7" s="714"/>
      <c r="D7" s="714"/>
      <c r="E7" s="714"/>
      <c r="F7" s="714"/>
      <c r="G7" s="714"/>
      <c r="H7" s="715"/>
    </row>
    <row r="8" spans="2:9" ht="25.5">
      <c r="B8" s="280" t="s">
        <v>356</v>
      </c>
      <c r="C8" s="716" t="s">
        <v>12</v>
      </c>
      <c r="D8" s="717"/>
      <c r="E8" s="718"/>
      <c r="F8" s="85" t="s">
        <v>357</v>
      </c>
      <c r="G8" s="719" t="s">
        <v>17</v>
      </c>
      <c r="H8" s="720"/>
    </row>
    <row r="9" spans="2:9" ht="15.75" customHeight="1">
      <c r="B9" s="13" t="str">
        <f>'C1.2A'!B10</f>
        <v>C1.2</v>
      </c>
      <c r="C9" s="725" t="str">
        <f>'C1.2A'!C10</f>
        <v>GENERAL REQUIREMENTS AND PAYMENT</v>
      </c>
      <c r="D9" s="726"/>
      <c r="E9" s="726"/>
      <c r="F9" s="528" t="s">
        <v>358</v>
      </c>
      <c r="G9" s="727">
        <f>'C1.2A'!H90</f>
        <v>4410000</v>
      </c>
      <c r="H9" s="728"/>
    </row>
    <row r="10" spans="2:9" ht="15.75" customHeight="1">
      <c r="B10" s="14" t="str">
        <f>'C1.3A'!B10</f>
        <v>C1.3</v>
      </c>
      <c r="C10" s="721" t="str">
        <f>'C1.3A'!C10</f>
        <v>CONTRACTOR'S SITE ESTABLISHMENT AND GENERAL OBLIGATIONS</v>
      </c>
      <c r="D10" s="722">
        <f>'C1.3A'!D10</f>
        <v>0</v>
      </c>
      <c r="E10" s="722">
        <f>'C1.3A'!E10</f>
        <v>0</v>
      </c>
      <c r="F10" s="528" t="s">
        <v>359</v>
      </c>
      <c r="G10" s="723">
        <f>'C1.3A'!H62</f>
        <v>300000</v>
      </c>
      <c r="H10" s="724"/>
    </row>
    <row r="11" spans="2:9" ht="15.75" customHeight="1">
      <c r="B11" s="14" t="str">
        <f>'C1.4A'!B10</f>
        <v>C1.4</v>
      </c>
      <c r="C11" s="721" t="str">
        <f>'C1.4A'!C10</f>
        <v>FACILITIES FOR THE ENGINEER</v>
      </c>
      <c r="D11" s="722">
        <f>'C1.4A'!D10</f>
        <v>0</v>
      </c>
      <c r="E11" s="722">
        <f>'C1.4A'!E10</f>
        <v>0</v>
      </c>
      <c r="F11" s="528" t="s">
        <v>360</v>
      </c>
      <c r="G11" s="723">
        <f>'C1.4A'!H126</f>
        <v>84000</v>
      </c>
      <c r="H11" s="724"/>
    </row>
    <row r="12" spans="2:9" ht="15.75" customHeight="1">
      <c r="B12" s="14" t="str">
        <f>'C1.5A'!B10</f>
        <v>C1.5</v>
      </c>
      <c r="C12" s="721" t="str">
        <f>'C1.5A'!C10</f>
        <v>ACCOMMODATION OF TRAFFIC</v>
      </c>
      <c r="D12" s="722">
        <f>'C1.5A'!D10</f>
        <v>0</v>
      </c>
      <c r="E12" s="722">
        <f>'C1.5A'!E10</f>
        <v>0</v>
      </c>
      <c r="F12" s="528" t="s">
        <v>361</v>
      </c>
      <c r="G12" s="723">
        <f>'C1.5A'!H149</f>
        <v>450000</v>
      </c>
      <c r="H12" s="724"/>
    </row>
    <row r="13" spans="2:9" ht="15.75" customHeight="1">
      <c r="B13" s="14" t="s">
        <v>323</v>
      </c>
      <c r="C13" s="721" t="s">
        <v>324</v>
      </c>
      <c r="D13" s="722"/>
      <c r="E13" s="722"/>
      <c r="F13" s="528" t="s">
        <v>362</v>
      </c>
      <c r="G13" s="723">
        <f>'C2.1A'!H37</f>
        <v>1100000</v>
      </c>
      <c r="H13" s="724"/>
    </row>
    <row r="14" spans="2:9" ht="15.75" customHeight="1">
      <c r="B14" s="14" t="s">
        <v>348</v>
      </c>
      <c r="C14" s="721" t="s">
        <v>349</v>
      </c>
      <c r="D14" s="722"/>
      <c r="E14" s="722"/>
      <c r="F14" s="528" t="s">
        <v>363</v>
      </c>
      <c r="G14" s="723">
        <f>'C20.1A'!H17</f>
        <v>3500000</v>
      </c>
      <c r="H14" s="724"/>
    </row>
    <row r="15" spans="2:9" s="2" customFormat="1" ht="19.5" customHeight="1">
      <c r="B15" s="729" t="s">
        <v>364</v>
      </c>
      <c r="C15" s="729"/>
      <c r="D15" s="729"/>
      <c r="E15" s="729"/>
      <c r="F15" s="730"/>
      <c r="G15" s="731">
        <f>SUM(G9:H14)</f>
        <v>9844000</v>
      </c>
      <c r="H15" s="731"/>
      <c r="I15" s="289"/>
    </row>
    <row r="40" spans="3:3">
      <c r="C40" s="3"/>
    </row>
  </sheetData>
  <sheetProtection algorithmName="SHA-512" hashValue="H1pDs4LdHinelpkclkUgLHwcphsZdiMq252ca+OenvnVsBjCOT0Sq/D3Cba0+4d5XidXGOUmpTXSWb1ZEezAew==" saltValue="/8TDjoHv0h6U8hZdMgPS3Q==" spinCount="100000" sheet="1" objects="1" scenarios="1"/>
  <mergeCells count="20">
    <mergeCell ref="C13:E13"/>
    <mergeCell ref="G13:H13"/>
    <mergeCell ref="C14:E14"/>
    <mergeCell ref="G14:H14"/>
    <mergeCell ref="B15:F15"/>
    <mergeCell ref="G15:H15"/>
    <mergeCell ref="C12:E12"/>
    <mergeCell ref="G12:H12"/>
    <mergeCell ref="C9:E9"/>
    <mergeCell ref="G9:H9"/>
    <mergeCell ref="C10:E10"/>
    <mergeCell ref="G10:H10"/>
    <mergeCell ref="C11:E11"/>
    <mergeCell ref="G11:H11"/>
    <mergeCell ref="F1:H1"/>
    <mergeCell ref="B4:G6"/>
    <mergeCell ref="H4:H6"/>
    <mergeCell ref="B7:H7"/>
    <mergeCell ref="C8:E8"/>
    <mergeCell ref="G8:H8"/>
  </mergeCells>
  <pageMargins left="0.43307086614173229" right="0.31496062992125984" top="0.43307086614173229" bottom="0.62992125984251968" header="0.35433070866141736" footer="0.31496062992125984"/>
  <pageSetup paperSize="9" scale="75" firstPageNumber="31" fitToHeight="0" orientation="portrait" cellComments="asDisplayed" useFirstPageNumber="1" r:id="rId1"/>
  <headerFooter>
    <oddHeader xml:space="preserve">&amp;CPREPARED BY NANKHOO CONSULTING ENGINEERS&amp;R&amp;"Arial,Bold Italic"
</oddHeader>
    <oddFooter>&amp;C&amp;F</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D9D5-2AC1-4ED8-BA41-F784ED3021FF}">
  <sheetPr codeName="Sheet113">
    <tabColor rgb="FF00B0F0"/>
    <pageSetUpPr fitToPage="1"/>
  </sheetPr>
  <dimension ref="B1:O118"/>
  <sheetViews>
    <sheetView view="pageBreakPreview" topLeftCell="A73" zoomScaleNormal="130" zoomScaleSheetLayoutView="100" workbookViewId="0">
      <selection activeCell="G83" sqref="G83"/>
    </sheetView>
  </sheetViews>
  <sheetFormatPr defaultColWidth="8.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22" style="399" customWidth="1"/>
    <col min="9" max="9" width="40.28515625" style="5" hidden="1" customWidth="1"/>
    <col min="10" max="10" width="0" style="1" hidden="1" customWidth="1"/>
    <col min="11" max="11" width="12.28515625" style="1" hidden="1" customWidth="1"/>
    <col min="12" max="36" width="0" style="1" hidden="1" customWidth="1"/>
    <col min="37" max="16384" width="8.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3"/>
    </row>
    <row r="4" spans="2:9" ht="12.75" customHeight="1">
      <c r="B4" s="695" t="s">
        <v>2943</v>
      </c>
      <c r="C4" s="696"/>
      <c r="D4" s="696"/>
      <c r="E4" s="696"/>
      <c r="F4" s="696"/>
      <c r="G4" s="696"/>
      <c r="H4" s="708" t="str">
        <f>"CHAPTER "&amp;B10</f>
        <v>CHAPTER C2.1</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09"/>
      <c r="I5" s="676"/>
    </row>
    <row r="6" spans="2:9" ht="12.75" customHeight="1">
      <c r="B6" s="690"/>
      <c r="C6" s="691"/>
      <c r="D6" s="691"/>
      <c r="E6" s="691"/>
      <c r="F6" s="691"/>
      <c r="G6" s="691"/>
      <c r="H6" s="709"/>
      <c r="I6" s="676"/>
    </row>
    <row r="7" spans="2:9" s="9" customFormat="1" ht="7.5" customHeight="1">
      <c r="B7" s="692"/>
      <c r="C7" s="693"/>
      <c r="D7" s="693"/>
      <c r="E7" s="693"/>
      <c r="F7" s="693"/>
      <c r="G7" s="693"/>
      <c r="H7" s="710"/>
      <c r="I7" s="676"/>
    </row>
    <row r="8" spans="2:9" s="9" customFormat="1" ht="24.95" customHeight="1">
      <c r="B8" s="10" t="s">
        <v>11</v>
      </c>
      <c r="C8" s="11" t="s">
        <v>12</v>
      </c>
      <c r="D8" s="11" t="s">
        <v>13</v>
      </c>
      <c r="E8" s="11" t="s">
        <v>14</v>
      </c>
      <c r="F8" s="11" t="s">
        <v>15</v>
      </c>
      <c r="G8" s="409" t="s">
        <v>16</v>
      </c>
      <c r="H8" s="364" t="s">
        <v>17</v>
      </c>
      <c r="I8" s="676"/>
    </row>
    <row r="9" spans="2:9">
      <c r="B9" s="48"/>
      <c r="C9" s="14"/>
      <c r="D9" s="15"/>
      <c r="E9" s="15"/>
      <c r="F9" s="22"/>
      <c r="G9" s="410"/>
      <c r="H9" s="363" t="str">
        <f t="shared" ref="H9:H14" si="0">IF(D9="","",F9*G9)</f>
        <v/>
      </c>
      <c r="I9" s="239"/>
    </row>
    <row r="10" spans="2:9" ht="25.5">
      <c r="B10" s="69" t="s">
        <v>323</v>
      </c>
      <c r="C10" s="20" t="s">
        <v>324</v>
      </c>
      <c r="D10" s="15"/>
      <c r="E10" s="15"/>
      <c r="F10" s="22"/>
      <c r="G10" s="410"/>
      <c r="H10" s="363" t="str">
        <f t="shared" si="0"/>
        <v/>
      </c>
      <c r="I10" s="456" t="s">
        <v>2947</v>
      </c>
    </row>
    <row r="11" spans="2:9">
      <c r="B11" s="48"/>
      <c r="C11" s="14"/>
      <c r="D11" s="15"/>
      <c r="E11" s="15"/>
      <c r="F11" s="22"/>
      <c r="G11" s="410"/>
      <c r="H11" s="363" t="str">
        <f t="shared" si="0"/>
        <v/>
      </c>
      <c r="I11" s="239"/>
    </row>
    <row r="12" spans="2:9" ht="25.5">
      <c r="B12" s="59" t="s">
        <v>325</v>
      </c>
      <c r="C12" s="14" t="s">
        <v>326</v>
      </c>
      <c r="D12" s="15"/>
      <c r="E12" s="15"/>
      <c r="F12" s="22"/>
      <c r="G12" s="410"/>
      <c r="H12" s="363" t="str">
        <f t="shared" si="0"/>
        <v/>
      </c>
      <c r="I12" s="239"/>
    </row>
    <row r="13" spans="2:9">
      <c r="B13" s="59"/>
      <c r="C13" s="252"/>
      <c r="D13" s="62"/>
      <c r="E13" s="62"/>
      <c r="F13" s="240"/>
      <c r="G13" s="431"/>
      <c r="H13" s="363" t="str">
        <f t="shared" si="0"/>
        <v/>
      </c>
      <c r="I13" s="64"/>
    </row>
    <row r="14" spans="2:9" ht="25.5">
      <c r="B14" s="48" t="s">
        <v>335</v>
      </c>
      <c r="C14" s="14" t="s">
        <v>336</v>
      </c>
      <c r="D14" s="22" t="s">
        <v>478</v>
      </c>
      <c r="E14" s="15"/>
      <c r="F14" s="240">
        <v>100</v>
      </c>
      <c r="G14" s="587"/>
      <c r="H14" s="363">
        <f t="shared" si="0"/>
        <v>0</v>
      </c>
      <c r="I14" s="64"/>
    </row>
    <row r="15" spans="2:9">
      <c r="B15" s="59"/>
      <c r="C15" s="252"/>
      <c r="D15" s="62"/>
      <c r="E15" s="62"/>
      <c r="F15" s="240"/>
      <c r="G15" s="590"/>
      <c r="H15" s="363"/>
      <c r="I15" s="64"/>
    </row>
    <row r="16" spans="2:9">
      <c r="B16" s="48" t="s">
        <v>2948</v>
      </c>
      <c r="C16" s="14" t="s">
        <v>2949</v>
      </c>
      <c r="D16" s="62"/>
      <c r="E16" s="62"/>
      <c r="F16" s="36"/>
      <c r="G16" s="587"/>
      <c r="H16" s="363" t="str">
        <f>IF(D16="","",F16*G16)</f>
        <v/>
      </c>
      <c r="I16" s="239"/>
    </row>
    <row r="17" spans="2:9">
      <c r="B17" s="59"/>
      <c r="C17" s="14"/>
      <c r="D17" s="15"/>
      <c r="E17" s="15"/>
      <c r="F17" s="22"/>
      <c r="G17" s="587"/>
      <c r="H17" s="363" t="str">
        <f>IF(D17="","",F17*G17)</f>
        <v/>
      </c>
      <c r="I17" s="239"/>
    </row>
    <row r="18" spans="2:9">
      <c r="B18" s="48" t="s">
        <v>2950</v>
      </c>
      <c r="C18" s="252" t="s">
        <v>2951</v>
      </c>
      <c r="D18" s="62"/>
      <c r="E18" s="62"/>
      <c r="F18" s="36"/>
      <c r="G18" s="587"/>
      <c r="H18" s="363" t="str">
        <f>IF(D18="","",F18*G18)</f>
        <v/>
      </c>
      <c r="I18" s="248"/>
    </row>
    <row r="19" spans="2:9">
      <c r="B19" s="59"/>
      <c r="C19" s="252"/>
      <c r="D19" s="62"/>
      <c r="E19" s="62"/>
      <c r="F19" s="36"/>
      <c r="G19" s="587"/>
      <c r="H19" s="363" t="str">
        <f>IF(D19="","",F19*G19)</f>
        <v/>
      </c>
      <c r="I19" s="239"/>
    </row>
    <row r="20" spans="2:9">
      <c r="B20" s="59" t="s">
        <v>83</v>
      </c>
      <c r="C20" s="14" t="s">
        <v>2952</v>
      </c>
      <c r="D20" s="22" t="s">
        <v>478</v>
      </c>
      <c r="E20" s="15"/>
      <c r="F20" s="22">
        <f>800+1425</f>
        <v>2225</v>
      </c>
      <c r="G20" s="587"/>
      <c r="H20" s="363">
        <f>IF(D20="","",F20*G20)</f>
        <v>0</v>
      </c>
      <c r="I20" s="239"/>
    </row>
    <row r="21" spans="2:9">
      <c r="B21" s="59"/>
      <c r="C21" s="14"/>
      <c r="D21" s="15"/>
      <c r="E21" s="15"/>
      <c r="F21" s="240"/>
      <c r="G21" s="586"/>
      <c r="H21" s="363"/>
      <c r="I21" s="239"/>
    </row>
    <row r="22" spans="2:9">
      <c r="B22" s="84" t="s">
        <v>86</v>
      </c>
      <c r="C22" s="14" t="s">
        <v>2953</v>
      </c>
      <c r="D22" s="22" t="s">
        <v>478</v>
      </c>
      <c r="E22" s="15"/>
      <c r="F22" s="22">
        <v>750</v>
      </c>
      <c r="G22" s="587"/>
      <c r="H22" s="363">
        <f t="shared" ref="H22:H30" si="1">IF(D22="","",F22*G22)</f>
        <v>0</v>
      </c>
      <c r="I22" s="239"/>
    </row>
    <row r="23" spans="2:9">
      <c r="B23" s="59"/>
      <c r="C23" s="14"/>
      <c r="D23" s="15"/>
      <c r="E23" s="15"/>
      <c r="F23" s="240"/>
      <c r="G23" s="586"/>
      <c r="H23" s="363" t="str">
        <f t="shared" si="1"/>
        <v/>
      </c>
      <c r="I23" s="239"/>
    </row>
    <row r="24" spans="2:9" ht="25.5">
      <c r="B24" s="48" t="s">
        <v>2954</v>
      </c>
      <c r="C24" s="14" t="s">
        <v>2955</v>
      </c>
      <c r="D24" s="22"/>
      <c r="E24" s="15"/>
      <c r="F24" s="240"/>
      <c r="G24" s="587"/>
      <c r="H24" s="363"/>
      <c r="I24" s="248"/>
    </row>
    <row r="25" spans="2:9">
      <c r="B25" s="59"/>
      <c r="C25" s="14"/>
      <c r="D25" s="15"/>
      <c r="E25" s="15"/>
      <c r="F25" s="240"/>
      <c r="G25" s="587"/>
      <c r="H25" s="363" t="str">
        <f t="shared" si="1"/>
        <v/>
      </c>
      <c r="I25" s="239"/>
    </row>
    <row r="26" spans="2:9">
      <c r="B26" s="48" t="s">
        <v>2956</v>
      </c>
      <c r="C26" s="14" t="s">
        <v>2957</v>
      </c>
      <c r="D26" s="22" t="s">
        <v>478</v>
      </c>
      <c r="E26" s="15"/>
      <c r="F26" s="240">
        <v>300</v>
      </c>
      <c r="G26" s="587"/>
      <c r="H26" s="363">
        <f t="shared" si="1"/>
        <v>0</v>
      </c>
      <c r="I26" s="239"/>
    </row>
    <row r="27" spans="2:9">
      <c r="B27" s="59"/>
      <c r="C27" s="14"/>
      <c r="D27" s="15"/>
      <c r="E27" s="15"/>
      <c r="F27" s="240"/>
      <c r="G27" s="587"/>
      <c r="H27" s="363" t="str">
        <f t="shared" si="1"/>
        <v/>
      </c>
      <c r="I27" s="239"/>
    </row>
    <row r="28" spans="2:9">
      <c r="B28" s="48" t="s">
        <v>2958</v>
      </c>
      <c r="C28" s="14" t="s">
        <v>2959</v>
      </c>
      <c r="D28" s="22" t="s">
        <v>478</v>
      </c>
      <c r="E28" s="15"/>
      <c r="F28" s="240">
        <v>150</v>
      </c>
      <c r="G28" s="587"/>
      <c r="H28" s="363">
        <f t="shared" si="1"/>
        <v>0</v>
      </c>
      <c r="I28" s="239"/>
    </row>
    <row r="29" spans="2:9">
      <c r="B29" s="59"/>
      <c r="C29" s="14"/>
      <c r="D29" s="15"/>
      <c r="E29" s="15"/>
      <c r="F29" s="240"/>
      <c r="G29" s="587"/>
      <c r="H29" s="363" t="str">
        <f t="shared" si="1"/>
        <v/>
      </c>
      <c r="I29" s="239"/>
    </row>
    <row r="30" spans="2:9">
      <c r="B30" s="48" t="s">
        <v>2960</v>
      </c>
      <c r="C30" s="14" t="s">
        <v>2961</v>
      </c>
      <c r="D30" s="22" t="s">
        <v>478</v>
      </c>
      <c r="E30" s="15"/>
      <c r="F30" s="240">
        <v>500</v>
      </c>
      <c r="G30" s="587"/>
      <c r="H30" s="363">
        <f t="shared" si="1"/>
        <v>0</v>
      </c>
      <c r="I30" s="239"/>
    </row>
    <row r="31" spans="2:9">
      <c r="B31" s="59"/>
      <c r="C31" s="14"/>
      <c r="D31" s="15"/>
      <c r="E31" s="15"/>
      <c r="F31" s="22"/>
      <c r="G31" s="587"/>
      <c r="H31" s="363"/>
      <c r="I31" s="239"/>
    </row>
    <row r="32" spans="2:9">
      <c r="B32" s="48" t="s">
        <v>2962</v>
      </c>
      <c r="C32" s="14" t="s">
        <v>2963</v>
      </c>
      <c r="D32" s="22"/>
      <c r="E32" s="62"/>
      <c r="F32" s="240"/>
      <c r="G32" s="585"/>
      <c r="H32" s="363" t="str">
        <f t="shared" ref="H32:H45" si="2">IF(D32="","",F32*G32)</f>
        <v/>
      </c>
      <c r="I32" s="239"/>
    </row>
    <row r="33" spans="2:9">
      <c r="B33" s="59"/>
      <c r="C33" s="14"/>
      <c r="D33" s="15"/>
      <c r="E33" s="62"/>
      <c r="F33" s="240"/>
      <c r="G33" s="590"/>
      <c r="H33" s="363" t="str">
        <f t="shared" si="2"/>
        <v/>
      </c>
      <c r="I33" s="239"/>
    </row>
    <row r="34" spans="2:9" ht="25.5">
      <c r="B34" s="48" t="s">
        <v>2964</v>
      </c>
      <c r="C34" s="14" t="s">
        <v>2965</v>
      </c>
      <c r="D34" s="22"/>
      <c r="E34" s="15"/>
      <c r="F34" s="240"/>
      <c r="G34" s="586"/>
      <c r="H34" s="363" t="str">
        <f t="shared" si="2"/>
        <v/>
      </c>
      <c r="I34" s="239"/>
    </row>
    <row r="35" spans="2:9">
      <c r="B35" s="59"/>
      <c r="C35" s="14"/>
      <c r="D35" s="15"/>
      <c r="E35" s="15"/>
      <c r="F35" s="240"/>
      <c r="G35" s="586"/>
      <c r="H35" s="363" t="str">
        <f t="shared" si="2"/>
        <v/>
      </c>
      <c r="I35" s="239"/>
    </row>
    <row r="36" spans="2:9">
      <c r="B36" s="48" t="s">
        <v>83</v>
      </c>
      <c r="C36" s="14" t="s">
        <v>477</v>
      </c>
      <c r="D36" s="22" t="s">
        <v>478</v>
      </c>
      <c r="E36" s="15"/>
      <c r="F36" s="240">
        <f>650+1400</f>
        <v>2050</v>
      </c>
      <c r="G36" s="587"/>
      <c r="H36" s="363">
        <f t="shared" si="2"/>
        <v>0</v>
      </c>
      <c r="I36" s="64"/>
    </row>
    <row r="37" spans="2:9">
      <c r="B37" s="59"/>
      <c r="C37" s="14"/>
      <c r="D37" s="15"/>
      <c r="E37" s="15"/>
      <c r="F37" s="240"/>
      <c r="G37" s="587"/>
      <c r="H37" s="363" t="str">
        <f t="shared" si="2"/>
        <v/>
      </c>
      <c r="I37" s="239"/>
    </row>
    <row r="38" spans="2:9">
      <c r="B38" s="48" t="s">
        <v>306</v>
      </c>
      <c r="C38" s="14" t="s">
        <v>2966</v>
      </c>
      <c r="D38" s="22" t="s">
        <v>478</v>
      </c>
      <c r="E38" s="15"/>
      <c r="F38" s="240">
        <v>300</v>
      </c>
      <c r="G38" s="587"/>
      <c r="H38" s="363">
        <f t="shared" si="2"/>
        <v>0</v>
      </c>
      <c r="I38" s="67"/>
    </row>
    <row r="39" spans="2:9">
      <c r="B39" s="59"/>
      <c r="C39" s="14"/>
      <c r="D39" s="15"/>
      <c r="E39" s="15"/>
      <c r="F39" s="240"/>
      <c r="G39" s="587"/>
      <c r="H39" s="363" t="str">
        <f t="shared" si="2"/>
        <v/>
      </c>
      <c r="I39" s="64"/>
    </row>
    <row r="40" spans="2:9" ht="25.5">
      <c r="B40" s="48" t="s">
        <v>2967</v>
      </c>
      <c r="C40" s="100" t="s">
        <v>2968</v>
      </c>
      <c r="D40" s="22"/>
      <c r="E40" s="62"/>
      <c r="F40" s="36"/>
      <c r="G40" s="587"/>
      <c r="H40" s="363" t="str">
        <f t="shared" si="2"/>
        <v/>
      </c>
      <c r="I40" s="239"/>
    </row>
    <row r="41" spans="2:9">
      <c r="B41" s="59"/>
      <c r="C41" s="14"/>
      <c r="D41" s="15"/>
      <c r="E41" s="15"/>
      <c r="F41" s="22"/>
      <c r="G41" s="587"/>
      <c r="H41" s="363" t="str">
        <f t="shared" si="2"/>
        <v/>
      </c>
      <c r="I41" s="239"/>
    </row>
    <row r="42" spans="2:9" ht="38.25">
      <c r="B42" s="48" t="s">
        <v>2969</v>
      </c>
      <c r="C42" s="14" t="s">
        <v>2970</v>
      </c>
      <c r="D42" s="22" t="s">
        <v>478</v>
      </c>
      <c r="E42" s="36"/>
      <c r="F42" s="36">
        <v>200</v>
      </c>
      <c r="G42" s="587"/>
      <c r="H42" s="363">
        <f t="shared" si="2"/>
        <v>0</v>
      </c>
      <c r="I42" s="239"/>
    </row>
    <row r="43" spans="2:9">
      <c r="B43" s="48"/>
      <c r="C43" s="252"/>
      <c r="D43" s="36"/>
      <c r="E43" s="22"/>
      <c r="F43" s="22"/>
      <c r="G43" s="587"/>
      <c r="H43" s="363" t="str">
        <f t="shared" si="2"/>
        <v/>
      </c>
    </row>
    <row r="44" spans="2:9" ht="51">
      <c r="B44" s="48" t="s">
        <v>2971</v>
      </c>
      <c r="C44" s="100" t="s">
        <v>2972</v>
      </c>
      <c r="D44" s="22" t="s">
        <v>478</v>
      </c>
      <c r="E44" s="22"/>
      <c r="F44" s="22">
        <v>200</v>
      </c>
      <c r="G44" s="587"/>
      <c r="H44" s="363">
        <f t="shared" si="2"/>
        <v>0</v>
      </c>
    </row>
    <row r="45" spans="2:9">
      <c r="B45" s="59"/>
      <c r="C45" s="14"/>
      <c r="D45" s="15"/>
      <c r="E45" s="15"/>
      <c r="F45" s="22"/>
      <c r="G45" s="587"/>
      <c r="H45" s="363" t="str">
        <f t="shared" si="2"/>
        <v/>
      </c>
    </row>
    <row r="46" spans="2:9" ht="25.5">
      <c r="B46" s="48" t="s">
        <v>2973</v>
      </c>
      <c r="C46" s="14" t="s">
        <v>2974</v>
      </c>
      <c r="D46" s="22" t="s">
        <v>145</v>
      </c>
      <c r="E46" s="15"/>
      <c r="F46" s="22">
        <v>350</v>
      </c>
      <c r="G46" s="586"/>
      <c r="H46" s="363">
        <f t="shared" ref="H46:H48" si="3">IF(D46="","",F46*G46)</f>
        <v>0</v>
      </c>
    </row>
    <row r="47" spans="2:9">
      <c r="B47" s="48"/>
      <c r="C47" s="14"/>
      <c r="D47" s="15"/>
      <c r="E47" s="15"/>
      <c r="F47" s="22"/>
      <c r="G47" s="586"/>
      <c r="H47" s="363" t="str">
        <f t="shared" si="3"/>
        <v/>
      </c>
    </row>
    <row r="48" spans="2:9" ht="25.5">
      <c r="B48" s="48" t="s">
        <v>2975</v>
      </c>
      <c r="C48" s="14" t="s">
        <v>2976</v>
      </c>
      <c r="D48" s="22" t="s">
        <v>145</v>
      </c>
      <c r="E48" s="15"/>
      <c r="F48" s="22">
        <v>350</v>
      </c>
      <c r="G48" s="586"/>
      <c r="H48" s="363">
        <f t="shared" si="3"/>
        <v>0</v>
      </c>
    </row>
    <row r="49" spans="2:9">
      <c r="B49" s="59"/>
      <c r="C49" s="14"/>
      <c r="D49" s="22"/>
      <c r="E49" s="15"/>
      <c r="F49" s="240"/>
      <c r="G49" s="585"/>
      <c r="H49" s="363"/>
    </row>
    <row r="50" spans="2:9" ht="63.75">
      <c r="B50" s="48" t="s">
        <v>2977</v>
      </c>
      <c r="C50" s="14" t="s">
        <v>2978</v>
      </c>
      <c r="D50" s="22" t="s">
        <v>903</v>
      </c>
      <c r="E50" s="15"/>
      <c r="F50" s="22">
        <v>70</v>
      </c>
      <c r="G50" s="586"/>
      <c r="H50" s="363">
        <f t="shared" ref="H50" si="4">IF(D50="","",F50*G50)</f>
        <v>0</v>
      </c>
    </row>
    <row r="51" spans="2:9">
      <c r="B51" s="48"/>
      <c r="C51" s="14"/>
      <c r="D51" s="22"/>
      <c r="E51" s="15"/>
      <c r="F51" s="22"/>
      <c r="G51" s="586"/>
      <c r="H51" s="363"/>
    </row>
    <row r="52" spans="2:9" ht="63.75">
      <c r="B52" s="48" t="s">
        <v>2979</v>
      </c>
      <c r="C52" s="14" t="s">
        <v>2980</v>
      </c>
      <c r="D52" s="22" t="s">
        <v>903</v>
      </c>
      <c r="E52" s="15"/>
      <c r="F52" s="22">
        <v>120</v>
      </c>
      <c r="G52" s="586"/>
      <c r="H52" s="363">
        <f>G52*F52</f>
        <v>0</v>
      </c>
    </row>
    <row r="53" spans="2:9">
      <c r="B53" s="59"/>
      <c r="C53" s="14"/>
      <c r="D53" s="22"/>
      <c r="E53" s="15"/>
      <c r="F53" s="240"/>
      <c r="G53" s="379"/>
      <c r="H53" s="363" t="str">
        <f>IF(D53="","",F53*G53)</f>
        <v/>
      </c>
    </row>
    <row r="54" spans="2:9" s="28" customFormat="1" ht="20.100000000000001" hidden="1" customHeight="1">
      <c r="B54" s="101" t="str">
        <f>$B$10</f>
        <v>C2.1</v>
      </c>
      <c r="C54" s="29" t="s">
        <v>99</v>
      </c>
      <c r="D54" s="30"/>
      <c r="E54" s="30"/>
      <c r="F54" s="31"/>
      <c r="G54" s="412"/>
      <c r="H54" s="364">
        <f>SUM(H9:H53)</f>
        <v>0</v>
      </c>
      <c r="I54" s="236"/>
    </row>
    <row r="55" spans="2:9" hidden="1">
      <c r="B55" s="736" t="str">
        <f>Client1</f>
        <v>AIRPORTS COMPANY - SOUTH AFRICA</v>
      </c>
      <c r="C55" s="736"/>
      <c r="D55" s="736"/>
      <c r="E55" s="736"/>
      <c r="F55" s="676" t="str">
        <f>"Contract No. "&amp;ContractNo</f>
        <v>Contract No. KSIA7806/2025/RFP</v>
      </c>
      <c r="G55" s="676"/>
      <c r="H55" s="676"/>
    </row>
    <row r="56" spans="2:9" hidden="1">
      <c r="B56" s="736" t="str">
        <f>Client2</f>
        <v>ACSA</v>
      </c>
      <c r="C56" s="736"/>
      <c r="D56" s="736"/>
      <c r="E56" s="736"/>
      <c r="F56" s="676"/>
      <c r="G56" s="676"/>
      <c r="H56" s="676"/>
    </row>
    <row r="57" spans="2:9" hidden="1">
      <c r="B57" s="739"/>
      <c r="C57" s="739"/>
      <c r="D57" s="739"/>
      <c r="E57" s="739"/>
      <c r="F57" s="677"/>
      <c r="G57" s="677"/>
      <c r="H57" s="677"/>
    </row>
    <row r="58" spans="2:9" hidden="1">
      <c r="B58" s="695" t="s">
        <v>456</v>
      </c>
      <c r="C58" s="696"/>
      <c r="D58" s="696"/>
      <c r="E58" s="696"/>
      <c r="F58" s="696"/>
      <c r="G58" s="696"/>
      <c r="H58" s="684" t="str">
        <f>$H$4</f>
        <v>CHAPTER C2.1</v>
      </c>
      <c r="I58" s="6"/>
    </row>
    <row r="59" spans="2:9" hidden="1">
      <c r="B59" s="690" t="str">
        <f>ContractDescription</f>
        <v>PROCUREMENT OF A CIDB GRADE 9 CE CONTRACTOR THE COMPLETION OF BRAVO TAXIWAY EXTENSION AT KING SHAKA INTERNATIONAL AIRPORT FOR A PERIOD OF 12 MONTHS AT KING SHAKA INTERNATIONAL AIRPORT</v>
      </c>
      <c r="C59" s="691"/>
      <c r="D59" s="691"/>
      <c r="E59" s="691"/>
      <c r="F59" s="691"/>
      <c r="G59" s="691"/>
      <c r="H59" s="694"/>
      <c r="I59" s="8"/>
    </row>
    <row r="60" spans="2:9" hidden="1">
      <c r="B60" s="690"/>
      <c r="C60" s="691"/>
      <c r="D60" s="691"/>
      <c r="E60" s="691"/>
      <c r="F60" s="691"/>
      <c r="G60" s="691"/>
      <c r="H60" s="694"/>
      <c r="I60" s="8"/>
    </row>
    <row r="61" spans="2:9" hidden="1">
      <c r="B61" s="692"/>
      <c r="C61" s="693"/>
      <c r="D61" s="693"/>
      <c r="E61" s="693"/>
      <c r="F61" s="693"/>
      <c r="G61" s="693"/>
      <c r="H61" s="686"/>
      <c r="I61" s="8"/>
    </row>
    <row r="62" spans="2:9" s="9" customFormat="1" ht="24.95" hidden="1" customHeight="1">
      <c r="B62" s="70" t="s">
        <v>11</v>
      </c>
      <c r="C62" s="11" t="s">
        <v>12</v>
      </c>
      <c r="D62" s="11" t="s">
        <v>13</v>
      </c>
      <c r="E62" s="11" t="s">
        <v>14</v>
      </c>
      <c r="F62" s="11" t="s">
        <v>15</v>
      </c>
      <c r="G62" s="409" t="s">
        <v>16</v>
      </c>
      <c r="H62" s="364" t="s">
        <v>17</v>
      </c>
      <c r="I62" s="12"/>
    </row>
    <row r="63" spans="2:9" s="28" customFormat="1" ht="20.100000000000001" hidden="1" customHeight="1">
      <c r="B63" s="74"/>
      <c r="C63" s="29" t="s">
        <v>140</v>
      </c>
      <c r="D63" s="30"/>
      <c r="E63" s="30"/>
      <c r="F63" s="31"/>
      <c r="G63" s="412"/>
      <c r="H63" s="364">
        <f>H54</f>
        <v>0</v>
      </c>
      <c r="I63" s="236"/>
    </row>
    <row r="64" spans="2:9" hidden="1">
      <c r="B64" s="59"/>
      <c r="C64" s="100"/>
      <c r="D64" s="15"/>
      <c r="E64" s="15"/>
      <c r="F64" s="240"/>
      <c r="G64" s="410"/>
      <c r="H64" s="363" t="str">
        <f>IF(D64="","",F64*G64)</f>
        <v/>
      </c>
    </row>
    <row r="65" spans="2:13" ht="25.5">
      <c r="B65" s="48" t="s">
        <v>2981</v>
      </c>
      <c r="C65" s="100" t="s">
        <v>2982</v>
      </c>
      <c r="D65" s="22"/>
      <c r="E65" s="15"/>
      <c r="F65" s="22"/>
      <c r="G65" s="351"/>
      <c r="H65" s="363" t="str">
        <f t="shared" ref="H65:H71" si="5">IF(D65="","",F65*G65)</f>
        <v/>
      </c>
    </row>
    <row r="66" spans="2:13">
      <c r="B66" s="59"/>
      <c r="C66" s="14"/>
      <c r="D66" s="15"/>
      <c r="E66" s="15"/>
      <c r="F66" s="22"/>
      <c r="G66" s="351"/>
      <c r="H66" s="363" t="str">
        <f t="shared" si="5"/>
        <v/>
      </c>
    </row>
    <row r="67" spans="2:13">
      <c r="B67" s="48" t="s">
        <v>83</v>
      </c>
      <c r="C67" s="14" t="s">
        <v>805</v>
      </c>
      <c r="D67" s="22" t="s">
        <v>347</v>
      </c>
      <c r="E67" s="15"/>
      <c r="F67" s="22">
        <v>1300</v>
      </c>
      <c r="G67" s="587"/>
      <c r="H67" s="363">
        <f t="shared" si="5"/>
        <v>0</v>
      </c>
      <c r="M67" s="1">
        <f>370*2</f>
        <v>740</v>
      </c>
    </row>
    <row r="68" spans="2:13">
      <c r="B68" s="59"/>
      <c r="C68" s="14"/>
      <c r="D68" s="15"/>
      <c r="E68" s="15"/>
      <c r="F68" s="22"/>
      <c r="G68" s="587"/>
      <c r="H68" s="363" t="str">
        <f t="shared" si="5"/>
        <v/>
      </c>
    </row>
    <row r="69" spans="2:13">
      <c r="B69" s="48" t="s">
        <v>86</v>
      </c>
      <c r="C69" s="14" t="s">
        <v>807</v>
      </c>
      <c r="D69" s="22" t="s">
        <v>347</v>
      </c>
      <c r="E69" s="15"/>
      <c r="F69" s="22">
        <v>1300</v>
      </c>
      <c r="G69" s="587"/>
      <c r="H69" s="363">
        <f t="shared" si="5"/>
        <v>0</v>
      </c>
    </row>
    <row r="70" spans="2:13">
      <c r="B70" s="59"/>
      <c r="C70" s="14"/>
      <c r="D70" s="15"/>
      <c r="E70" s="15"/>
      <c r="F70" s="22"/>
      <c r="G70" s="587"/>
      <c r="H70" s="363" t="str">
        <f t="shared" si="5"/>
        <v/>
      </c>
    </row>
    <row r="71" spans="2:13">
      <c r="B71" s="48" t="s">
        <v>2983</v>
      </c>
      <c r="C71" s="14" t="s">
        <v>2984</v>
      </c>
      <c r="D71" s="22" t="s">
        <v>347</v>
      </c>
      <c r="E71" s="15"/>
      <c r="F71" s="22">
        <v>1300</v>
      </c>
      <c r="G71" s="587"/>
      <c r="H71" s="363">
        <f t="shared" si="5"/>
        <v>0</v>
      </c>
    </row>
    <row r="72" spans="2:13">
      <c r="B72" s="59"/>
      <c r="C72" s="14"/>
      <c r="D72" s="15"/>
      <c r="E72" s="15"/>
      <c r="F72" s="240"/>
      <c r="G72" s="586"/>
      <c r="H72" s="363"/>
    </row>
    <row r="73" spans="2:13">
      <c r="B73" s="48" t="s">
        <v>2985</v>
      </c>
      <c r="C73" s="100" t="s">
        <v>2986</v>
      </c>
      <c r="D73" s="22"/>
      <c r="E73" s="62"/>
      <c r="F73" s="36"/>
      <c r="G73" s="587"/>
      <c r="H73" s="363" t="str">
        <f t="shared" ref="H73:H87" si="6">IF(D73="","",F73*G73)</f>
        <v/>
      </c>
    </row>
    <row r="74" spans="2:13">
      <c r="B74" s="59"/>
      <c r="C74" s="14"/>
      <c r="D74" s="15"/>
      <c r="E74" s="15"/>
      <c r="F74" s="22"/>
      <c r="G74" s="587"/>
      <c r="H74" s="363" t="str">
        <f t="shared" si="6"/>
        <v/>
      </c>
    </row>
    <row r="75" spans="2:13" ht="25.5">
      <c r="B75" s="48" t="s">
        <v>2987</v>
      </c>
      <c r="C75" s="14" t="s">
        <v>2988</v>
      </c>
      <c r="D75" s="22" t="s">
        <v>347</v>
      </c>
      <c r="E75" s="62"/>
      <c r="F75" s="36">
        <v>250</v>
      </c>
      <c r="G75" s="587"/>
      <c r="H75" s="363">
        <f t="shared" si="6"/>
        <v>0</v>
      </c>
    </row>
    <row r="76" spans="2:13">
      <c r="B76" s="59"/>
      <c r="C76" s="252"/>
      <c r="D76" s="62"/>
      <c r="E76" s="62"/>
      <c r="F76" s="36"/>
      <c r="G76" s="587"/>
      <c r="H76" s="363" t="str">
        <f t="shared" si="6"/>
        <v/>
      </c>
    </row>
    <row r="77" spans="2:13" ht="25.5">
      <c r="B77" s="48" t="s">
        <v>590</v>
      </c>
      <c r="C77" s="14" t="s">
        <v>2989</v>
      </c>
      <c r="D77" s="22" t="s">
        <v>347</v>
      </c>
      <c r="E77" s="15"/>
      <c r="F77" s="22">
        <v>250</v>
      </c>
      <c r="G77" s="587"/>
      <c r="H77" s="363">
        <f t="shared" si="6"/>
        <v>0</v>
      </c>
    </row>
    <row r="78" spans="2:13">
      <c r="B78" s="59"/>
      <c r="C78" s="252"/>
      <c r="D78" s="62"/>
      <c r="E78" s="15"/>
      <c r="F78" s="22"/>
      <c r="G78" s="587"/>
      <c r="H78" s="363" t="str">
        <f t="shared" si="6"/>
        <v/>
      </c>
    </row>
    <row r="79" spans="2:13">
      <c r="B79" s="48" t="s">
        <v>2990</v>
      </c>
      <c r="C79" s="14" t="s">
        <v>2991</v>
      </c>
      <c r="D79" s="22" t="s">
        <v>85</v>
      </c>
      <c r="E79" s="15"/>
      <c r="F79" s="22">
        <v>10</v>
      </c>
      <c r="G79" s="587"/>
      <c r="H79" s="363">
        <f t="shared" si="6"/>
        <v>0</v>
      </c>
    </row>
    <row r="80" spans="2:13">
      <c r="B80" s="59"/>
      <c r="C80" s="14"/>
      <c r="D80" s="15"/>
      <c r="E80" s="15"/>
      <c r="F80" s="22"/>
      <c r="G80" s="587"/>
      <c r="H80" s="363" t="str">
        <f t="shared" si="6"/>
        <v/>
      </c>
    </row>
    <row r="81" spans="2:15" ht="25.5">
      <c r="B81" s="48" t="s">
        <v>2992</v>
      </c>
      <c r="C81" s="14" t="s">
        <v>2993</v>
      </c>
      <c r="D81" s="22"/>
      <c r="E81" s="15"/>
      <c r="F81" s="240"/>
      <c r="G81" s="585"/>
      <c r="H81" s="363" t="str">
        <f t="shared" si="6"/>
        <v/>
      </c>
      <c r="N81" s="1">
        <v>4</v>
      </c>
      <c r="O81" s="1">
        <f>N81*0.25*2*4*4</f>
        <v>32</v>
      </c>
    </row>
    <row r="82" spans="2:15">
      <c r="B82" s="59"/>
      <c r="C82" s="14"/>
      <c r="D82" s="15"/>
      <c r="E82" s="15"/>
      <c r="F82" s="240"/>
      <c r="G82" s="587"/>
      <c r="H82" s="363" t="str">
        <f t="shared" si="6"/>
        <v/>
      </c>
    </row>
    <row r="83" spans="2:15">
      <c r="B83" s="48" t="s">
        <v>2994</v>
      </c>
      <c r="C83" s="14" t="s">
        <v>2995</v>
      </c>
      <c r="D83" s="22" t="s">
        <v>478</v>
      </c>
      <c r="E83" s="62"/>
      <c r="F83" s="240">
        <v>30</v>
      </c>
      <c r="G83" s="587"/>
      <c r="H83" s="363">
        <f t="shared" si="6"/>
        <v>0</v>
      </c>
    </row>
    <row r="84" spans="2:15">
      <c r="B84" s="48"/>
      <c r="C84" s="14"/>
      <c r="D84" s="15"/>
      <c r="E84" s="62"/>
      <c r="F84" s="240"/>
      <c r="G84" s="587"/>
      <c r="H84" s="363" t="str">
        <f t="shared" si="6"/>
        <v/>
      </c>
      <c r="J84" s="1">
        <v>735</v>
      </c>
    </row>
    <row r="85" spans="2:15">
      <c r="B85" s="48" t="s">
        <v>2996</v>
      </c>
      <c r="C85" s="100" t="s">
        <v>1058</v>
      </c>
      <c r="D85" s="22" t="s">
        <v>478</v>
      </c>
      <c r="E85" s="62"/>
      <c r="F85" s="240">
        <v>30</v>
      </c>
      <c r="G85" s="587"/>
      <c r="H85" s="363">
        <f t="shared" si="6"/>
        <v>0</v>
      </c>
      <c r="J85" s="1">
        <v>660</v>
      </c>
    </row>
    <row r="86" spans="2:15">
      <c r="B86" s="59"/>
      <c r="C86" s="14"/>
      <c r="D86" s="15"/>
      <c r="E86" s="62"/>
      <c r="F86" s="240"/>
      <c r="G86" s="587"/>
      <c r="H86" s="363" t="str">
        <f t="shared" si="6"/>
        <v/>
      </c>
    </row>
    <row r="87" spans="2:15">
      <c r="B87" s="48" t="s">
        <v>2997</v>
      </c>
      <c r="C87" s="14" t="s">
        <v>2998</v>
      </c>
      <c r="D87" s="22" t="s">
        <v>478</v>
      </c>
      <c r="E87" s="62"/>
      <c r="F87" s="240">
        <v>150</v>
      </c>
      <c r="G87" s="587"/>
      <c r="H87" s="363">
        <f t="shared" si="6"/>
        <v>0</v>
      </c>
    </row>
    <row r="88" spans="2:15">
      <c r="B88" s="48"/>
      <c r="C88" s="100"/>
      <c r="D88" s="62"/>
      <c r="E88" s="15"/>
      <c r="F88" s="22"/>
      <c r="G88" s="351"/>
      <c r="H88" s="363"/>
    </row>
    <row r="89" spans="2:15">
      <c r="B89" s="59"/>
      <c r="C89" s="252"/>
      <c r="D89" s="62"/>
      <c r="E89" s="15"/>
      <c r="F89" s="22"/>
      <c r="G89" s="351"/>
      <c r="H89" s="363"/>
    </row>
    <row r="90" spans="2:15">
      <c r="B90" s="59"/>
      <c r="C90" s="14"/>
      <c r="D90" s="22"/>
      <c r="E90" s="62"/>
      <c r="F90" s="36"/>
      <c r="G90" s="351"/>
      <c r="H90" s="363"/>
    </row>
    <row r="91" spans="2:15">
      <c r="B91" s="59"/>
      <c r="C91" s="14"/>
      <c r="D91" s="15"/>
      <c r="E91" s="15"/>
      <c r="F91" s="22"/>
      <c r="G91" s="351"/>
      <c r="H91" s="363"/>
    </row>
    <row r="92" spans="2:15">
      <c r="B92" s="84"/>
      <c r="C92" s="14"/>
      <c r="D92" s="22"/>
      <c r="E92" s="62"/>
      <c r="F92" s="36"/>
      <c r="G92" s="351"/>
      <c r="H92" s="363"/>
    </row>
    <row r="93" spans="2:15">
      <c r="B93" s="59"/>
      <c r="C93" s="252"/>
      <c r="D93" s="62"/>
      <c r="E93" s="62"/>
      <c r="F93" s="36"/>
      <c r="G93" s="351"/>
      <c r="H93" s="363" t="str">
        <f>IF(D93="","",F93*G93)</f>
        <v/>
      </c>
    </row>
    <row r="94" spans="2:15">
      <c r="B94" s="48"/>
      <c r="C94" s="100"/>
      <c r="D94" s="62"/>
      <c r="E94" s="15"/>
      <c r="F94" s="22"/>
      <c r="G94" s="351"/>
      <c r="H94" s="363"/>
    </row>
    <row r="95" spans="2:15">
      <c r="B95" s="59"/>
      <c r="C95" s="252"/>
      <c r="D95" s="62"/>
      <c r="E95" s="15"/>
      <c r="F95" s="22"/>
      <c r="G95" s="351"/>
      <c r="H95" s="363"/>
    </row>
    <row r="96" spans="2:15">
      <c r="B96" s="59"/>
      <c r="C96" s="14"/>
      <c r="D96" s="22"/>
      <c r="E96" s="15"/>
      <c r="F96" s="22"/>
      <c r="G96" s="351"/>
      <c r="H96" s="363"/>
    </row>
    <row r="97" spans="2:8">
      <c r="B97" s="59"/>
      <c r="C97" s="14"/>
      <c r="D97" s="15"/>
      <c r="E97" s="15"/>
      <c r="F97" s="22"/>
      <c r="G97" s="351"/>
      <c r="H97" s="363"/>
    </row>
    <row r="98" spans="2:8">
      <c r="B98" s="84"/>
      <c r="C98" s="14"/>
      <c r="D98" s="22"/>
      <c r="E98" s="15"/>
      <c r="F98" s="22"/>
      <c r="G98" s="410"/>
      <c r="H98" s="363"/>
    </row>
    <row r="99" spans="2:8">
      <c r="B99" s="48"/>
      <c r="C99" s="14"/>
      <c r="D99" s="15"/>
      <c r="E99" s="15"/>
      <c r="F99" s="22"/>
      <c r="G99" s="410"/>
      <c r="H99" s="363"/>
    </row>
    <row r="100" spans="2:8">
      <c r="B100" s="48"/>
      <c r="C100" s="100"/>
      <c r="D100" s="15"/>
      <c r="E100" s="15"/>
      <c r="F100" s="22"/>
      <c r="G100" s="410"/>
      <c r="H100" s="363"/>
    </row>
    <row r="101" spans="2:8">
      <c r="B101" s="48"/>
      <c r="C101" s="14"/>
      <c r="D101" s="15"/>
      <c r="E101" s="15"/>
      <c r="F101" s="22"/>
      <c r="G101" s="410"/>
      <c r="H101" s="363"/>
    </row>
    <row r="102" spans="2:8">
      <c r="B102" s="59"/>
      <c r="C102" s="14"/>
      <c r="D102" s="22"/>
      <c r="E102" s="15"/>
      <c r="F102" s="22"/>
      <c r="G102" s="410"/>
      <c r="H102" s="363"/>
    </row>
    <row r="103" spans="2:8">
      <c r="B103" s="59"/>
      <c r="C103" s="14"/>
      <c r="D103" s="15"/>
      <c r="E103" s="15"/>
      <c r="F103" s="22"/>
      <c r="G103" s="410"/>
      <c r="H103" s="363"/>
    </row>
    <row r="104" spans="2:8">
      <c r="B104" s="84"/>
      <c r="C104" s="14"/>
      <c r="D104" s="22"/>
      <c r="E104" s="22"/>
      <c r="F104" s="240"/>
      <c r="G104" s="351"/>
      <c r="H104" s="363"/>
    </row>
    <row r="105" spans="2:8">
      <c r="B105" s="59"/>
      <c r="C105" s="14"/>
      <c r="D105" s="15"/>
      <c r="E105" s="15"/>
      <c r="F105" s="240"/>
      <c r="G105" s="410"/>
      <c r="H105" s="363"/>
    </row>
    <row r="106" spans="2:8">
      <c r="B106" s="48"/>
      <c r="C106" s="14"/>
      <c r="D106" s="22"/>
      <c r="E106" s="15"/>
      <c r="F106" s="240"/>
      <c r="G106" s="379"/>
      <c r="H106" s="363"/>
    </row>
    <row r="107" spans="2:8">
      <c r="B107" s="59"/>
      <c r="C107" s="14"/>
      <c r="D107" s="15"/>
      <c r="E107" s="15"/>
      <c r="F107" s="240"/>
      <c r="G107" s="410"/>
      <c r="H107" s="363"/>
    </row>
    <row r="108" spans="2:8">
      <c r="B108" s="48"/>
      <c r="C108" s="100"/>
      <c r="D108" s="22"/>
      <c r="E108" s="62"/>
      <c r="F108" s="240"/>
      <c r="G108" s="431"/>
      <c r="H108" s="363"/>
    </row>
    <row r="109" spans="2:8">
      <c r="B109" s="48"/>
      <c r="C109" s="14"/>
      <c r="D109" s="15"/>
      <c r="E109" s="62"/>
      <c r="F109" s="240"/>
      <c r="G109" s="431"/>
      <c r="H109" s="363"/>
    </row>
    <row r="110" spans="2:8">
      <c r="B110" s="48"/>
      <c r="C110" s="100"/>
      <c r="D110" s="22"/>
      <c r="E110" s="62"/>
      <c r="F110" s="240"/>
      <c r="G110" s="351"/>
      <c r="H110" s="363"/>
    </row>
    <row r="111" spans="2:8">
      <c r="B111" s="48"/>
      <c r="C111" s="100"/>
      <c r="D111" s="22"/>
      <c r="E111" s="62"/>
      <c r="F111" s="240"/>
      <c r="G111" s="351"/>
      <c r="H111" s="363"/>
    </row>
    <row r="112" spans="2:8">
      <c r="B112" s="48"/>
      <c r="C112" s="100"/>
      <c r="D112" s="22"/>
      <c r="E112" s="62"/>
      <c r="F112" s="240"/>
      <c r="G112" s="351"/>
      <c r="H112" s="363"/>
    </row>
    <row r="113" spans="2:9">
      <c r="B113" s="48"/>
      <c r="C113" s="100"/>
      <c r="D113" s="22"/>
      <c r="E113" s="62"/>
      <c r="F113" s="240"/>
      <c r="G113" s="351"/>
      <c r="H113" s="363"/>
    </row>
    <row r="114" spans="2:9">
      <c r="B114" s="48"/>
      <c r="C114" s="100"/>
      <c r="D114" s="22"/>
      <c r="E114" s="62"/>
      <c r="F114" s="240"/>
      <c r="G114" s="351"/>
      <c r="H114" s="363"/>
    </row>
    <row r="115" spans="2:9">
      <c r="B115" s="48"/>
      <c r="C115" s="100"/>
      <c r="D115" s="22"/>
      <c r="E115" s="62"/>
      <c r="F115" s="240"/>
      <c r="G115" s="351"/>
      <c r="H115" s="363"/>
    </row>
    <row r="116" spans="2:9">
      <c r="B116" s="48"/>
      <c r="C116" s="100"/>
      <c r="D116" s="22"/>
      <c r="E116" s="62"/>
      <c r="F116" s="240"/>
      <c r="G116" s="351"/>
      <c r="H116" s="363"/>
    </row>
    <row r="117" spans="2:9">
      <c r="B117" s="59"/>
      <c r="C117" s="14"/>
      <c r="D117" s="15"/>
      <c r="E117" s="62"/>
      <c r="F117" s="240"/>
      <c r="G117" s="431"/>
      <c r="H117" s="363" t="str">
        <f>IF(D117="","",F117*G117)</f>
        <v/>
      </c>
    </row>
    <row r="118" spans="2:9" s="28" customFormat="1" ht="20.100000000000001" customHeight="1">
      <c r="B118" s="101" t="str">
        <f>$B$10</f>
        <v>C2.1</v>
      </c>
      <c r="C118" s="29" t="s">
        <v>99</v>
      </c>
      <c r="D118" s="30"/>
      <c r="E118" s="30"/>
      <c r="F118" s="31"/>
      <c r="G118" s="412"/>
      <c r="H118" s="364">
        <f>SUM(H63:H117)</f>
        <v>0</v>
      </c>
      <c r="I118" s="236"/>
    </row>
  </sheetData>
  <sheetProtection algorithmName="SHA-512" hashValue="RtxbwzQo4f9Jn9rEL1smaLU9b2eg5LGCvn3JCLs85qfeGITC3qz4b778hhbh98FJbQ+oZm1TSpFLXESTGcoOSA==" saltValue="GCBt5aEDyeddeC2Tlf66qg==" spinCount="100000" sheet="1" objects="1" scenarios="1"/>
  <mergeCells count="12">
    <mergeCell ref="I4:I8"/>
    <mergeCell ref="B58:G58"/>
    <mergeCell ref="H58:H61"/>
    <mergeCell ref="B59:G61"/>
    <mergeCell ref="F1:H1"/>
    <mergeCell ref="H4:H7"/>
    <mergeCell ref="B4:G4"/>
    <mergeCell ref="B5:G7"/>
    <mergeCell ref="B55:E55"/>
    <mergeCell ref="F55:H57"/>
    <mergeCell ref="B56:E56"/>
    <mergeCell ref="B57:E57"/>
  </mergeCells>
  <pageMargins left="0.43307086614173229" right="0.31496062992125984" top="0.43307086614173229" bottom="0.62992125984251968" header="0.35433070866141736" footer="0.31496062992125984"/>
  <pageSetup paperSize="9" scale="73" firstPageNumber="31"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rowBreaks count="1" manualBreakCount="1">
    <brk id="54" max="8"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F5FEB-AC6D-4C0D-9A15-796F1FA31025}">
  <sheetPr codeName="Sheet114">
    <tabColor rgb="FF00B0F0"/>
    <pageSetUpPr fitToPage="1"/>
  </sheetPr>
  <dimension ref="B1:K68"/>
  <sheetViews>
    <sheetView view="pageBreakPreview" topLeftCell="A35" zoomScaleNormal="100" zoomScaleSheetLayoutView="100" workbookViewId="0">
      <selection activeCell="G32" sqref="G32"/>
    </sheetView>
  </sheetViews>
  <sheetFormatPr defaultColWidth="8.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22.85546875" style="399" customWidth="1"/>
    <col min="9" max="9" width="47.42578125" style="5" hidden="1" customWidth="1"/>
    <col min="10" max="36" width="0" style="1" hidden="1" customWidth="1"/>
    <col min="37" max="16384" width="8.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3"/>
    </row>
    <row r="4" spans="2:9" ht="12.75" customHeight="1">
      <c r="B4" s="695" t="s">
        <v>2943</v>
      </c>
      <c r="C4" s="696"/>
      <c r="D4" s="696"/>
      <c r="E4" s="696"/>
      <c r="F4" s="696"/>
      <c r="G4" s="696"/>
      <c r="H4" s="708" t="str">
        <f>"CHAPTER "&amp;B10</f>
        <v>CHAPTER C2.2</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09"/>
      <c r="I5" s="676"/>
    </row>
    <row r="6" spans="2:9" ht="12.75" customHeight="1">
      <c r="B6" s="690"/>
      <c r="C6" s="691"/>
      <c r="D6" s="691"/>
      <c r="E6" s="691"/>
      <c r="F6" s="691"/>
      <c r="G6" s="691"/>
      <c r="H6" s="709"/>
      <c r="I6" s="676"/>
    </row>
    <row r="7" spans="2:9" s="9" customFormat="1" ht="7.5" customHeight="1">
      <c r="B7" s="692"/>
      <c r="C7" s="693"/>
      <c r="D7" s="693"/>
      <c r="E7" s="693"/>
      <c r="F7" s="693"/>
      <c r="G7" s="693"/>
      <c r="H7" s="710"/>
      <c r="I7" s="676"/>
    </row>
    <row r="8" spans="2:9" s="9" customFormat="1" ht="24.95" customHeight="1">
      <c r="B8" s="10" t="s">
        <v>11</v>
      </c>
      <c r="C8" s="11" t="s">
        <v>12</v>
      </c>
      <c r="D8" s="11" t="s">
        <v>13</v>
      </c>
      <c r="E8" s="11" t="s">
        <v>14</v>
      </c>
      <c r="F8" s="11" t="s">
        <v>15</v>
      </c>
      <c r="G8" s="409" t="s">
        <v>16</v>
      </c>
      <c r="H8" s="364" t="s">
        <v>17</v>
      </c>
      <c r="I8" s="676"/>
    </row>
    <row r="9" spans="2:9">
      <c r="B9" s="48"/>
      <c r="C9" s="14"/>
      <c r="D9" s="15"/>
      <c r="E9" s="15"/>
      <c r="F9" s="15"/>
      <c r="G9" s="427"/>
      <c r="H9" s="367" t="str">
        <f t="shared" ref="H9:H28" si="0">IF(D9="","",F9*G9)</f>
        <v/>
      </c>
      <c r="I9" s="239"/>
    </row>
    <row r="10" spans="2:9" ht="30.75" customHeight="1">
      <c r="B10" s="69" t="s">
        <v>2999</v>
      </c>
      <c r="C10" s="20" t="s">
        <v>3000</v>
      </c>
      <c r="D10" s="15"/>
      <c r="E10" s="15"/>
      <c r="F10" s="15"/>
      <c r="G10" s="427"/>
      <c r="H10" s="367" t="str">
        <f t="shared" si="0"/>
        <v/>
      </c>
      <c r="I10" s="331" t="s">
        <v>2947</v>
      </c>
    </row>
    <row r="11" spans="2:9">
      <c r="B11" s="48"/>
      <c r="C11" s="14"/>
      <c r="D11" s="15"/>
      <c r="E11" s="15"/>
      <c r="F11" s="15"/>
      <c r="G11" s="427"/>
      <c r="H11" s="367" t="str">
        <f t="shared" si="0"/>
        <v/>
      </c>
      <c r="I11" s="239"/>
    </row>
    <row r="12" spans="2:9">
      <c r="B12" s="48" t="s">
        <v>325</v>
      </c>
      <c r="C12" s="14" t="s">
        <v>3001</v>
      </c>
      <c r="D12" s="15"/>
      <c r="E12" s="15"/>
      <c r="F12" s="15"/>
      <c r="G12" s="427"/>
      <c r="H12" s="367" t="str">
        <f t="shared" si="0"/>
        <v/>
      </c>
      <c r="I12" s="239"/>
    </row>
    <row r="13" spans="2:9">
      <c r="B13" s="48"/>
      <c r="C13" s="14"/>
      <c r="D13" s="15"/>
      <c r="E13" s="15"/>
      <c r="F13" s="15"/>
      <c r="G13" s="427"/>
      <c r="H13" s="367" t="str">
        <f t="shared" si="0"/>
        <v/>
      </c>
      <c r="I13" s="239"/>
    </row>
    <row r="14" spans="2:9">
      <c r="B14" s="48" t="s">
        <v>673</v>
      </c>
      <c r="C14" s="14" t="s">
        <v>3002</v>
      </c>
      <c r="D14" s="22"/>
      <c r="E14" s="22"/>
      <c r="F14" s="240"/>
      <c r="G14" s="351"/>
      <c r="H14" s="363" t="str">
        <f t="shared" si="0"/>
        <v/>
      </c>
      <c r="I14" s="248"/>
    </row>
    <row r="15" spans="2:9">
      <c r="B15" s="48"/>
      <c r="C15" s="14"/>
      <c r="D15" s="15"/>
      <c r="E15" s="15"/>
      <c r="F15" s="249"/>
      <c r="G15" s="427"/>
      <c r="H15" s="363" t="str">
        <f t="shared" si="0"/>
        <v/>
      </c>
      <c r="I15" s="239"/>
    </row>
    <row r="16" spans="2:9">
      <c r="B16" s="48" t="s">
        <v>83</v>
      </c>
      <c r="C16" s="14" t="s">
        <v>3003</v>
      </c>
      <c r="D16" s="22" t="s">
        <v>347</v>
      </c>
      <c r="E16" s="15"/>
      <c r="F16" s="249">
        <f>4000+11340</f>
        <v>15340</v>
      </c>
      <c r="G16" s="605"/>
      <c r="H16" s="363">
        <f t="shared" si="0"/>
        <v>0</v>
      </c>
      <c r="I16" s="239"/>
    </row>
    <row r="17" spans="2:11">
      <c r="B17" s="48"/>
      <c r="C17" s="14"/>
      <c r="D17" s="15"/>
      <c r="E17" s="15"/>
      <c r="F17" s="249"/>
      <c r="G17" s="593"/>
      <c r="H17" s="363" t="str">
        <f t="shared" si="0"/>
        <v/>
      </c>
      <c r="I17" s="251"/>
    </row>
    <row r="18" spans="2:11">
      <c r="B18" s="48" t="s">
        <v>86</v>
      </c>
      <c r="C18" s="100" t="s">
        <v>3004</v>
      </c>
      <c r="D18" s="22" t="s">
        <v>347</v>
      </c>
      <c r="E18" s="62"/>
      <c r="F18" s="249">
        <v>2000</v>
      </c>
      <c r="G18" s="606"/>
      <c r="H18" s="363">
        <f t="shared" si="0"/>
        <v>0</v>
      </c>
      <c r="I18" s="64"/>
    </row>
    <row r="19" spans="2:11">
      <c r="B19" s="48"/>
      <c r="C19" s="252"/>
      <c r="D19" s="62"/>
      <c r="E19" s="62"/>
      <c r="F19" s="249"/>
      <c r="G19" s="606"/>
      <c r="H19" s="363" t="str">
        <f t="shared" si="0"/>
        <v/>
      </c>
      <c r="I19" s="64"/>
    </row>
    <row r="20" spans="2:11" ht="25.5">
      <c r="B20" s="48" t="s">
        <v>3005</v>
      </c>
      <c r="C20" s="100" t="s">
        <v>3006</v>
      </c>
      <c r="D20" s="15"/>
      <c r="E20" s="15"/>
      <c r="F20" s="15"/>
      <c r="G20" s="593"/>
      <c r="H20" s="367" t="str">
        <f t="shared" si="0"/>
        <v/>
      </c>
      <c r="I20" s="64"/>
    </row>
    <row r="21" spans="2:11">
      <c r="B21" s="48"/>
      <c r="C21" s="14"/>
      <c r="D21" s="15"/>
      <c r="E21" s="15"/>
      <c r="F21" s="15"/>
      <c r="G21" s="593"/>
      <c r="H21" s="367" t="str">
        <f t="shared" si="0"/>
        <v/>
      </c>
      <c r="I21" s="64"/>
      <c r="K21" s="1">
        <f>400*0.3*0.6</f>
        <v>72</v>
      </c>
    </row>
    <row r="22" spans="2:11">
      <c r="B22" s="48" t="s">
        <v>3007</v>
      </c>
      <c r="C22" s="14" t="s">
        <v>674</v>
      </c>
      <c r="D22" s="22" t="s">
        <v>478</v>
      </c>
      <c r="E22" s="15"/>
      <c r="F22" s="15">
        <v>500</v>
      </c>
      <c r="G22" s="593"/>
      <c r="H22" s="367">
        <f t="shared" si="0"/>
        <v>0</v>
      </c>
      <c r="I22" s="64"/>
    </row>
    <row r="23" spans="2:11">
      <c r="B23" s="48"/>
      <c r="C23" s="14"/>
      <c r="D23" s="15"/>
      <c r="E23" s="15"/>
      <c r="F23" s="15"/>
      <c r="G23" s="593"/>
      <c r="H23" s="367" t="str">
        <f t="shared" si="0"/>
        <v/>
      </c>
      <c r="I23" s="64"/>
    </row>
    <row r="24" spans="2:11">
      <c r="B24" s="48" t="s">
        <v>3008</v>
      </c>
      <c r="C24" s="14" t="s">
        <v>483</v>
      </c>
      <c r="D24" s="22"/>
      <c r="E24" s="62"/>
      <c r="F24" s="249"/>
      <c r="G24" s="607"/>
      <c r="H24" s="363" t="str">
        <f t="shared" si="0"/>
        <v/>
      </c>
      <c r="I24" s="239"/>
    </row>
    <row r="25" spans="2:11">
      <c r="B25" s="48"/>
      <c r="C25" s="14"/>
      <c r="D25" s="15"/>
      <c r="E25" s="62"/>
      <c r="F25" s="249"/>
      <c r="G25" s="606"/>
      <c r="H25" s="363" t="str">
        <f t="shared" si="0"/>
        <v/>
      </c>
      <c r="I25" s="239"/>
    </row>
    <row r="26" spans="2:11">
      <c r="B26" s="48" t="s">
        <v>83</v>
      </c>
      <c r="C26" s="14" t="s">
        <v>3009</v>
      </c>
      <c r="D26" s="22" t="s">
        <v>478</v>
      </c>
      <c r="E26" s="62"/>
      <c r="F26" s="249">
        <v>250</v>
      </c>
      <c r="G26" s="593"/>
      <c r="H26" s="363">
        <f t="shared" si="0"/>
        <v>0</v>
      </c>
      <c r="I26" s="239"/>
    </row>
    <row r="27" spans="2:11">
      <c r="B27" s="48"/>
      <c r="C27" s="14"/>
      <c r="D27" s="15"/>
      <c r="E27" s="62"/>
      <c r="F27" s="249"/>
      <c r="G27" s="593"/>
      <c r="H27" s="363" t="str">
        <f t="shared" si="0"/>
        <v/>
      </c>
      <c r="I27" s="239"/>
    </row>
    <row r="28" spans="2:11">
      <c r="B28" s="48" t="s">
        <v>86</v>
      </c>
      <c r="C28" s="14" t="s">
        <v>3010</v>
      </c>
      <c r="D28" s="22" t="s">
        <v>478</v>
      </c>
      <c r="E28" s="62"/>
      <c r="F28" s="249">
        <v>250</v>
      </c>
      <c r="G28" s="593"/>
      <c r="H28" s="363">
        <f t="shared" si="0"/>
        <v>0</v>
      </c>
      <c r="I28" s="248"/>
    </row>
    <row r="29" spans="2:11">
      <c r="B29" s="48"/>
      <c r="C29" s="14"/>
      <c r="D29" s="15"/>
      <c r="E29" s="15"/>
      <c r="F29" s="249"/>
      <c r="G29" s="593"/>
      <c r="H29" s="363"/>
      <c r="I29" s="239"/>
    </row>
    <row r="30" spans="2:11" ht="25.5">
      <c r="B30" s="48" t="s">
        <v>3011</v>
      </c>
      <c r="C30" s="100" t="s">
        <v>3012</v>
      </c>
      <c r="D30" s="62"/>
      <c r="E30" s="15"/>
      <c r="F30" s="15"/>
      <c r="G30" s="607"/>
      <c r="H30" s="363" t="str">
        <f>IF(D30="","",F30*G30)</f>
        <v/>
      </c>
      <c r="I30" s="239"/>
    </row>
    <row r="31" spans="2:11">
      <c r="B31" s="48"/>
      <c r="C31" s="252"/>
      <c r="D31" s="62"/>
      <c r="E31" s="15"/>
      <c r="F31" s="15"/>
      <c r="G31" s="607"/>
      <c r="H31" s="363" t="str">
        <f>IF(D31="","",F31*G31)</f>
        <v/>
      </c>
      <c r="I31" s="239"/>
    </row>
    <row r="32" spans="2:11">
      <c r="B32" s="48" t="s">
        <v>3013</v>
      </c>
      <c r="C32" s="14" t="s">
        <v>3014</v>
      </c>
      <c r="D32" s="22" t="s">
        <v>85</v>
      </c>
      <c r="E32" s="62"/>
      <c r="F32" s="249">
        <v>70</v>
      </c>
      <c r="G32" s="593"/>
      <c r="H32" s="363">
        <f>IF(D32="","",F32*G32)</f>
        <v>0</v>
      </c>
      <c r="I32" s="239"/>
    </row>
    <row r="33" spans="2:9">
      <c r="B33" s="48"/>
      <c r="C33" s="14"/>
      <c r="D33" s="22"/>
      <c r="E33" s="62"/>
      <c r="F33" s="249"/>
      <c r="G33" s="593"/>
      <c r="H33" s="363"/>
      <c r="I33" s="239"/>
    </row>
    <row r="34" spans="2:9" ht="25.5">
      <c r="B34" s="48" t="s">
        <v>3015</v>
      </c>
      <c r="C34" s="14" t="s">
        <v>3016</v>
      </c>
      <c r="D34" s="22"/>
      <c r="E34" s="62"/>
      <c r="F34" s="249"/>
      <c r="G34" s="593"/>
      <c r="H34" s="363" t="str">
        <f t="shared" ref="H34:H40" si="1">IF(D34="","",F34*G34)</f>
        <v/>
      </c>
      <c r="I34" s="239"/>
    </row>
    <row r="35" spans="2:9">
      <c r="B35" s="48"/>
      <c r="C35" s="14"/>
      <c r="D35" s="22"/>
      <c r="E35" s="62"/>
      <c r="F35" s="249"/>
      <c r="G35" s="593"/>
      <c r="H35" s="363" t="str">
        <f t="shared" si="1"/>
        <v/>
      </c>
      <c r="I35" s="239"/>
    </row>
    <row r="36" spans="2:9">
      <c r="B36" s="48" t="s">
        <v>83</v>
      </c>
      <c r="C36" s="100" t="s">
        <v>3017</v>
      </c>
      <c r="D36" s="22" t="s">
        <v>85</v>
      </c>
      <c r="E36" s="62"/>
      <c r="F36" s="249">
        <v>30</v>
      </c>
      <c r="G36" s="593"/>
      <c r="H36" s="363">
        <f t="shared" si="1"/>
        <v>0</v>
      </c>
      <c r="I36" s="239"/>
    </row>
    <row r="37" spans="2:9">
      <c r="B37" s="48"/>
      <c r="C37" s="14"/>
      <c r="D37" s="22"/>
      <c r="E37" s="62"/>
      <c r="F37" s="249"/>
      <c r="G37" s="593"/>
      <c r="H37" s="363" t="str">
        <f t="shared" si="1"/>
        <v/>
      </c>
      <c r="I37" s="239"/>
    </row>
    <row r="38" spans="2:9" ht="25.5">
      <c r="B38" s="48" t="s">
        <v>3018</v>
      </c>
      <c r="C38" s="14" t="s">
        <v>3019</v>
      </c>
      <c r="D38" s="22"/>
      <c r="E38" s="62"/>
      <c r="F38" s="249"/>
      <c r="G38" s="593"/>
      <c r="H38" s="363" t="str">
        <f t="shared" si="1"/>
        <v/>
      </c>
      <c r="I38" s="64"/>
    </row>
    <row r="39" spans="2:9">
      <c r="B39" s="59"/>
      <c r="C39" s="14"/>
      <c r="D39" s="22"/>
      <c r="E39" s="62"/>
      <c r="F39" s="249"/>
      <c r="G39" s="593"/>
      <c r="H39" s="363" t="str">
        <f t="shared" si="1"/>
        <v/>
      </c>
      <c r="I39" s="239"/>
    </row>
    <row r="40" spans="2:9" ht="38.25">
      <c r="B40" s="48" t="s">
        <v>3020</v>
      </c>
      <c r="C40" s="14" t="s">
        <v>3021</v>
      </c>
      <c r="D40" s="22" t="s">
        <v>85</v>
      </c>
      <c r="E40" s="62"/>
      <c r="F40" s="249">
        <v>30</v>
      </c>
      <c r="G40" s="593"/>
      <c r="H40" s="363">
        <f t="shared" si="1"/>
        <v>0</v>
      </c>
      <c r="I40" s="67"/>
    </row>
    <row r="41" spans="2:9">
      <c r="B41" s="48"/>
      <c r="C41" s="100"/>
      <c r="D41" s="22"/>
      <c r="E41" s="62"/>
      <c r="F41" s="249"/>
      <c r="G41" s="593"/>
      <c r="H41" s="363"/>
      <c r="I41" s="67"/>
    </row>
    <row r="42" spans="2:9" ht="25.5">
      <c r="B42" s="294" t="s">
        <v>3022</v>
      </c>
      <c r="C42" s="304" t="s">
        <v>3023</v>
      </c>
      <c r="D42" s="22" t="s">
        <v>85</v>
      </c>
      <c r="E42" s="62"/>
      <c r="F42" s="249">
        <v>10</v>
      </c>
      <c r="G42" s="593"/>
      <c r="H42" s="363">
        <f>G42*F42</f>
        <v>0</v>
      </c>
      <c r="I42" s="67"/>
    </row>
    <row r="43" spans="2:9">
      <c r="B43" s="48"/>
      <c r="C43" s="252"/>
      <c r="D43" s="62"/>
      <c r="E43" s="62"/>
      <c r="F43" s="62"/>
      <c r="G43" s="607"/>
      <c r="H43" s="363"/>
      <c r="I43" s="64"/>
    </row>
    <row r="44" spans="2:9" ht="25.5">
      <c r="B44" s="48" t="s">
        <v>3024</v>
      </c>
      <c r="C44" s="14" t="s">
        <v>3025</v>
      </c>
      <c r="D44" s="22" t="s">
        <v>782</v>
      </c>
      <c r="E44" s="15"/>
      <c r="F44" s="15">
        <v>25</v>
      </c>
      <c r="G44" s="607"/>
      <c r="H44" s="363">
        <f>G44*F44</f>
        <v>0</v>
      </c>
      <c r="I44" s="239"/>
    </row>
    <row r="45" spans="2:9">
      <c r="B45" s="48"/>
      <c r="C45" s="14"/>
      <c r="D45" s="15"/>
      <c r="E45" s="15"/>
      <c r="F45" s="15"/>
      <c r="G45" s="607"/>
      <c r="H45" s="363"/>
      <c r="I45" s="239"/>
    </row>
    <row r="46" spans="2:9" ht="25.5">
      <c r="B46" s="48" t="s">
        <v>3026</v>
      </c>
      <c r="C46" s="14" t="s">
        <v>3027</v>
      </c>
      <c r="D46" s="22"/>
      <c r="E46" s="15"/>
      <c r="F46" s="15"/>
      <c r="G46" s="607"/>
      <c r="H46" s="363"/>
      <c r="I46" s="239"/>
    </row>
    <row r="47" spans="2:9">
      <c r="B47" s="48"/>
      <c r="C47" s="14"/>
      <c r="D47" s="15"/>
      <c r="E47" s="15"/>
      <c r="F47" s="15"/>
      <c r="G47" s="607"/>
      <c r="H47" s="363"/>
      <c r="I47" s="239"/>
    </row>
    <row r="48" spans="2:9">
      <c r="B48" s="48" t="s">
        <v>83</v>
      </c>
      <c r="C48" s="14" t="s">
        <v>2281</v>
      </c>
      <c r="D48" s="22" t="s">
        <v>903</v>
      </c>
      <c r="E48" s="15"/>
      <c r="F48" s="15">
        <v>1</v>
      </c>
      <c r="G48" s="593"/>
      <c r="H48" s="363">
        <f>G48*F48</f>
        <v>0</v>
      </c>
      <c r="I48" s="239"/>
    </row>
    <row r="49" spans="2:8">
      <c r="B49" s="48"/>
      <c r="C49" s="14"/>
      <c r="D49" s="15"/>
      <c r="E49" s="15"/>
      <c r="F49" s="15"/>
      <c r="G49" s="593"/>
      <c r="H49" s="367" t="str">
        <f>IF(D49="","",F49*G49)</f>
        <v/>
      </c>
    </row>
    <row r="50" spans="2:8">
      <c r="B50" s="48" t="s">
        <v>86</v>
      </c>
      <c r="C50" s="14" t="s">
        <v>1646</v>
      </c>
      <c r="D50" s="15" t="s">
        <v>903</v>
      </c>
      <c r="E50" s="15"/>
      <c r="F50" s="15">
        <v>11</v>
      </c>
      <c r="G50" s="593"/>
      <c r="H50" s="367">
        <f>G50*F50</f>
        <v>0</v>
      </c>
    </row>
    <row r="51" spans="2:8">
      <c r="B51" s="48"/>
      <c r="C51" s="14"/>
      <c r="D51" s="15"/>
      <c r="E51" s="15"/>
      <c r="F51" s="15"/>
      <c r="G51" s="593"/>
      <c r="H51" s="367"/>
    </row>
    <row r="52" spans="2:8" ht="25.5">
      <c r="B52" s="48" t="s">
        <v>3028</v>
      </c>
      <c r="C52" s="14" t="s">
        <v>2356</v>
      </c>
      <c r="D52" s="22"/>
      <c r="E52" s="15"/>
      <c r="F52" s="15"/>
      <c r="G52" s="593"/>
      <c r="H52" s="367"/>
    </row>
    <row r="53" spans="2:8">
      <c r="B53" s="48"/>
      <c r="C53" s="14"/>
      <c r="D53" s="15"/>
      <c r="E53" s="15"/>
      <c r="F53" s="15"/>
      <c r="G53" s="593"/>
      <c r="H53" s="367"/>
    </row>
    <row r="54" spans="2:8">
      <c r="B54" s="48" t="s">
        <v>83</v>
      </c>
      <c r="C54" s="14" t="s">
        <v>3029</v>
      </c>
      <c r="D54" s="22" t="s">
        <v>724</v>
      </c>
      <c r="E54" s="22"/>
      <c r="F54" s="240">
        <f>34*1.1</f>
        <v>37.400000000000006</v>
      </c>
      <c r="G54" s="587"/>
      <c r="H54" s="363">
        <f>G54*F54</f>
        <v>0</v>
      </c>
    </row>
    <row r="55" spans="2:8">
      <c r="B55" s="48"/>
      <c r="C55" s="14"/>
      <c r="D55" s="15"/>
      <c r="E55" s="15"/>
      <c r="F55" s="249"/>
      <c r="G55" s="593"/>
      <c r="H55" s="363"/>
    </row>
    <row r="56" spans="2:8">
      <c r="B56" s="48" t="s">
        <v>3030</v>
      </c>
      <c r="C56" s="14" t="s">
        <v>3031</v>
      </c>
      <c r="D56" s="15"/>
      <c r="E56" s="15"/>
      <c r="F56" s="249"/>
      <c r="G56" s="593"/>
      <c r="H56" s="363"/>
    </row>
    <row r="57" spans="2:8">
      <c r="B57" s="48"/>
      <c r="C57" s="100"/>
      <c r="D57" s="22"/>
      <c r="E57" s="62"/>
      <c r="F57" s="249"/>
      <c r="G57" s="606"/>
      <c r="H57" s="363"/>
    </row>
    <row r="58" spans="2:8">
      <c r="B58" s="48" t="s">
        <v>83</v>
      </c>
      <c r="C58" s="14" t="s">
        <v>3032</v>
      </c>
      <c r="D58" s="15" t="s">
        <v>85</v>
      </c>
      <c r="E58" s="62"/>
      <c r="F58" s="249">
        <v>50</v>
      </c>
      <c r="G58" s="606"/>
      <c r="H58" s="363">
        <f>IF(D58="","",F58*G58)</f>
        <v>0</v>
      </c>
    </row>
    <row r="59" spans="2:8">
      <c r="B59" s="48"/>
      <c r="C59" s="14"/>
      <c r="D59" s="22"/>
      <c r="E59" s="62"/>
      <c r="F59" s="249"/>
      <c r="G59" s="607"/>
      <c r="H59" s="363" t="str">
        <f t="shared" ref="H59:H60" si="2">IF(D59="","",F59*G59)</f>
        <v/>
      </c>
    </row>
    <row r="60" spans="2:8">
      <c r="B60" s="48" t="s">
        <v>86</v>
      </c>
      <c r="C60" s="14" t="s">
        <v>3033</v>
      </c>
      <c r="D60" s="15" t="s">
        <v>85</v>
      </c>
      <c r="E60" s="62"/>
      <c r="F60" s="249">
        <v>50</v>
      </c>
      <c r="G60" s="606"/>
      <c r="H60" s="363">
        <f t="shared" si="2"/>
        <v>0</v>
      </c>
    </row>
    <row r="61" spans="2:8">
      <c r="B61" s="48"/>
      <c r="C61" s="14"/>
      <c r="D61" s="22"/>
      <c r="E61" s="62"/>
      <c r="F61" s="249"/>
      <c r="G61" s="377"/>
      <c r="H61" s="363"/>
    </row>
    <row r="62" spans="2:8">
      <c r="B62" s="48"/>
      <c r="C62" s="14"/>
      <c r="D62" s="15"/>
      <c r="E62" s="62"/>
      <c r="F62" s="249"/>
      <c r="G62" s="429"/>
      <c r="H62" s="363"/>
    </row>
    <row r="63" spans="2:8">
      <c r="B63" s="48"/>
      <c r="C63" s="14"/>
      <c r="D63" s="22"/>
      <c r="E63" s="15"/>
      <c r="F63" s="249"/>
      <c r="G63" s="427"/>
      <c r="H63" s="363"/>
    </row>
    <row r="64" spans="2:8">
      <c r="B64" s="48"/>
      <c r="C64" s="14"/>
      <c r="D64" s="15"/>
      <c r="E64" s="15"/>
      <c r="F64" s="249"/>
      <c r="G64" s="427"/>
      <c r="H64" s="363"/>
    </row>
    <row r="65" spans="2:9">
      <c r="B65" s="48"/>
      <c r="C65" s="14"/>
      <c r="D65" s="22"/>
      <c r="E65" s="15"/>
      <c r="F65" s="249"/>
      <c r="G65" s="378"/>
      <c r="H65" s="363"/>
    </row>
    <row r="66" spans="2:9">
      <c r="B66" s="48"/>
      <c r="C66" s="14"/>
      <c r="D66" s="22"/>
      <c r="E66" s="15"/>
      <c r="F66" s="249"/>
      <c r="G66" s="378"/>
      <c r="H66" s="363"/>
    </row>
    <row r="67" spans="2:9">
      <c r="B67" s="48"/>
      <c r="C67" s="14"/>
      <c r="D67" s="15"/>
      <c r="E67" s="15"/>
      <c r="F67" s="249"/>
      <c r="G67" s="378"/>
      <c r="H67" s="363" t="str">
        <f>IF(D67="","",F67*G67)</f>
        <v/>
      </c>
    </row>
    <row r="68" spans="2:9" s="28" customFormat="1" ht="20.100000000000001" customHeight="1">
      <c r="B68" s="101" t="str">
        <f>$B$10</f>
        <v>C2.2</v>
      </c>
      <c r="C68" s="29" t="s">
        <v>99</v>
      </c>
      <c r="D68" s="30"/>
      <c r="E68" s="30"/>
      <c r="F68" s="31"/>
      <c r="G68" s="412"/>
      <c r="H68" s="364">
        <f>SUM(H9:H67)</f>
        <v>0</v>
      </c>
      <c r="I68" s="236"/>
    </row>
  </sheetData>
  <sheetProtection algorithmName="SHA-512" hashValue="LUZvVUjt0YE3cRFaXegSI5nHyApKjQJ6EKQXlsJDNH1LFiWavV+OuWGB5D2t03n3/nbXNQ2OaE76OQf1A9sndg==" saltValue="MKPk4FWfnhbKgw/cYJTLEw==" spinCount="100000" sheet="1" objects="1" scenarios="1"/>
  <mergeCells count="5">
    <mergeCell ref="F1:H1"/>
    <mergeCell ref="H4:H7"/>
    <mergeCell ref="B4:G4"/>
    <mergeCell ref="B5:G7"/>
    <mergeCell ref="I4:I8"/>
  </mergeCells>
  <pageMargins left="0.43307086614173229" right="0.31496062992125984" top="0.43307086614173229" bottom="0.62992125984251968" header="0.35433070866141736" footer="0.31496062992125984"/>
  <pageSetup paperSize="9" scale="73" firstPageNumber="31"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&amp;L&amp;"Arial,Bold"&amp;8_______________________________________________________________________________________________________________________
ZNT 4198/17T Standard Quotation Document Ver. 2019-09-02&amp;R&amp;"Arial,Bold"C&amp;P   </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D8EC-8061-4252-A1A9-DE3224CB9428}">
  <sheetPr codeName="Sheet80">
    <tabColor rgb="FF00B0F0"/>
  </sheetPr>
  <dimension ref="A1:L66"/>
  <sheetViews>
    <sheetView view="pageBreakPreview" topLeftCell="A14" zoomScaleNormal="85" zoomScaleSheetLayoutView="100" workbookViewId="0">
      <selection activeCell="G36" sqref="G36"/>
    </sheetView>
  </sheetViews>
  <sheetFormatPr defaultColWidth="6.85546875" defaultRowHeight="12.75"/>
  <cols>
    <col min="1" max="1" width="0.85546875" style="176" customWidth="1"/>
    <col min="2" max="2" width="11.7109375" style="504" customWidth="1"/>
    <col min="3" max="3" width="45.7109375" style="176" customWidth="1"/>
    <col min="4" max="4" width="15.28515625" style="176" customWidth="1"/>
    <col min="5" max="5" width="5.7109375" style="176" customWidth="1"/>
    <col min="6" max="6" width="15.7109375" style="200" customWidth="1"/>
    <col min="7" max="7" width="15.7109375" style="432" customWidth="1"/>
    <col min="8" max="8" width="17.7109375" style="433" bestFit="1" customWidth="1"/>
    <col min="9" max="9" width="48" style="176" hidden="1" customWidth="1"/>
    <col min="10" max="11" width="0" style="176" hidden="1" customWidth="1"/>
    <col min="12" max="12" width="16.140625" style="176" hidden="1" customWidth="1"/>
    <col min="13" max="36" width="0" style="176" hidden="1" customWidth="1"/>
    <col min="37" max="16384" width="6.85546875" style="176"/>
  </cols>
  <sheetData>
    <row r="1" spans="1:9">
      <c r="A1" s="496">
        <f>H62</f>
        <v>0</v>
      </c>
      <c r="B1" s="232" t="str">
        <f>Client1</f>
        <v>AIRPORTS COMPANY - SOUTH AFRICA</v>
      </c>
      <c r="F1" s="768" t="str">
        <f>"Contract No. "&amp;ContractNo</f>
        <v>Contract No. KSIA7806/2025/RFP</v>
      </c>
      <c r="G1" s="768"/>
      <c r="H1" s="768"/>
    </row>
    <row r="2" spans="1:9">
      <c r="B2" s="232" t="str">
        <f>Client2</f>
        <v>ACSA</v>
      </c>
      <c r="F2" s="768"/>
      <c r="G2" s="768"/>
      <c r="H2" s="768"/>
    </row>
    <row r="3" spans="1:9">
      <c r="B3" s="201"/>
      <c r="C3" s="201"/>
      <c r="D3" s="201"/>
      <c r="E3" s="201"/>
      <c r="F3" s="769"/>
      <c r="G3" s="769"/>
      <c r="H3" s="769"/>
    </row>
    <row r="4" spans="1:9">
      <c r="B4" s="749" t="s">
        <v>2943</v>
      </c>
      <c r="C4" s="750"/>
      <c r="D4" s="750"/>
      <c r="E4" s="750"/>
      <c r="F4" s="750"/>
      <c r="G4" s="750"/>
      <c r="H4" s="799" t="str">
        <f>"CHAPTER "&amp;B9</f>
        <v>CHAPTER C3.1</v>
      </c>
      <c r="I4" s="676" t="s">
        <v>100</v>
      </c>
    </row>
    <row r="5" spans="1:9"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800"/>
      <c r="I5" s="676"/>
    </row>
    <row r="6" spans="1:9" ht="12.75" customHeight="1">
      <c r="B6" s="752"/>
      <c r="C6" s="753"/>
      <c r="D6" s="753"/>
      <c r="E6" s="753"/>
      <c r="F6" s="753"/>
      <c r="G6" s="753"/>
      <c r="H6" s="800"/>
      <c r="I6" s="676"/>
    </row>
    <row r="7" spans="1:9" ht="7.5" customHeight="1">
      <c r="B7" s="754"/>
      <c r="C7" s="755"/>
      <c r="D7" s="755"/>
      <c r="E7" s="755"/>
      <c r="F7" s="755"/>
      <c r="G7" s="755"/>
      <c r="H7" s="801"/>
      <c r="I7" s="676"/>
    </row>
    <row r="8" spans="1:9" s="232" customFormat="1" ht="24.95" customHeight="1">
      <c r="B8" s="497" t="s">
        <v>11</v>
      </c>
      <c r="C8" s="498" t="s">
        <v>12</v>
      </c>
      <c r="D8" s="498" t="s">
        <v>13</v>
      </c>
      <c r="E8" s="498" t="s">
        <v>14</v>
      </c>
      <c r="F8" s="181" t="s">
        <v>15</v>
      </c>
      <c r="G8" s="434" t="s">
        <v>16</v>
      </c>
      <c r="H8" s="370" t="s">
        <v>17</v>
      </c>
      <c r="I8" s="676"/>
    </row>
    <row r="9" spans="1:9">
      <c r="B9" s="499" t="s">
        <v>402</v>
      </c>
      <c r="C9" s="185" t="s">
        <v>403</v>
      </c>
      <c r="D9" s="175"/>
      <c r="E9" s="175"/>
      <c r="F9" s="186"/>
      <c r="G9" s="435"/>
      <c r="H9" s="369" t="str">
        <f t="shared" ref="H9:H30" si="0">IF(D9="","",F9*G9)</f>
        <v/>
      </c>
      <c r="I9" s="301"/>
    </row>
    <row r="10" spans="1:9">
      <c r="B10" s="500" t="s">
        <v>404</v>
      </c>
      <c r="C10" s="175" t="s">
        <v>405</v>
      </c>
      <c r="D10" s="175"/>
      <c r="E10" s="175"/>
      <c r="F10" s="186"/>
      <c r="G10" s="435"/>
      <c r="H10" s="369" t="str">
        <f t="shared" si="0"/>
        <v/>
      </c>
      <c r="I10" s="301"/>
    </row>
    <row r="11" spans="1:9" ht="25.5">
      <c r="B11" s="500" t="s">
        <v>406</v>
      </c>
      <c r="C11" s="175" t="s">
        <v>407</v>
      </c>
      <c r="D11" s="175"/>
      <c r="E11" s="175"/>
      <c r="F11" s="186"/>
      <c r="G11" s="435"/>
      <c r="H11" s="369" t="str">
        <f t="shared" si="0"/>
        <v/>
      </c>
      <c r="I11" s="302"/>
    </row>
    <row r="12" spans="1:9">
      <c r="B12" s="500"/>
      <c r="C12" s="175"/>
      <c r="D12" s="175"/>
      <c r="E12" s="175"/>
      <c r="F12" s="186"/>
      <c r="G12" s="435"/>
      <c r="H12" s="369" t="str">
        <f t="shared" si="0"/>
        <v/>
      </c>
      <c r="I12" s="301"/>
    </row>
    <row r="13" spans="1:9" ht="14.25">
      <c r="B13" s="500" t="s">
        <v>83</v>
      </c>
      <c r="C13" s="175" t="s">
        <v>408</v>
      </c>
      <c r="D13" s="14" t="s">
        <v>386</v>
      </c>
      <c r="E13" s="38"/>
      <c r="F13" s="186">
        <v>2000</v>
      </c>
      <c r="G13" s="591"/>
      <c r="H13" s="363">
        <f t="shared" si="0"/>
        <v>0</v>
      </c>
      <c r="I13" s="301"/>
    </row>
    <row r="14" spans="1:9">
      <c r="B14" s="500"/>
      <c r="C14" s="175"/>
      <c r="D14" s="175"/>
      <c r="E14" s="175"/>
      <c r="F14" s="186"/>
      <c r="G14" s="591"/>
      <c r="H14" s="369"/>
      <c r="I14" s="301"/>
    </row>
    <row r="15" spans="1:9" ht="14.25">
      <c r="B15" s="500" t="s">
        <v>86</v>
      </c>
      <c r="C15" s="175" t="s">
        <v>409</v>
      </c>
      <c r="D15" s="14" t="s">
        <v>386</v>
      </c>
      <c r="E15" s="38"/>
      <c r="F15" s="186">
        <v>50</v>
      </c>
      <c r="G15" s="591"/>
      <c r="H15" s="363">
        <f t="shared" si="0"/>
        <v>0</v>
      </c>
      <c r="I15" s="301"/>
    </row>
    <row r="16" spans="1:9">
      <c r="B16" s="500"/>
      <c r="C16" s="175"/>
      <c r="D16" s="14"/>
      <c r="E16" s="38"/>
      <c r="F16" s="186"/>
      <c r="G16" s="591"/>
      <c r="H16" s="363" t="str">
        <f t="shared" si="0"/>
        <v/>
      </c>
      <c r="I16" s="301"/>
    </row>
    <row r="17" spans="2:9" ht="25.5">
      <c r="B17" s="500" t="s">
        <v>410</v>
      </c>
      <c r="C17" s="175" t="s">
        <v>411</v>
      </c>
      <c r="D17" s="14" t="s">
        <v>386</v>
      </c>
      <c r="E17" s="38"/>
      <c r="F17" s="186">
        <v>50</v>
      </c>
      <c r="G17" s="591"/>
      <c r="H17" s="363">
        <f t="shared" si="0"/>
        <v>0</v>
      </c>
    </row>
    <row r="18" spans="2:9">
      <c r="B18" s="500"/>
      <c r="C18" s="175"/>
      <c r="D18" s="14"/>
      <c r="E18" s="38"/>
      <c r="F18" s="186"/>
      <c r="G18" s="591"/>
      <c r="H18" s="363" t="str">
        <f t="shared" si="0"/>
        <v/>
      </c>
    </row>
    <row r="19" spans="2:9" ht="25.5">
      <c r="B19" s="500" t="s">
        <v>412</v>
      </c>
      <c r="C19" s="175" t="s">
        <v>413</v>
      </c>
      <c r="D19" s="14"/>
      <c r="E19" s="38"/>
      <c r="F19" s="186"/>
      <c r="G19" s="591"/>
      <c r="H19" s="363" t="str">
        <f t="shared" si="0"/>
        <v/>
      </c>
    </row>
    <row r="20" spans="2:9">
      <c r="B20" s="500" t="s">
        <v>414</v>
      </c>
      <c r="C20" s="175" t="s">
        <v>415</v>
      </c>
      <c r="D20" s="14"/>
      <c r="E20" s="38"/>
      <c r="F20" s="186"/>
      <c r="G20" s="591"/>
      <c r="H20" s="363" t="str">
        <f t="shared" si="0"/>
        <v/>
      </c>
    </row>
    <row r="21" spans="2:9">
      <c r="B21" s="500"/>
      <c r="C21" s="175"/>
      <c r="D21" s="14"/>
      <c r="E21" s="38"/>
      <c r="F21" s="186"/>
      <c r="G21" s="591"/>
      <c r="H21" s="363" t="str">
        <f t="shared" si="0"/>
        <v/>
      </c>
    </row>
    <row r="22" spans="2:9" ht="14.25">
      <c r="B22" s="500" t="s">
        <v>83</v>
      </c>
      <c r="C22" s="175" t="s">
        <v>416</v>
      </c>
      <c r="D22" s="14" t="s">
        <v>386</v>
      </c>
      <c r="E22" s="38" t="s">
        <v>14</v>
      </c>
      <c r="F22" s="186">
        <v>150</v>
      </c>
      <c r="G22" s="591"/>
      <c r="H22" s="363">
        <f t="shared" si="0"/>
        <v>0</v>
      </c>
    </row>
    <row r="23" spans="2:9">
      <c r="B23" s="500"/>
      <c r="C23" s="175"/>
      <c r="D23" s="14"/>
      <c r="E23" s="38"/>
      <c r="F23" s="186"/>
      <c r="G23" s="591"/>
      <c r="H23" s="363" t="str">
        <f t="shared" si="0"/>
        <v/>
      </c>
    </row>
    <row r="24" spans="2:9">
      <c r="B24" s="500" t="s">
        <v>418</v>
      </c>
      <c r="C24" s="175" t="s">
        <v>419</v>
      </c>
      <c r="D24" s="14"/>
      <c r="E24" s="38"/>
      <c r="F24" s="186"/>
      <c r="G24" s="591"/>
      <c r="H24" s="363" t="str">
        <f t="shared" si="0"/>
        <v/>
      </c>
    </row>
    <row r="25" spans="2:9" ht="13.5" customHeight="1">
      <c r="B25" s="500"/>
      <c r="C25" s="175"/>
      <c r="D25" s="14"/>
      <c r="E25" s="38"/>
      <c r="F25" s="186"/>
      <c r="G25" s="591"/>
      <c r="H25" s="363" t="str">
        <f t="shared" si="0"/>
        <v/>
      </c>
    </row>
    <row r="26" spans="2:9" ht="25.5">
      <c r="B26" s="500" t="s">
        <v>420</v>
      </c>
      <c r="C26" s="175" t="s">
        <v>421</v>
      </c>
      <c r="D26" s="14"/>
      <c r="E26" s="38"/>
      <c r="F26" s="186"/>
      <c r="G26" s="591"/>
      <c r="H26" s="363" t="str">
        <f t="shared" si="0"/>
        <v/>
      </c>
    </row>
    <row r="27" spans="2:9" ht="13.5" customHeight="1">
      <c r="B27" s="500"/>
      <c r="C27" s="175"/>
      <c r="D27" s="14"/>
      <c r="E27" s="38"/>
      <c r="F27" s="186"/>
      <c r="G27" s="591"/>
      <c r="H27" s="363" t="str">
        <f t="shared" si="0"/>
        <v/>
      </c>
    </row>
    <row r="28" spans="2:9" ht="14.25">
      <c r="B28" s="500" t="s">
        <v>86</v>
      </c>
      <c r="C28" s="175" t="s">
        <v>409</v>
      </c>
      <c r="D28" s="14" t="s">
        <v>386</v>
      </c>
      <c r="E28" s="38"/>
      <c r="F28" s="186">
        <v>50</v>
      </c>
      <c r="G28" s="591"/>
      <c r="H28" s="363">
        <f t="shared" si="0"/>
        <v>0</v>
      </c>
      <c r="I28" s="689"/>
    </row>
    <row r="29" spans="2:9">
      <c r="B29" s="500"/>
      <c r="C29" s="175"/>
      <c r="D29" s="14"/>
      <c r="E29" s="38"/>
      <c r="F29" s="186"/>
      <c r="G29" s="591"/>
      <c r="H29" s="363" t="str">
        <f t="shared" si="0"/>
        <v/>
      </c>
      <c r="I29" s="689"/>
    </row>
    <row r="30" spans="2:9" ht="25.5">
      <c r="B30" s="500" t="s">
        <v>422</v>
      </c>
      <c r="C30" s="175" t="s">
        <v>423</v>
      </c>
      <c r="D30" s="14" t="s">
        <v>386</v>
      </c>
      <c r="E30" s="38" t="s">
        <v>14</v>
      </c>
      <c r="F30" s="186">
        <v>200</v>
      </c>
      <c r="G30" s="591"/>
      <c r="H30" s="363">
        <f t="shared" si="0"/>
        <v>0</v>
      </c>
      <c r="I30" s="689"/>
    </row>
    <row r="31" spans="2:9">
      <c r="B31" s="500"/>
      <c r="C31" s="175"/>
      <c r="D31" s="14"/>
      <c r="E31" s="38"/>
      <c r="F31" s="186"/>
      <c r="G31" s="591"/>
      <c r="H31" s="363"/>
      <c r="I31" s="689"/>
    </row>
    <row r="32" spans="2:9" ht="25.5">
      <c r="B32" s="500" t="s">
        <v>424</v>
      </c>
      <c r="C32" s="175" t="s">
        <v>425</v>
      </c>
      <c r="D32" s="14" t="s">
        <v>386</v>
      </c>
      <c r="E32" s="38"/>
      <c r="F32" s="186">
        <v>20</v>
      </c>
      <c r="G32" s="591"/>
      <c r="H32" s="363">
        <f t="shared" ref="H32" si="1">IF(D32="","",F32*G32)</f>
        <v>0</v>
      </c>
      <c r="I32" s="689"/>
    </row>
    <row r="33" spans="2:9">
      <c r="B33" s="500"/>
      <c r="C33" s="175"/>
      <c r="D33" s="14"/>
      <c r="E33" s="38"/>
      <c r="F33" s="186"/>
      <c r="G33" s="591"/>
      <c r="H33" s="363"/>
      <c r="I33" s="689"/>
    </row>
    <row r="34" spans="2:9" ht="25.5">
      <c r="B34" s="500" t="s">
        <v>426</v>
      </c>
      <c r="C34" s="175" t="s">
        <v>427</v>
      </c>
      <c r="D34" s="14"/>
      <c r="E34" s="38"/>
      <c r="F34" s="186"/>
      <c r="G34" s="591"/>
      <c r="H34" s="363" t="str">
        <f t="shared" ref="H34:H36" si="2">IF(D34="","",F34*G34)</f>
        <v/>
      </c>
      <c r="I34" s="689"/>
    </row>
    <row r="35" spans="2:9">
      <c r="B35" s="500"/>
      <c r="C35" s="175"/>
      <c r="D35" s="14"/>
      <c r="E35" s="38"/>
      <c r="F35" s="186"/>
      <c r="G35" s="591"/>
      <c r="H35" s="363" t="str">
        <f t="shared" si="2"/>
        <v/>
      </c>
      <c r="I35" s="689"/>
    </row>
    <row r="36" spans="2:9" ht="25.5">
      <c r="B36" s="500" t="s">
        <v>428</v>
      </c>
      <c r="C36" s="175" t="s">
        <v>429</v>
      </c>
      <c r="D36" s="14" t="s">
        <v>386</v>
      </c>
      <c r="E36" s="38" t="s">
        <v>14</v>
      </c>
      <c r="F36" s="186">
        <v>125</v>
      </c>
      <c r="G36" s="591"/>
      <c r="H36" s="363">
        <f t="shared" si="2"/>
        <v>0</v>
      </c>
      <c r="I36" s="689"/>
    </row>
    <row r="37" spans="2:9">
      <c r="B37" s="500"/>
      <c r="C37" s="175"/>
      <c r="D37" s="14"/>
      <c r="E37" s="38"/>
      <c r="F37" s="186"/>
      <c r="G37" s="591"/>
      <c r="H37" s="363"/>
      <c r="I37" s="689"/>
    </row>
    <row r="38" spans="2:9" ht="25.5">
      <c r="B38" s="500" t="s">
        <v>430</v>
      </c>
      <c r="C38" s="175" t="s">
        <v>431</v>
      </c>
      <c r="D38" s="14"/>
      <c r="E38" s="38"/>
      <c r="F38" s="186"/>
      <c r="G38" s="591"/>
      <c r="H38" s="363"/>
      <c r="I38" s="689"/>
    </row>
    <row r="39" spans="2:9">
      <c r="B39" s="500"/>
      <c r="C39" s="175"/>
      <c r="D39" s="14"/>
      <c r="E39" s="38"/>
      <c r="F39" s="186"/>
      <c r="G39" s="591"/>
      <c r="H39" s="363" t="str">
        <f t="shared" ref="H39:H40" si="3">IF(D39="","",F39*G39)</f>
        <v/>
      </c>
      <c r="I39" s="689"/>
    </row>
    <row r="40" spans="2:9" ht="15">
      <c r="B40" s="500" t="s">
        <v>432</v>
      </c>
      <c r="C40" s="175" t="s">
        <v>433</v>
      </c>
      <c r="D40" s="14" t="s">
        <v>434</v>
      </c>
      <c r="E40" s="38" t="s">
        <v>14</v>
      </c>
      <c r="F40" s="186">
        <v>37</v>
      </c>
      <c r="G40" s="591"/>
      <c r="H40" s="363">
        <f t="shared" si="3"/>
        <v>0</v>
      </c>
      <c r="I40" s="689"/>
    </row>
    <row r="41" spans="2:9">
      <c r="B41" s="500"/>
      <c r="C41" s="175"/>
      <c r="D41" s="14"/>
      <c r="E41" s="38"/>
      <c r="F41" s="186"/>
      <c r="G41" s="591"/>
      <c r="H41" s="363"/>
      <c r="I41" s="689"/>
    </row>
    <row r="42" spans="2:9">
      <c r="B42" s="500" t="s">
        <v>435</v>
      </c>
      <c r="C42" s="175" t="s">
        <v>436</v>
      </c>
      <c r="D42" s="14"/>
      <c r="E42" s="38"/>
      <c r="F42" s="186"/>
      <c r="G42" s="591"/>
      <c r="H42" s="363" t="str">
        <f t="shared" ref="H42:H44" si="4">IF(D42="","",F42*G42)</f>
        <v/>
      </c>
      <c r="I42" s="689"/>
    </row>
    <row r="43" spans="2:9">
      <c r="B43" s="500"/>
      <c r="C43" s="175"/>
      <c r="D43" s="14"/>
      <c r="E43" s="38"/>
      <c r="F43" s="186"/>
      <c r="G43" s="591"/>
      <c r="H43" s="363" t="str">
        <f t="shared" si="4"/>
        <v/>
      </c>
      <c r="I43" s="689"/>
    </row>
    <row r="44" spans="2:9" ht="52.5" customHeight="1">
      <c r="B44" s="500" t="s">
        <v>437</v>
      </c>
      <c r="C44" s="175" t="s">
        <v>3034</v>
      </c>
      <c r="D44" s="14" t="s">
        <v>347</v>
      </c>
      <c r="E44" s="38" t="s">
        <v>14</v>
      </c>
      <c r="F44" s="186">
        <f>345*2</f>
        <v>690</v>
      </c>
      <c r="G44" s="591"/>
      <c r="H44" s="363">
        <f t="shared" si="4"/>
        <v>0</v>
      </c>
      <c r="I44" s="689"/>
    </row>
    <row r="45" spans="2:9">
      <c r="B45" s="500"/>
      <c r="C45" s="175"/>
      <c r="D45" s="14"/>
      <c r="E45" s="38"/>
      <c r="F45" s="186"/>
      <c r="G45" s="591"/>
      <c r="H45" s="363"/>
      <c r="I45" s="689"/>
    </row>
    <row r="46" spans="2:9" ht="25.5">
      <c r="B46" s="500" t="s">
        <v>439</v>
      </c>
      <c r="C46" s="175" t="s">
        <v>440</v>
      </c>
      <c r="D46" s="14"/>
      <c r="E46" s="38"/>
      <c r="F46" s="186"/>
      <c r="G46" s="591"/>
      <c r="H46" s="363" t="str">
        <f t="shared" ref="H46:H48" si="5">IF(D46="","",F46*G46)</f>
        <v/>
      </c>
      <c r="I46" s="689"/>
    </row>
    <row r="47" spans="2:9">
      <c r="B47" s="500"/>
      <c r="C47" s="175"/>
      <c r="D47" s="14"/>
      <c r="E47" s="38"/>
      <c r="F47" s="186"/>
      <c r="G47" s="591"/>
      <c r="H47" s="363" t="str">
        <f t="shared" si="5"/>
        <v/>
      </c>
      <c r="I47" s="689"/>
    </row>
    <row r="48" spans="2:9" ht="15">
      <c r="B48" s="500" t="s">
        <v>441</v>
      </c>
      <c r="C48" s="175" t="s">
        <v>442</v>
      </c>
      <c r="D48" s="14" t="s">
        <v>443</v>
      </c>
      <c r="E48" s="38" t="s">
        <v>14</v>
      </c>
      <c r="F48" s="186">
        <v>1050</v>
      </c>
      <c r="G48" s="591"/>
      <c r="H48" s="363">
        <f t="shared" si="5"/>
        <v>0</v>
      </c>
      <c r="I48" s="689"/>
    </row>
    <row r="49" spans="2:10">
      <c r="B49" s="500"/>
      <c r="C49" s="175"/>
      <c r="D49" s="14"/>
      <c r="E49" s="38"/>
      <c r="F49" s="186"/>
      <c r="G49" s="591"/>
      <c r="H49" s="363"/>
      <c r="I49" s="689"/>
    </row>
    <row r="50" spans="2:10" ht="25.5">
      <c r="B50" s="500" t="s">
        <v>444</v>
      </c>
      <c r="C50" s="175" t="s">
        <v>445</v>
      </c>
      <c r="D50" s="14"/>
      <c r="E50" s="38"/>
      <c r="F50" s="186"/>
      <c r="G50" s="591"/>
      <c r="H50" s="363" t="str">
        <f t="shared" ref="H50:H60" si="6">IF(D50="","",F50*G50)</f>
        <v/>
      </c>
      <c r="I50" s="689"/>
    </row>
    <row r="51" spans="2:10">
      <c r="B51" s="500"/>
      <c r="C51" s="175"/>
      <c r="D51" s="14"/>
      <c r="E51" s="38"/>
      <c r="F51" s="186"/>
      <c r="G51" s="591"/>
      <c r="H51" s="363" t="str">
        <f t="shared" si="6"/>
        <v/>
      </c>
      <c r="I51" s="689"/>
    </row>
    <row r="52" spans="2:10">
      <c r="B52" s="500" t="s">
        <v>446</v>
      </c>
      <c r="C52" s="175" t="s">
        <v>447</v>
      </c>
      <c r="D52" s="14" t="s">
        <v>85</v>
      </c>
      <c r="E52" s="38" t="s">
        <v>14</v>
      </c>
      <c r="F52" s="186">
        <v>3</v>
      </c>
      <c r="G52" s="591"/>
      <c r="H52" s="363">
        <f t="shared" si="6"/>
        <v>0</v>
      </c>
      <c r="I52" s="689"/>
    </row>
    <row r="53" spans="2:10">
      <c r="B53" s="500"/>
      <c r="C53" s="175"/>
      <c r="D53" s="14"/>
      <c r="E53" s="38"/>
      <c r="F53" s="186"/>
      <c r="G53" s="591"/>
      <c r="H53" s="363" t="str">
        <f t="shared" si="6"/>
        <v/>
      </c>
      <c r="I53" s="689"/>
    </row>
    <row r="54" spans="2:10" ht="30.75" customHeight="1">
      <c r="B54" s="500" t="s">
        <v>448</v>
      </c>
      <c r="C54" s="175" t="s">
        <v>3035</v>
      </c>
      <c r="D54" s="14" t="s">
        <v>85</v>
      </c>
      <c r="E54" s="38" t="s">
        <v>14</v>
      </c>
      <c r="F54" s="186">
        <v>19</v>
      </c>
      <c r="G54" s="591"/>
      <c r="H54" s="363">
        <f t="shared" si="6"/>
        <v>0</v>
      </c>
      <c r="I54" s="689"/>
    </row>
    <row r="55" spans="2:10">
      <c r="B55" s="500"/>
      <c r="C55" s="175"/>
      <c r="D55" s="14"/>
      <c r="E55" s="38"/>
      <c r="F55" s="186"/>
      <c r="G55" s="591"/>
      <c r="H55" s="363" t="str">
        <f t="shared" si="6"/>
        <v/>
      </c>
      <c r="I55" s="689"/>
    </row>
    <row r="56" spans="2:10" ht="38.25">
      <c r="B56" s="500" t="s">
        <v>450</v>
      </c>
      <c r="C56" s="175" t="s">
        <v>451</v>
      </c>
      <c r="D56" s="14" t="s">
        <v>434</v>
      </c>
      <c r="E56" s="38" t="s">
        <v>14</v>
      </c>
      <c r="F56" s="186">
        <v>50</v>
      </c>
      <c r="G56" s="591"/>
      <c r="H56" s="363">
        <f t="shared" si="6"/>
        <v>0</v>
      </c>
      <c r="I56" s="689"/>
    </row>
    <row r="57" spans="2:10">
      <c r="B57" s="500"/>
      <c r="C57" s="175"/>
      <c r="D57" s="14"/>
      <c r="E57" s="38"/>
      <c r="F57" s="186"/>
      <c r="G57" s="591"/>
      <c r="H57" s="363" t="str">
        <f t="shared" si="6"/>
        <v/>
      </c>
      <c r="I57" s="689"/>
    </row>
    <row r="58" spans="2:10">
      <c r="B58" s="500" t="s">
        <v>452</v>
      </c>
      <c r="C58" s="175" t="s">
        <v>453</v>
      </c>
      <c r="D58" s="14" t="s">
        <v>85</v>
      </c>
      <c r="E58" s="38" t="s">
        <v>14</v>
      </c>
      <c r="F58" s="186">
        <v>1</v>
      </c>
      <c r="G58" s="591"/>
      <c r="H58" s="363">
        <f t="shared" si="6"/>
        <v>0</v>
      </c>
      <c r="I58" s="689"/>
    </row>
    <row r="59" spans="2:10">
      <c r="B59" s="500"/>
      <c r="C59" s="175"/>
      <c r="D59" s="14"/>
      <c r="E59" s="38"/>
      <c r="F59" s="186"/>
      <c r="G59" s="591"/>
      <c r="H59" s="363" t="str">
        <f t="shared" si="6"/>
        <v/>
      </c>
      <c r="I59" s="689"/>
    </row>
    <row r="60" spans="2:10">
      <c r="B60" s="500" t="s">
        <v>454</v>
      </c>
      <c r="C60" s="175" t="s">
        <v>455</v>
      </c>
      <c r="D60" s="14" t="s">
        <v>85</v>
      </c>
      <c r="E60" s="38" t="s">
        <v>14</v>
      </c>
      <c r="F60" s="186">
        <v>1</v>
      </c>
      <c r="G60" s="591"/>
      <c r="H60" s="363">
        <f t="shared" si="6"/>
        <v>0</v>
      </c>
      <c r="I60" s="689"/>
    </row>
    <row r="61" spans="2:10">
      <c r="B61" s="500"/>
      <c r="C61" s="175"/>
      <c r="D61" s="175"/>
      <c r="E61" s="175"/>
      <c r="F61" s="188"/>
      <c r="G61" s="382"/>
      <c r="H61" s="369"/>
    </row>
    <row r="62" spans="2:10" s="232" customFormat="1" ht="19.5" customHeight="1">
      <c r="B62" s="501" t="str">
        <f>$B$9</f>
        <v>C3.1</v>
      </c>
      <c r="C62" s="502" t="s">
        <v>99</v>
      </c>
      <c r="D62" s="503"/>
      <c r="E62" s="503"/>
      <c r="F62" s="196"/>
      <c r="G62" s="437"/>
      <c r="H62" s="370">
        <f>SUM(H11:H61)</f>
        <v>0</v>
      </c>
      <c r="I62" s="303"/>
      <c r="J62" s="176"/>
    </row>
    <row r="66" spans="3:3">
      <c r="C66" s="3"/>
    </row>
  </sheetData>
  <sheetProtection algorithmName="SHA-512" hashValue="KWBBZIRVrsjkYeSjXYAVGz6vTDDQ8wl99c0I4pgakJCrppmVdChmBY7ekyOhVDi2Wu4OUvMrx9/ZYkNo/nBekw==" saltValue="ZUaDKJoP1p73Pd7HvUn9cA==" spinCount="100000" sheet="1" objects="1" scenarios="1"/>
  <mergeCells count="6">
    <mergeCell ref="I28:I60"/>
    <mergeCell ref="F1:H3"/>
    <mergeCell ref="B4:G4"/>
    <mergeCell ref="H4:H7"/>
    <mergeCell ref="B5:G7"/>
    <mergeCell ref="I4:I8"/>
  </mergeCells>
  <pageMargins left="0.43307086614173229" right="0.31496062992125984" top="0.43307086614173229" bottom="0.62992125984251968" header="0.35433070866141736" footer="0.31496062992125984"/>
  <pageSetup paperSize="9" scale="56" firstPageNumber="31" orientation="portrait" cellComments="asDisplayed" useFirstPageNumber="1" r:id="rId1"/>
  <headerFooter>
    <oddHeader xml:space="preserve">&amp;CPREPARED BY NANKHOO CONSULTING ENGINEERS&amp;R&amp;"Arial,Bold Italic"
</oddHeader>
    <oddFooter>&amp;C&amp;F</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1540-52EA-400D-8CDC-0099BAE31050}">
  <sheetPr codeName="Sheet91">
    <tabColor rgb="FF00B0F0"/>
  </sheetPr>
  <dimension ref="A1:U83"/>
  <sheetViews>
    <sheetView view="pageBreakPreview" topLeftCell="A7" zoomScaleNormal="100" zoomScaleSheetLayoutView="100" workbookViewId="0">
      <selection activeCell="AL66" sqref="AL66"/>
    </sheetView>
  </sheetViews>
  <sheetFormatPr defaultColWidth="6.85546875" defaultRowHeight="12.75"/>
  <cols>
    <col min="1" max="1" width="0.85546875" style="179" customWidth="1"/>
    <col min="2" max="2" width="11.7109375" style="200" customWidth="1"/>
    <col min="3" max="3" width="45.7109375" style="179" customWidth="1"/>
    <col min="4" max="4" width="15.28515625" style="200" customWidth="1"/>
    <col min="5" max="5" width="5.7109375" style="200" customWidth="1"/>
    <col min="6" max="6" width="15.7109375" style="200" customWidth="1"/>
    <col min="7" max="7" width="15.7109375" style="398" customWidth="1"/>
    <col min="8" max="8" width="17.28515625" style="433" bestFit="1" customWidth="1"/>
    <col min="9" max="9" width="45.140625" style="179" hidden="1" customWidth="1"/>
    <col min="10" max="13" width="0" style="179" hidden="1" customWidth="1"/>
    <col min="14" max="14" width="11.140625" style="179" hidden="1" customWidth="1"/>
    <col min="15" max="15" width="0" style="179" hidden="1" customWidth="1"/>
    <col min="16" max="16" width="9.85546875" style="179" hidden="1" customWidth="1"/>
    <col min="17" max="18" width="0" style="179" hidden="1" customWidth="1"/>
    <col min="19" max="19" width="11.28515625" style="179" hidden="1" customWidth="1"/>
    <col min="20" max="20" width="0" style="179" hidden="1" customWidth="1"/>
    <col min="21" max="21" width="9" style="179" hidden="1" customWidth="1"/>
    <col min="22" max="36" width="0" style="179" hidden="1" customWidth="1"/>
    <col min="37" max="16384" width="6.85546875" style="179"/>
  </cols>
  <sheetData>
    <row r="1" spans="1:10">
      <c r="B1" s="232" t="str">
        <f>Client1</f>
        <v>AIRPORTS COMPANY - SOUTH AFRICA</v>
      </c>
      <c r="C1" s="176"/>
      <c r="F1" s="768" t="str">
        <f>"Contract No. "&amp;ContractNo</f>
        <v>Contract No. KSIA7806/2025/RFP</v>
      </c>
      <c r="G1" s="768"/>
      <c r="H1" s="768"/>
      <c r="I1" s="178"/>
    </row>
    <row r="2" spans="1:10">
      <c r="B2" s="232" t="str">
        <f>Client2</f>
        <v>ACSA</v>
      </c>
      <c r="C2" s="176"/>
      <c r="I2" s="178"/>
    </row>
    <row r="3" spans="1:10">
      <c r="B3" s="233"/>
      <c r="C3" s="201"/>
      <c r="D3" s="233"/>
      <c r="E3" s="233"/>
      <c r="F3" s="233"/>
      <c r="G3" s="400"/>
      <c r="H3" s="490"/>
      <c r="I3" s="178"/>
    </row>
    <row r="4" spans="1:10">
      <c r="B4" s="749" t="s">
        <v>2943</v>
      </c>
      <c r="C4" s="750"/>
      <c r="D4" s="750"/>
      <c r="E4" s="750"/>
      <c r="F4" s="750"/>
      <c r="G4" s="750"/>
      <c r="H4" s="799" t="str">
        <f>"CHAPTER "&amp;B10</f>
        <v>CHAPTER C3.2</v>
      </c>
      <c r="I4" s="676" t="s">
        <v>100</v>
      </c>
    </row>
    <row r="5" spans="1:10" ht="7.5" customHeight="1">
      <c r="B5" s="752" t="str">
        <f>ContractDescription</f>
        <v>PROCUREMENT OF A CIDB GRADE 9 CE CONTRACTOR THE COMPLETION OF BRAVO TAXIWAY EXTENSION AT KING SHAKA INTERNATIONAL AIRPORT FOR A PERIOD OF 12 MONTHS AT KING SHAKA INTERNATIONAL AIRPORT</v>
      </c>
      <c r="C5" s="753"/>
      <c r="D5" s="753"/>
      <c r="E5" s="753"/>
      <c r="F5" s="753"/>
      <c r="G5" s="753"/>
      <c r="H5" s="800"/>
      <c r="I5" s="676"/>
    </row>
    <row r="6" spans="1:10" ht="12.75" customHeight="1">
      <c r="B6" s="752"/>
      <c r="C6" s="753"/>
      <c r="D6" s="753"/>
      <c r="E6" s="753"/>
      <c r="F6" s="753"/>
      <c r="G6" s="753"/>
      <c r="H6" s="800"/>
      <c r="I6" s="676"/>
    </row>
    <row r="7" spans="1:10" ht="7.5" customHeight="1">
      <c r="B7" s="754"/>
      <c r="C7" s="755"/>
      <c r="D7" s="755"/>
      <c r="E7" s="755"/>
      <c r="F7" s="755"/>
      <c r="G7" s="755"/>
      <c r="H7" s="801"/>
      <c r="I7" s="676"/>
    </row>
    <row r="8" spans="1:10" ht="24.95" customHeight="1">
      <c r="A8" s="183"/>
      <c r="B8" s="203" t="s">
        <v>11</v>
      </c>
      <c r="C8" s="181" t="s">
        <v>12</v>
      </c>
      <c r="D8" s="181" t="s">
        <v>13</v>
      </c>
      <c r="E8" s="181" t="s">
        <v>14</v>
      </c>
      <c r="F8" s="181" t="s">
        <v>15</v>
      </c>
      <c r="G8" s="409" t="s">
        <v>16</v>
      </c>
      <c r="H8" s="370" t="s">
        <v>17</v>
      </c>
      <c r="I8" s="676"/>
      <c r="J8" s="183"/>
    </row>
    <row r="9" spans="1:10">
      <c r="A9" s="183"/>
      <c r="B9" s="218"/>
      <c r="C9" s="219"/>
      <c r="D9" s="219"/>
      <c r="E9" s="219"/>
      <c r="F9" s="219"/>
      <c r="G9" s="488"/>
      <c r="H9" s="369" t="str">
        <f t="shared" ref="H9:H37" si="0">IF(D9="","",F9*G9)</f>
        <v/>
      </c>
      <c r="I9" s="182"/>
      <c r="J9" s="183"/>
    </row>
    <row r="10" spans="1:10">
      <c r="B10" s="218" t="s">
        <v>699</v>
      </c>
      <c r="C10" s="185" t="s">
        <v>700</v>
      </c>
      <c r="D10" s="186"/>
      <c r="E10" s="186"/>
      <c r="F10" s="186"/>
      <c r="G10" s="410"/>
      <c r="H10" s="369" t="str">
        <f t="shared" si="0"/>
        <v/>
      </c>
      <c r="I10" s="187"/>
    </row>
    <row r="11" spans="1:10">
      <c r="B11" s="207"/>
      <c r="C11" s="175"/>
      <c r="D11" s="186"/>
      <c r="E11" s="186"/>
      <c r="F11" s="186"/>
      <c r="G11" s="410"/>
      <c r="H11" s="369" t="str">
        <f t="shared" si="0"/>
        <v/>
      </c>
      <c r="I11" s="187"/>
    </row>
    <row r="12" spans="1:10">
      <c r="B12" s="207" t="s">
        <v>701</v>
      </c>
      <c r="C12" s="191" t="s">
        <v>702</v>
      </c>
      <c r="D12" s="192"/>
      <c r="E12" s="192"/>
      <c r="F12" s="188"/>
      <c r="G12" s="431"/>
      <c r="H12" s="369" t="str">
        <f t="shared" si="0"/>
        <v/>
      </c>
      <c r="I12" s="187"/>
    </row>
    <row r="13" spans="1:10">
      <c r="B13" s="207"/>
      <c r="C13" s="191"/>
      <c r="D13" s="192"/>
      <c r="E13" s="192"/>
      <c r="F13" s="188"/>
      <c r="G13" s="431"/>
      <c r="H13" s="369" t="str">
        <f t="shared" si="0"/>
        <v/>
      </c>
      <c r="I13" s="187"/>
    </row>
    <row r="14" spans="1:10" ht="25.5">
      <c r="B14" s="207" t="s">
        <v>703</v>
      </c>
      <c r="C14" s="191" t="s">
        <v>704</v>
      </c>
      <c r="D14" s="192"/>
      <c r="E14" s="192"/>
      <c r="F14" s="188"/>
      <c r="G14" s="431"/>
      <c r="H14" s="369" t="str">
        <f t="shared" si="0"/>
        <v/>
      </c>
      <c r="I14" s="190"/>
    </row>
    <row r="15" spans="1:10" ht="14.25">
      <c r="B15" s="207" t="s">
        <v>83</v>
      </c>
      <c r="C15" s="191" t="s">
        <v>408</v>
      </c>
      <c r="D15" s="192" t="s">
        <v>386</v>
      </c>
      <c r="E15" s="192"/>
      <c r="F15" s="188">
        <v>150</v>
      </c>
      <c r="G15" s="590"/>
      <c r="H15" s="369">
        <f t="shared" si="0"/>
        <v>0</v>
      </c>
      <c r="I15" s="187"/>
    </row>
    <row r="16" spans="1:10">
      <c r="B16" s="207"/>
      <c r="C16" s="191"/>
      <c r="D16" s="192"/>
      <c r="E16" s="192"/>
      <c r="F16" s="188"/>
      <c r="G16" s="590"/>
      <c r="H16" s="369" t="str">
        <f t="shared" si="0"/>
        <v/>
      </c>
      <c r="I16" s="178"/>
    </row>
    <row r="17" spans="2:9" ht="14.25">
      <c r="B17" s="207" t="s">
        <v>86</v>
      </c>
      <c r="C17" s="191" t="s">
        <v>409</v>
      </c>
      <c r="D17" s="192" t="s">
        <v>386</v>
      </c>
      <c r="E17" s="192"/>
      <c r="F17" s="188">
        <v>25</v>
      </c>
      <c r="G17" s="590"/>
      <c r="H17" s="369">
        <f t="shared" si="0"/>
        <v>0</v>
      </c>
      <c r="I17" s="178"/>
    </row>
    <row r="18" spans="2:9">
      <c r="B18" s="207"/>
      <c r="C18" s="191"/>
      <c r="D18" s="192"/>
      <c r="E18" s="192"/>
      <c r="F18" s="188"/>
      <c r="G18" s="590"/>
      <c r="H18" s="369" t="str">
        <f t="shared" si="0"/>
        <v/>
      </c>
      <c r="I18" s="178"/>
    </row>
    <row r="19" spans="2:9" ht="25.5">
      <c r="B19" s="207" t="s">
        <v>705</v>
      </c>
      <c r="C19" s="191" t="s">
        <v>706</v>
      </c>
      <c r="D19" s="192" t="s">
        <v>386</v>
      </c>
      <c r="E19" s="192"/>
      <c r="F19" s="188">
        <v>10</v>
      </c>
      <c r="G19" s="590"/>
      <c r="H19" s="369">
        <f t="shared" si="0"/>
        <v>0</v>
      </c>
      <c r="I19" s="178"/>
    </row>
    <row r="20" spans="2:9">
      <c r="B20" s="207"/>
      <c r="C20" s="191"/>
      <c r="D20" s="192"/>
      <c r="E20" s="192"/>
      <c r="F20" s="188"/>
      <c r="G20" s="590"/>
      <c r="H20" s="369" t="str">
        <f t="shared" si="0"/>
        <v/>
      </c>
      <c r="I20" s="187"/>
    </row>
    <row r="21" spans="2:9">
      <c r="B21" s="207"/>
      <c r="C21" s="191"/>
      <c r="D21" s="192"/>
      <c r="E21" s="192"/>
      <c r="F21" s="188"/>
      <c r="G21" s="590"/>
      <c r="H21" s="369" t="str">
        <f t="shared" si="0"/>
        <v/>
      </c>
      <c r="I21" s="190"/>
    </row>
    <row r="22" spans="2:9">
      <c r="B22" s="207" t="s">
        <v>707</v>
      </c>
      <c r="C22" s="191" t="s">
        <v>708</v>
      </c>
      <c r="D22" s="192"/>
      <c r="E22" s="192"/>
      <c r="F22" s="188"/>
      <c r="G22" s="590"/>
      <c r="H22" s="369" t="str">
        <f t="shared" si="0"/>
        <v/>
      </c>
      <c r="I22" s="187"/>
    </row>
    <row r="23" spans="2:9">
      <c r="B23" s="207"/>
      <c r="C23" s="191"/>
      <c r="D23" s="192"/>
      <c r="E23" s="192"/>
      <c r="F23" s="188"/>
      <c r="G23" s="590"/>
      <c r="H23" s="369" t="str">
        <f t="shared" si="0"/>
        <v/>
      </c>
      <c r="I23" s="187"/>
    </row>
    <row r="24" spans="2:9" ht="14.25">
      <c r="B24" s="207" t="s">
        <v>709</v>
      </c>
      <c r="C24" s="191" t="s">
        <v>710</v>
      </c>
      <c r="D24" s="192" t="s">
        <v>386</v>
      </c>
      <c r="E24" s="192"/>
      <c r="F24" s="188">
        <v>120</v>
      </c>
      <c r="G24" s="590"/>
      <c r="H24" s="369">
        <f t="shared" si="0"/>
        <v>0</v>
      </c>
      <c r="I24" s="187"/>
    </row>
    <row r="25" spans="2:9">
      <c r="B25" s="207"/>
      <c r="C25" s="191"/>
      <c r="D25" s="192"/>
      <c r="E25" s="192"/>
      <c r="F25" s="188"/>
      <c r="G25" s="590"/>
      <c r="H25" s="369" t="str">
        <f t="shared" si="0"/>
        <v/>
      </c>
      <c r="I25" s="187"/>
    </row>
    <row r="26" spans="2:9">
      <c r="B26" s="207" t="s">
        <v>711</v>
      </c>
      <c r="C26" s="191" t="s">
        <v>712</v>
      </c>
      <c r="D26" s="192"/>
      <c r="E26" s="192"/>
      <c r="F26" s="188"/>
      <c r="G26" s="590"/>
      <c r="H26" s="369" t="str">
        <f t="shared" si="0"/>
        <v/>
      </c>
      <c r="I26" s="187"/>
    </row>
    <row r="27" spans="2:9" ht="14.25">
      <c r="B27" s="207" t="s">
        <v>83</v>
      </c>
      <c r="C27" s="191" t="s">
        <v>713</v>
      </c>
      <c r="D27" s="192" t="s">
        <v>386</v>
      </c>
      <c r="E27" s="192"/>
      <c r="F27" s="188">
        <v>25</v>
      </c>
      <c r="G27" s="590"/>
      <c r="H27" s="369">
        <f t="shared" si="0"/>
        <v>0</v>
      </c>
      <c r="I27" s="190"/>
    </row>
    <row r="28" spans="2:9">
      <c r="B28" s="207"/>
      <c r="C28" s="191"/>
      <c r="D28" s="192"/>
      <c r="E28" s="192"/>
      <c r="F28" s="188"/>
      <c r="G28" s="590"/>
      <c r="H28" s="369" t="str">
        <f t="shared" si="0"/>
        <v/>
      </c>
      <c r="I28" s="187"/>
    </row>
    <row r="29" spans="2:9">
      <c r="B29" s="207" t="s">
        <v>714</v>
      </c>
      <c r="C29" s="191" t="s">
        <v>715</v>
      </c>
      <c r="D29" s="192"/>
      <c r="E29" s="192"/>
      <c r="F29" s="188"/>
      <c r="G29" s="590"/>
      <c r="H29" s="369" t="str">
        <f t="shared" si="0"/>
        <v/>
      </c>
      <c r="I29" s="187"/>
    </row>
    <row r="30" spans="2:9">
      <c r="B30" s="207"/>
      <c r="C30" s="191"/>
      <c r="D30" s="192"/>
      <c r="E30" s="192"/>
      <c r="F30" s="188"/>
      <c r="G30" s="590"/>
      <c r="H30" s="369" t="str">
        <f t="shared" si="0"/>
        <v/>
      </c>
      <c r="I30" s="187"/>
    </row>
    <row r="31" spans="2:9">
      <c r="B31" s="207" t="s">
        <v>716</v>
      </c>
      <c r="C31" s="191" t="s">
        <v>3036</v>
      </c>
      <c r="D31" s="192" t="s">
        <v>347</v>
      </c>
      <c r="E31" s="192" t="s">
        <v>14</v>
      </c>
      <c r="F31" s="188">
        <v>50</v>
      </c>
      <c r="G31" s="590"/>
      <c r="H31" s="369">
        <f t="shared" si="0"/>
        <v>0</v>
      </c>
      <c r="I31" s="187"/>
    </row>
    <row r="32" spans="2:9">
      <c r="B32" s="207"/>
      <c r="C32" s="191"/>
      <c r="D32" s="192"/>
      <c r="E32" s="192"/>
      <c r="F32" s="188"/>
      <c r="G32" s="590"/>
      <c r="H32" s="369" t="str">
        <f t="shared" si="0"/>
        <v/>
      </c>
      <c r="I32" s="187"/>
    </row>
    <row r="33" spans="2:14">
      <c r="B33" s="207" t="s">
        <v>716</v>
      </c>
      <c r="C33" s="191" t="s">
        <v>717</v>
      </c>
      <c r="D33" s="192" t="s">
        <v>347</v>
      </c>
      <c r="E33" s="192" t="s">
        <v>14</v>
      </c>
      <c r="F33" s="188">
        <v>100</v>
      </c>
      <c r="G33" s="590"/>
      <c r="H33" s="369">
        <f t="shared" si="0"/>
        <v>0</v>
      </c>
      <c r="I33" s="187"/>
    </row>
    <row r="34" spans="2:14">
      <c r="B34" s="207"/>
      <c r="C34" s="191"/>
      <c r="D34" s="192"/>
      <c r="E34" s="192"/>
      <c r="F34" s="188"/>
      <c r="G34" s="590"/>
      <c r="H34" s="369" t="str">
        <f t="shared" si="0"/>
        <v/>
      </c>
      <c r="I34" s="187"/>
      <c r="N34" s="260"/>
    </row>
    <row r="35" spans="2:14">
      <c r="B35" s="207" t="s">
        <v>730</v>
      </c>
      <c r="C35" s="191" t="s">
        <v>731</v>
      </c>
      <c r="D35" s="192"/>
      <c r="E35" s="192"/>
      <c r="F35" s="188"/>
      <c r="G35" s="590"/>
      <c r="H35" s="369" t="str">
        <f t="shared" si="0"/>
        <v/>
      </c>
      <c r="I35" s="187"/>
      <c r="N35" s="260"/>
    </row>
    <row r="36" spans="2:14">
      <c r="B36" s="207"/>
      <c r="C36" s="191"/>
      <c r="D36" s="192"/>
      <c r="E36" s="192"/>
      <c r="F36" s="188"/>
      <c r="G36" s="590"/>
      <c r="H36" s="369" t="str">
        <f t="shared" si="0"/>
        <v/>
      </c>
      <c r="N36" s="260"/>
    </row>
    <row r="37" spans="2:14">
      <c r="B37" s="207"/>
      <c r="C37" s="191" t="s">
        <v>732</v>
      </c>
      <c r="D37" s="192" t="s">
        <v>733</v>
      </c>
      <c r="E37" s="192" t="s">
        <v>734</v>
      </c>
      <c r="F37" s="188">
        <v>4</v>
      </c>
      <c r="G37" s="590"/>
      <c r="H37" s="369">
        <f t="shared" si="0"/>
        <v>0</v>
      </c>
    </row>
    <row r="38" spans="2:14">
      <c r="B38" s="207"/>
      <c r="C38" s="191"/>
      <c r="D38" s="192"/>
      <c r="E38" s="192"/>
      <c r="F38" s="188"/>
      <c r="G38" s="590"/>
      <c r="H38" s="369"/>
    </row>
    <row r="39" spans="2:14">
      <c r="B39" s="207"/>
      <c r="C39" s="191" t="s">
        <v>735</v>
      </c>
      <c r="D39" s="192" t="s">
        <v>85</v>
      </c>
      <c r="E39" s="192" t="s">
        <v>14</v>
      </c>
      <c r="F39" s="188">
        <v>4</v>
      </c>
      <c r="G39" s="590"/>
      <c r="H39" s="369">
        <f t="shared" ref="H39" si="1">IF(D39="","",F39*G39)</f>
        <v>0</v>
      </c>
    </row>
    <row r="40" spans="2:14" s="199" customFormat="1" ht="19.5" customHeight="1">
      <c r="B40" s="227" t="str">
        <f>$B$10</f>
        <v>C3.2</v>
      </c>
      <c r="C40" s="194" t="s">
        <v>99</v>
      </c>
      <c r="D40" s="196"/>
      <c r="E40" s="196"/>
      <c r="F40" s="196"/>
      <c r="G40" s="412"/>
      <c r="H40" s="370">
        <f>SUM(H12:H39)</f>
        <v>0</v>
      </c>
      <c r="I40" s="198"/>
    </row>
    <row r="41" spans="2:14" hidden="1">
      <c r="B41" s="745" t="str">
        <f>Client1</f>
        <v>AIRPORTS COMPANY - SOUTH AFRICA</v>
      </c>
      <c r="C41" s="745"/>
      <c r="D41" s="745"/>
      <c r="E41" s="745"/>
      <c r="F41" s="768" t="str">
        <f>"Contract No. "&amp;ContractNo</f>
        <v>Contract No. KSIA7806/2025/RFP</v>
      </c>
      <c r="G41" s="765"/>
      <c r="H41" s="768"/>
      <c r="I41" s="178"/>
    </row>
    <row r="42" spans="2:14" hidden="1">
      <c r="B42" s="745" t="str">
        <f>Client2</f>
        <v>ACSA</v>
      </c>
      <c r="C42" s="745"/>
      <c r="D42" s="745"/>
      <c r="E42" s="745"/>
      <c r="F42" s="768"/>
      <c r="G42" s="765"/>
      <c r="H42" s="768"/>
      <c r="I42" s="178"/>
    </row>
    <row r="43" spans="2:14" hidden="1">
      <c r="B43" s="748"/>
      <c r="C43" s="748"/>
      <c r="D43" s="748"/>
      <c r="E43" s="748"/>
      <c r="F43" s="769"/>
      <c r="G43" s="766"/>
      <c r="H43" s="769"/>
      <c r="I43" s="178"/>
    </row>
    <row r="44" spans="2:14" hidden="1">
      <c r="B44" s="749" t="s">
        <v>2943</v>
      </c>
      <c r="C44" s="750"/>
      <c r="D44" s="750"/>
      <c r="E44" s="750"/>
      <c r="F44" s="750"/>
      <c r="G44" s="762"/>
      <c r="H44" s="799" t="str">
        <f>$H$4</f>
        <v>CHAPTER C3.2</v>
      </c>
      <c r="I44" s="234"/>
    </row>
    <row r="45" spans="2:14" hidden="1">
      <c r="B45" s="752" t="str">
        <f>ContractDescription</f>
        <v>PROCUREMENT OF A CIDB GRADE 9 CE CONTRACTOR THE COMPLETION OF BRAVO TAXIWAY EXTENSION AT KING SHAKA INTERNATIONAL AIRPORT FOR A PERIOD OF 12 MONTHS AT KING SHAKA INTERNATIONAL AIRPORT</v>
      </c>
      <c r="C45" s="753"/>
      <c r="D45" s="753"/>
      <c r="E45" s="753"/>
      <c r="F45" s="753"/>
      <c r="G45" s="763"/>
      <c r="H45" s="800"/>
      <c r="I45" s="180"/>
    </row>
    <row r="46" spans="2:14" hidden="1">
      <c r="B46" s="752"/>
      <c r="C46" s="753"/>
      <c r="D46" s="753"/>
      <c r="E46" s="753"/>
      <c r="F46" s="753"/>
      <c r="G46" s="763"/>
      <c r="H46" s="800"/>
      <c r="I46" s="180"/>
    </row>
    <row r="47" spans="2:14" hidden="1">
      <c r="B47" s="754"/>
      <c r="C47" s="755"/>
      <c r="D47" s="755"/>
      <c r="E47" s="755"/>
      <c r="F47" s="755"/>
      <c r="G47" s="764"/>
      <c r="H47" s="801"/>
      <c r="I47" s="180"/>
    </row>
    <row r="48" spans="2:14" s="183" customFormat="1" ht="24.95" hidden="1" customHeight="1">
      <c r="B48" s="203" t="s">
        <v>11</v>
      </c>
      <c r="C48" s="181" t="s">
        <v>12</v>
      </c>
      <c r="D48" s="181" t="s">
        <v>13</v>
      </c>
      <c r="E48" s="181" t="s">
        <v>14</v>
      </c>
      <c r="F48" s="181" t="s">
        <v>15</v>
      </c>
      <c r="G48" s="409" t="s">
        <v>16</v>
      </c>
      <c r="H48" s="370" t="s">
        <v>17</v>
      </c>
      <c r="I48" s="182"/>
    </row>
    <row r="49" spans="2:9" s="199" customFormat="1" ht="20.100000000000001" hidden="1" customHeight="1">
      <c r="B49" s="227"/>
      <c r="C49" s="194" t="s">
        <v>140</v>
      </c>
      <c r="D49" s="196"/>
      <c r="E49" s="196"/>
      <c r="F49" s="196"/>
      <c r="G49" s="412"/>
      <c r="H49" s="370">
        <f>H40</f>
        <v>0</v>
      </c>
      <c r="I49" s="198"/>
    </row>
    <row r="50" spans="2:9" ht="8.25" hidden="1" customHeight="1">
      <c r="B50" s="207"/>
      <c r="C50" s="175"/>
      <c r="D50" s="186"/>
      <c r="E50" s="186"/>
      <c r="F50" s="188"/>
      <c r="G50" s="410"/>
      <c r="H50" s="369"/>
    </row>
    <row r="51" spans="2:9" hidden="1">
      <c r="B51" s="48"/>
      <c r="C51" s="14"/>
      <c r="D51" s="15"/>
      <c r="E51" s="15"/>
      <c r="F51" s="15"/>
      <c r="G51" s="378"/>
      <c r="H51" s="363"/>
    </row>
    <row r="52" spans="2:9" hidden="1">
      <c r="B52" s="48"/>
      <c r="C52" s="14"/>
      <c r="D52" s="186"/>
      <c r="E52" s="186"/>
      <c r="F52" s="188"/>
      <c r="G52" s="410"/>
      <c r="H52" s="369"/>
    </row>
    <row r="53" spans="2:9" hidden="1">
      <c r="B53" s="207"/>
      <c r="C53" s="175"/>
      <c r="D53" s="186"/>
      <c r="E53" s="186"/>
      <c r="F53" s="188"/>
      <c r="G53" s="410"/>
      <c r="H53" s="369"/>
    </row>
    <row r="54" spans="2:9" hidden="1">
      <c r="B54" s="207"/>
      <c r="C54" s="175"/>
      <c r="D54" s="186"/>
      <c r="E54" s="186"/>
      <c r="F54" s="188"/>
      <c r="G54" s="410"/>
      <c r="H54" s="369"/>
    </row>
    <row r="55" spans="2:9" hidden="1">
      <c r="B55" s="207"/>
      <c r="C55" s="175"/>
      <c r="D55" s="186"/>
      <c r="E55" s="186"/>
      <c r="F55" s="188"/>
      <c r="G55" s="410"/>
      <c r="H55" s="369"/>
    </row>
    <row r="56" spans="2:9" hidden="1">
      <c r="B56" s="21"/>
      <c r="C56" s="491"/>
      <c r="D56" s="492"/>
      <c r="E56" s="493"/>
      <c r="F56" s="494"/>
      <c r="G56" s="495"/>
      <c r="H56" s="363"/>
    </row>
    <row r="57" spans="2:9" hidden="1">
      <c r="B57" s="21"/>
      <c r="C57" s="491"/>
      <c r="D57" s="492"/>
      <c r="E57" s="493"/>
      <c r="F57" s="494"/>
      <c r="G57" s="495"/>
      <c r="H57" s="363" t="str">
        <f t="shared" ref="H57" si="2">IF(D57="","",F57*G57)</f>
        <v/>
      </c>
    </row>
    <row r="58" spans="2:9" ht="8.25" hidden="1" customHeight="1">
      <c r="B58" s="207"/>
      <c r="C58" s="175"/>
      <c r="D58" s="186"/>
      <c r="E58" s="186"/>
      <c r="F58" s="186"/>
      <c r="G58" s="410"/>
      <c r="H58" s="369"/>
    </row>
    <row r="59" spans="2:9" s="199" customFormat="1" ht="24.95" hidden="1" customHeight="1">
      <c r="B59" s="228" t="str">
        <f>$B$10</f>
        <v>C3.2</v>
      </c>
      <c r="C59" s="194" t="s">
        <v>125</v>
      </c>
      <c r="D59" s="196"/>
      <c r="E59" s="196"/>
      <c r="F59" s="196"/>
      <c r="G59" s="412"/>
      <c r="H59" s="370">
        <f>SUM(H49:H58)</f>
        <v>0</v>
      </c>
      <c r="I59" s="198"/>
    </row>
    <row r="60" spans="2:9" hidden="1"/>
    <row r="74" spans="6:6">
      <c r="F74" s="230"/>
    </row>
    <row r="75" spans="6:6">
      <c r="F75" s="230"/>
    </row>
    <row r="76" spans="6:6">
      <c r="F76" s="230"/>
    </row>
    <row r="77" spans="6:6">
      <c r="F77" s="230"/>
    </row>
    <row r="78" spans="6:6">
      <c r="F78" s="230"/>
    </row>
    <row r="79" spans="6:6">
      <c r="F79" s="230"/>
    </row>
    <row r="80" spans="6:6">
      <c r="F80" s="230"/>
    </row>
    <row r="81" spans="6:6">
      <c r="F81" s="230"/>
    </row>
    <row r="82" spans="6:6">
      <c r="F82" s="230"/>
    </row>
    <row r="83" spans="6:6">
      <c r="F83" s="230"/>
    </row>
  </sheetData>
  <sheetProtection algorithmName="SHA-512" hashValue="g4KcxlVUBM67rSRQULHbiF+GIrzMGWoozl0VTTsuuk5Rwg+nrEa5e2bKaVPUDWV0ebzi4den0ELBQ5MyxLq0mA==" saltValue="hlZ5AKSljLKvAFYgKV99wg==" spinCount="100000" sheet="1" objects="1" scenarios="1"/>
  <mergeCells count="12">
    <mergeCell ref="I4:I8"/>
    <mergeCell ref="B44:G44"/>
    <mergeCell ref="H44:H47"/>
    <mergeCell ref="B45:G47"/>
    <mergeCell ref="F1:H1"/>
    <mergeCell ref="B4:G4"/>
    <mergeCell ref="H4:H7"/>
    <mergeCell ref="B5:G7"/>
    <mergeCell ref="B41:E41"/>
    <mergeCell ref="F41:H43"/>
    <mergeCell ref="B42:E42"/>
    <mergeCell ref="B43:E43"/>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rowBreaks count="1" manualBreakCount="1">
    <brk id="40" max="8" man="1"/>
  </rowBreaks>
  <legacyDrawingHF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024E-D5C6-4630-9E5D-20052B9A1C1D}">
  <sheetPr codeName="Sheet92">
    <tabColor rgb="FF00B0F0"/>
  </sheetPr>
  <dimension ref="B1:M41"/>
  <sheetViews>
    <sheetView view="pageBreakPreview" topLeftCell="A7" zoomScaleNormal="100" zoomScaleSheetLayoutView="100" workbookViewId="0">
      <selection activeCell="C24" sqref="C24"/>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15.7109375" style="399" customWidth="1"/>
    <col min="9" max="9" width="37.85546875" style="5" hidden="1" customWidth="1"/>
    <col min="10" max="12" width="0" style="1" hidden="1" customWidth="1"/>
    <col min="13" max="13" width="9" style="1" hidden="1" customWidth="1"/>
    <col min="14" max="36" width="0" style="1" hidden="1" customWidth="1"/>
    <col min="37" max="16384" width="6.85546875" style="1"/>
  </cols>
  <sheetData>
    <row r="1" spans="2:13">
      <c r="B1" s="2" t="str">
        <f>Client1</f>
        <v>AIRPORTS COMPANY - SOUTH AFRICA</v>
      </c>
      <c r="F1" s="676" t="str">
        <f>"Contract No. "&amp;ContractNo</f>
        <v>Contract No. KSIA7806/2025/RFP</v>
      </c>
      <c r="G1" s="676"/>
      <c r="H1" s="676"/>
    </row>
    <row r="2" spans="2:13">
      <c r="B2" s="90" t="str">
        <f>Client2</f>
        <v>ACSA</v>
      </c>
    </row>
    <row r="3" spans="2:13">
      <c r="B3" s="71"/>
      <c r="C3" s="71"/>
      <c r="D3" s="72"/>
      <c r="E3" s="72"/>
      <c r="F3" s="72"/>
      <c r="G3" s="400"/>
      <c r="H3" s="401"/>
    </row>
    <row r="4" spans="2:13">
      <c r="B4" s="695" t="s">
        <v>2943</v>
      </c>
      <c r="C4" s="696"/>
      <c r="D4" s="696"/>
      <c r="E4" s="696"/>
      <c r="F4" s="696"/>
      <c r="G4" s="696"/>
      <c r="H4" s="742" t="str">
        <f>"CHAPTER "&amp;B10</f>
        <v>CHAPTER C4.2</v>
      </c>
      <c r="I4" s="676" t="s">
        <v>100</v>
      </c>
    </row>
    <row r="5" spans="2:13"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13" ht="12.75" customHeight="1">
      <c r="B6" s="690"/>
      <c r="C6" s="691"/>
      <c r="D6" s="691"/>
      <c r="E6" s="691"/>
      <c r="F6" s="691"/>
      <c r="G6" s="691"/>
      <c r="H6" s="743"/>
      <c r="I6" s="676"/>
    </row>
    <row r="7" spans="2:13" ht="14.25" customHeight="1">
      <c r="B7" s="692"/>
      <c r="C7" s="693"/>
      <c r="D7" s="693"/>
      <c r="E7" s="693"/>
      <c r="F7" s="693"/>
      <c r="G7" s="693"/>
      <c r="H7" s="744"/>
      <c r="I7" s="676"/>
    </row>
    <row r="8" spans="2:13" s="9" customFormat="1" ht="24.95" customHeight="1">
      <c r="B8" s="10" t="s">
        <v>11</v>
      </c>
      <c r="C8" s="11" t="s">
        <v>12</v>
      </c>
      <c r="D8" s="11" t="s">
        <v>13</v>
      </c>
      <c r="E8" s="11" t="s">
        <v>14</v>
      </c>
      <c r="F8" s="11" t="s">
        <v>15</v>
      </c>
      <c r="G8" s="409" t="s">
        <v>16</v>
      </c>
      <c r="H8" s="364" t="s">
        <v>17</v>
      </c>
      <c r="I8" s="676"/>
    </row>
    <row r="9" spans="2:13">
      <c r="B9" s="105"/>
      <c r="C9" s="52"/>
      <c r="D9" s="78"/>
      <c r="E9" s="15"/>
      <c r="F9" s="15"/>
      <c r="G9" s="427"/>
      <c r="H9" s="367" t="str">
        <f>IF(D9="","",F9*G9)</f>
        <v/>
      </c>
      <c r="I9" s="239"/>
    </row>
    <row r="10" spans="2:13">
      <c r="B10" s="69" t="s">
        <v>765</v>
      </c>
      <c r="C10" s="7" t="s">
        <v>766</v>
      </c>
      <c r="D10" s="15"/>
      <c r="E10" s="15"/>
      <c r="F10" s="15"/>
      <c r="G10" s="427"/>
      <c r="H10" s="367" t="str">
        <f t="shared" ref="H10:H40" si="0">IF(D10="","",F10*G10)</f>
        <v/>
      </c>
      <c r="I10" s="239"/>
    </row>
    <row r="11" spans="2:13">
      <c r="B11" s="48"/>
      <c r="C11" s="52"/>
      <c r="D11" s="15"/>
      <c r="E11" s="15"/>
      <c r="F11" s="15"/>
      <c r="G11" s="427"/>
      <c r="H11" s="367" t="str">
        <f t="shared" si="0"/>
        <v/>
      </c>
      <c r="I11" s="239"/>
    </row>
    <row r="12" spans="2:13">
      <c r="B12" s="21"/>
      <c r="C12" s="52"/>
      <c r="D12" s="22"/>
      <c r="E12" s="22"/>
      <c r="F12" s="22"/>
      <c r="G12" s="410"/>
      <c r="H12" s="363" t="str">
        <f t="shared" si="0"/>
        <v/>
      </c>
      <c r="I12" s="277"/>
    </row>
    <row r="13" spans="2:13" ht="25.5">
      <c r="B13" s="106" t="s">
        <v>3037</v>
      </c>
      <c r="C13" s="55" t="s">
        <v>3038</v>
      </c>
      <c r="D13" s="22"/>
      <c r="E13" s="22"/>
      <c r="F13" s="22"/>
      <c r="G13" s="410"/>
      <c r="H13" s="367" t="str">
        <f t="shared" si="0"/>
        <v/>
      </c>
      <c r="I13" s="278"/>
    </row>
    <row r="14" spans="2:13">
      <c r="B14" s="89"/>
      <c r="D14" s="22"/>
      <c r="E14" s="22"/>
      <c r="F14" s="240"/>
      <c r="G14" s="410"/>
      <c r="H14" s="363" t="str">
        <f t="shared" si="0"/>
        <v/>
      </c>
      <c r="I14" s="278"/>
    </row>
    <row r="15" spans="2:13">
      <c r="B15" s="36" t="s">
        <v>3039</v>
      </c>
      <c r="C15" s="1" t="s">
        <v>770</v>
      </c>
      <c r="D15" s="22" t="s">
        <v>724</v>
      </c>
      <c r="E15" s="22"/>
      <c r="F15" s="240">
        <v>12750</v>
      </c>
      <c r="G15" s="586"/>
      <c r="H15" s="363">
        <f t="shared" si="0"/>
        <v>0</v>
      </c>
      <c r="I15" s="332" t="s">
        <v>338</v>
      </c>
      <c r="L15" s="1">
        <f>F15*1.25</f>
        <v>15937.5</v>
      </c>
      <c r="M15" s="428"/>
    </row>
    <row r="16" spans="2:13">
      <c r="B16" s="89"/>
      <c r="D16" s="36"/>
      <c r="E16" s="22"/>
      <c r="F16" s="240"/>
      <c r="G16" s="586"/>
      <c r="H16" s="363" t="str">
        <f t="shared" si="0"/>
        <v/>
      </c>
      <c r="I16" s="331"/>
    </row>
    <row r="17" spans="2:9">
      <c r="B17" s="36" t="s">
        <v>3040</v>
      </c>
      <c r="C17" s="1" t="s">
        <v>772</v>
      </c>
      <c r="D17" s="22" t="s">
        <v>724</v>
      </c>
      <c r="E17" s="22"/>
      <c r="F17" s="240">
        <v>1000</v>
      </c>
      <c r="G17" s="586"/>
      <c r="H17" s="363">
        <f t="shared" si="0"/>
        <v>0</v>
      </c>
      <c r="I17" s="332" t="s">
        <v>338</v>
      </c>
    </row>
    <row r="18" spans="2:9">
      <c r="B18" s="36"/>
      <c r="C18" s="1"/>
      <c r="D18" s="22"/>
      <c r="E18" s="22"/>
      <c r="F18" s="240"/>
      <c r="G18" s="586"/>
      <c r="H18" s="363" t="str">
        <f t="shared" si="0"/>
        <v/>
      </c>
      <c r="I18" s="331"/>
    </row>
    <row r="19" spans="2:9">
      <c r="B19" s="36" t="s">
        <v>3041</v>
      </c>
      <c r="C19" s="1" t="s">
        <v>774</v>
      </c>
      <c r="D19" s="22" t="s">
        <v>724</v>
      </c>
      <c r="E19" s="22"/>
      <c r="F19" s="240">
        <v>1000</v>
      </c>
      <c r="G19" s="586"/>
      <c r="H19" s="363">
        <f t="shared" si="0"/>
        <v>0</v>
      </c>
      <c r="I19" s="332" t="s">
        <v>338</v>
      </c>
    </row>
    <row r="20" spans="2:9">
      <c r="B20" s="89"/>
      <c r="D20" s="36"/>
      <c r="E20" s="22"/>
      <c r="F20" s="240"/>
      <c r="G20" s="586"/>
      <c r="H20" s="363" t="str">
        <f t="shared" si="0"/>
        <v/>
      </c>
      <c r="I20" s="4"/>
    </row>
    <row r="21" spans="2:9">
      <c r="B21" s="36" t="s">
        <v>3042</v>
      </c>
      <c r="C21" s="1" t="s">
        <v>776</v>
      </c>
      <c r="D21" s="22" t="s">
        <v>724</v>
      </c>
      <c r="E21" s="22"/>
      <c r="F21" s="240">
        <f>F15/100*20</f>
        <v>2550</v>
      </c>
      <c r="G21" s="586"/>
      <c r="H21" s="363">
        <f t="shared" si="0"/>
        <v>0</v>
      </c>
      <c r="I21" s="332" t="s">
        <v>338</v>
      </c>
    </row>
    <row r="22" spans="2:9">
      <c r="B22" s="102"/>
      <c r="D22" s="22"/>
      <c r="E22" s="22"/>
      <c r="F22" s="240"/>
      <c r="G22" s="586"/>
      <c r="H22" s="363" t="str">
        <f t="shared" si="0"/>
        <v/>
      </c>
      <c r="I22" s="4"/>
    </row>
    <row r="23" spans="2:9">
      <c r="B23" s="36" t="s">
        <v>3043</v>
      </c>
      <c r="C23" s="51" t="s">
        <v>3044</v>
      </c>
      <c r="D23" s="22"/>
      <c r="E23" s="22"/>
      <c r="F23" s="22"/>
      <c r="G23" s="587"/>
      <c r="H23" s="363" t="str">
        <f t="shared" si="0"/>
        <v/>
      </c>
      <c r="I23" s="4"/>
    </row>
    <row r="24" spans="2:9">
      <c r="B24" s="89"/>
      <c r="D24" s="22" t="s">
        <v>3045</v>
      </c>
      <c r="E24" s="22"/>
      <c r="F24" s="240"/>
      <c r="G24" s="587"/>
      <c r="H24" s="363"/>
      <c r="I24" s="4"/>
    </row>
    <row r="25" spans="2:9">
      <c r="B25" s="36" t="s">
        <v>3046</v>
      </c>
      <c r="C25" s="1" t="s">
        <v>3047</v>
      </c>
      <c r="D25" s="22" t="s">
        <v>724</v>
      </c>
      <c r="E25" s="22"/>
      <c r="F25" s="240">
        <v>1500</v>
      </c>
      <c r="G25" s="586"/>
      <c r="H25" s="363">
        <f t="shared" si="0"/>
        <v>0</v>
      </c>
      <c r="I25" s="332" t="s">
        <v>338</v>
      </c>
    </row>
    <row r="26" spans="2:9">
      <c r="B26" s="89"/>
      <c r="D26" s="22"/>
      <c r="E26" s="22"/>
      <c r="F26" s="240"/>
      <c r="G26" s="586"/>
      <c r="H26" s="363" t="str">
        <f t="shared" si="0"/>
        <v/>
      </c>
      <c r="I26" s="331"/>
    </row>
    <row r="27" spans="2:9">
      <c r="B27" s="36" t="s">
        <v>3048</v>
      </c>
      <c r="C27" s="1" t="s">
        <v>3049</v>
      </c>
      <c r="D27" s="22" t="s">
        <v>724</v>
      </c>
      <c r="E27" s="22"/>
      <c r="F27" s="240">
        <v>1500</v>
      </c>
      <c r="G27" s="586"/>
      <c r="H27" s="363">
        <f t="shared" si="0"/>
        <v>0</v>
      </c>
      <c r="I27" s="332" t="s">
        <v>338</v>
      </c>
    </row>
    <row r="28" spans="2:9">
      <c r="B28" s="102"/>
      <c r="D28" s="22"/>
      <c r="E28" s="22"/>
      <c r="F28" s="22"/>
      <c r="G28" s="587"/>
      <c r="H28" s="363" t="str">
        <f t="shared" si="0"/>
        <v/>
      </c>
      <c r="I28" s="331"/>
    </row>
    <row r="29" spans="2:9">
      <c r="B29" s="36" t="s">
        <v>777</v>
      </c>
      <c r="C29" s="1" t="s">
        <v>778</v>
      </c>
      <c r="D29" s="22"/>
      <c r="E29" s="22"/>
      <c r="F29" s="22"/>
      <c r="G29" s="587"/>
      <c r="H29" s="363" t="str">
        <f t="shared" si="0"/>
        <v/>
      </c>
      <c r="I29" s="331"/>
    </row>
    <row r="30" spans="2:9">
      <c r="B30" s="89"/>
      <c r="C30" s="52"/>
      <c r="D30" s="22"/>
      <c r="E30" s="22"/>
      <c r="F30" s="22"/>
      <c r="G30" s="587"/>
      <c r="H30" s="363" t="str">
        <f t="shared" si="0"/>
        <v/>
      </c>
      <c r="I30" s="456"/>
    </row>
    <row r="31" spans="2:9">
      <c r="B31" s="36" t="s">
        <v>779</v>
      </c>
      <c r="C31" s="1" t="s">
        <v>780</v>
      </c>
      <c r="D31" s="22"/>
      <c r="E31" s="22"/>
      <c r="F31" s="22"/>
      <c r="G31" s="587"/>
      <c r="H31" s="363" t="str">
        <f t="shared" si="0"/>
        <v/>
      </c>
      <c r="I31" s="456"/>
    </row>
    <row r="32" spans="2:9" s="35" customFormat="1">
      <c r="B32" s="21"/>
      <c r="C32" s="52"/>
      <c r="D32" s="22"/>
      <c r="E32" s="22"/>
      <c r="F32" s="22"/>
      <c r="G32" s="587"/>
      <c r="H32" s="363" t="str">
        <f t="shared" si="0"/>
        <v/>
      </c>
      <c r="I32" s="456"/>
    </row>
    <row r="33" spans="2:9">
      <c r="B33" s="21" t="s">
        <v>3050</v>
      </c>
      <c r="C33" s="1" t="s">
        <v>781</v>
      </c>
      <c r="D33" s="22" t="s">
        <v>782</v>
      </c>
      <c r="E33" s="22"/>
      <c r="F33" s="240">
        <v>1000</v>
      </c>
      <c r="G33" s="587"/>
      <c r="H33" s="363">
        <f t="shared" si="0"/>
        <v>0</v>
      </c>
      <c r="I33" s="332"/>
    </row>
    <row r="34" spans="2:9">
      <c r="B34" s="106"/>
      <c r="C34" s="35"/>
      <c r="D34" s="22"/>
      <c r="E34" s="22"/>
      <c r="F34" s="22"/>
      <c r="G34" s="587"/>
      <c r="H34" s="363" t="str">
        <f t="shared" si="0"/>
        <v/>
      </c>
      <c r="I34" s="332"/>
    </row>
    <row r="35" spans="2:9" ht="25.5">
      <c r="B35" s="48" t="s">
        <v>3051</v>
      </c>
      <c r="C35" s="52" t="s">
        <v>3052</v>
      </c>
      <c r="D35" s="22" t="s">
        <v>33</v>
      </c>
      <c r="E35" s="22"/>
      <c r="F35" s="22">
        <v>1</v>
      </c>
      <c r="G35" s="587"/>
      <c r="H35" s="363">
        <f t="shared" si="0"/>
        <v>0</v>
      </c>
      <c r="I35" s="331" t="s">
        <v>725</v>
      </c>
    </row>
    <row r="36" spans="2:9">
      <c r="B36" s="102"/>
      <c r="D36" s="22"/>
      <c r="E36" s="22"/>
      <c r="F36" s="22"/>
      <c r="G36" s="351"/>
      <c r="H36" s="367" t="str">
        <f t="shared" si="0"/>
        <v/>
      </c>
      <c r="I36" s="277"/>
    </row>
    <row r="37" spans="2:9">
      <c r="B37" s="102"/>
      <c r="D37" s="22"/>
      <c r="E37" s="22"/>
      <c r="F37" s="22"/>
      <c r="G37" s="351"/>
      <c r="H37" s="367" t="str">
        <f t="shared" si="0"/>
        <v/>
      </c>
      <c r="I37" s="277"/>
    </row>
    <row r="38" spans="2:9">
      <c r="B38" s="102"/>
      <c r="D38" s="22"/>
      <c r="E38" s="22"/>
      <c r="F38" s="22"/>
      <c r="G38" s="351"/>
      <c r="H38" s="367" t="str">
        <f t="shared" si="0"/>
        <v/>
      </c>
      <c r="I38" s="277"/>
    </row>
    <row r="39" spans="2:9">
      <c r="B39" s="102"/>
      <c r="D39" s="22"/>
      <c r="E39" s="22"/>
      <c r="F39" s="22"/>
      <c r="G39" s="351"/>
      <c r="H39" s="367" t="str">
        <f t="shared" si="0"/>
        <v/>
      </c>
      <c r="I39" s="277"/>
    </row>
    <row r="40" spans="2:9">
      <c r="B40" s="102"/>
      <c r="D40" s="22"/>
      <c r="E40" s="22"/>
      <c r="F40" s="22"/>
      <c r="G40" s="351"/>
      <c r="H40" s="367" t="str">
        <f t="shared" si="0"/>
        <v/>
      </c>
      <c r="I40" s="277"/>
    </row>
    <row r="41" spans="2:9" s="28" customFormat="1" ht="19.5" customHeight="1">
      <c r="B41" s="82" t="str">
        <f>$B$10</f>
        <v>C4.2</v>
      </c>
      <c r="C41" s="29" t="s">
        <v>125</v>
      </c>
      <c r="D41" s="30"/>
      <c r="E41" s="30"/>
      <c r="F41" s="31"/>
      <c r="G41" s="412"/>
      <c r="H41" s="364">
        <f>SUM(H7:H40)</f>
        <v>0</v>
      </c>
      <c r="I41" s="236"/>
    </row>
  </sheetData>
  <sheetProtection algorithmName="SHA-512" hashValue="rlizzho7IoKL9ktfBWEoGjdZuy47xFTkNsN20oicKE8KL2DmZXr+cw4Gx2E+2ev4NUI5FKneXv3KZVISDjyGvA==" saltValue="Ns/Oi+88deH1VmtoIWSLJw=="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8"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E1C7B-4722-49F6-B329-50BACF2DD6DE}">
  <sheetPr codeName="Sheet93">
    <tabColor rgb="FF00B0F0"/>
  </sheetPr>
  <dimension ref="B1:T50"/>
  <sheetViews>
    <sheetView view="pageBreakPreview" zoomScaleNormal="100" zoomScaleSheetLayoutView="100" workbookViewId="0">
      <selection activeCell="D20" sqref="D20"/>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18.85546875" style="399" customWidth="1"/>
    <col min="9" max="9" width="42.5703125" style="5" hidden="1" customWidth="1"/>
    <col min="10" max="36" width="0" style="1" hidden="1" customWidth="1"/>
    <col min="37" max="16384" width="6.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71"/>
      <c r="C3" s="71"/>
      <c r="D3" s="72"/>
      <c r="E3" s="72"/>
      <c r="F3" s="72"/>
      <c r="G3" s="400"/>
      <c r="H3" s="401"/>
    </row>
    <row r="4" spans="2:9">
      <c r="B4" s="695" t="s">
        <v>2943</v>
      </c>
      <c r="C4" s="696"/>
      <c r="D4" s="696"/>
      <c r="E4" s="696"/>
      <c r="F4" s="696"/>
      <c r="G4" s="696"/>
      <c r="H4" s="742" t="str">
        <f>"CHAPTER "&amp;B10</f>
        <v>CHAPTER C4.3</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13.5" customHeight="1">
      <c r="B7" s="692"/>
      <c r="C7" s="693"/>
      <c r="D7" s="693"/>
      <c r="E7" s="693"/>
      <c r="F7" s="693"/>
      <c r="G7" s="693"/>
      <c r="H7" s="744"/>
      <c r="I7" s="676"/>
    </row>
    <row r="8" spans="2:9" s="9" customFormat="1" ht="24.95" customHeight="1">
      <c r="B8" s="10" t="s">
        <v>11</v>
      </c>
      <c r="C8" s="11" t="s">
        <v>12</v>
      </c>
      <c r="D8" s="11" t="s">
        <v>13</v>
      </c>
      <c r="E8" s="11" t="s">
        <v>14</v>
      </c>
      <c r="F8" s="11" t="s">
        <v>15</v>
      </c>
      <c r="G8" s="409" t="s">
        <v>16</v>
      </c>
      <c r="H8" s="364" t="s">
        <v>17</v>
      </c>
      <c r="I8" s="676"/>
    </row>
    <row r="9" spans="2:9" s="9" customFormat="1">
      <c r="B9" s="86"/>
      <c r="C9" s="85"/>
      <c r="D9" s="85"/>
      <c r="E9" s="85"/>
      <c r="F9" s="85"/>
      <c r="G9" s="486"/>
      <c r="H9" s="487"/>
      <c r="I9" s="12"/>
    </row>
    <row r="10" spans="2:9" s="9" customFormat="1">
      <c r="B10" s="69" t="s">
        <v>783</v>
      </c>
      <c r="C10" s="20" t="s">
        <v>784</v>
      </c>
      <c r="D10" s="49"/>
      <c r="E10" s="49"/>
      <c r="F10" s="49"/>
      <c r="G10" s="488"/>
      <c r="H10" s="368"/>
      <c r="I10" s="12"/>
    </row>
    <row r="11" spans="2:9" s="9" customFormat="1">
      <c r="B11" s="21"/>
      <c r="C11" s="22"/>
      <c r="D11" s="22"/>
      <c r="E11" s="22"/>
      <c r="F11" s="22"/>
      <c r="G11" s="410"/>
      <c r="H11" s="489"/>
      <c r="I11" s="12"/>
    </row>
    <row r="12" spans="2:9" s="9" customFormat="1" ht="25.5">
      <c r="B12" s="103" t="s">
        <v>791</v>
      </c>
      <c r="C12" s="16" t="s">
        <v>792</v>
      </c>
      <c r="D12" s="22"/>
      <c r="E12" s="22"/>
      <c r="F12" s="22"/>
      <c r="G12" s="351"/>
      <c r="H12" s="367" t="str">
        <f t="shared" ref="H12:H18" si="0">IF(D12="","",F12*G12)</f>
        <v/>
      </c>
      <c r="I12" s="12"/>
    </row>
    <row r="13" spans="2:9" s="9" customFormat="1">
      <c r="B13" s="102"/>
      <c r="C13" s="14"/>
      <c r="D13" s="22"/>
      <c r="E13" s="22"/>
      <c r="F13" s="22"/>
      <c r="G13" s="351"/>
      <c r="H13" s="367" t="str">
        <f t="shared" si="0"/>
        <v/>
      </c>
      <c r="I13" s="12"/>
    </row>
    <row r="14" spans="2:9" s="9" customFormat="1">
      <c r="B14" s="641" t="s">
        <v>793</v>
      </c>
      <c r="C14" s="642" t="s">
        <v>794</v>
      </c>
      <c r="D14" s="563"/>
      <c r="E14" s="563"/>
      <c r="F14" s="563"/>
      <c r="G14" s="643"/>
      <c r="H14" s="644" t="str">
        <f t="shared" si="0"/>
        <v/>
      </c>
      <c r="I14" s="12"/>
    </row>
    <row r="15" spans="2:9" s="9" customFormat="1">
      <c r="B15" s="645"/>
      <c r="C15" s="638"/>
      <c r="D15" s="563"/>
      <c r="E15" s="563"/>
      <c r="F15" s="563"/>
      <c r="G15" s="643"/>
      <c r="H15" s="644" t="str">
        <f t="shared" si="0"/>
        <v/>
      </c>
      <c r="I15" s="12"/>
    </row>
    <row r="16" spans="2:9" s="9" customFormat="1">
      <c r="B16" s="645" t="s">
        <v>795</v>
      </c>
      <c r="C16" s="642" t="s">
        <v>796</v>
      </c>
      <c r="D16" s="563" t="s">
        <v>347</v>
      </c>
      <c r="E16" s="563" t="s">
        <v>14</v>
      </c>
      <c r="F16" s="563">
        <v>600</v>
      </c>
      <c r="G16" s="640"/>
      <c r="H16" s="644">
        <f t="shared" si="0"/>
        <v>0</v>
      </c>
      <c r="I16" s="54" t="s">
        <v>3053</v>
      </c>
    </row>
    <row r="17" spans="2:17" s="9" customFormat="1">
      <c r="B17" s="645"/>
      <c r="C17" s="646"/>
      <c r="D17" s="563"/>
      <c r="E17" s="563"/>
      <c r="F17" s="563"/>
      <c r="G17" s="640"/>
      <c r="H17" s="644" t="str">
        <f t="shared" si="0"/>
        <v/>
      </c>
      <c r="I17" s="12"/>
    </row>
    <row r="18" spans="2:17" s="9" customFormat="1">
      <c r="B18" s="645" t="s">
        <v>86</v>
      </c>
      <c r="C18" s="642" t="s">
        <v>797</v>
      </c>
      <c r="D18" s="563" t="s">
        <v>347</v>
      </c>
      <c r="E18" s="563" t="s">
        <v>14</v>
      </c>
      <c r="F18" s="563">
        <v>350</v>
      </c>
      <c r="G18" s="640"/>
      <c r="H18" s="644">
        <f t="shared" si="0"/>
        <v>0</v>
      </c>
      <c r="I18" s="54" t="s">
        <v>3053</v>
      </c>
    </row>
    <row r="19" spans="2:17" s="9" customFormat="1">
      <c r="B19" s="645"/>
      <c r="C19" s="642"/>
      <c r="D19" s="563"/>
      <c r="E19" s="563"/>
      <c r="F19" s="563"/>
      <c r="G19" s="640"/>
      <c r="H19" s="644"/>
      <c r="I19" s="54"/>
    </row>
    <row r="20" spans="2:17" s="9" customFormat="1">
      <c r="B20" s="645" t="s">
        <v>117</v>
      </c>
      <c r="C20" s="642" t="s">
        <v>3054</v>
      </c>
      <c r="D20" s="563" t="s">
        <v>347</v>
      </c>
      <c r="E20" s="563" t="s">
        <v>14</v>
      </c>
      <c r="F20" s="563">
        <v>350</v>
      </c>
      <c r="G20" s="640"/>
      <c r="H20" s="644">
        <f t="shared" ref="H20" si="1">IF(D20="","",F20*G20)</f>
        <v>0</v>
      </c>
      <c r="I20" s="54"/>
    </row>
    <row r="21" spans="2:17" s="9" customFormat="1">
      <c r="B21" s="48"/>
      <c r="C21" s="63"/>
      <c r="D21" s="22"/>
      <c r="E21" s="22"/>
      <c r="F21" s="22"/>
      <c r="G21" s="587"/>
      <c r="H21" s="367"/>
      <c r="I21" s="54"/>
    </row>
    <row r="22" spans="2:17" s="9" customFormat="1">
      <c r="B22" s="48"/>
      <c r="C22" s="63"/>
      <c r="D22" s="22"/>
      <c r="E22" s="22"/>
      <c r="F22" s="22"/>
      <c r="G22" s="587"/>
      <c r="H22" s="367"/>
      <c r="I22" s="12"/>
    </row>
    <row r="23" spans="2:17" s="9" customFormat="1">
      <c r="B23" s="103" t="s">
        <v>798</v>
      </c>
      <c r="C23" s="63" t="s">
        <v>799</v>
      </c>
      <c r="D23" s="22"/>
      <c r="E23" s="22"/>
      <c r="F23" s="22"/>
      <c r="G23" s="587"/>
      <c r="H23" s="367" t="str">
        <f t="shared" ref="H23:H31" si="2">IF(D23="","",F23*G23)</f>
        <v/>
      </c>
      <c r="I23" s="12"/>
    </row>
    <row r="24" spans="2:17" s="9" customFormat="1">
      <c r="B24" s="102"/>
      <c r="C24" s="50"/>
      <c r="D24" s="22"/>
      <c r="E24" s="22"/>
      <c r="F24" s="22"/>
      <c r="G24" s="587"/>
      <c r="H24" s="367" t="str">
        <f t="shared" si="2"/>
        <v/>
      </c>
      <c r="I24" s="12"/>
    </row>
    <row r="25" spans="2:17" s="9" customFormat="1" ht="25.5">
      <c r="B25" s="103" t="s">
        <v>800</v>
      </c>
      <c r="C25" s="16" t="s">
        <v>801</v>
      </c>
      <c r="D25" s="36" t="s">
        <v>85</v>
      </c>
      <c r="E25" s="22"/>
      <c r="F25" s="22">
        <v>1</v>
      </c>
      <c r="G25" s="587"/>
      <c r="H25" s="367">
        <f t="shared" si="2"/>
        <v>0</v>
      </c>
      <c r="I25" s="54" t="s">
        <v>3053</v>
      </c>
    </row>
    <row r="26" spans="2:17" s="9" customFormat="1">
      <c r="B26" s="48"/>
      <c r="C26" s="14"/>
      <c r="D26" s="22"/>
      <c r="E26" s="22"/>
      <c r="F26" s="22"/>
      <c r="G26" s="587"/>
      <c r="H26" s="367" t="str">
        <f t="shared" si="2"/>
        <v/>
      </c>
      <c r="I26" s="12"/>
    </row>
    <row r="27" spans="2:17" s="9" customFormat="1" ht="25.5">
      <c r="B27" s="103" t="s">
        <v>802</v>
      </c>
      <c r="C27" s="16" t="s">
        <v>803</v>
      </c>
      <c r="D27" s="22"/>
      <c r="E27" s="22"/>
      <c r="F27" s="22"/>
      <c r="G27" s="587"/>
      <c r="H27" s="367" t="str">
        <f t="shared" si="2"/>
        <v/>
      </c>
      <c r="I27" s="12"/>
    </row>
    <row r="28" spans="2:17" s="9" customFormat="1">
      <c r="B28" s="102"/>
      <c r="C28" s="14"/>
      <c r="D28" s="22"/>
      <c r="E28" s="22"/>
      <c r="F28" s="22"/>
      <c r="G28" s="587"/>
      <c r="H28" s="367" t="str">
        <f t="shared" si="2"/>
        <v/>
      </c>
      <c r="I28" s="12"/>
      <c r="Q28" s="9">
        <f>16*1*0.05</f>
        <v>0.8</v>
      </c>
    </row>
    <row r="29" spans="2:17" s="9" customFormat="1" ht="14.25">
      <c r="B29" s="641" t="s">
        <v>804</v>
      </c>
      <c r="C29" s="642" t="s">
        <v>805</v>
      </c>
      <c r="D29" s="563" t="s">
        <v>3055</v>
      </c>
      <c r="E29" s="563"/>
      <c r="F29" s="563">
        <v>450</v>
      </c>
      <c r="G29" s="640"/>
      <c r="H29" s="644">
        <f t="shared" si="2"/>
        <v>0</v>
      </c>
      <c r="I29" s="54" t="s">
        <v>3053</v>
      </c>
      <c r="K29" s="9" t="s">
        <v>3056</v>
      </c>
      <c r="N29" s="9">
        <f>1000*0.05</f>
        <v>50</v>
      </c>
    </row>
    <row r="30" spans="2:17" s="9" customFormat="1">
      <c r="B30" s="647"/>
      <c r="C30" s="646"/>
      <c r="D30" s="563"/>
      <c r="E30" s="563"/>
      <c r="F30" s="563"/>
      <c r="G30" s="640"/>
      <c r="H30" s="644" t="str">
        <f t="shared" si="2"/>
        <v/>
      </c>
      <c r="I30" s="54"/>
    </row>
    <row r="31" spans="2:17" s="9" customFormat="1" ht="14.25">
      <c r="B31" s="641" t="s">
        <v>806</v>
      </c>
      <c r="C31" s="642" t="s">
        <v>807</v>
      </c>
      <c r="D31" s="563" t="s">
        <v>3055</v>
      </c>
      <c r="E31" s="563"/>
      <c r="F31" s="563">
        <v>350</v>
      </c>
      <c r="G31" s="640"/>
      <c r="H31" s="644">
        <f t="shared" si="2"/>
        <v>0</v>
      </c>
      <c r="I31" s="54" t="s">
        <v>3053</v>
      </c>
    </row>
    <row r="32" spans="2:17" s="9" customFormat="1">
      <c r="B32" s="641"/>
      <c r="C32" s="642"/>
      <c r="D32" s="563"/>
      <c r="E32" s="563"/>
      <c r="F32" s="563"/>
      <c r="G32" s="640"/>
      <c r="H32" s="644"/>
      <c r="I32" s="12"/>
    </row>
    <row r="33" spans="2:20" s="9" customFormat="1" ht="14.25">
      <c r="B33" s="641" t="s">
        <v>3057</v>
      </c>
      <c r="C33" s="642" t="s">
        <v>3058</v>
      </c>
      <c r="D33" s="563" t="s">
        <v>3055</v>
      </c>
      <c r="E33" s="563"/>
      <c r="F33" s="563">
        <v>350</v>
      </c>
      <c r="G33" s="640"/>
      <c r="H33" s="644">
        <f>G33*F33</f>
        <v>0</v>
      </c>
      <c r="I33" s="54" t="s">
        <v>3053</v>
      </c>
    </row>
    <row r="34" spans="2:20" s="9" customFormat="1">
      <c r="B34" s="21"/>
      <c r="C34" s="22"/>
      <c r="D34" s="22"/>
      <c r="E34" s="22"/>
      <c r="F34" s="22"/>
      <c r="G34" s="586"/>
      <c r="H34" s="489"/>
      <c r="I34" s="12"/>
      <c r="R34" s="9">
        <v>0.05</v>
      </c>
      <c r="S34" s="9">
        <v>1880</v>
      </c>
      <c r="T34" s="9">
        <f>S34*R34</f>
        <v>94</v>
      </c>
    </row>
    <row r="35" spans="2:20" ht="25.5">
      <c r="B35" s="103" t="s">
        <v>3059</v>
      </c>
      <c r="C35" s="16" t="s">
        <v>3060</v>
      </c>
      <c r="D35" s="22"/>
      <c r="E35" s="22"/>
      <c r="F35" s="22"/>
      <c r="G35" s="587"/>
      <c r="H35" s="367" t="str">
        <f t="shared" ref="H35:H36" si="3">IF(D35="","",F35*G35)</f>
        <v/>
      </c>
      <c r="I35" s="239"/>
      <c r="R35" s="1">
        <v>0.05</v>
      </c>
      <c r="S35" s="1">
        <v>1880</v>
      </c>
      <c r="T35" s="9">
        <f t="shared" ref="T35:T36" si="4">S35*R35</f>
        <v>94</v>
      </c>
    </row>
    <row r="36" spans="2:20">
      <c r="B36" s="102"/>
      <c r="C36" s="50"/>
      <c r="D36" s="22"/>
      <c r="E36" s="22"/>
      <c r="F36" s="22"/>
      <c r="G36" s="587"/>
      <c r="H36" s="367" t="str">
        <f t="shared" si="3"/>
        <v/>
      </c>
      <c r="I36" s="277"/>
      <c r="R36" s="1">
        <v>7.0000000000000007E-2</v>
      </c>
      <c r="S36" s="1">
        <v>1880</v>
      </c>
      <c r="T36" s="9">
        <f t="shared" si="4"/>
        <v>131.60000000000002</v>
      </c>
    </row>
    <row r="37" spans="2:20" ht="25.5">
      <c r="B37" s="103" t="s">
        <v>3059</v>
      </c>
      <c r="C37" s="16" t="s">
        <v>3060</v>
      </c>
      <c r="D37" s="22"/>
      <c r="E37" s="22"/>
      <c r="F37" s="22"/>
      <c r="G37" s="587"/>
      <c r="H37" s="367" t="str">
        <f t="shared" ref="H37:H46" si="5">IF(D37="","",F37*G37)</f>
        <v/>
      </c>
      <c r="I37" s="277"/>
    </row>
    <row r="38" spans="2:20">
      <c r="B38" s="102"/>
      <c r="C38" s="50"/>
      <c r="D38" s="22"/>
      <c r="E38" s="22"/>
      <c r="F38" s="22"/>
      <c r="G38" s="587"/>
      <c r="H38" s="367" t="str">
        <f t="shared" si="5"/>
        <v/>
      </c>
      <c r="I38" s="277"/>
    </row>
    <row r="39" spans="2:20" ht="14.25">
      <c r="B39" s="103" t="s">
        <v>3061</v>
      </c>
      <c r="C39" s="63" t="s">
        <v>3062</v>
      </c>
      <c r="D39" s="22" t="s">
        <v>386</v>
      </c>
      <c r="E39" s="22"/>
      <c r="F39" s="22">
        <v>250</v>
      </c>
      <c r="G39" s="587"/>
      <c r="H39" s="367">
        <f t="shared" si="5"/>
        <v>0</v>
      </c>
      <c r="I39" s="277"/>
    </row>
    <row r="40" spans="2:20">
      <c r="B40" s="102"/>
      <c r="C40" s="50"/>
      <c r="D40" s="22"/>
      <c r="E40" s="22"/>
      <c r="F40" s="22"/>
      <c r="G40" s="587"/>
      <c r="H40" s="367" t="str">
        <f t="shared" si="5"/>
        <v/>
      </c>
      <c r="I40" s="277"/>
    </row>
    <row r="41" spans="2:20" ht="14.25">
      <c r="B41" s="103" t="s">
        <v>3063</v>
      </c>
      <c r="C41" s="63" t="s">
        <v>1084</v>
      </c>
      <c r="D41" s="22" t="s">
        <v>386</v>
      </c>
      <c r="E41" s="22"/>
      <c r="F41" s="22">
        <v>250</v>
      </c>
      <c r="G41" s="587"/>
      <c r="H41" s="367">
        <f t="shared" si="5"/>
        <v>0</v>
      </c>
      <c r="I41" s="277"/>
    </row>
    <row r="42" spans="2:20">
      <c r="B42" s="102"/>
      <c r="C42" s="50"/>
      <c r="D42" s="22"/>
      <c r="E42" s="22"/>
      <c r="F42" s="22"/>
      <c r="G42" s="587"/>
      <c r="H42" s="367" t="str">
        <f t="shared" si="5"/>
        <v/>
      </c>
      <c r="I42" s="277"/>
    </row>
    <row r="43" spans="2:20" ht="14.25">
      <c r="B43" s="103" t="s">
        <v>3064</v>
      </c>
      <c r="C43" s="63" t="s">
        <v>3065</v>
      </c>
      <c r="D43" s="22" t="s">
        <v>386</v>
      </c>
      <c r="E43" s="22"/>
      <c r="F43" s="22">
        <v>500</v>
      </c>
      <c r="G43" s="587"/>
      <c r="H43" s="367">
        <f t="shared" si="5"/>
        <v>0</v>
      </c>
      <c r="I43" s="277"/>
    </row>
    <row r="44" spans="2:20">
      <c r="B44" s="102"/>
      <c r="C44" s="50"/>
      <c r="D44" s="22"/>
      <c r="E44" s="22"/>
      <c r="F44" s="22"/>
      <c r="G44" s="351"/>
      <c r="H44" s="367" t="str">
        <f t="shared" si="5"/>
        <v/>
      </c>
      <c r="I44" s="277"/>
    </row>
    <row r="45" spans="2:20">
      <c r="B45" s="103"/>
      <c r="C45" s="63"/>
      <c r="D45" s="22"/>
      <c r="E45" s="22"/>
      <c r="F45" s="22"/>
      <c r="G45" s="351"/>
      <c r="H45" s="367"/>
      <c r="I45" s="277"/>
    </row>
    <row r="46" spans="2:20">
      <c r="B46" s="48"/>
      <c r="C46" s="14"/>
      <c r="D46" s="22"/>
      <c r="E46" s="22"/>
      <c r="F46" s="22"/>
      <c r="G46" s="351"/>
      <c r="H46" s="367" t="str">
        <f t="shared" si="5"/>
        <v/>
      </c>
      <c r="I46" s="277"/>
    </row>
    <row r="47" spans="2:20">
      <c r="B47" s="48"/>
      <c r="C47" s="50"/>
      <c r="D47" s="22"/>
      <c r="E47" s="22"/>
      <c r="F47" s="22"/>
      <c r="G47" s="351"/>
      <c r="H47" s="367"/>
      <c r="I47" s="277"/>
    </row>
    <row r="48" spans="2:20">
      <c r="B48" s="103"/>
      <c r="C48" s="63"/>
      <c r="D48" s="22"/>
      <c r="E48" s="22"/>
      <c r="F48" s="22"/>
      <c r="G48" s="351"/>
      <c r="H48" s="367"/>
      <c r="I48" s="277"/>
    </row>
    <row r="49" spans="2:9">
      <c r="B49" s="103"/>
      <c r="C49" s="63"/>
      <c r="D49" s="22"/>
      <c r="E49" s="22"/>
      <c r="F49" s="22"/>
      <c r="G49" s="351"/>
      <c r="H49" s="367" t="str">
        <f t="shared" ref="H49" si="6">IF(D49="","",F49*G49)</f>
        <v/>
      </c>
      <c r="I49" s="277"/>
    </row>
    <row r="50" spans="2:9" s="28" customFormat="1" ht="19.5" customHeight="1">
      <c r="B50" s="82" t="str">
        <f>$B$10</f>
        <v>C4.3</v>
      </c>
      <c r="C50" s="29" t="s">
        <v>125</v>
      </c>
      <c r="D50" s="30"/>
      <c r="E50" s="30"/>
      <c r="F50" s="31"/>
      <c r="G50" s="412"/>
      <c r="H50" s="364">
        <f>SUM(H15:H49)</f>
        <v>0</v>
      </c>
      <c r="I50" s="236"/>
    </row>
  </sheetData>
  <sheetProtection algorithmName="SHA-512" hashValue="j5gZ9xHBsvWyUrIBP7izupQ0Ei1yFimhEhp5PeMLjtqYthxJQHwZ0iSUdEkFlrJ8gGsHPGvQUYtD214S4tLdpw==" saltValue="abp61uJg+xWFm95lZfiIZA=="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8"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CE45-BD19-400F-BF5F-F08315B3B318}">
  <sheetPr codeName="Sheet94">
    <tabColor rgb="FF00B0F0"/>
  </sheetPr>
  <dimension ref="B1:L54"/>
  <sheetViews>
    <sheetView view="pageBreakPreview" topLeftCell="A4" zoomScaleNormal="115" zoomScaleSheetLayoutView="100" workbookViewId="0">
      <selection activeCell="H24" sqref="H24"/>
    </sheetView>
  </sheetViews>
  <sheetFormatPr defaultColWidth="8.85546875" defaultRowHeight="12"/>
  <cols>
    <col min="1" max="1" width="0.85546875" style="317" customWidth="1"/>
    <col min="2" max="2" width="11.7109375" style="485" customWidth="1"/>
    <col min="3" max="3" width="45.7109375" style="461" customWidth="1"/>
    <col min="4" max="4" width="15.28515625" style="462" customWidth="1"/>
    <col min="5" max="5" width="5.7109375" style="462" customWidth="1"/>
    <col min="6" max="6" width="15.7109375" style="462" customWidth="1"/>
    <col min="7" max="7" width="11.85546875" style="464" customWidth="1"/>
    <col min="8" max="8" width="16.7109375" style="465" customWidth="1"/>
    <col min="9" max="9" width="39.85546875" style="462" hidden="1" customWidth="1"/>
    <col min="10" max="11" width="0" style="317" hidden="1" customWidth="1"/>
    <col min="12" max="12" width="12.28515625" style="317" hidden="1" customWidth="1"/>
    <col min="13" max="36" width="0" style="317" hidden="1" customWidth="1"/>
    <col min="37" max="16384" width="8.85546875" style="317"/>
  </cols>
  <sheetData>
    <row r="1" spans="2:11">
      <c r="B1" s="460" t="str">
        <f>Client1</f>
        <v>AIRPORTS COMPANY - SOUTH AFRICA</v>
      </c>
      <c r="F1" s="802" t="str">
        <f>"Contract No. "&amp;ContractNo</f>
        <v>Contract No. KSIA7806/2025/RFP</v>
      </c>
      <c r="G1" s="802"/>
      <c r="H1" s="802"/>
    </row>
    <row r="2" spans="2:11">
      <c r="B2" s="463" t="str">
        <f>Client2</f>
        <v>ACSA</v>
      </c>
    </row>
    <row r="3" spans="2:11">
      <c r="B3" s="461"/>
    </row>
    <row r="4" spans="2:11">
      <c r="B4" s="803" t="s">
        <v>2943</v>
      </c>
      <c r="C4" s="804"/>
      <c r="D4" s="804"/>
      <c r="E4" s="804"/>
      <c r="F4" s="804"/>
      <c r="G4" s="804"/>
      <c r="H4" s="805" t="str">
        <f>"CHAPTER "&amp;B10</f>
        <v>CHAPTER C4.4</v>
      </c>
      <c r="I4" s="676" t="s">
        <v>100</v>
      </c>
    </row>
    <row r="5" spans="2:11" ht="7.5" customHeight="1">
      <c r="B5" s="808" t="str">
        <f>ContractDescription</f>
        <v>PROCUREMENT OF A CIDB GRADE 9 CE CONTRACTOR THE COMPLETION OF BRAVO TAXIWAY EXTENSION AT KING SHAKA INTERNATIONAL AIRPORT FOR A PERIOD OF 12 MONTHS AT KING SHAKA INTERNATIONAL AIRPORT</v>
      </c>
      <c r="C5" s="809"/>
      <c r="D5" s="809"/>
      <c r="E5" s="809"/>
      <c r="F5" s="809"/>
      <c r="G5" s="809"/>
      <c r="H5" s="806"/>
      <c r="I5" s="676"/>
    </row>
    <row r="6" spans="2:11" ht="12.75" customHeight="1">
      <c r="B6" s="808"/>
      <c r="C6" s="809"/>
      <c r="D6" s="809"/>
      <c r="E6" s="809"/>
      <c r="F6" s="809"/>
      <c r="G6" s="809"/>
      <c r="H6" s="806"/>
      <c r="I6" s="676"/>
    </row>
    <row r="7" spans="2:11" s="318" customFormat="1" ht="14.25" customHeight="1">
      <c r="B7" s="810"/>
      <c r="C7" s="811"/>
      <c r="D7" s="811"/>
      <c r="E7" s="811"/>
      <c r="F7" s="811"/>
      <c r="G7" s="811"/>
      <c r="H7" s="807"/>
      <c r="I7" s="676"/>
    </row>
    <row r="8" spans="2:11" s="318" customFormat="1" ht="24.95" customHeight="1">
      <c r="B8" s="467" t="s">
        <v>11</v>
      </c>
      <c r="C8" s="468" t="s">
        <v>12</v>
      </c>
      <c r="D8" s="468" t="s">
        <v>13</v>
      </c>
      <c r="E8" s="468" t="s">
        <v>14</v>
      </c>
      <c r="F8" s="468" t="s">
        <v>15</v>
      </c>
      <c r="G8" s="469" t="s">
        <v>16</v>
      </c>
      <c r="H8" s="373" t="s">
        <v>17</v>
      </c>
      <c r="I8" s="676"/>
    </row>
    <row r="9" spans="2:11">
      <c r="B9" s="470"/>
      <c r="C9" s="466"/>
      <c r="D9" s="471"/>
      <c r="E9" s="447"/>
      <c r="F9" s="447"/>
      <c r="G9" s="448"/>
      <c r="H9" s="372" t="str">
        <f t="shared" ref="H9:H48" si="0">IF(D9="","",F9*G9)</f>
        <v/>
      </c>
      <c r="I9" s="334"/>
    </row>
    <row r="10" spans="2:11">
      <c r="B10" s="472" t="s">
        <v>836</v>
      </c>
      <c r="C10" s="466" t="s">
        <v>837</v>
      </c>
      <c r="D10" s="447"/>
      <c r="E10" s="447"/>
      <c r="F10" s="447"/>
      <c r="G10" s="448"/>
      <c r="H10" s="372" t="str">
        <f t="shared" si="0"/>
        <v/>
      </c>
      <c r="I10" s="334"/>
    </row>
    <row r="11" spans="2:11">
      <c r="B11" s="473"/>
      <c r="C11" s="474"/>
      <c r="D11" s="446"/>
      <c r="E11" s="446"/>
      <c r="F11" s="446"/>
      <c r="G11" s="475"/>
      <c r="H11" s="372" t="str">
        <f t="shared" si="0"/>
        <v/>
      </c>
      <c r="I11" s="335"/>
    </row>
    <row r="12" spans="2:11" ht="38.1" customHeight="1">
      <c r="B12" s="658" t="s">
        <v>838</v>
      </c>
      <c r="C12" s="649" t="s">
        <v>839</v>
      </c>
      <c r="D12" s="650"/>
      <c r="E12" s="650"/>
      <c r="F12" s="650"/>
      <c r="G12" s="659"/>
      <c r="H12" s="653" t="str">
        <f t="shared" si="0"/>
        <v/>
      </c>
      <c r="I12" s="335"/>
    </row>
    <row r="13" spans="2:11">
      <c r="B13" s="660"/>
      <c r="C13" s="657"/>
      <c r="D13" s="650"/>
      <c r="E13" s="650"/>
      <c r="F13" s="650"/>
      <c r="G13" s="659"/>
      <c r="H13" s="653" t="str">
        <f t="shared" si="0"/>
        <v/>
      </c>
      <c r="I13" s="335"/>
    </row>
    <row r="14" spans="2:11">
      <c r="B14" s="658" t="s">
        <v>840</v>
      </c>
      <c r="C14" s="657" t="s">
        <v>841</v>
      </c>
      <c r="D14" s="650"/>
      <c r="E14" s="650"/>
      <c r="F14" s="650"/>
      <c r="G14" s="659"/>
      <c r="H14" s="653" t="str">
        <f t="shared" si="0"/>
        <v/>
      </c>
      <c r="I14" s="335"/>
    </row>
    <row r="15" spans="2:11">
      <c r="B15" s="477"/>
      <c r="C15" s="476"/>
      <c r="D15" s="446"/>
      <c r="E15" s="446"/>
      <c r="F15" s="446"/>
      <c r="G15" s="383"/>
      <c r="H15" s="372" t="str">
        <f t="shared" si="0"/>
        <v/>
      </c>
      <c r="I15" s="336"/>
    </row>
    <row r="16" spans="2:11" ht="13.5">
      <c r="B16" s="648" t="s">
        <v>86</v>
      </c>
      <c r="C16" s="649" t="s">
        <v>3066</v>
      </c>
      <c r="D16" s="650" t="s">
        <v>3067</v>
      </c>
      <c r="E16" s="651"/>
      <c r="F16" s="651">
        <v>1023</v>
      </c>
      <c r="G16" s="652"/>
      <c r="H16" s="653">
        <f t="shared" si="0"/>
        <v>0</v>
      </c>
      <c r="I16" s="336"/>
      <c r="K16" s="317">
        <f>F16*1.1</f>
        <v>1125.3000000000002</v>
      </c>
    </row>
    <row r="17" spans="2:12">
      <c r="B17" s="654"/>
      <c r="C17" s="655"/>
      <c r="D17" s="650"/>
      <c r="E17" s="651"/>
      <c r="F17" s="651"/>
      <c r="G17" s="652"/>
      <c r="H17" s="653" t="str">
        <f t="shared" si="0"/>
        <v/>
      </c>
      <c r="I17" s="336"/>
      <c r="K17" s="317">
        <f t="shared" ref="K17:K41" si="1">F17*1.1</f>
        <v>0</v>
      </c>
    </row>
    <row r="18" spans="2:12" ht="13.5">
      <c r="B18" s="648" t="s">
        <v>308</v>
      </c>
      <c r="C18" s="649" t="s">
        <v>3068</v>
      </c>
      <c r="D18" s="650" t="s">
        <v>3067</v>
      </c>
      <c r="E18" s="651"/>
      <c r="F18" s="651">
        <v>4789</v>
      </c>
      <c r="G18" s="652"/>
      <c r="H18" s="653">
        <f t="shared" si="0"/>
        <v>0</v>
      </c>
      <c r="I18" s="335"/>
      <c r="K18" s="317">
        <f t="shared" si="1"/>
        <v>5267.9000000000005</v>
      </c>
    </row>
    <row r="19" spans="2:12">
      <c r="B19" s="648"/>
      <c r="C19" s="649"/>
      <c r="D19" s="650"/>
      <c r="E19" s="651"/>
      <c r="F19" s="651"/>
      <c r="G19" s="652"/>
      <c r="H19" s="653" t="str">
        <f t="shared" si="0"/>
        <v/>
      </c>
      <c r="I19" s="335"/>
      <c r="K19" s="317">
        <f t="shared" si="1"/>
        <v>0</v>
      </c>
    </row>
    <row r="20" spans="2:12" ht="13.5">
      <c r="B20" s="648" t="s">
        <v>3069</v>
      </c>
      <c r="C20" s="649" t="s">
        <v>3070</v>
      </c>
      <c r="D20" s="650" t="s">
        <v>3067</v>
      </c>
      <c r="E20" s="651"/>
      <c r="F20" s="651">
        <v>6711</v>
      </c>
      <c r="G20" s="652"/>
      <c r="H20" s="653">
        <f t="shared" si="0"/>
        <v>0</v>
      </c>
      <c r="I20" s="335" t="s">
        <v>338</v>
      </c>
      <c r="K20" s="317">
        <f t="shared" si="1"/>
        <v>7382.1</v>
      </c>
      <c r="L20" s="317">
        <f>F20*1.1</f>
        <v>7382.1</v>
      </c>
    </row>
    <row r="21" spans="2:12">
      <c r="B21" s="648"/>
      <c r="C21" s="649"/>
      <c r="D21" s="650"/>
      <c r="E21" s="651"/>
      <c r="F21" s="651"/>
      <c r="G21" s="652"/>
      <c r="H21" s="653" t="str">
        <f t="shared" si="0"/>
        <v/>
      </c>
      <c r="I21" s="335"/>
      <c r="K21" s="317">
        <f t="shared" si="1"/>
        <v>0</v>
      </c>
    </row>
    <row r="22" spans="2:12" ht="13.5">
      <c r="B22" s="648" t="s">
        <v>3071</v>
      </c>
      <c r="C22" s="649" t="s">
        <v>3072</v>
      </c>
      <c r="D22" s="650" t="s">
        <v>3067</v>
      </c>
      <c r="E22" s="651"/>
      <c r="F22" s="651">
        <v>1100</v>
      </c>
      <c r="G22" s="652"/>
      <c r="H22" s="653">
        <f t="shared" si="0"/>
        <v>0</v>
      </c>
      <c r="I22" s="335"/>
      <c r="K22" s="317">
        <f t="shared" si="1"/>
        <v>1210</v>
      </c>
    </row>
    <row r="23" spans="2:12">
      <c r="B23" s="648"/>
      <c r="C23" s="649"/>
      <c r="D23" s="650"/>
      <c r="E23" s="651"/>
      <c r="F23" s="651"/>
      <c r="G23" s="652"/>
      <c r="H23" s="653"/>
      <c r="I23" s="335"/>
      <c r="K23" s="317">
        <f t="shared" si="1"/>
        <v>0</v>
      </c>
      <c r="L23" s="478"/>
    </row>
    <row r="24" spans="2:12" ht="13.5">
      <c r="B24" s="648" t="s">
        <v>3073</v>
      </c>
      <c r="C24" s="649" t="s">
        <v>3074</v>
      </c>
      <c r="D24" s="650" t="s">
        <v>3067</v>
      </c>
      <c r="E24" s="651"/>
      <c r="F24" s="651">
        <v>1813</v>
      </c>
      <c r="G24" s="652"/>
      <c r="H24" s="653">
        <f t="shared" si="0"/>
        <v>0</v>
      </c>
      <c r="I24" s="335"/>
      <c r="L24" s="478"/>
    </row>
    <row r="25" spans="2:12">
      <c r="B25" s="648"/>
      <c r="C25" s="649"/>
      <c r="D25" s="650"/>
      <c r="E25" s="651"/>
      <c r="F25" s="651"/>
      <c r="G25" s="652"/>
      <c r="H25" s="653"/>
      <c r="I25" s="335"/>
      <c r="L25" s="478"/>
    </row>
    <row r="26" spans="2:12">
      <c r="B26" s="648" t="s">
        <v>3075</v>
      </c>
      <c r="C26" s="649" t="s">
        <v>3076</v>
      </c>
      <c r="D26" s="650" t="s">
        <v>724</v>
      </c>
      <c r="E26" s="651"/>
      <c r="F26" s="651">
        <v>2148</v>
      </c>
      <c r="G26" s="652"/>
      <c r="H26" s="653">
        <f t="shared" si="0"/>
        <v>0</v>
      </c>
      <c r="I26" s="335"/>
      <c r="L26" s="478"/>
    </row>
    <row r="27" spans="2:12">
      <c r="B27" s="648"/>
      <c r="C27" s="649"/>
      <c r="D27" s="650"/>
      <c r="E27" s="651"/>
      <c r="F27" s="651"/>
      <c r="G27" s="652"/>
      <c r="H27" s="653"/>
      <c r="I27" s="335"/>
      <c r="L27" s="478"/>
    </row>
    <row r="28" spans="2:12" ht="14.25">
      <c r="B28" s="648" t="s">
        <v>3077</v>
      </c>
      <c r="C28" s="649" t="s">
        <v>3078</v>
      </c>
      <c r="D28" s="650" t="s">
        <v>3055</v>
      </c>
      <c r="E28" s="651"/>
      <c r="F28" s="651">
        <v>1170</v>
      </c>
      <c r="G28" s="652"/>
      <c r="H28" s="653">
        <f t="shared" si="0"/>
        <v>0</v>
      </c>
      <c r="I28" s="335"/>
      <c r="L28" s="478"/>
    </row>
    <row r="29" spans="2:12">
      <c r="B29" s="648"/>
      <c r="C29" s="649"/>
      <c r="D29" s="650"/>
      <c r="E29" s="651"/>
      <c r="F29" s="651"/>
      <c r="G29" s="652"/>
      <c r="H29" s="653"/>
      <c r="I29" s="335"/>
      <c r="L29" s="478"/>
    </row>
    <row r="30" spans="2:12">
      <c r="B30" s="648" t="s">
        <v>844</v>
      </c>
      <c r="C30" s="649" t="s">
        <v>845</v>
      </c>
      <c r="D30" s="650"/>
      <c r="E30" s="651"/>
      <c r="F30" s="651"/>
      <c r="G30" s="652"/>
      <c r="H30" s="653" t="str">
        <f t="shared" si="0"/>
        <v/>
      </c>
      <c r="I30" s="335"/>
      <c r="K30" s="317">
        <f t="shared" si="1"/>
        <v>0</v>
      </c>
    </row>
    <row r="31" spans="2:12">
      <c r="B31" s="648"/>
      <c r="C31" s="649"/>
      <c r="D31" s="650"/>
      <c r="E31" s="651"/>
      <c r="F31" s="651"/>
      <c r="G31" s="652"/>
      <c r="H31" s="653" t="str">
        <f t="shared" si="0"/>
        <v/>
      </c>
      <c r="I31" s="335"/>
      <c r="K31" s="317">
        <f t="shared" si="1"/>
        <v>0</v>
      </c>
    </row>
    <row r="32" spans="2:12" ht="15.75">
      <c r="B32" s="648" t="s">
        <v>83</v>
      </c>
      <c r="C32" s="649" t="s">
        <v>846</v>
      </c>
      <c r="D32" s="650" t="s">
        <v>3079</v>
      </c>
      <c r="E32" s="651"/>
      <c r="F32" s="651">
        <v>2750</v>
      </c>
      <c r="G32" s="652"/>
      <c r="H32" s="653">
        <f t="shared" si="0"/>
        <v>0</v>
      </c>
      <c r="I32" s="335"/>
      <c r="K32" s="317">
        <f t="shared" si="1"/>
        <v>3025.0000000000005</v>
      </c>
    </row>
    <row r="33" spans="2:12">
      <c r="B33" s="648"/>
      <c r="C33" s="649"/>
      <c r="D33" s="650"/>
      <c r="E33" s="651"/>
      <c r="F33" s="651"/>
      <c r="G33" s="652"/>
      <c r="H33" s="653" t="str">
        <f>IF(D33="","",F33*G33)</f>
        <v/>
      </c>
      <c r="I33" s="335"/>
      <c r="K33" s="317">
        <f t="shared" si="1"/>
        <v>0</v>
      </c>
    </row>
    <row r="34" spans="2:12">
      <c r="B34" s="648" t="s">
        <v>86</v>
      </c>
      <c r="C34" s="649" t="s">
        <v>3080</v>
      </c>
      <c r="D34" s="650" t="s">
        <v>724</v>
      </c>
      <c r="E34" s="651"/>
      <c r="F34" s="651">
        <v>6480</v>
      </c>
      <c r="G34" s="652"/>
      <c r="H34" s="653">
        <f>IF(D34="","",F34*G34)</f>
        <v>0</v>
      </c>
      <c r="I34" s="335" t="s">
        <v>338</v>
      </c>
      <c r="K34" s="317">
        <f t="shared" si="1"/>
        <v>7128.0000000000009</v>
      </c>
      <c r="L34" s="317">
        <v>1563825</v>
      </c>
    </row>
    <row r="35" spans="2:12">
      <c r="B35" s="648"/>
      <c r="C35" s="649"/>
      <c r="D35" s="650"/>
      <c r="E35" s="651"/>
      <c r="F35" s="651"/>
      <c r="G35" s="652"/>
      <c r="H35" s="653"/>
      <c r="K35" s="317">
        <f t="shared" si="1"/>
        <v>0</v>
      </c>
      <c r="L35" s="479">
        <f>H34-L34</f>
        <v>-1563825</v>
      </c>
    </row>
    <row r="36" spans="2:12" ht="15.75">
      <c r="B36" s="648" t="s">
        <v>117</v>
      </c>
      <c r="C36" s="649" t="s">
        <v>3081</v>
      </c>
      <c r="D36" s="650" t="s">
        <v>3079</v>
      </c>
      <c r="E36" s="651"/>
      <c r="F36" s="651">
        <v>2375</v>
      </c>
      <c r="G36" s="652"/>
      <c r="H36" s="653">
        <f>G36*F36</f>
        <v>0</v>
      </c>
      <c r="K36" s="317">
        <f t="shared" si="1"/>
        <v>2612.5</v>
      </c>
    </row>
    <row r="37" spans="2:12" ht="11.25" customHeight="1">
      <c r="B37" s="648"/>
      <c r="C37" s="649"/>
      <c r="D37" s="650"/>
      <c r="E37" s="651"/>
      <c r="F37" s="651"/>
      <c r="G37" s="652"/>
      <c r="H37" s="653" t="str">
        <f>IF(D37="","",F37*G37)</f>
        <v/>
      </c>
      <c r="K37" s="317">
        <f t="shared" si="1"/>
        <v>0</v>
      </c>
    </row>
    <row r="38" spans="2:12">
      <c r="B38" s="648" t="s">
        <v>3082</v>
      </c>
      <c r="C38" s="649" t="s">
        <v>3083</v>
      </c>
      <c r="D38" s="650"/>
      <c r="E38" s="651"/>
      <c r="F38" s="651"/>
      <c r="G38" s="652"/>
      <c r="H38" s="653" t="str">
        <f>IF(D38="","",F38*G38)</f>
        <v/>
      </c>
      <c r="K38" s="317">
        <f t="shared" si="1"/>
        <v>0</v>
      </c>
    </row>
    <row r="39" spans="2:12">
      <c r="B39" s="648"/>
      <c r="C39" s="649"/>
      <c r="D39" s="650"/>
      <c r="E39" s="651"/>
      <c r="F39" s="651"/>
      <c r="G39" s="652"/>
      <c r="H39" s="653" t="str">
        <f>IF(D39="","",F39*G39)</f>
        <v/>
      </c>
      <c r="K39" s="317">
        <f t="shared" si="1"/>
        <v>0</v>
      </c>
    </row>
    <row r="40" spans="2:12">
      <c r="B40" s="648" t="s">
        <v>3084</v>
      </c>
      <c r="C40" s="649" t="s">
        <v>1934</v>
      </c>
      <c r="D40" s="650" t="s">
        <v>903</v>
      </c>
      <c r="E40" s="651"/>
      <c r="F40" s="651">
        <v>377</v>
      </c>
      <c r="G40" s="652"/>
      <c r="H40" s="653">
        <f t="shared" si="0"/>
        <v>0</v>
      </c>
      <c r="K40" s="317">
        <f t="shared" si="1"/>
        <v>414.70000000000005</v>
      </c>
    </row>
    <row r="41" spans="2:12">
      <c r="B41" s="648"/>
      <c r="C41" s="649"/>
      <c r="D41" s="650"/>
      <c r="E41" s="651"/>
      <c r="F41" s="651"/>
      <c r="G41" s="656"/>
      <c r="H41" s="653" t="str">
        <f t="shared" si="0"/>
        <v/>
      </c>
      <c r="K41" s="317">
        <f t="shared" si="1"/>
        <v>0</v>
      </c>
    </row>
    <row r="42" spans="2:12" ht="24">
      <c r="B42" s="648" t="s">
        <v>848</v>
      </c>
      <c r="C42" s="649" t="s">
        <v>849</v>
      </c>
      <c r="D42" s="650"/>
      <c r="E42" s="651"/>
      <c r="F42" s="651"/>
      <c r="G42" s="656"/>
      <c r="H42" s="653" t="str">
        <f t="shared" si="0"/>
        <v/>
      </c>
    </row>
    <row r="43" spans="2:12">
      <c r="B43" s="648"/>
      <c r="C43" s="649"/>
      <c r="D43" s="650"/>
      <c r="E43" s="651"/>
      <c r="F43" s="651"/>
      <c r="G43" s="656"/>
      <c r="H43" s="653" t="str">
        <f t="shared" si="0"/>
        <v/>
      </c>
    </row>
    <row r="44" spans="2:12">
      <c r="B44" s="648" t="s">
        <v>850</v>
      </c>
      <c r="C44" s="649" t="s">
        <v>851</v>
      </c>
      <c r="D44" s="650" t="s">
        <v>52</v>
      </c>
      <c r="E44" s="651"/>
      <c r="F44" s="651">
        <v>150000</v>
      </c>
      <c r="G44" s="656">
        <v>1</v>
      </c>
      <c r="H44" s="653">
        <f t="shared" si="0"/>
        <v>150000</v>
      </c>
    </row>
    <row r="45" spans="2:12">
      <c r="B45" s="648"/>
      <c r="C45" s="649"/>
      <c r="D45" s="650"/>
      <c r="E45" s="651"/>
      <c r="F45" s="651"/>
      <c r="G45" s="656"/>
      <c r="H45" s="653" t="str">
        <f t="shared" si="0"/>
        <v/>
      </c>
    </row>
    <row r="46" spans="2:12">
      <c r="B46" s="648" t="s">
        <v>852</v>
      </c>
      <c r="C46" s="649" t="s">
        <v>3085</v>
      </c>
      <c r="D46" s="650" t="s">
        <v>55</v>
      </c>
      <c r="E46" s="651"/>
      <c r="F46" s="651">
        <v>150000</v>
      </c>
      <c r="G46" s="652"/>
      <c r="H46" s="653">
        <f t="shared" si="0"/>
        <v>0</v>
      </c>
    </row>
    <row r="47" spans="2:12">
      <c r="B47" s="648"/>
      <c r="C47" s="649"/>
      <c r="D47" s="650"/>
      <c r="E47" s="651"/>
      <c r="F47" s="651"/>
      <c r="G47" s="652"/>
      <c r="H47" s="653" t="str">
        <f t="shared" si="0"/>
        <v/>
      </c>
    </row>
    <row r="48" spans="2:12" ht="24">
      <c r="B48" s="648" t="s">
        <v>3086</v>
      </c>
      <c r="C48" s="649" t="s">
        <v>3087</v>
      </c>
      <c r="D48" s="650" t="s">
        <v>782</v>
      </c>
      <c r="E48" s="651"/>
      <c r="F48" s="651">
        <v>8054</v>
      </c>
      <c r="G48" s="652"/>
      <c r="H48" s="653">
        <f t="shared" si="0"/>
        <v>0</v>
      </c>
      <c r="K48" s="317">
        <f>F48*1.1</f>
        <v>8859.4000000000015</v>
      </c>
    </row>
    <row r="49" spans="2:11">
      <c r="B49" s="648"/>
      <c r="C49" s="657"/>
      <c r="D49" s="650"/>
      <c r="E49" s="651"/>
      <c r="F49" s="651"/>
      <c r="G49" s="652"/>
      <c r="H49" s="653"/>
      <c r="K49" s="317">
        <f t="shared" ref="K49:K50" si="2">F49*1.1</f>
        <v>0</v>
      </c>
    </row>
    <row r="50" spans="2:11">
      <c r="B50" s="648" t="s">
        <v>3088</v>
      </c>
      <c r="C50" s="649" t="s">
        <v>3089</v>
      </c>
      <c r="D50" s="650" t="s">
        <v>782</v>
      </c>
      <c r="E50" s="651"/>
      <c r="F50" s="651">
        <v>16715</v>
      </c>
      <c r="G50" s="652"/>
      <c r="H50" s="653">
        <f t="shared" ref="H50" si="3">IF(D50="","",F50*G50)</f>
        <v>0</v>
      </c>
      <c r="I50" s="462" t="s">
        <v>3090</v>
      </c>
      <c r="K50" s="317">
        <f t="shared" si="2"/>
        <v>18386.5</v>
      </c>
    </row>
    <row r="51" spans="2:11">
      <c r="B51" s="658"/>
      <c r="C51" s="657"/>
      <c r="D51" s="650"/>
      <c r="E51" s="650"/>
      <c r="F51" s="650"/>
      <c r="G51" s="659"/>
      <c r="H51" s="653"/>
      <c r="I51" s="335"/>
    </row>
    <row r="52" spans="2:11">
      <c r="B52" s="648" t="s">
        <v>3091</v>
      </c>
      <c r="C52" s="649" t="s">
        <v>3092</v>
      </c>
      <c r="D52" s="650" t="s">
        <v>1545</v>
      </c>
      <c r="E52" s="651"/>
      <c r="F52" s="651">
        <v>1030</v>
      </c>
      <c r="G52" s="652"/>
      <c r="H52" s="653">
        <f>G52*F52</f>
        <v>0</v>
      </c>
      <c r="I52" s="335"/>
    </row>
    <row r="53" spans="2:11">
      <c r="B53" s="473"/>
      <c r="C53" s="474"/>
      <c r="D53" s="446"/>
      <c r="E53" s="446"/>
      <c r="F53" s="446"/>
      <c r="G53" s="383"/>
      <c r="H53" s="372"/>
      <c r="I53" s="335"/>
    </row>
    <row r="54" spans="2:11" s="319" customFormat="1" ht="19.5" customHeight="1">
      <c r="B54" s="480" t="str">
        <f>$B$10</f>
        <v>C4.4</v>
      </c>
      <c r="C54" s="481" t="s">
        <v>125</v>
      </c>
      <c r="D54" s="482"/>
      <c r="E54" s="482"/>
      <c r="F54" s="483"/>
      <c r="G54" s="484"/>
      <c r="H54" s="373">
        <f>SUM(H9:H53)</f>
        <v>150000</v>
      </c>
      <c r="I54" s="337"/>
    </row>
  </sheetData>
  <sheetProtection algorithmName="SHA-512" hashValue="4flZDWOlOoSv2YOF8GwyVXepLctWIC4ad9Eyhr0Eem4RNupgR2Hm4OyBRuMsNZ3sdXE/i3Mk+jJyO7FMCVUd1A==" saltValue="yaRVtym2EsqE5PUPViIfZA=="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EF81-2630-4722-BDA7-EE257781B180}">
  <sheetPr codeName="Sheet95">
    <tabColor rgb="FF00B0F0"/>
  </sheetPr>
  <dimension ref="B1:I39"/>
  <sheetViews>
    <sheetView view="pageBreakPreview" zoomScaleNormal="100" zoomScaleSheetLayoutView="100" workbookViewId="0">
      <selection activeCell="AN20" sqref="AN20"/>
    </sheetView>
  </sheetViews>
  <sheetFormatPr defaultColWidth="6.85546875" defaultRowHeight="12.75"/>
  <cols>
    <col min="1" max="1" width="0.85546875" style="51" customWidth="1"/>
    <col min="2" max="2" width="11.7109375" style="53" customWidth="1"/>
    <col min="3" max="3" width="45.7109375" style="52" customWidth="1"/>
    <col min="4" max="4" width="15.28515625" style="54" customWidth="1"/>
    <col min="5" max="5" width="5.7109375" style="54" customWidth="1"/>
    <col min="6" max="6" width="15.7109375" style="54" customWidth="1"/>
    <col min="7" max="7" width="13.85546875" style="403" customWidth="1"/>
    <col min="8" max="8" width="20.85546875" style="404" customWidth="1"/>
    <col min="9" max="9" width="45.7109375" style="99" hidden="1" customWidth="1"/>
    <col min="10" max="36" width="0" style="51" hidden="1" customWidth="1"/>
    <col min="37" max="16384" width="6.85546875" style="51"/>
  </cols>
  <sheetData>
    <row r="1" spans="2:9">
      <c r="B1" s="691" t="str">
        <f>Client1</f>
        <v>AIRPORTS COMPANY - SOUTH AFRICA</v>
      </c>
      <c r="C1" s="691"/>
      <c r="F1" s="788" t="str">
        <f>"Contract No. "&amp;ContractNo</f>
        <v>Contract No. KSIA7806/2025/RFP</v>
      </c>
      <c r="G1" s="788"/>
      <c r="H1" s="788"/>
    </row>
    <row r="2" spans="2:9">
      <c r="B2" s="812" t="str">
        <f>Client2</f>
        <v>ACSA</v>
      </c>
      <c r="C2" s="812"/>
    </row>
    <row r="3" spans="2:9">
      <c r="B3" s="92"/>
      <c r="C3" s="92"/>
      <c r="D3" s="457"/>
      <c r="E3" s="457"/>
      <c r="F3" s="457"/>
      <c r="G3" s="458"/>
      <c r="H3" s="459"/>
    </row>
    <row r="4" spans="2:9" ht="12.75" customHeight="1">
      <c r="B4" s="789" t="s">
        <v>2943</v>
      </c>
      <c r="C4" s="790"/>
      <c r="D4" s="790"/>
      <c r="E4" s="790"/>
      <c r="F4" s="790"/>
      <c r="G4" s="790"/>
      <c r="H4" s="813" t="str">
        <f>"CHAPTER "&amp;B10</f>
        <v>CHAPTER C5.1</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814"/>
      <c r="I5" s="676"/>
    </row>
    <row r="6" spans="2:9" ht="12.75" customHeight="1">
      <c r="B6" s="690"/>
      <c r="C6" s="691"/>
      <c r="D6" s="691"/>
      <c r="E6" s="691"/>
      <c r="F6" s="691"/>
      <c r="G6" s="691"/>
      <c r="H6" s="814"/>
      <c r="I6" s="676"/>
    </row>
    <row r="7" spans="2:9" ht="18" customHeight="1">
      <c r="B7" s="692"/>
      <c r="C7" s="693"/>
      <c r="D7" s="693"/>
      <c r="E7" s="693"/>
      <c r="F7" s="693"/>
      <c r="G7" s="693"/>
      <c r="H7" s="815"/>
      <c r="I7" s="676"/>
    </row>
    <row r="8" spans="2:9" s="12" customFormat="1" ht="24.95" customHeight="1">
      <c r="B8" s="10" t="s">
        <v>11</v>
      </c>
      <c r="C8" s="11" t="s">
        <v>12</v>
      </c>
      <c r="D8" s="11" t="s">
        <v>13</v>
      </c>
      <c r="E8" s="11" t="s">
        <v>14</v>
      </c>
      <c r="F8" s="11" t="s">
        <v>15</v>
      </c>
      <c r="G8" s="409" t="s">
        <v>16</v>
      </c>
      <c r="H8" s="364" t="s">
        <v>17</v>
      </c>
      <c r="I8" s="676"/>
    </row>
    <row r="9" spans="2:9">
      <c r="B9" s="48"/>
      <c r="C9" s="14"/>
      <c r="D9" s="15"/>
      <c r="E9" s="15"/>
      <c r="F9" s="15"/>
      <c r="G9" s="427"/>
      <c r="H9" s="363" t="str">
        <f t="shared" ref="H9:H22" si="0">IF(D9="","",F9*G9)</f>
        <v/>
      </c>
      <c r="I9" s="239"/>
    </row>
    <row r="10" spans="2:9">
      <c r="B10" s="69" t="s">
        <v>854</v>
      </c>
      <c r="C10" s="20" t="s">
        <v>855</v>
      </c>
      <c r="D10" s="22"/>
      <c r="E10" s="22"/>
      <c r="F10" s="22"/>
      <c r="G10" s="410"/>
      <c r="H10" s="363" t="str">
        <f t="shared" si="0"/>
        <v/>
      </c>
      <c r="I10" s="277"/>
    </row>
    <row r="11" spans="2:9">
      <c r="B11" s="48"/>
      <c r="C11" s="14"/>
      <c r="D11" s="22"/>
      <c r="E11" s="22"/>
      <c r="F11" s="22"/>
      <c r="G11" s="410"/>
      <c r="H11" s="363" t="str">
        <f t="shared" si="0"/>
        <v/>
      </c>
      <c r="I11" s="277"/>
    </row>
    <row r="12" spans="2:9">
      <c r="B12" s="661" t="s">
        <v>856</v>
      </c>
      <c r="C12" s="662" t="s">
        <v>857</v>
      </c>
      <c r="D12" s="563"/>
      <c r="E12" s="563"/>
      <c r="F12" s="563"/>
      <c r="G12" s="663"/>
      <c r="H12" s="634" t="str">
        <f t="shared" si="0"/>
        <v/>
      </c>
      <c r="I12" s="277"/>
    </row>
    <row r="13" spans="2:9">
      <c r="B13" s="645"/>
      <c r="C13" s="638"/>
      <c r="D13" s="563"/>
      <c r="E13" s="563"/>
      <c r="F13" s="563"/>
      <c r="G13" s="663"/>
      <c r="H13" s="634" t="str">
        <f t="shared" si="0"/>
        <v/>
      </c>
      <c r="I13" s="277"/>
    </row>
    <row r="14" spans="2:9" ht="15">
      <c r="B14" s="664" t="s">
        <v>3093</v>
      </c>
      <c r="C14" s="665" t="s">
        <v>3094</v>
      </c>
      <c r="D14" s="666" t="s">
        <v>3095</v>
      </c>
      <c r="E14" s="666"/>
      <c r="F14" s="667">
        <v>2540</v>
      </c>
      <c r="G14" s="668"/>
      <c r="H14" s="669">
        <f t="shared" si="0"/>
        <v>0</v>
      </c>
      <c r="I14" s="278"/>
    </row>
    <row r="15" spans="2:9">
      <c r="B15" s="207"/>
      <c r="C15" s="175"/>
      <c r="D15" s="186"/>
      <c r="E15" s="186"/>
      <c r="F15" s="188"/>
      <c r="G15" s="591"/>
      <c r="H15" s="369" t="str">
        <f t="shared" si="0"/>
        <v/>
      </c>
      <c r="I15" s="278"/>
    </row>
    <row r="16" spans="2:9" ht="25.5">
      <c r="B16" s="207" t="s">
        <v>3096</v>
      </c>
      <c r="C16" s="175" t="s">
        <v>3097</v>
      </c>
      <c r="D16" s="186"/>
      <c r="E16" s="186"/>
      <c r="F16" s="188"/>
      <c r="G16" s="591"/>
      <c r="H16" s="369" t="str">
        <f t="shared" si="0"/>
        <v/>
      </c>
      <c r="I16" s="278"/>
    </row>
    <row r="17" spans="2:9">
      <c r="B17" s="207"/>
      <c r="C17" s="175"/>
      <c r="D17" s="186"/>
      <c r="E17" s="186"/>
      <c r="F17" s="188"/>
      <c r="G17" s="591"/>
      <c r="H17" s="369"/>
      <c r="I17" s="278"/>
    </row>
    <row r="18" spans="2:9" ht="15">
      <c r="B18" s="207" t="s">
        <v>83</v>
      </c>
      <c r="C18" s="175" t="s">
        <v>770</v>
      </c>
      <c r="D18" s="186" t="s">
        <v>434</v>
      </c>
      <c r="E18" s="186"/>
      <c r="F18" s="188">
        <v>1000</v>
      </c>
      <c r="G18" s="591"/>
      <c r="H18" s="369">
        <f t="shared" ref="H18" si="1">IF(D18="","",F18*G18)</f>
        <v>0</v>
      </c>
      <c r="I18" s="278"/>
    </row>
    <row r="19" spans="2:9">
      <c r="B19" s="207"/>
      <c r="C19" s="175"/>
      <c r="D19" s="186"/>
      <c r="E19" s="186"/>
      <c r="F19" s="188"/>
      <c r="G19" s="591"/>
      <c r="H19" s="369" t="str">
        <f t="shared" si="0"/>
        <v/>
      </c>
      <c r="I19" s="278"/>
    </row>
    <row r="20" spans="2:9" ht="15">
      <c r="B20" s="207" t="s">
        <v>86</v>
      </c>
      <c r="C20" s="175" t="s">
        <v>3098</v>
      </c>
      <c r="D20" s="186" t="s">
        <v>434</v>
      </c>
      <c r="E20" s="186"/>
      <c r="F20" s="188">
        <v>50</v>
      </c>
      <c r="G20" s="591"/>
      <c r="H20" s="369">
        <f t="shared" si="0"/>
        <v>0</v>
      </c>
      <c r="I20" s="277"/>
    </row>
    <row r="21" spans="2:9">
      <c r="B21" s="207"/>
      <c r="C21" s="191"/>
      <c r="D21" s="186"/>
      <c r="E21" s="186"/>
      <c r="F21" s="188"/>
      <c r="G21" s="591"/>
      <c r="H21" s="369" t="str">
        <f t="shared" si="0"/>
        <v/>
      </c>
      <c r="I21" s="277"/>
    </row>
    <row r="22" spans="2:9" ht="15">
      <c r="B22" s="207" t="s">
        <v>117</v>
      </c>
      <c r="C22" s="191" t="s">
        <v>3099</v>
      </c>
      <c r="D22" s="186" t="s">
        <v>434</v>
      </c>
      <c r="E22" s="186"/>
      <c r="F22" s="188">
        <v>50</v>
      </c>
      <c r="G22" s="591"/>
      <c r="H22" s="369">
        <f t="shared" si="0"/>
        <v>0</v>
      </c>
      <c r="I22" s="277"/>
    </row>
    <row r="23" spans="2:9">
      <c r="B23" s="48"/>
      <c r="C23" s="14"/>
      <c r="D23" s="22"/>
      <c r="E23" s="22"/>
      <c r="F23" s="240"/>
      <c r="G23" s="586"/>
      <c r="H23" s="363"/>
      <c r="I23" s="279"/>
    </row>
    <row r="24" spans="2:9">
      <c r="B24" s="207" t="s">
        <v>861</v>
      </c>
      <c r="C24" s="175" t="s">
        <v>862</v>
      </c>
      <c r="D24" s="186"/>
      <c r="E24" s="186"/>
      <c r="F24" s="186"/>
      <c r="G24" s="609"/>
      <c r="H24" s="369" t="str">
        <f t="shared" ref="H24:H32" si="2">IF(D24="","",F24*G24)</f>
        <v/>
      </c>
    </row>
    <row r="25" spans="2:9">
      <c r="B25" s="207"/>
      <c r="C25" s="175"/>
      <c r="D25" s="22"/>
      <c r="E25" s="186"/>
      <c r="F25" s="186"/>
      <c r="G25" s="609"/>
      <c r="H25" s="369" t="str">
        <f t="shared" si="2"/>
        <v/>
      </c>
    </row>
    <row r="26" spans="2:9">
      <c r="B26" s="207" t="s">
        <v>863</v>
      </c>
      <c r="C26" s="175" t="s">
        <v>864</v>
      </c>
      <c r="D26" s="186"/>
      <c r="E26" s="186"/>
      <c r="F26" s="186"/>
      <c r="G26" s="609"/>
      <c r="H26" s="369" t="str">
        <f t="shared" si="2"/>
        <v/>
      </c>
    </row>
    <row r="27" spans="2:9">
      <c r="B27" s="207"/>
      <c r="C27" s="175"/>
      <c r="D27" s="186"/>
      <c r="E27" s="186"/>
      <c r="F27" s="186"/>
      <c r="G27" s="609"/>
      <c r="H27" s="369" t="str">
        <f t="shared" si="2"/>
        <v/>
      </c>
    </row>
    <row r="28" spans="2:9" ht="15">
      <c r="B28" s="207" t="s">
        <v>83</v>
      </c>
      <c r="C28" s="175" t="s">
        <v>865</v>
      </c>
      <c r="D28" s="186" t="s">
        <v>434</v>
      </c>
      <c r="E28" s="186"/>
      <c r="F28" s="188">
        <v>500</v>
      </c>
      <c r="G28" s="609"/>
      <c r="H28" s="369">
        <f t="shared" si="2"/>
        <v>0</v>
      </c>
    </row>
    <row r="29" spans="2:9">
      <c r="B29" s="207"/>
      <c r="C29" s="175"/>
      <c r="D29" s="186"/>
      <c r="E29" s="186"/>
      <c r="F29" s="188"/>
      <c r="G29" s="609"/>
      <c r="H29" s="369" t="str">
        <f t="shared" si="2"/>
        <v/>
      </c>
    </row>
    <row r="30" spans="2:9">
      <c r="B30" s="207" t="s">
        <v>863</v>
      </c>
      <c r="C30" s="175" t="s">
        <v>866</v>
      </c>
      <c r="D30" s="186"/>
      <c r="E30" s="186"/>
      <c r="F30" s="188"/>
      <c r="G30" s="609"/>
      <c r="H30" s="369" t="str">
        <f t="shared" si="2"/>
        <v/>
      </c>
    </row>
    <row r="31" spans="2:9" ht="13.15" customHeight="1">
      <c r="B31" s="207"/>
      <c r="C31" s="175"/>
      <c r="D31" s="186"/>
      <c r="E31" s="186"/>
      <c r="F31" s="188"/>
      <c r="G31" s="609"/>
      <c r="H31" s="369" t="str">
        <f t="shared" si="2"/>
        <v/>
      </c>
    </row>
    <row r="32" spans="2:9" ht="13.15" customHeight="1">
      <c r="B32" s="207" t="s">
        <v>83</v>
      </c>
      <c r="C32" s="175" t="s">
        <v>865</v>
      </c>
      <c r="D32" s="186" t="s">
        <v>434</v>
      </c>
      <c r="E32" s="186"/>
      <c r="F32" s="188">
        <v>500</v>
      </c>
      <c r="G32" s="609"/>
      <c r="H32" s="369">
        <f t="shared" si="2"/>
        <v>0</v>
      </c>
    </row>
    <row r="33" spans="2:9" ht="13.15" customHeight="1">
      <c r="B33" s="48"/>
      <c r="C33" s="100"/>
      <c r="D33" s="22"/>
      <c r="E33" s="22"/>
      <c r="F33" s="240"/>
      <c r="G33" s="585"/>
      <c r="H33" s="363"/>
    </row>
    <row r="34" spans="2:9">
      <c r="B34" s="48"/>
      <c r="C34" s="100"/>
      <c r="D34" s="22"/>
      <c r="E34" s="22"/>
      <c r="F34" s="240"/>
      <c r="G34" s="410"/>
      <c r="H34" s="363"/>
    </row>
    <row r="35" spans="2:9">
      <c r="B35" s="48"/>
      <c r="C35" s="14"/>
      <c r="D35" s="22"/>
      <c r="E35" s="22"/>
      <c r="F35" s="22"/>
      <c r="G35" s="351"/>
      <c r="H35" s="363"/>
      <c r="I35" s="277"/>
    </row>
    <row r="36" spans="2:9">
      <c r="B36" s="48"/>
      <c r="C36" s="14"/>
      <c r="D36" s="22"/>
      <c r="E36" s="22"/>
      <c r="F36" s="22"/>
      <c r="G36" s="351"/>
      <c r="H36" s="363"/>
      <c r="I36" s="277"/>
    </row>
    <row r="37" spans="2:9">
      <c r="B37" s="48"/>
      <c r="C37" s="14"/>
      <c r="D37" s="22"/>
      <c r="E37" s="22"/>
      <c r="F37" s="22"/>
      <c r="G37" s="351"/>
      <c r="H37" s="363"/>
      <c r="I37" s="277"/>
    </row>
    <row r="38" spans="2:9" s="28" customFormat="1" ht="19.5" customHeight="1">
      <c r="B38" s="101" t="str">
        <f>$B$10</f>
        <v>C5.1</v>
      </c>
      <c r="C38" s="29" t="s">
        <v>125</v>
      </c>
      <c r="D38" s="30"/>
      <c r="E38" s="30"/>
      <c r="F38" s="31"/>
      <c r="G38" s="412"/>
      <c r="H38" s="364">
        <f>SUM(H9:H37)</f>
        <v>0</v>
      </c>
      <c r="I38" s="236"/>
    </row>
    <row r="39" spans="2:9">
      <c r="C39" s="3"/>
    </row>
  </sheetData>
  <sheetProtection algorithmName="SHA-512" hashValue="0mKXIJl7H5ADCh9h6qi7OI1BYrvAtUYMTe/QM2vpE2KG9WKCBkrkqVkZjSkf6YSKS4ScqnSzPldYkGs9sPL9EQ==" saltValue="94epS0Bwue0ugpp7jCwmnw==" spinCount="100000" sheet="1" objects="1" scenarios="1"/>
  <mergeCells count="7">
    <mergeCell ref="I4:I8"/>
    <mergeCell ref="B1:C1"/>
    <mergeCell ref="F1:H1"/>
    <mergeCell ref="B2:C2"/>
    <mergeCell ref="B4:G4"/>
    <mergeCell ref="H4:H7"/>
    <mergeCell ref="B5:G7"/>
  </mergeCells>
  <pageMargins left="0.43307086614173229" right="0.31496062992125984" top="0.43307086614173229" bottom="0.62992125984251968" header="0.35433070866141736" footer="0.31496062992125984"/>
  <pageSetup paperSize="9" scale="58"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FF548-C1A7-4824-95AB-7741AF436E86}">
  <sheetPr codeName="Sheet96">
    <tabColor rgb="FF00B0F0"/>
  </sheetPr>
  <dimension ref="B1:P46"/>
  <sheetViews>
    <sheetView view="pageBreakPreview" topLeftCell="A4" zoomScaleNormal="100" zoomScaleSheetLayoutView="100" workbookViewId="0">
      <selection activeCell="E22" sqref="E22"/>
    </sheetView>
  </sheetViews>
  <sheetFormatPr defaultColWidth="6.85546875" defaultRowHeight="12.75"/>
  <cols>
    <col min="1" max="1" width="0.85546875" style="1" customWidth="1"/>
    <col min="2" max="2" width="11.7109375" style="34" customWidth="1"/>
    <col min="3" max="3" width="45.7109375" style="3" customWidth="1"/>
    <col min="4" max="4" width="15.28515625" style="4" customWidth="1"/>
    <col min="5" max="5" width="5.7109375" style="4" customWidth="1"/>
    <col min="6" max="6" width="15.7109375" style="4" customWidth="1"/>
    <col min="7" max="7" width="15.7109375" style="398" customWidth="1"/>
    <col min="8" max="8" width="15.7109375" style="399" customWidth="1"/>
    <col min="9" max="9" width="46.5703125" style="4" hidden="1" customWidth="1"/>
    <col min="10" max="36" width="0" style="1" hidden="1" customWidth="1"/>
    <col min="37" max="16384" width="6.85546875" style="1"/>
  </cols>
  <sheetData>
    <row r="1" spans="2:9">
      <c r="B1" s="2" t="str">
        <f>Client1</f>
        <v>AIRPORTS COMPANY - SOUTH AFRICA</v>
      </c>
      <c r="F1" s="676" t="str">
        <f>"Contract No. "&amp;ContractNo</f>
        <v>Contract No. KSIA7806/2025/RFP</v>
      </c>
      <c r="G1" s="676"/>
      <c r="H1" s="676"/>
    </row>
    <row r="2" spans="2:9">
      <c r="B2" s="90" t="str">
        <f>Client2</f>
        <v>ACSA</v>
      </c>
    </row>
    <row r="3" spans="2:9">
      <c r="B3" s="71"/>
      <c r="C3" s="71"/>
      <c r="D3" s="72"/>
      <c r="E3" s="72"/>
      <c r="F3" s="72"/>
      <c r="G3" s="400"/>
      <c r="H3" s="401"/>
    </row>
    <row r="4" spans="2:9">
      <c r="B4" s="695" t="s">
        <v>2943</v>
      </c>
      <c r="C4" s="696"/>
      <c r="D4" s="696"/>
      <c r="E4" s="696"/>
      <c r="F4" s="696"/>
      <c r="G4" s="696"/>
      <c r="H4" s="742" t="str">
        <f>"CHAPTER "&amp;B10</f>
        <v>CHAPTER C5.2</v>
      </c>
      <c r="I4" s="676" t="s">
        <v>100</v>
      </c>
    </row>
    <row r="5" spans="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9" ht="12.75" customHeight="1">
      <c r="B6" s="690"/>
      <c r="C6" s="691"/>
      <c r="D6" s="691"/>
      <c r="E6" s="691"/>
      <c r="F6" s="691"/>
      <c r="G6" s="691"/>
      <c r="H6" s="743"/>
      <c r="I6" s="676"/>
    </row>
    <row r="7" spans="2:9" ht="24" customHeight="1">
      <c r="B7" s="692"/>
      <c r="C7" s="693"/>
      <c r="D7" s="693"/>
      <c r="E7" s="693"/>
      <c r="F7" s="693"/>
      <c r="G7" s="693"/>
      <c r="H7" s="744"/>
      <c r="I7" s="676"/>
    </row>
    <row r="8" spans="2:9" s="9" customFormat="1" ht="24.95" customHeight="1">
      <c r="B8" s="10" t="s">
        <v>11</v>
      </c>
      <c r="C8" s="11" t="s">
        <v>12</v>
      </c>
      <c r="D8" s="11" t="s">
        <v>13</v>
      </c>
      <c r="E8" s="11" t="s">
        <v>14</v>
      </c>
      <c r="F8" s="11" t="s">
        <v>15</v>
      </c>
      <c r="G8" s="409" t="s">
        <v>16</v>
      </c>
      <c r="H8" s="364" t="s">
        <v>17</v>
      </c>
      <c r="I8" s="676"/>
    </row>
    <row r="9" spans="2:9">
      <c r="B9" s="48"/>
      <c r="C9" s="14"/>
      <c r="D9" s="15"/>
      <c r="E9" s="15"/>
      <c r="F9" s="15"/>
      <c r="G9" s="427"/>
      <c r="H9" s="363" t="str">
        <f t="shared" ref="H9:H42" si="0">IF(D9="","",F9*G9)</f>
        <v/>
      </c>
      <c r="I9" s="456"/>
    </row>
    <row r="10" spans="2:9">
      <c r="B10" s="69" t="s">
        <v>867</v>
      </c>
      <c r="C10" s="20" t="s">
        <v>868</v>
      </c>
      <c r="D10" s="22"/>
      <c r="E10" s="22"/>
      <c r="F10" s="22"/>
      <c r="G10" s="410"/>
      <c r="H10" s="363" t="str">
        <f t="shared" si="0"/>
        <v/>
      </c>
      <c r="I10" s="331"/>
    </row>
    <row r="11" spans="2:9">
      <c r="B11" s="48"/>
      <c r="C11" s="14"/>
      <c r="D11" s="22"/>
      <c r="E11" s="22"/>
      <c r="F11" s="22"/>
      <c r="G11" s="410"/>
      <c r="H11" s="363" t="str">
        <f t="shared" si="0"/>
        <v/>
      </c>
      <c r="I11" s="331"/>
    </row>
    <row r="12" spans="2:9">
      <c r="B12" s="207" t="s">
        <v>3100</v>
      </c>
      <c r="C12" s="175" t="s">
        <v>3101</v>
      </c>
      <c r="D12" s="200"/>
      <c r="E12" s="186"/>
      <c r="F12" s="188"/>
      <c r="G12" s="381"/>
      <c r="H12" s="369"/>
      <c r="I12" s="331"/>
    </row>
    <row r="13" spans="2:9">
      <c r="B13" s="207"/>
      <c r="C13" s="175"/>
      <c r="D13" s="186"/>
      <c r="E13" s="186"/>
      <c r="F13" s="186"/>
      <c r="G13" s="591"/>
      <c r="H13" s="369" t="str">
        <f t="shared" ref="H13:H22" si="1">IF(D13="","",F13*G13)</f>
        <v/>
      </c>
      <c r="I13" s="331"/>
    </row>
    <row r="14" spans="2:9" ht="15">
      <c r="B14" s="207" t="s">
        <v>3102</v>
      </c>
      <c r="C14" s="175" t="s">
        <v>3103</v>
      </c>
      <c r="D14" s="186" t="s">
        <v>85</v>
      </c>
      <c r="E14" s="186"/>
      <c r="F14" s="188">
        <v>1</v>
      </c>
      <c r="G14" s="591"/>
      <c r="H14" s="369">
        <f t="shared" si="1"/>
        <v>0</v>
      </c>
      <c r="I14" s="332"/>
    </row>
    <row r="15" spans="2:9">
      <c r="B15" s="207"/>
      <c r="C15" s="175"/>
      <c r="D15" s="186"/>
      <c r="E15" s="186"/>
      <c r="F15" s="188"/>
      <c r="G15" s="591"/>
      <c r="H15" s="369" t="str">
        <f t="shared" si="1"/>
        <v/>
      </c>
      <c r="I15" s="332"/>
    </row>
    <row r="16" spans="2:9">
      <c r="B16" s="207" t="s">
        <v>869</v>
      </c>
      <c r="C16" s="175" t="s">
        <v>870</v>
      </c>
      <c r="D16" s="186"/>
      <c r="E16" s="186"/>
      <c r="F16" s="188"/>
      <c r="G16" s="591"/>
      <c r="H16" s="369" t="str">
        <f t="shared" si="1"/>
        <v/>
      </c>
      <c r="I16" s="332"/>
    </row>
    <row r="17" spans="2:16">
      <c r="B17" s="207"/>
      <c r="C17" s="175"/>
      <c r="D17" s="186"/>
      <c r="E17" s="186"/>
      <c r="F17" s="188"/>
      <c r="G17" s="591"/>
      <c r="H17" s="369" t="str">
        <f t="shared" si="1"/>
        <v/>
      </c>
      <c r="I17" s="332"/>
    </row>
    <row r="18" spans="2:16" ht="25.5">
      <c r="B18" s="664" t="s">
        <v>871</v>
      </c>
      <c r="C18" s="665" t="s">
        <v>872</v>
      </c>
      <c r="D18" s="666"/>
      <c r="E18" s="666"/>
      <c r="F18" s="667"/>
      <c r="G18" s="668"/>
      <c r="H18" s="669" t="str">
        <f t="shared" si="1"/>
        <v/>
      </c>
      <c r="I18" s="331"/>
    </row>
    <row r="19" spans="2:16">
      <c r="B19" s="664"/>
      <c r="C19" s="665"/>
      <c r="D19" s="666"/>
      <c r="E19" s="666"/>
      <c r="F19" s="667"/>
      <c r="G19" s="668"/>
      <c r="H19" s="669" t="str">
        <f t="shared" si="1"/>
        <v/>
      </c>
      <c r="I19" s="331"/>
    </row>
    <row r="20" spans="2:16" ht="15">
      <c r="B20" s="664" t="s">
        <v>83</v>
      </c>
      <c r="C20" s="665" t="s">
        <v>873</v>
      </c>
      <c r="D20" s="666" t="s">
        <v>3095</v>
      </c>
      <c r="E20" s="666"/>
      <c r="F20" s="667">
        <f>'C4.4C'!F32</f>
        <v>2750</v>
      </c>
      <c r="G20" s="668"/>
      <c r="H20" s="669">
        <f t="shared" si="1"/>
        <v>0</v>
      </c>
      <c r="I20" s="331" t="s">
        <v>3104</v>
      </c>
    </row>
    <row r="21" spans="2:16">
      <c r="B21" s="664"/>
      <c r="C21" s="665"/>
      <c r="D21" s="666"/>
      <c r="E21" s="666"/>
      <c r="F21" s="667"/>
      <c r="G21" s="668"/>
      <c r="H21" s="669" t="str">
        <f t="shared" si="1"/>
        <v/>
      </c>
      <c r="I21" s="331"/>
    </row>
    <row r="22" spans="2:16" ht="15">
      <c r="B22" s="664" t="s">
        <v>3105</v>
      </c>
      <c r="C22" s="665" t="s">
        <v>3106</v>
      </c>
      <c r="D22" s="666" t="s">
        <v>3095</v>
      </c>
      <c r="E22" s="666"/>
      <c r="F22" s="667">
        <f>'C4.4C'!F34</f>
        <v>6480</v>
      </c>
      <c r="G22" s="668"/>
      <c r="H22" s="669">
        <f t="shared" si="1"/>
        <v>0</v>
      </c>
      <c r="I22" s="331" t="s">
        <v>1316</v>
      </c>
    </row>
    <row r="23" spans="2:16">
      <c r="B23" s="207"/>
      <c r="C23" s="175"/>
      <c r="D23" s="186"/>
      <c r="E23" s="186"/>
      <c r="F23" s="188"/>
      <c r="G23" s="591"/>
      <c r="H23" s="369"/>
      <c r="I23" s="331"/>
    </row>
    <row r="24" spans="2:16" ht="14.25">
      <c r="B24" s="207" t="s">
        <v>874</v>
      </c>
      <c r="C24" s="175" t="s">
        <v>3107</v>
      </c>
      <c r="D24" s="186" t="s">
        <v>386</v>
      </c>
      <c r="E24" s="186"/>
      <c r="F24" s="188">
        <f>'C4.4C'!F22</f>
        <v>1100</v>
      </c>
      <c r="G24" s="591"/>
      <c r="H24" s="369">
        <f t="shared" ref="H24" si="2">IF(D24="","",F24*G24)</f>
        <v>0</v>
      </c>
      <c r="N24" s="1">
        <v>1250</v>
      </c>
      <c r="O24" s="1">
        <v>60000</v>
      </c>
      <c r="P24" s="1">
        <f>O24/N24</f>
        <v>48</v>
      </c>
    </row>
    <row r="25" spans="2:16">
      <c r="B25" s="207"/>
      <c r="C25" s="175"/>
      <c r="D25" s="186"/>
      <c r="E25" s="186"/>
      <c r="F25" s="188"/>
      <c r="G25" s="591"/>
      <c r="H25" s="369"/>
    </row>
    <row r="26" spans="2:16">
      <c r="B26" s="207" t="s">
        <v>876</v>
      </c>
      <c r="C26" s="175" t="s">
        <v>877</v>
      </c>
      <c r="D26" s="186"/>
      <c r="E26" s="186"/>
      <c r="F26" s="188"/>
      <c r="G26" s="591"/>
      <c r="H26" s="369" t="str">
        <f t="shared" ref="H26:H28" si="3">IF(D26="","",F26*G26)</f>
        <v/>
      </c>
    </row>
    <row r="27" spans="2:16">
      <c r="B27" s="207"/>
      <c r="C27" s="175"/>
      <c r="D27" s="186"/>
      <c r="E27" s="186"/>
      <c r="F27" s="188"/>
      <c r="G27" s="591"/>
      <c r="H27" s="369" t="str">
        <f t="shared" si="3"/>
        <v/>
      </c>
    </row>
    <row r="28" spans="2:16" ht="15">
      <c r="B28" s="207" t="s">
        <v>878</v>
      </c>
      <c r="C28" s="175" t="s">
        <v>879</v>
      </c>
      <c r="D28" s="186" t="s">
        <v>443</v>
      </c>
      <c r="E28" s="186"/>
      <c r="F28" s="188">
        <v>1000</v>
      </c>
      <c r="G28" s="591"/>
      <c r="H28" s="369">
        <f t="shared" si="3"/>
        <v>0</v>
      </c>
    </row>
    <row r="29" spans="2:16">
      <c r="B29" s="48"/>
      <c r="C29" s="14"/>
      <c r="D29" s="22"/>
      <c r="E29" s="36"/>
      <c r="F29" s="240"/>
      <c r="G29" s="590"/>
      <c r="H29" s="363"/>
    </row>
    <row r="30" spans="2:16">
      <c r="B30" s="48"/>
      <c r="C30" s="14"/>
      <c r="D30" s="22"/>
      <c r="E30" s="36"/>
      <c r="F30" s="240"/>
      <c r="G30" s="590"/>
      <c r="H30" s="363"/>
    </row>
    <row r="31" spans="2:16">
      <c r="B31" s="48"/>
      <c r="C31" s="100"/>
      <c r="D31" s="22"/>
      <c r="E31" s="22"/>
      <c r="F31" s="240"/>
      <c r="G31" s="585"/>
      <c r="H31" s="363"/>
      <c r="I31" s="331"/>
    </row>
    <row r="32" spans="2:16">
      <c r="B32" s="48"/>
      <c r="C32" s="14"/>
      <c r="D32" s="22"/>
      <c r="E32" s="22"/>
      <c r="F32" s="22"/>
      <c r="G32" s="586"/>
      <c r="H32" s="363"/>
      <c r="I32" s="331"/>
    </row>
    <row r="33" spans="2:9">
      <c r="B33" s="48"/>
      <c r="C33" s="14"/>
      <c r="D33" s="22"/>
      <c r="E33" s="22"/>
      <c r="F33" s="22"/>
      <c r="G33" s="410"/>
      <c r="H33" s="363"/>
      <c r="I33" s="331"/>
    </row>
    <row r="34" spans="2:9">
      <c r="B34" s="48"/>
      <c r="C34" s="14"/>
      <c r="D34" s="22"/>
      <c r="E34" s="22"/>
      <c r="F34" s="22"/>
      <c r="G34" s="410"/>
      <c r="H34" s="363"/>
      <c r="I34" s="331"/>
    </row>
    <row r="35" spans="2:9">
      <c r="B35" s="48"/>
      <c r="C35" s="14"/>
      <c r="D35" s="22"/>
      <c r="E35" s="22"/>
      <c r="F35" s="22"/>
      <c r="G35" s="351"/>
      <c r="H35" s="363"/>
      <c r="I35" s="331"/>
    </row>
    <row r="36" spans="2:9">
      <c r="B36" s="48"/>
      <c r="C36" s="14"/>
      <c r="D36" s="22"/>
      <c r="E36" s="22"/>
      <c r="F36" s="22"/>
      <c r="G36" s="351"/>
      <c r="H36" s="363"/>
      <c r="I36" s="331"/>
    </row>
    <row r="37" spans="2:9">
      <c r="B37" s="48"/>
      <c r="C37" s="14"/>
      <c r="D37" s="22"/>
      <c r="E37" s="22"/>
      <c r="F37" s="22"/>
      <c r="G37" s="351"/>
      <c r="H37" s="363"/>
      <c r="I37" s="331"/>
    </row>
    <row r="38" spans="2:9">
      <c r="B38" s="48"/>
      <c r="C38" s="14"/>
      <c r="D38" s="22"/>
      <c r="E38" s="22"/>
      <c r="F38" s="22"/>
      <c r="G38" s="351"/>
      <c r="H38" s="363"/>
      <c r="I38" s="331"/>
    </row>
    <row r="39" spans="2:9">
      <c r="B39" s="48"/>
      <c r="C39" s="14"/>
      <c r="D39" s="22"/>
      <c r="E39" s="22"/>
      <c r="F39" s="22"/>
      <c r="G39" s="351"/>
      <c r="H39" s="363"/>
      <c r="I39" s="331"/>
    </row>
    <row r="40" spans="2:9">
      <c r="B40" s="48"/>
      <c r="C40" s="14"/>
      <c r="D40" s="22"/>
      <c r="E40" s="22"/>
      <c r="F40" s="22"/>
      <c r="G40" s="351"/>
      <c r="H40" s="363"/>
      <c r="I40" s="331"/>
    </row>
    <row r="41" spans="2:9">
      <c r="B41" s="48"/>
      <c r="C41" s="14"/>
      <c r="D41" s="22"/>
      <c r="E41" s="22"/>
      <c r="F41" s="22"/>
      <c r="G41" s="351"/>
      <c r="H41" s="363"/>
      <c r="I41" s="331"/>
    </row>
    <row r="42" spans="2:9">
      <c r="B42" s="48"/>
      <c r="C42" s="14"/>
      <c r="D42" s="22"/>
      <c r="E42" s="22"/>
      <c r="F42" s="22"/>
      <c r="G42" s="351"/>
      <c r="H42" s="363" t="str">
        <f t="shared" si="0"/>
        <v/>
      </c>
      <c r="I42" s="331"/>
    </row>
    <row r="43" spans="2:9">
      <c r="B43" s="48"/>
      <c r="C43" s="14"/>
      <c r="D43" s="22"/>
      <c r="E43" s="22"/>
      <c r="F43" s="22"/>
      <c r="G43" s="351"/>
      <c r="H43" s="363"/>
      <c r="I43" s="331"/>
    </row>
    <row r="44" spans="2:9">
      <c r="B44" s="48"/>
      <c r="C44" s="14"/>
      <c r="D44" s="22"/>
      <c r="E44" s="22"/>
      <c r="F44" s="22"/>
      <c r="G44" s="351"/>
      <c r="H44" s="363"/>
      <c r="I44" s="331"/>
    </row>
    <row r="45" spans="2:9">
      <c r="B45" s="48"/>
      <c r="C45" s="14"/>
      <c r="D45" s="22"/>
      <c r="E45" s="22"/>
      <c r="F45" s="22"/>
      <c r="G45" s="351"/>
      <c r="H45" s="363"/>
      <c r="I45" s="331"/>
    </row>
    <row r="46" spans="2:9" s="28" customFormat="1" ht="19.5" customHeight="1">
      <c r="B46" s="82" t="str">
        <f>$B$10</f>
        <v>C5.2</v>
      </c>
      <c r="C46" s="29" t="s">
        <v>125</v>
      </c>
      <c r="D46" s="30"/>
      <c r="E46" s="30"/>
      <c r="F46" s="31"/>
      <c r="G46" s="412"/>
      <c r="H46" s="364">
        <f>SUM(H14:H30)</f>
        <v>0</v>
      </c>
      <c r="I46" s="333"/>
    </row>
  </sheetData>
  <sheetProtection algorithmName="SHA-512" hashValue="AaMprVm/Q9Gisv/MezY6Bk5Fgy2Nftp47oBO1f4lfPtLLJCqbvW2/DQ9NvKFqesr/huUHl84IH9BEdgbuLrWMg==" saltValue="fMzcXCi6zn/5HuQOhWqDfA=="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7"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474E-0E1A-4D6E-98D7-F5E6BDCB98E2}">
  <sheetPr codeName="Sheet97">
    <tabColor rgb="FF00B0F0"/>
  </sheetPr>
  <dimension ref="B1:AC57"/>
  <sheetViews>
    <sheetView view="pageBreakPreview" zoomScaleNormal="115" zoomScaleSheetLayoutView="100" workbookViewId="0">
      <selection activeCell="F18" sqref="F18"/>
    </sheetView>
  </sheetViews>
  <sheetFormatPr defaultColWidth="6.85546875" defaultRowHeight="12.75"/>
  <cols>
    <col min="1" max="1" width="0.85546875" style="1" customWidth="1"/>
    <col min="2" max="2" width="11.7109375" style="34" customWidth="1"/>
    <col min="3" max="3" width="45.7109375" style="52" customWidth="1"/>
    <col min="4" max="4" width="15.28515625" style="4" customWidth="1"/>
    <col min="5" max="5" width="5.7109375" style="4" customWidth="1"/>
    <col min="6" max="6" width="15.7109375" style="4" customWidth="1"/>
    <col min="7" max="7" width="12.5703125" style="398" customWidth="1"/>
    <col min="8" max="8" width="15.7109375" style="399" customWidth="1"/>
    <col min="9" max="9" width="42" style="5" hidden="1" customWidth="1"/>
    <col min="10" max="36" width="0" style="1" hidden="1" customWidth="1"/>
    <col min="37" max="16384" width="6.85546875" style="1"/>
  </cols>
  <sheetData>
    <row r="1" spans="2:29">
      <c r="B1" s="2" t="str">
        <f>Client1</f>
        <v>AIRPORTS COMPANY - SOUTH AFRICA</v>
      </c>
      <c r="F1" s="676" t="str">
        <f>"Contract No. "&amp;ContractNo</f>
        <v>Contract No. KSIA7806/2025/RFP</v>
      </c>
      <c r="G1" s="676"/>
      <c r="H1" s="676"/>
    </row>
    <row r="2" spans="2:29">
      <c r="B2" s="90" t="str">
        <f>Client2</f>
        <v>ACSA</v>
      </c>
    </row>
    <row r="3" spans="2:29">
      <c r="B3" s="71"/>
      <c r="C3" s="92"/>
      <c r="D3" s="72"/>
      <c r="E3" s="72"/>
      <c r="F3" s="72"/>
      <c r="G3" s="400"/>
      <c r="H3" s="401"/>
    </row>
    <row r="4" spans="2:29">
      <c r="B4" s="695" t="s">
        <v>2943</v>
      </c>
      <c r="C4" s="696"/>
      <c r="D4" s="696"/>
      <c r="E4" s="696"/>
      <c r="F4" s="696"/>
      <c r="G4" s="696"/>
      <c r="H4" s="742" t="str">
        <f>"CHAPTER "&amp;B10</f>
        <v>CHAPTER C5.3</v>
      </c>
      <c r="I4" s="676" t="s">
        <v>100</v>
      </c>
    </row>
    <row r="5" spans="2:29" ht="7.5" customHeight="1">
      <c r="B5" s="690" t="str">
        <f>ContractDescription</f>
        <v>PROCUREMENT OF A CIDB GRADE 9 CE CONTRACTOR THE COMPLETION OF BRAVO TAXIWAY EXTENSION AT KING SHAKA INTERNATIONAL AIRPORT FOR A PERIOD OF 12 MONTHS AT KING SHAKA INTERNATIONAL AIRPORT</v>
      </c>
      <c r="C5" s="691"/>
      <c r="D5" s="691"/>
      <c r="E5" s="691"/>
      <c r="F5" s="691"/>
      <c r="G5" s="691"/>
      <c r="H5" s="743"/>
      <c r="I5" s="676"/>
    </row>
    <row r="6" spans="2:29" ht="12.75" customHeight="1">
      <c r="B6" s="690"/>
      <c r="C6" s="691"/>
      <c r="D6" s="691"/>
      <c r="E6" s="691"/>
      <c r="F6" s="691"/>
      <c r="G6" s="691"/>
      <c r="H6" s="743"/>
      <c r="I6" s="676"/>
    </row>
    <row r="7" spans="2:29" ht="15" customHeight="1">
      <c r="B7" s="692"/>
      <c r="C7" s="693"/>
      <c r="D7" s="693"/>
      <c r="E7" s="693"/>
      <c r="F7" s="693"/>
      <c r="G7" s="693"/>
      <c r="H7" s="744"/>
      <c r="I7" s="676"/>
    </row>
    <row r="8" spans="2:29" s="9" customFormat="1" ht="24.95" customHeight="1">
      <c r="B8" s="10" t="s">
        <v>11</v>
      </c>
      <c r="C8" s="11" t="s">
        <v>12</v>
      </c>
      <c r="D8" s="11" t="s">
        <v>13</v>
      </c>
      <c r="E8" s="11" t="s">
        <v>14</v>
      </c>
      <c r="F8" s="11" t="s">
        <v>15</v>
      </c>
      <c r="G8" s="409" t="s">
        <v>16</v>
      </c>
      <c r="H8" s="364" t="s">
        <v>17</v>
      </c>
      <c r="I8" s="676"/>
    </row>
    <row r="9" spans="2:29">
      <c r="B9" s="13"/>
      <c r="C9" s="14"/>
      <c r="D9" s="15"/>
      <c r="E9" s="15"/>
      <c r="F9" s="15"/>
      <c r="G9" s="427"/>
      <c r="H9" s="367" t="str">
        <f>IF(D9="","",F9*G9)</f>
        <v/>
      </c>
      <c r="I9" s="239"/>
    </row>
    <row r="10" spans="2:29">
      <c r="B10" s="661" t="s">
        <v>880</v>
      </c>
      <c r="C10" s="662" t="s">
        <v>881</v>
      </c>
      <c r="D10" s="563"/>
      <c r="E10" s="563"/>
      <c r="F10" s="563"/>
      <c r="G10" s="663"/>
      <c r="H10" s="644" t="str">
        <f t="shared" ref="H10:H44" si="0">IF(D10="","",F10*G10)</f>
        <v/>
      </c>
      <c r="I10" s="277"/>
    </row>
    <row r="11" spans="2:29">
      <c r="B11" s="645"/>
      <c r="C11" s="638"/>
      <c r="D11" s="563"/>
      <c r="E11" s="563"/>
      <c r="F11" s="563"/>
      <c r="G11" s="663"/>
      <c r="H11" s="644" t="str">
        <f t="shared" si="0"/>
        <v/>
      </c>
      <c r="I11" s="277"/>
    </row>
    <row r="12" spans="2:29" ht="25.5">
      <c r="B12" s="645" t="s">
        <v>3108</v>
      </c>
      <c r="C12" s="638" t="s">
        <v>3109</v>
      </c>
      <c r="D12" s="563" t="s">
        <v>85</v>
      </c>
      <c r="E12" s="563"/>
      <c r="F12" s="563">
        <v>5</v>
      </c>
      <c r="G12" s="670"/>
      <c r="H12" s="634">
        <f t="shared" si="0"/>
        <v>0</v>
      </c>
      <c r="I12" s="277"/>
    </row>
    <row r="13" spans="2:29">
      <c r="B13" s="645"/>
      <c r="C13" s="638"/>
      <c r="D13" s="563"/>
      <c r="E13" s="563"/>
      <c r="F13" s="563"/>
      <c r="G13" s="670"/>
      <c r="H13" s="634" t="str">
        <f t="shared" si="0"/>
        <v/>
      </c>
      <c r="I13" s="277"/>
    </row>
    <row r="14" spans="2:29">
      <c r="B14" s="664" t="s">
        <v>882</v>
      </c>
      <c r="C14" s="665" t="s">
        <v>883</v>
      </c>
      <c r="D14" s="666"/>
      <c r="E14" s="666"/>
      <c r="F14" s="667"/>
      <c r="G14" s="668"/>
      <c r="H14" s="669" t="str">
        <f t="shared" si="0"/>
        <v/>
      </c>
      <c r="I14" s="278"/>
      <c r="AC14" s="1">
        <v>5000</v>
      </c>
    </row>
    <row r="15" spans="2:29">
      <c r="B15" s="664"/>
      <c r="C15" s="665"/>
      <c r="D15" s="666"/>
      <c r="E15" s="666"/>
      <c r="F15" s="667"/>
      <c r="G15" s="668"/>
      <c r="H15" s="669" t="str">
        <f t="shared" si="0"/>
        <v/>
      </c>
      <c r="I15" s="278"/>
      <c r="AC15" s="1">
        <f>AC14/400</f>
        <v>12.5</v>
      </c>
    </row>
    <row r="16" spans="2:29">
      <c r="B16" s="664" t="s">
        <v>884</v>
      </c>
      <c r="C16" s="665" t="s">
        <v>235</v>
      </c>
      <c r="D16" s="666"/>
      <c r="E16" s="666"/>
      <c r="F16" s="667"/>
      <c r="G16" s="668"/>
      <c r="H16" s="669" t="str">
        <f t="shared" si="0"/>
        <v/>
      </c>
      <c r="I16" s="278"/>
    </row>
    <row r="17" spans="2:20">
      <c r="B17" s="664"/>
      <c r="C17" s="665"/>
      <c r="D17" s="666"/>
      <c r="E17" s="666"/>
      <c r="F17" s="667"/>
      <c r="G17" s="668"/>
      <c r="H17" s="669" t="str">
        <f t="shared" si="0"/>
        <v/>
      </c>
      <c r="I17" s="278"/>
      <c r="T17" s="1">
        <v>5000</v>
      </c>
    </row>
    <row r="18" spans="2:20" ht="25.5">
      <c r="B18" s="664" t="s">
        <v>83</v>
      </c>
      <c r="C18" s="665" t="s">
        <v>3110</v>
      </c>
      <c r="D18" s="666" t="s">
        <v>3055</v>
      </c>
      <c r="E18" s="666"/>
      <c r="F18" s="667">
        <f>'[13]C4.4C'!F26</f>
        <v>2148</v>
      </c>
      <c r="G18" s="668"/>
      <c r="H18" s="669">
        <f t="shared" si="0"/>
        <v>0</v>
      </c>
      <c r="I18" s="278"/>
      <c r="K18" s="1" t="s">
        <v>3111</v>
      </c>
      <c r="T18" s="1">
        <v>10000</v>
      </c>
    </row>
    <row r="19" spans="2:20">
      <c r="B19" s="664"/>
      <c r="C19" s="665"/>
      <c r="D19" s="666"/>
      <c r="E19" s="666"/>
      <c r="F19" s="667"/>
      <c r="G19" s="668"/>
      <c r="H19" s="669" t="str">
        <f t="shared" si="0"/>
        <v/>
      </c>
      <c r="I19" s="278"/>
    </row>
    <row r="20" spans="2:20" ht="25.5">
      <c r="B20" s="664" t="s">
        <v>1300</v>
      </c>
      <c r="C20" s="665" t="s">
        <v>3112</v>
      </c>
      <c r="D20" s="666" t="s">
        <v>3095</v>
      </c>
      <c r="E20" s="666"/>
      <c r="F20" s="667">
        <v>1857</v>
      </c>
      <c r="G20" s="668"/>
      <c r="H20" s="669">
        <f t="shared" si="0"/>
        <v>0</v>
      </c>
      <c r="J20" s="277"/>
      <c r="K20" s="1" t="s">
        <v>3113</v>
      </c>
      <c r="L20" s="1">
        <f>F20*1.1</f>
        <v>2042.7000000000003</v>
      </c>
      <c r="T20" s="1">
        <f>T18/650</f>
        <v>15.384615384615385</v>
      </c>
    </row>
    <row r="21" spans="2:20">
      <c r="B21" s="664"/>
      <c r="C21" s="665"/>
      <c r="D21" s="666"/>
      <c r="E21" s="666"/>
      <c r="F21" s="667"/>
      <c r="G21" s="668"/>
      <c r="H21" s="669" t="str">
        <f t="shared" si="0"/>
        <v/>
      </c>
      <c r="J21" s="277"/>
      <c r="L21" s="1">
        <f t="shared" ref="L21:L36" si="1">F21*1.1</f>
        <v>0</v>
      </c>
    </row>
    <row r="22" spans="2:20" ht="25.5">
      <c r="B22" s="664" t="s">
        <v>1304</v>
      </c>
      <c r="C22" s="665" t="s">
        <v>3114</v>
      </c>
      <c r="D22" s="666" t="s">
        <v>3095</v>
      </c>
      <c r="E22" s="666"/>
      <c r="F22" s="667">
        <v>1357</v>
      </c>
      <c r="G22" s="668"/>
      <c r="H22" s="669">
        <f t="shared" ref="H22" si="2">IF(D22="","",F22*G22)</f>
        <v>0</v>
      </c>
      <c r="J22" s="277"/>
      <c r="K22" s="1" t="s">
        <v>3113</v>
      </c>
      <c r="L22" s="1">
        <f t="shared" si="1"/>
        <v>1492.7</v>
      </c>
    </row>
    <row r="23" spans="2:20">
      <c r="B23" s="664"/>
      <c r="C23" s="665"/>
      <c r="D23" s="666"/>
      <c r="E23" s="666"/>
      <c r="F23" s="667"/>
      <c r="G23" s="668"/>
      <c r="H23" s="669"/>
      <c r="J23" s="277"/>
      <c r="L23" s="1">
        <f t="shared" si="1"/>
        <v>0</v>
      </c>
    </row>
    <row r="24" spans="2:20" ht="29.25" customHeight="1">
      <c r="B24" s="664" t="s">
        <v>3115</v>
      </c>
      <c r="C24" s="665" t="s">
        <v>3116</v>
      </c>
      <c r="D24" s="666" t="s">
        <v>3117</v>
      </c>
      <c r="E24" s="666"/>
      <c r="F24" s="667">
        <v>1894</v>
      </c>
      <c r="G24" s="668"/>
      <c r="H24" s="669">
        <f>IF(D24="","",F24*G24)</f>
        <v>0</v>
      </c>
      <c r="J24" s="277"/>
      <c r="K24" s="1" t="s">
        <v>3118</v>
      </c>
      <c r="L24" s="1">
        <f t="shared" si="1"/>
        <v>2083.4</v>
      </c>
    </row>
    <row r="25" spans="2:20">
      <c r="B25" s="664"/>
      <c r="C25" s="665"/>
      <c r="D25" s="666"/>
      <c r="E25" s="666"/>
      <c r="F25" s="667"/>
      <c r="G25" s="668"/>
      <c r="H25" s="669"/>
      <c r="J25" s="277"/>
      <c r="L25" s="1">
        <f t="shared" si="1"/>
        <v>0</v>
      </c>
    </row>
    <row r="26" spans="2:20" ht="25.5">
      <c r="B26" s="664" t="s">
        <v>3119</v>
      </c>
      <c r="C26" s="665" t="s">
        <v>3120</v>
      </c>
      <c r="D26" s="666" t="s">
        <v>3117</v>
      </c>
      <c r="E26" s="666"/>
      <c r="F26" s="667">
        <v>1602</v>
      </c>
      <c r="G26" s="668"/>
      <c r="H26" s="669">
        <f t="shared" ref="H26:H34" si="3">IF(D26="","",F26*G26)</f>
        <v>0</v>
      </c>
      <c r="J26" s="277"/>
      <c r="K26" s="1" t="s">
        <v>3121</v>
      </c>
      <c r="L26" s="1">
        <f t="shared" si="1"/>
        <v>1762.2</v>
      </c>
    </row>
    <row r="27" spans="2:20">
      <c r="B27" s="664"/>
      <c r="C27" s="665"/>
      <c r="D27" s="666"/>
      <c r="E27" s="666"/>
      <c r="F27" s="667"/>
      <c r="G27" s="668"/>
      <c r="H27" s="669"/>
      <c r="J27" s="277"/>
      <c r="L27" s="1">
        <f t="shared" si="1"/>
        <v>0</v>
      </c>
    </row>
    <row r="28" spans="2:20" ht="19.5" customHeight="1">
      <c r="B28" s="664" t="s">
        <v>306</v>
      </c>
      <c r="C28" s="665" t="s">
        <v>3122</v>
      </c>
      <c r="D28" s="666" t="s">
        <v>3123</v>
      </c>
      <c r="E28" s="666"/>
      <c r="F28" s="667">
        <v>1170</v>
      </c>
      <c r="G28" s="668"/>
      <c r="H28" s="669">
        <f t="shared" si="3"/>
        <v>0</v>
      </c>
      <c r="J28" s="277"/>
      <c r="L28" s="1">
        <f t="shared" si="1"/>
        <v>1287</v>
      </c>
    </row>
    <row r="29" spans="2:20">
      <c r="B29" s="664"/>
      <c r="C29" s="665"/>
      <c r="D29" s="666"/>
      <c r="E29" s="666"/>
      <c r="F29" s="667"/>
      <c r="G29" s="668"/>
      <c r="H29" s="669"/>
      <c r="J29" s="277"/>
    </row>
    <row r="30" spans="2:20" ht="38.25">
      <c r="B30" s="664" t="s">
        <v>3124</v>
      </c>
      <c r="C30" s="665" t="s">
        <v>3125</v>
      </c>
      <c r="D30" s="666" t="s">
        <v>3117</v>
      </c>
      <c r="E30" s="666"/>
      <c r="F30" s="667">
        <v>1607</v>
      </c>
      <c r="G30" s="668"/>
      <c r="H30" s="669">
        <f t="shared" si="3"/>
        <v>0</v>
      </c>
      <c r="J30" s="277"/>
    </row>
    <row r="31" spans="2:20">
      <c r="B31" s="664"/>
      <c r="C31" s="665"/>
      <c r="D31" s="666"/>
      <c r="E31" s="666"/>
      <c r="F31" s="667"/>
      <c r="G31" s="668"/>
      <c r="H31" s="669"/>
      <c r="J31" s="277"/>
    </row>
    <row r="32" spans="2:20" ht="38.25">
      <c r="B32" s="664" t="s">
        <v>3126</v>
      </c>
      <c r="C32" s="665" t="s">
        <v>3127</v>
      </c>
      <c r="D32" s="666" t="s">
        <v>3117</v>
      </c>
      <c r="E32" s="666"/>
      <c r="F32" s="667">
        <v>1567</v>
      </c>
      <c r="G32" s="668"/>
      <c r="H32" s="669">
        <f t="shared" si="3"/>
        <v>0</v>
      </c>
      <c r="J32" s="277"/>
    </row>
    <row r="33" spans="2:25">
      <c r="B33" s="664"/>
      <c r="C33" s="665"/>
      <c r="D33" s="666"/>
      <c r="E33" s="666"/>
      <c r="F33" s="667"/>
      <c r="G33" s="668"/>
      <c r="H33" s="669"/>
      <c r="J33" s="277"/>
    </row>
    <row r="34" spans="2:25" ht="25.5">
      <c r="B34" s="664" t="s">
        <v>3124</v>
      </c>
      <c r="C34" s="665" t="s">
        <v>3128</v>
      </c>
      <c r="D34" s="666" t="s">
        <v>3117</v>
      </c>
      <c r="E34" s="666"/>
      <c r="F34" s="667">
        <v>1616</v>
      </c>
      <c r="G34" s="668"/>
      <c r="H34" s="669">
        <f t="shared" si="3"/>
        <v>0</v>
      </c>
      <c r="J34" s="277"/>
    </row>
    <row r="35" spans="2:25">
      <c r="B35" s="664"/>
      <c r="C35" s="665"/>
      <c r="D35" s="666"/>
      <c r="E35" s="666"/>
      <c r="F35" s="667"/>
      <c r="G35" s="668"/>
      <c r="H35" s="669"/>
      <c r="J35" s="277"/>
    </row>
    <row r="36" spans="2:25" ht="22.5" customHeight="1">
      <c r="B36" s="664" t="s">
        <v>3129</v>
      </c>
      <c r="C36" s="665" t="s">
        <v>3130</v>
      </c>
      <c r="D36" s="666" t="s">
        <v>724</v>
      </c>
      <c r="E36" s="666"/>
      <c r="F36" s="667">
        <v>1023</v>
      </c>
      <c r="G36" s="668"/>
      <c r="H36" s="669">
        <f t="shared" ref="H36" si="4">IF(D36="","",F36*G36)</f>
        <v>0</v>
      </c>
      <c r="J36" s="277"/>
      <c r="K36" s="1" t="s">
        <v>3131</v>
      </c>
      <c r="L36" s="1">
        <f t="shared" si="1"/>
        <v>1125.3000000000002</v>
      </c>
    </row>
    <row r="37" spans="2:25">
      <c r="B37" s="664"/>
      <c r="C37" s="665"/>
      <c r="D37" s="666"/>
      <c r="E37" s="666"/>
      <c r="F37" s="667"/>
      <c r="G37" s="668"/>
      <c r="H37" s="669"/>
      <c r="J37" s="277"/>
    </row>
    <row r="38" spans="2:25" ht="25.5">
      <c r="B38" s="664" t="s">
        <v>3132</v>
      </c>
      <c r="C38" s="665" t="s">
        <v>3133</v>
      </c>
      <c r="D38" s="666"/>
      <c r="E38" s="666"/>
      <c r="F38" s="667"/>
      <c r="G38" s="668"/>
      <c r="H38" s="669"/>
      <c r="J38" s="277"/>
      <c r="Y38" s="1">
        <f>3000/200</f>
        <v>15</v>
      </c>
    </row>
    <row r="39" spans="2:25">
      <c r="B39" s="664"/>
      <c r="C39" s="665"/>
      <c r="D39" s="666"/>
      <c r="E39" s="666"/>
      <c r="F39" s="667"/>
      <c r="G39" s="668"/>
      <c r="H39" s="669"/>
      <c r="J39" s="277"/>
    </row>
    <row r="40" spans="2:25">
      <c r="B40" s="664" t="s">
        <v>117</v>
      </c>
      <c r="C40" s="665" t="s">
        <v>3134</v>
      </c>
      <c r="D40" s="666" t="s">
        <v>724</v>
      </c>
      <c r="E40" s="666"/>
      <c r="F40" s="667">
        <v>250</v>
      </c>
      <c r="G40" s="668"/>
      <c r="H40" s="669">
        <f t="shared" si="0"/>
        <v>0</v>
      </c>
      <c r="I40" s="277"/>
    </row>
    <row r="41" spans="2:25">
      <c r="B41" s="664"/>
      <c r="C41" s="665"/>
      <c r="D41" s="666"/>
      <c r="E41" s="666"/>
      <c r="F41" s="667"/>
      <c r="G41" s="668"/>
      <c r="H41" s="669"/>
      <c r="I41" s="277"/>
    </row>
    <row r="42" spans="2:25" ht="42.75" customHeight="1">
      <c r="B42" s="664" t="s">
        <v>3135</v>
      </c>
      <c r="C42" s="665" t="s">
        <v>3136</v>
      </c>
      <c r="D42" s="666" t="s">
        <v>67</v>
      </c>
      <c r="E42" s="666"/>
      <c r="F42" s="667">
        <v>1</v>
      </c>
      <c r="G42" s="668"/>
      <c r="H42" s="669">
        <f t="shared" si="0"/>
        <v>0</v>
      </c>
      <c r="I42" s="279"/>
    </row>
    <row r="43" spans="2:25" ht="13.15" customHeight="1">
      <c r="B43" s="664"/>
      <c r="C43" s="665"/>
      <c r="D43" s="666"/>
      <c r="E43" s="666"/>
      <c r="F43" s="667"/>
      <c r="G43" s="668"/>
      <c r="H43" s="669"/>
      <c r="I43" s="279"/>
    </row>
    <row r="44" spans="2:25" ht="39" customHeight="1">
      <c r="B44" s="664" t="s">
        <v>3137</v>
      </c>
      <c r="C44" s="665" t="s">
        <v>3138</v>
      </c>
      <c r="D44" s="666" t="s">
        <v>67</v>
      </c>
      <c r="E44" s="666"/>
      <c r="F44" s="667">
        <v>1</v>
      </c>
      <c r="G44" s="668"/>
      <c r="H44" s="669">
        <f t="shared" si="0"/>
        <v>0</v>
      </c>
      <c r="I44" s="278"/>
    </row>
    <row r="45" spans="2:25">
      <c r="B45" s="48"/>
      <c r="C45" s="14"/>
      <c r="D45" s="22"/>
      <c r="E45" s="22"/>
      <c r="F45" s="240"/>
      <c r="G45" s="351"/>
      <c r="H45" s="367"/>
      <c r="I45" s="278"/>
    </row>
    <row r="46" spans="2:25">
      <c r="B46" s="48"/>
      <c r="C46" s="14"/>
      <c r="D46" s="22"/>
      <c r="E46" s="15"/>
      <c r="F46" s="249"/>
      <c r="G46" s="427"/>
      <c r="H46" s="367"/>
      <c r="I46" s="239"/>
    </row>
    <row r="47" spans="2:25">
      <c r="B47" s="48"/>
      <c r="C47" s="14"/>
      <c r="D47" s="22"/>
      <c r="E47" s="15"/>
      <c r="F47" s="249"/>
      <c r="G47" s="427"/>
      <c r="H47" s="367"/>
      <c r="I47" s="239"/>
    </row>
    <row r="48" spans="2:25" s="35" customFormat="1">
      <c r="B48" s="48"/>
      <c r="C48" s="14"/>
      <c r="D48" s="22"/>
      <c r="E48" s="15"/>
      <c r="F48" s="249"/>
      <c r="G48" s="427"/>
      <c r="H48" s="367"/>
      <c r="I48" s="239"/>
    </row>
    <row r="49" spans="2:9" s="35" customFormat="1">
      <c r="B49" s="48"/>
      <c r="C49" s="14"/>
      <c r="D49" s="22"/>
      <c r="E49" s="15"/>
      <c r="F49" s="249"/>
      <c r="G49" s="427"/>
      <c r="H49" s="367"/>
      <c r="I49" s="239"/>
    </row>
    <row r="50" spans="2:9">
      <c r="B50" s="48"/>
      <c r="C50" s="14"/>
      <c r="D50" s="22"/>
      <c r="E50" s="22"/>
      <c r="F50" s="240"/>
      <c r="G50" s="351"/>
      <c r="H50" s="367"/>
      <c r="I50" s="278"/>
    </row>
    <row r="51" spans="2:9">
      <c r="B51" s="48"/>
      <c r="C51" s="14"/>
      <c r="D51" s="22"/>
      <c r="E51" s="22"/>
      <c r="F51" s="240"/>
      <c r="G51" s="351"/>
      <c r="H51" s="367"/>
      <c r="I51" s="278"/>
    </row>
    <row r="52" spans="2:9">
      <c r="B52" s="48"/>
      <c r="C52" s="14"/>
      <c r="D52" s="22"/>
      <c r="E52" s="22"/>
      <c r="F52" s="240"/>
      <c r="G52" s="351"/>
      <c r="H52" s="367"/>
      <c r="I52" s="278"/>
    </row>
    <row r="53" spans="2:9">
      <c r="B53" s="48"/>
      <c r="C53" s="14"/>
      <c r="D53" s="22"/>
      <c r="E53" s="22"/>
      <c r="F53" s="240"/>
      <c r="G53" s="351"/>
      <c r="H53" s="367"/>
      <c r="I53" s="278"/>
    </row>
    <row r="54" spans="2:9">
      <c r="B54" s="48"/>
      <c r="C54" s="14"/>
      <c r="D54" s="22"/>
      <c r="E54" s="22"/>
      <c r="F54" s="240"/>
      <c r="G54" s="351"/>
      <c r="H54" s="367"/>
      <c r="I54" s="278"/>
    </row>
    <row r="55" spans="2:9">
      <c r="B55" s="48"/>
      <c r="C55" s="14"/>
      <c r="D55" s="22"/>
      <c r="E55" s="22"/>
      <c r="F55" s="240"/>
      <c r="G55" s="351"/>
      <c r="H55" s="367"/>
      <c r="I55" s="278"/>
    </row>
    <row r="56" spans="2:9">
      <c r="B56" s="48"/>
      <c r="C56" s="14"/>
      <c r="D56" s="22"/>
      <c r="E56" s="22"/>
      <c r="F56" s="240"/>
      <c r="G56" s="351"/>
      <c r="H56" s="367"/>
      <c r="I56" s="278"/>
    </row>
    <row r="57" spans="2:9" s="28" customFormat="1" ht="19.5" customHeight="1">
      <c r="B57" s="101" t="str">
        <f>$B$10</f>
        <v>C5.3</v>
      </c>
      <c r="C57" s="29" t="s">
        <v>125</v>
      </c>
      <c r="D57" s="30"/>
      <c r="E57" s="30"/>
      <c r="F57" s="31"/>
      <c r="G57" s="412"/>
      <c r="H57" s="364">
        <f>SUM(H9:H56)</f>
        <v>0</v>
      </c>
      <c r="I57" s="236"/>
    </row>
  </sheetData>
  <sheetProtection algorithmName="SHA-512" hashValue="n1jRBN5/AVA9jBIS3/RNIJXvtnG/9M/pBAQ+WddA6AyI5TEXB9dMxd6EwCHWXEietz9tjPVwDboRSA5srEMllQ==" saltValue="J/ErY4wihlcK42KSVJofyw==" spinCount="100000" sheet="1" objects="1" scenarios="1"/>
  <mergeCells count="5">
    <mergeCell ref="F1:H1"/>
    <mergeCell ref="B4:G4"/>
    <mergeCell ref="H4:H7"/>
    <mergeCell ref="B5:G7"/>
    <mergeCell ref="I4:I8"/>
  </mergeCells>
  <pageMargins left="0.43307086614173229" right="0.31496062992125984" top="0.43307086614173229" bottom="0.62992125984251968" header="0.35433070866141736" footer="0.31496062992125984"/>
  <pageSetup paperSize="9" scale="59" firstPageNumber="31" orientation="portrait" cellComments="asDisplayed" useFirstPageNumber="1" r:id="rId1"/>
  <headerFooter>
    <oddHeader xml:space="preserve">&amp;CPREPARED BY NANKHOO CONSULTING ENGINEERS&amp;R&amp;"Arial,Bold Italic"
</oddHeader>
    <oddFooter>&amp;C&amp;F</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74AD69553CD4A93E9E80405844991" ma:contentTypeVersion="10" ma:contentTypeDescription="Create a new document." ma:contentTypeScope="" ma:versionID="1d5ffccfde8b3b19867caffdcba27e77">
  <xsd:schema xmlns:xsd="http://www.w3.org/2001/XMLSchema" xmlns:xs="http://www.w3.org/2001/XMLSchema" xmlns:p="http://schemas.microsoft.com/office/2006/metadata/properties" xmlns:ns3="9a7178f5-5eae-40ac-bf0d-7c41826918f8" targetNamespace="http://schemas.microsoft.com/office/2006/metadata/properties" ma:root="true" ma:fieldsID="05349203ce1c4b308b2c0b2d605bb8cf" ns3:_="">
    <xsd:import namespace="9a7178f5-5eae-40ac-bf0d-7c41826918f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178f5-5eae-40ac-bf0d-7c41826918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ystemTags" ma:index="11" nillable="true" ma:displayName="MediaServiceSystemTags" ma:hidden="true" ma:internalName="MediaServiceSystemTags"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B9137A-B3BF-4182-947C-EA01C051E817}"/>
</file>

<file path=customXml/itemProps2.xml><?xml version="1.0" encoding="utf-8"?>
<ds:datastoreItem xmlns:ds="http://schemas.openxmlformats.org/officeDocument/2006/customXml" ds:itemID="{B09DD6E1-9C4B-4904-8FE6-69664975098D}"/>
</file>

<file path=customXml/itemProps3.xml><?xml version="1.0" encoding="utf-8"?>
<ds:datastoreItem xmlns:ds="http://schemas.openxmlformats.org/officeDocument/2006/customXml" ds:itemID="{87AE2E28-E1B0-4C4C-8C90-F3021013675E}"/>
</file>

<file path=docProps/app.xml><?xml version="1.0" encoding="utf-8"?>
<Properties xmlns="http://schemas.openxmlformats.org/officeDocument/2006/extended-properties" xmlns:vt="http://schemas.openxmlformats.org/officeDocument/2006/docPropsVTypes">
  <Application>Microsoft Excel Online</Application>
  <Manager/>
  <Company>Ninham Shand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Tjaart vd Walt</dc:creator>
  <cp:keywords/>
  <dc:description/>
  <cp:lastModifiedBy>yajna@nadbn.co.za</cp:lastModifiedBy>
  <cp:revision/>
  <dcterms:created xsi:type="dcterms:W3CDTF">2002-10-04T09:45:02Z</dcterms:created>
  <dcterms:modified xsi:type="dcterms:W3CDTF">2025-07-03T10:08:39Z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0x01010005074AD69553CD4A93E9E80405844991</vt:lpwstr>
  </property>
</Properties>
</file>