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aveExternalLinkValues="0" defaultThemeVersion="124226"/>
  <mc:AlternateContent xmlns:mc="http://schemas.openxmlformats.org/markup-compatibility/2006">
    <mc:Choice Requires="x15">
      <x15ac:absPath xmlns:x15ac="http://schemas.microsoft.com/office/spreadsheetml/2010/11/ac" url="https://durban-my.sharepoint.com/personal/xolani_cele_durban_gov_za/Documents/1. Projects/3. 32818-6W BLF Capping Phase 3/BSC Report/"/>
    </mc:Choice>
  </mc:AlternateContent>
  <xr:revisionPtr revIDLastSave="0" documentId="8_{6EFB24B7-B762-45DA-AA1C-407048D1CCBB}" xr6:coauthVersionLast="47" xr6:coauthVersionMax="47" xr10:uidLastSave="{00000000-0000-0000-0000-000000000000}"/>
  <bookViews>
    <workbookView xWindow="-110" yWindow="-110" windowWidth="19420" windowHeight="11500" tabRatio="666" firstSheet="4" activeTab="6" xr2:uid="{00000000-000D-0000-FFFF-FFFF00000000}"/>
  </bookViews>
  <sheets>
    <sheet name="SUMMARY EST" sheetId="35" state="hidden" r:id="rId1"/>
    <sheet name="Cashflow" sheetId="41" state="hidden" r:id="rId2"/>
    <sheet name="Calculator" sheetId="45" state="hidden" r:id="rId3"/>
    <sheet name="Quantities" sheetId="40" state="hidden" r:id="rId4"/>
    <sheet name="Tdr Summary" sheetId="38" r:id="rId5"/>
    <sheet name="Ancillary works summary" sheetId="44" state="hidden" r:id="rId6"/>
    <sheet name=" Sec.1 Fixed Charge" sheetId="2" r:id="rId7"/>
    <sheet name=" Sec.1Time Related 1.15 - 1.28" sheetId="3" r:id="rId8"/>
    <sheet name="Sec.1 Prov.1.29 - 1.42" sheetId="4" r:id="rId9"/>
    <sheet name=" Sec.2 Site Clearance" sheetId="5" r:id="rId10"/>
    <sheet name="Sec.3 Earth Wks" sheetId="19" r:id="rId11"/>
    <sheet name="Sec.4 Earth Wks Pipes" sheetId="6" r:id="rId12"/>
    <sheet name="Sec.5 Earth Wks. Roads" sheetId="7" r:id="rId13"/>
    <sheet name="  Sec 6 Roads" sheetId="37" state="hidden" r:id="rId14"/>
    <sheet name="Sec.6 Gabions &amp; Pitching" sheetId="8" r:id="rId15"/>
    <sheet name="Sec.8 Conc." sheetId="9" state="hidden" r:id="rId16"/>
    <sheet name="Sec.7 Sewers (1)" sheetId="10" r:id="rId17"/>
    <sheet name="Sec.9 Sewers (2)" sheetId="39" state="hidden" r:id="rId18"/>
    <sheet name="Sec.8 SWD" sheetId="12" r:id="rId19"/>
    <sheet name="Sec.9 Linings" sheetId="46" r:id="rId20"/>
    <sheet name="Sec.10 Dayworks" sheetId="14" r:id="rId21"/>
    <sheet name="Sec.11 Linings" sheetId="13" state="hidden" r:id="rId22"/>
  </sheets>
  <definedNames>
    <definedName name="_xlnm.Print_Area" localSheetId="13">'  Sec 6 Roads'!$A$1:$G$21</definedName>
    <definedName name="_xlnm.Print_Area" localSheetId="6">' Sec.1 Fixed Charge'!$A$1:$G$26</definedName>
    <definedName name="_xlnm.Print_Area" localSheetId="7">' Sec.1Time Related 1.15 - 1.28'!$A$1:$G$28</definedName>
    <definedName name="_xlnm.Print_Area" localSheetId="9">' Sec.2 Site Clearance'!$A$1:$G$10</definedName>
    <definedName name="_xlnm.Print_Area" localSheetId="8">'Sec.1 Prov.1.29 - 1.42'!$A$1:$G$31</definedName>
    <definedName name="_xlnm.Print_Area" localSheetId="20">'Sec.10 Dayworks'!$A$1:$G$36</definedName>
    <definedName name="_xlnm.Print_Area" localSheetId="21">'Sec.11 Linings'!$A$1:$E$16</definedName>
    <definedName name="_xlnm.Print_Area" localSheetId="10">'Sec.3 Earth Wks'!$A$1:$G$15</definedName>
    <definedName name="_xlnm.Print_Area" localSheetId="11">'Sec.4 Earth Wks Pipes'!$A$1:$G$23</definedName>
    <definedName name="_xlnm.Print_Area" localSheetId="12">'Sec.5 Earth Wks. Roads'!$A$1:$G$17</definedName>
    <definedName name="_xlnm.Print_Area" localSheetId="14">'Sec.6 Gabions &amp; Pitching'!$A$1:$G$21</definedName>
    <definedName name="_xlnm.Print_Area" localSheetId="16">'Sec.7 Sewers (1)'!$A$1:$G$17</definedName>
    <definedName name="_xlnm.Print_Area" localSheetId="15">'Sec.8 Conc.'!$A$1:$G$18</definedName>
    <definedName name="_xlnm.Print_Area" localSheetId="18">'Sec.8 SWD'!$A$1:$G$17</definedName>
    <definedName name="_xlnm.Print_Area" localSheetId="19">'Sec.9 Linings'!$A$1:$G$16</definedName>
    <definedName name="_xlnm.Print_Area" localSheetId="17">'Sec.9 Sewers (2)'!$A$1:$G$13</definedName>
    <definedName name="_xlnm.Print_Area" localSheetId="0">'SUMMARY EST'!$A$1:$C$26</definedName>
    <definedName name="_xlnm.Print_Area" localSheetId="4">'Tdr Summary'!$A$1:$H$31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8" l="1"/>
  <c r="E9" i="6" l="1"/>
  <c r="G14" i="4" l="1"/>
  <c r="G12" i="4"/>
  <c r="E19" i="4"/>
  <c r="E14" i="7"/>
  <c r="E13" i="7"/>
  <c r="G14" i="12"/>
  <c r="G12" i="8" l="1"/>
  <c r="G8" i="7" l="1"/>
  <c r="G11" i="7"/>
  <c r="G6" i="8"/>
  <c r="G7" i="8"/>
  <c r="E10" i="8"/>
  <c r="E17" i="4"/>
  <c r="E15" i="4"/>
  <c r="E13" i="4"/>
  <c r="G10" i="4"/>
  <c r="E11" i="4" s="1"/>
  <c r="G12" i="10"/>
  <c r="E5" i="46"/>
  <c r="E6" i="46" s="1"/>
  <c r="I8" i="37"/>
  <c r="I9" i="37" s="1"/>
  <c r="I6" i="37"/>
  <c r="I7" i="37" s="1"/>
  <c r="G13" i="7"/>
  <c r="G8" i="19"/>
  <c r="E5" i="19"/>
  <c r="E10" i="19" s="1"/>
  <c r="G11" i="8" l="1"/>
  <c r="E9" i="19"/>
  <c r="E12" i="46" l="1"/>
  <c r="G12" i="46" s="1"/>
  <c r="E10" i="46"/>
  <c r="G10" i="46" s="1"/>
  <c r="G9" i="46"/>
  <c r="G8" i="46"/>
  <c r="G7" i="46"/>
  <c r="G6" i="46"/>
  <c r="G5" i="46"/>
  <c r="G14" i="7" l="1"/>
  <c r="A8" i="39" l="1"/>
  <c r="F14" i="9" l="1"/>
  <c r="G14" i="9" s="1"/>
  <c r="F11" i="9"/>
  <c r="F8" i="9"/>
  <c r="F9" i="9"/>
  <c r="F12" i="9"/>
  <c r="G13" i="9" l="1"/>
  <c r="G15" i="9"/>
  <c r="F15" i="9"/>
  <c r="K17" i="41" l="1"/>
  <c r="D15" i="41" l="1"/>
  <c r="E15" i="41" s="1"/>
  <c r="D11" i="41"/>
  <c r="D13" i="41"/>
  <c r="E13" i="41" s="1"/>
  <c r="A8" i="45"/>
  <c r="B8" i="45" s="1"/>
  <c r="C8" i="45" l="1"/>
  <c r="G8" i="45"/>
  <c r="A9" i="45"/>
  <c r="A10" i="45" l="1"/>
  <c r="G9" i="45"/>
  <c r="B9" i="45"/>
  <c r="B10" i="45" l="1"/>
  <c r="C10" i="45" s="1"/>
  <c r="C9" i="45"/>
  <c r="A11" i="45"/>
  <c r="G10" i="45"/>
  <c r="A12" i="45" l="1"/>
  <c r="G11" i="45"/>
  <c r="B11" i="45"/>
  <c r="C11" i="45" s="1"/>
  <c r="B12" i="45" l="1"/>
  <c r="C12" i="45" s="1"/>
  <c r="A13" i="45"/>
  <c r="G12" i="45"/>
  <c r="A14" i="45" l="1"/>
  <c r="G13" i="45"/>
  <c r="B13" i="45"/>
  <c r="C13" i="45" s="1"/>
  <c r="B14" i="45" l="1"/>
  <c r="C14" i="45" s="1"/>
  <c r="A15" i="45"/>
  <c r="G14" i="45"/>
  <c r="A16" i="45" l="1"/>
  <c r="G15" i="45"/>
  <c r="B15" i="45"/>
  <c r="C15" i="45" s="1"/>
  <c r="B16" i="45" l="1"/>
  <c r="C16" i="45" s="1"/>
  <c r="A17" i="45"/>
  <c r="G16" i="45"/>
  <c r="G17" i="45" l="1"/>
  <c r="A18" i="45"/>
  <c r="B17" i="45"/>
  <c r="C17" i="45" s="1"/>
  <c r="B18" i="45" l="1"/>
  <c r="C18" i="45" s="1"/>
  <c r="G18" i="45"/>
  <c r="A19" i="45"/>
  <c r="G19" i="45" l="1"/>
  <c r="A20" i="45"/>
  <c r="B19" i="45"/>
  <c r="C19" i="45" s="1"/>
  <c r="G20" i="45" l="1"/>
  <c r="A21" i="45"/>
  <c r="A22" i="45" s="1"/>
  <c r="A23" i="45" s="1"/>
  <c r="A24" i="45" s="1"/>
  <c r="B20" i="45"/>
  <c r="C20" i="45" s="1"/>
  <c r="B21" i="45" l="1"/>
  <c r="C21" i="45" s="1"/>
  <c r="G21" i="45"/>
  <c r="G22" i="45" l="1"/>
  <c r="B22" i="45"/>
  <c r="C22" i="45" s="1"/>
  <c r="B23" i="45" l="1"/>
  <c r="C23" i="45" s="1"/>
  <c r="G23" i="45"/>
  <c r="A25" i="45" l="1"/>
  <c r="G24" i="45"/>
  <c r="B24" i="45"/>
  <c r="C24" i="45" s="1"/>
  <c r="A26" i="45" l="1"/>
  <c r="G25" i="45"/>
  <c r="B25" i="45"/>
  <c r="C25" i="45" s="1"/>
  <c r="B26" i="45" l="1"/>
  <c r="C26" i="45" s="1"/>
  <c r="A27" i="45"/>
  <c r="G26" i="45"/>
  <c r="A28" i="45" l="1"/>
  <c r="G27" i="45"/>
  <c r="B27" i="45"/>
  <c r="C27" i="45" s="1"/>
  <c r="A29" i="45" l="1"/>
  <c r="G28" i="45"/>
  <c r="B28" i="45"/>
  <c r="C28" i="45" s="1"/>
  <c r="A30" i="45" l="1"/>
  <c r="G29" i="45"/>
  <c r="B29" i="45"/>
  <c r="C29" i="45" s="1"/>
  <c r="D29" i="45" s="1"/>
  <c r="B30" i="45" l="1"/>
  <c r="C30" i="45" s="1"/>
  <c r="D30" i="45" s="1"/>
  <c r="I29" i="45"/>
  <c r="A31" i="45"/>
  <c r="G30" i="45"/>
  <c r="A32" i="45" l="1"/>
  <c r="G31" i="45"/>
  <c r="B31" i="45"/>
  <c r="C31" i="45" s="1"/>
  <c r="D31" i="45" s="1"/>
  <c r="E30" i="45"/>
  <c r="H30" i="45" s="1"/>
  <c r="I30" i="45"/>
  <c r="E31" i="45" l="1"/>
  <c r="H31" i="45" s="1"/>
  <c r="I31" i="45"/>
  <c r="B32" i="45"/>
  <c r="C32" i="45" s="1"/>
  <c r="D32" i="45" s="1"/>
  <c r="A33" i="45"/>
  <c r="G32" i="45"/>
  <c r="A34" i="45" l="1"/>
  <c r="G33" i="45"/>
  <c r="B33" i="45"/>
  <c r="C33" i="45" s="1"/>
  <c r="D33" i="45" s="1"/>
  <c r="I32" i="45"/>
  <c r="E32" i="45"/>
  <c r="H32" i="45" s="1"/>
  <c r="C34" i="45" l="1"/>
  <c r="D34" i="45" s="1"/>
  <c r="B34" i="45"/>
  <c r="E33" i="45"/>
  <c r="H33" i="45" s="1"/>
  <c r="I33" i="45"/>
  <c r="A35" i="45"/>
  <c r="G34" i="45"/>
  <c r="G35" i="45" l="1"/>
  <c r="A36" i="45"/>
  <c r="B35" i="45"/>
  <c r="C35" i="45" s="1"/>
  <c r="D35" i="45" s="1"/>
  <c r="I34" i="45"/>
  <c r="E34" i="45"/>
  <c r="H34" i="45" s="1"/>
  <c r="G36" i="45" l="1"/>
  <c r="A37" i="45"/>
  <c r="C36" i="45"/>
  <c r="D36" i="45" s="1"/>
  <c r="B36" i="45"/>
  <c r="E35" i="45"/>
  <c r="H35" i="45" s="1"/>
  <c r="I35" i="45"/>
  <c r="C37" i="45" l="1"/>
  <c r="D37" i="45" s="1"/>
  <c r="B37" i="45"/>
  <c r="G37" i="45"/>
  <c r="A38" i="45"/>
  <c r="E36" i="45"/>
  <c r="H36" i="45" s="1"/>
  <c r="I36" i="45"/>
  <c r="C38" i="45" l="1"/>
  <c r="D38" i="45" s="1"/>
  <c r="B38" i="45"/>
  <c r="A39" i="45"/>
  <c r="G38" i="45"/>
  <c r="I37" i="45"/>
  <c r="E37" i="45"/>
  <c r="H37" i="45" s="1"/>
  <c r="A40" i="45" l="1"/>
  <c r="G39" i="45"/>
  <c r="C39" i="45"/>
  <c r="D39" i="45" s="1"/>
  <c r="B39" i="45"/>
  <c r="I38" i="45"/>
  <c r="E38" i="45"/>
  <c r="H38" i="45" s="1"/>
  <c r="C40" i="45" l="1"/>
  <c r="D40" i="45" s="1"/>
  <c r="B40" i="45"/>
  <c r="I39" i="45"/>
  <c r="E39" i="45"/>
  <c r="H39" i="45" s="1"/>
  <c r="A41" i="45"/>
  <c r="G40" i="45"/>
  <c r="A42" i="45" l="1"/>
  <c r="G41" i="45"/>
  <c r="C41" i="45"/>
  <c r="D41" i="45" s="1"/>
  <c r="B41" i="45"/>
  <c r="I40" i="45"/>
  <c r="E40" i="45"/>
  <c r="H40" i="45" s="1"/>
  <c r="C42" i="45" l="1"/>
  <c r="D42" i="45" s="1"/>
  <c r="B42" i="45"/>
  <c r="I41" i="45"/>
  <c r="E41" i="45"/>
  <c r="H41" i="45" s="1"/>
  <c r="A43" i="45"/>
  <c r="G42" i="45"/>
  <c r="A44" i="45" l="1"/>
  <c r="G43" i="45"/>
  <c r="C43" i="45"/>
  <c r="D43" i="45" s="1"/>
  <c r="B43" i="45"/>
  <c r="I42" i="45"/>
  <c r="E42" i="45"/>
  <c r="H42" i="45" s="1"/>
  <c r="C44" i="45" l="1"/>
  <c r="D44" i="45" s="1"/>
  <c r="B44" i="45"/>
  <c r="E43" i="45"/>
  <c r="H43" i="45" s="1"/>
  <c r="I43" i="45"/>
  <c r="G44" i="45"/>
  <c r="A45" i="45"/>
  <c r="C45" i="45" l="1"/>
  <c r="D45" i="45" s="1"/>
  <c r="B45" i="45"/>
  <c r="G45" i="45"/>
  <c r="A46" i="45"/>
  <c r="E44" i="45"/>
  <c r="H44" i="45" s="1"/>
  <c r="I44" i="45"/>
  <c r="G46" i="45" l="1"/>
  <c r="A47" i="45"/>
  <c r="C46" i="45"/>
  <c r="D46" i="45" s="1"/>
  <c r="B46" i="45"/>
  <c r="E45" i="45"/>
  <c r="H45" i="45" s="1"/>
  <c r="I45" i="45"/>
  <c r="C47" i="45" l="1"/>
  <c r="D47" i="45" s="1"/>
  <c r="B47" i="45"/>
  <c r="I46" i="45"/>
  <c r="E46" i="45"/>
  <c r="H46" i="45" s="1"/>
  <c r="A48" i="45"/>
  <c r="G47" i="45"/>
  <c r="A49" i="45" l="1"/>
  <c r="G48" i="45"/>
  <c r="C48" i="45"/>
  <c r="D48" i="45" s="1"/>
  <c r="B48" i="45"/>
  <c r="I47" i="45"/>
  <c r="E47" i="45"/>
  <c r="H47" i="45" s="1"/>
  <c r="C49" i="45" l="1"/>
  <c r="D49" i="45" s="1"/>
  <c r="B49" i="45"/>
  <c r="I48" i="45"/>
  <c r="E48" i="45"/>
  <c r="H48" i="45" s="1"/>
  <c r="A50" i="45"/>
  <c r="G49" i="45"/>
  <c r="C50" i="45" l="1"/>
  <c r="D50" i="45" s="1"/>
  <c r="B50" i="45"/>
  <c r="A51" i="45"/>
  <c r="G50" i="45"/>
  <c r="I49" i="45"/>
  <c r="E49" i="45"/>
  <c r="H49" i="45" s="1"/>
  <c r="I50" i="45" l="1"/>
  <c r="E50" i="45"/>
  <c r="H50" i="45" s="1"/>
  <c r="A52" i="45"/>
  <c r="G51" i="45"/>
  <c r="C51" i="45"/>
  <c r="D51" i="45" s="1"/>
  <c r="B51" i="45"/>
  <c r="C52" i="45" l="1"/>
  <c r="D52" i="45" s="1"/>
  <c r="B52" i="45"/>
  <c r="G52" i="45"/>
  <c r="A53" i="45"/>
  <c r="E51" i="45"/>
  <c r="H51" i="45" s="1"/>
  <c r="I51" i="45"/>
  <c r="C53" i="45" l="1"/>
  <c r="D53" i="45" s="1"/>
  <c r="B53" i="45"/>
  <c r="G53" i="45"/>
  <c r="A54" i="45"/>
  <c r="E52" i="45"/>
  <c r="H52" i="45" s="1"/>
  <c r="I52" i="45"/>
  <c r="G54" i="45" l="1"/>
  <c r="A55" i="45"/>
  <c r="C54" i="45"/>
  <c r="D54" i="45" s="1"/>
  <c r="B54" i="45"/>
  <c r="E53" i="45"/>
  <c r="H53" i="45" s="1"/>
  <c r="I53" i="45"/>
  <c r="C55" i="45" l="1"/>
  <c r="D55" i="45" s="1"/>
  <c r="B55" i="45"/>
  <c r="I54" i="45"/>
  <c r="E54" i="45"/>
  <c r="H54" i="45" s="1"/>
  <c r="A56" i="45"/>
  <c r="G55" i="45"/>
  <c r="A57" i="45" l="1"/>
  <c r="G56" i="45"/>
  <c r="C56" i="45"/>
  <c r="D56" i="45" s="1"/>
  <c r="B56" i="45"/>
  <c r="I55" i="45"/>
  <c r="E55" i="45"/>
  <c r="H55" i="45" s="1"/>
  <c r="I56" i="45" l="1"/>
  <c r="E56" i="45"/>
  <c r="H56" i="45" s="1"/>
  <c r="C57" i="45"/>
  <c r="D57" i="45" s="1"/>
  <c r="B57" i="45"/>
  <c r="A58" i="45"/>
  <c r="G57" i="45"/>
  <c r="G58" i="45" l="1"/>
  <c r="A59" i="45"/>
  <c r="C58" i="45"/>
  <c r="D58" i="45" s="1"/>
  <c r="B58" i="45"/>
  <c r="I57" i="45"/>
  <c r="E57" i="45"/>
  <c r="H57" i="45" s="1"/>
  <c r="E58" i="45" l="1"/>
  <c r="H58" i="45" s="1"/>
  <c r="I58" i="45"/>
  <c r="C59" i="45"/>
  <c r="D59" i="45" s="1"/>
  <c r="B59" i="45"/>
  <c r="G59" i="45"/>
  <c r="A60" i="45"/>
  <c r="A61" i="45" l="1"/>
  <c r="G60" i="45"/>
  <c r="C60" i="45"/>
  <c r="D60" i="45" s="1"/>
  <c r="B60" i="45"/>
  <c r="E59" i="45"/>
  <c r="H59" i="45" s="1"/>
  <c r="I59" i="45"/>
  <c r="E60" i="45" l="1"/>
  <c r="H60" i="45" s="1"/>
  <c r="I60" i="45"/>
  <c r="C61" i="45"/>
  <c r="D61" i="45" s="1"/>
  <c r="B61" i="45"/>
  <c r="A62" i="45"/>
  <c r="G61" i="45"/>
  <c r="A63" i="45" l="1"/>
  <c r="G62" i="45"/>
  <c r="E61" i="45"/>
  <c r="H61" i="45" s="1"/>
  <c r="I61" i="45"/>
  <c r="C62" i="45"/>
  <c r="D62" i="45" s="1"/>
  <c r="B62" i="45"/>
  <c r="E62" i="45" l="1"/>
  <c r="H62" i="45" s="1"/>
  <c r="I62" i="45"/>
  <c r="C63" i="45"/>
  <c r="D63" i="45" s="1"/>
  <c r="B63" i="45"/>
  <c r="G63" i="45"/>
  <c r="A64" i="45"/>
  <c r="C64" i="45" l="1"/>
  <c r="D64" i="45" s="1"/>
  <c r="B64" i="45"/>
  <c r="A65" i="45"/>
  <c r="G64" i="45"/>
  <c r="E63" i="45"/>
  <c r="H63" i="45" s="1"/>
  <c r="I63" i="45"/>
  <c r="A66" i="45" l="1"/>
  <c r="G65" i="45"/>
  <c r="C65" i="45"/>
  <c r="D65" i="45" s="1"/>
  <c r="B65" i="45"/>
  <c r="E64" i="45"/>
  <c r="H64" i="45" s="1"/>
  <c r="I64" i="45"/>
  <c r="C66" i="45" l="1"/>
  <c r="D66" i="45" s="1"/>
  <c r="B66" i="45"/>
  <c r="E65" i="45"/>
  <c r="H65" i="45" s="1"/>
  <c r="I65" i="45"/>
  <c r="A67" i="45"/>
  <c r="G66" i="45"/>
  <c r="G67" i="45" l="1"/>
  <c r="A68" i="45"/>
  <c r="C67" i="45"/>
  <c r="D67" i="45" s="1"/>
  <c r="B67" i="45"/>
  <c r="E66" i="45"/>
  <c r="H66" i="45" s="1"/>
  <c r="I66" i="45"/>
  <c r="C68" i="45" l="1"/>
  <c r="D68" i="45" s="1"/>
  <c r="B68" i="45"/>
  <c r="E67" i="45"/>
  <c r="H67" i="45" s="1"/>
  <c r="I67" i="45"/>
  <c r="A69" i="45"/>
  <c r="G68" i="45"/>
  <c r="A70" i="45" l="1"/>
  <c r="G69" i="45"/>
  <c r="C69" i="45"/>
  <c r="D69" i="45" s="1"/>
  <c r="B69" i="45"/>
  <c r="E68" i="45"/>
  <c r="H68" i="45" s="1"/>
  <c r="I68" i="45"/>
  <c r="C70" i="45" l="1"/>
  <c r="D70" i="45" s="1"/>
  <c r="B70" i="45"/>
  <c r="E69" i="45"/>
  <c r="H69" i="45" s="1"/>
  <c r="I69" i="45"/>
  <c r="A71" i="45"/>
  <c r="G70" i="45"/>
  <c r="G71" i="45" l="1"/>
  <c r="A72" i="45"/>
  <c r="C71" i="45"/>
  <c r="D71" i="45" s="1"/>
  <c r="B71" i="45"/>
  <c r="E70" i="45"/>
  <c r="H70" i="45" s="1"/>
  <c r="I70" i="45"/>
  <c r="C72" i="45" l="1"/>
  <c r="D72" i="45" s="1"/>
  <c r="B72" i="45"/>
  <c r="E71" i="45"/>
  <c r="H71" i="45" s="1"/>
  <c r="I71" i="45"/>
  <c r="A73" i="45"/>
  <c r="G72" i="45"/>
  <c r="A74" i="45" l="1"/>
  <c r="G73" i="45"/>
  <c r="C73" i="45"/>
  <c r="D73" i="45" s="1"/>
  <c r="B73" i="45"/>
  <c r="E72" i="45"/>
  <c r="H72" i="45" s="1"/>
  <c r="I72" i="45"/>
  <c r="C74" i="45" l="1"/>
  <c r="D74" i="45" s="1"/>
  <c r="B74" i="45"/>
  <c r="E73" i="45"/>
  <c r="H73" i="45" s="1"/>
  <c r="I73" i="45"/>
  <c r="G74" i="45"/>
  <c r="A75" i="45"/>
  <c r="G75" i="45" l="1"/>
  <c r="A76" i="45"/>
  <c r="C75" i="45"/>
  <c r="D75" i="45" s="1"/>
  <c r="B75" i="45"/>
  <c r="E74" i="45"/>
  <c r="H74" i="45" s="1"/>
  <c r="I74" i="45"/>
  <c r="C76" i="45" l="1"/>
  <c r="D76" i="45" s="1"/>
  <c r="B76" i="45"/>
  <c r="E75" i="45"/>
  <c r="H75" i="45" s="1"/>
  <c r="I75" i="45"/>
  <c r="A77" i="45"/>
  <c r="G76" i="45"/>
  <c r="A78" i="45" l="1"/>
  <c r="G77" i="45"/>
  <c r="C77" i="45"/>
  <c r="D77" i="45" s="1"/>
  <c r="B77" i="45"/>
  <c r="E76" i="45"/>
  <c r="H76" i="45" s="1"/>
  <c r="I76" i="45"/>
  <c r="A79" i="45" l="1"/>
  <c r="G78" i="45"/>
  <c r="E77" i="45"/>
  <c r="H77" i="45" s="1"/>
  <c r="I77" i="45"/>
  <c r="C78" i="45"/>
  <c r="D78" i="45" s="1"/>
  <c r="B78" i="45"/>
  <c r="C79" i="45" l="1"/>
  <c r="D79" i="45" s="1"/>
  <c r="B79" i="45"/>
  <c r="E78" i="45"/>
  <c r="H78" i="45" s="1"/>
  <c r="I78" i="45"/>
  <c r="G79" i="45"/>
  <c r="A80" i="45"/>
  <c r="A81" i="45" l="1"/>
  <c r="G80" i="45"/>
  <c r="C80" i="45"/>
  <c r="D80" i="45" s="1"/>
  <c r="B80" i="45"/>
  <c r="E79" i="45"/>
  <c r="H79" i="45" s="1"/>
  <c r="I79" i="45"/>
  <c r="C81" i="45" l="1"/>
  <c r="D81" i="45" s="1"/>
  <c r="B81" i="45"/>
  <c r="E80" i="45"/>
  <c r="H80" i="45" s="1"/>
  <c r="I80" i="45"/>
  <c r="A82" i="45"/>
  <c r="G81" i="45"/>
  <c r="A83" i="45" l="1"/>
  <c r="G82" i="45"/>
  <c r="C82" i="45"/>
  <c r="D82" i="45" s="1"/>
  <c r="B82" i="45"/>
  <c r="E81" i="45"/>
  <c r="H81" i="45" s="1"/>
  <c r="I81" i="45"/>
  <c r="C83" i="45" l="1"/>
  <c r="D83" i="45" s="1"/>
  <c r="B83" i="45"/>
  <c r="E82" i="45"/>
  <c r="H82" i="45" s="1"/>
  <c r="I82" i="45"/>
  <c r="G83" i="45"/>
  <c r="A84" i="45"/>
  <c r="A85" i="45" l="1"/>
  <c r="G84" i="45"/>
  <c r="C84" i="45"/>
  <c r="D84" i="45" s="1"/>
  <c r="B84" i="45"/>
  <c r="E83" i="45"/>
  <c r="H83" i="45" s="1"/>
  <c r="I83" i="45"/>
  <c r="C85" i="45" l="1"/>
  <c r="D85" i="45" s="1"/>
  <c r="B85" i="45"/>
  <c r="E84" i="45"/>
  <c r="H84" i="45" s="1"/>
  <c r="I84" i="45"/>
  <c r="A86" i="45"/>
  <c r="G85" i="45"/>
  <c r="A87" i="45" l="1"/>
  <c r="G86" i="45"/>
  <c r="C86" i="45"/>
  <c r="D86" i="45" s="1"/>
  <c r="B86" i="45"/>
  <c r="E85" i="45"/>
  <c r="H85" i="45" s="1"/>
  <c r="I85" i="45"/>
  <c r="C87" i="45" l="1"/>
  <c r="D87" i="45" s="1"/>
  <c r="B87" i="45"/>
  <c r="E86" i="45"/>
  <c r="H86" i="45" s="1"/>
  <c r="I86" i="45"/>
  <c r="G87" i="45"/>
  <c r="A88" i="45"/>
  <c r="C88" i="45" l="1"/>
  <c r="D88" i="45" s="1"/>
  <c r="B88" i="45"/>
  <c r="A89" i="45"/>
  <c r="G88" i="45"/>
  <c r="E87" i="45"/>
  <c r="H87" i="45" s="1"/>
  <c r="I87" i="45"/>
  <c r="A90" i="45" l="1"/>
  <c r="G89" i="45"/>
  <c r="C89" i="45"/>
  <c r="D89" i="45" s="1"/>
  <c r="B89" i="45"/>
  <c r="E88" i="45"/>
  <c r="H88" i="45" s="1"/>
  <c r="I88" i="45"/>
  <c r="E89" i="45" l="1"/>
  <c r="H89" i="45" s="1"/>
  <c r="I89" i="45"/>
  <c r="C90" i="45"/>
  <c r="D90" i="45" s="1"/>
  <c r="B90" i="45"/>
  <c r="G90" i="45"/>
  <c r="A91" i="45"/>
  <c r="G91" i="45" l="1"/>
  <c r="A92" i="45"/>
  <c r="E90" i="45"/>
  <c r="H90" i="45" s="1"/>
  <c r="I90" i="45"/>
  <c r="C91" i="45"/>
  <c r="D91" i="45" s="1"/>
  <c r="B91" i="45"/>
  <c r="C92" i="45" l="1"/>
  <c r="D92" i="45" s="1"/>
  <c r="B92" i="45"/>
  <c r="E91" i="45"/>
  <c r="H91" i="45" s="1"/>
  <c r="I91" i="45"/>
  <c r="A93" i="45"/>
  <c r="G92" i="45"/>
  <c r="A94" i="45" l="1"/>
  <c r="G93" i="45"/>
  <c r="C93" i="45"/>
  <c r="D93" i="45" s="1"/>
  <c r="B93" i="45"/>
  <c r="E92" i="45"/>
  <c r="H92" i="45" s="1"/>
  <c r="I92" i="45"/>
  <c r="C94" i="45" l="1"/>
  <c r="D94" i="45" s="1"/>
  <c r="B94" i="45"/>
  <c r="E93" i="45"/>
  <c r="H93" i="45" s="1"/>
  <c r="I93" i="45"/>
  <c r="A95" i="45"/>
  <c r="G94" i="45"/>
  <c r="G95" i="45" l="1"/>
  <c r="A96" i="45"/>
  <c r="C95" i="45"/>
  <c r="D95" i="45" s="1"/>
  <c r="B95" i="45"/>
  <c r="E94" i="45"/>
  <c r="H94" i="45" s="1"/>
  <c r="I94" i="45"/>
  <c r="C96" i="45" l="1"/>
  <c r="D96" i="45" s="1"/>
  <c r="B96" i="45"/>
  <c r="E95" i="45"/>
  <c r="H95" i="45" s="1"/>
  <c r="I95" i="45"/>
  <c r="A97" i="45"/>
  <c r="G96" i="45"/>
  <c r="A98" i="45" l="1"/>
  <c r="G97" i="45"/>
  <c r="C97" i="45"/>
  <c r="D97" i="45" s="1"/>
  <c r="B97" i="45"/>
  <c r="E96" i="45"/>
  <c r="H96" i="45" s="1"/>
  <c r="I96" i="45"/>
  <c r="C98" i="45" l="1"/>
  <c r="D98" i="45" s="1"/>
  <c r="B98" i="45"/>
  <c r="E97" i="45"/>
  <c r="H97" i="45" s="1"/>
  <c r="I97" i="45"/>
  <c r="G98" i="45"/>
  <c r="A99" i="45"/>
  <c r="G99" i="45" l="1"/>
  <c r="A100" i="45"/>
  <c r="C99" i="45"/>
  <c r="D99" i="45" s="1"/>
  <c r="B99" i="45"/>
  <c r="E98" i="45"/>
  <c r="H98" i="45" s="1"/>
  <c r="I98" i="45"/>
  <c r="C100" i="45" l="1"/>
  <c r="D100" i="45" s="1"/>
  <c r="B100" i="45"/>
  <c r="E99" i="45"/>
  <c r="H99" i="45" s="1"/>
  <c r="I99" i="45"/>
  <c r="A101" i="45"/>
  <c r="G100" i="45"/>
  <c r="A102" i="45" l="1"/>
  <c r="G101" i="45"/>
  <c r="C101" i="45"/>
  <c r="D101" i="45" s="1"/>
  <c r="B101" i="45"/>
  <c r="E100" i="45"/>
  <c r="H100" i="45" s="1"/>
  <c r="I100" i="45"/>
  <c r="C102" i="45" l="1"/>
  <c r="D102" i="45" s="1"/>
  <c r="B102" i="45"/>
  <c r="E101" i="45"/>
  <c r="H101" i="45" s="1"/>
  <c r="I101" i="45"/>
  <c r="A103" i="45"/>
  <c r="G102" i="45"/>
  <c r="G103" i="45" l="1"/>
  <c r="A104" i="45"/>
  <c r="C103" i="45"/>
  <c r="D103" i="45" s="1"/>
  <c r="B103" i="45"/>
  <c r="E102" i="45"/>
  <c r="H102" i="45" s="1"/>
  <c r="I102" i="45"/>
  <c r="C104" i="45" l="1"/>
  <c r="D104" i="45" s="1"/>
  <c r="B104" i="45"/>
  <c r="E103" i="45"/>
  <c r="H103" i="45" s="1"/>
  <c r="I103" i="45"/>
  <c r="A105" i="45"/>
  <c r="G104" i="45"/>
  <c r="A106" i="45" l="1"/>
  <c r="G105" i="45"/>
  <c r="C105" i="45"/>
  <c r="D105" i="45" s="1"/>
  <c r="B105" i="45"/>
  <c r="E104" i="45"/>
  <c r="H104" i="45" s="1"/>
  <c r="I104" i="45"/>
  <c r="C106" i="45" l="1"/>
  <c r="D106" i="45" s="1"/>
  <c r="B106" i="45"/>
  <c r="E105" i="45"/>
  <c r="H105" i="45" s="1"/>
  <c r="I105" i="45"/>
  <c r="G106" i="45"/>
  <c r="A107" i="45"/>
  <c r="A108" i="45" l="1"/>
  <c r="G107" i="45"/>
  <c r="C107" i="45"/>
  <c r="D107" i="45" s="1"/>
  <c r="B107" i="45"/>
  <c r="E106" i="45"/>
  <c r="H106" i="45" s="1"/>
  <c r="I106" i="45"/>
  <c r="C108" i="45" l="1"/>
  <c r="D108" i="45" s="1"/>
  <c r="B108" i="45"/>
  <c r="E107" i="45"/>
  <c r="H107" i="45" s="1"/>
  <c r="I107" i="45"/>
  <c r="A109" i="45"/>
  <c r="G108" i="45"/>
  <c r="G109" i="45" l="1"/>
  <c r="A110" i="45"/>
  <c r="C109" i="45"/>
  <c r="D109" i="45" s="1"/>
  <c r="B109" i="45"/>
  <c r="E108" i="45"/>
  <c r="H108" i="45" s="1"/>
  <c r="I108" i="45"/>
  <c r="C110" i="45" l="1"/>
  <c r="D110" i="45" s="1"/>
  <c r="B110" i="45"/>
  <c r="E109" i="45"/>
  <c r="H109" i="45" s="1"/>
  <c r="I109" i="45"/>
  <c r="A111" i="45"/>
  <c r="G110" i="45"/>
  <c r="A112" i="45" l="1"/>
  <c r="G111" i="45"/>
  <c r="C111" i="45"/>
  <c r="D111" i="45" s="1"/>
  <c r="B111" i="45"/>
  <c r="E110" i="45"/>
  <c r="H110" i="45" s="1"/>
  <c r="I110" i="45"/>
  <c r="E111" i="45" l="1"/>
  <c r="H111" i="45" s="1"/>
  <c r="I111" i="45"/>
  <c r="C112" i="45"/>
  <c r="D112" i="45" s="1"/>
  <c r="B112" i="45"/>
  <c r="A113" i="45"/>
  <c r="G112" i="45"/>
  <c r="C113" i="45" l="1"/>
  <c r="D113" i="45" s="1"/>
  <c r="B113" i="45"/>
  <c r="A114" i="45"/>
  <c r="G113" i="45"/>
  <c r="E112" i="45"/>
  <c r="H112" i="45" s="1"/>
  <c r="I112" i="45"/>
  <c r="C114" i="45" l="1"/>
  <c r="D114" i="45" s="1"/>
  <c r="B114" i="45"/>
  <c r="G114" i="45"/>
  <c r="A115" i="45"/>
  <c r="E113" i="45"/>
  <c r="H113" i="45" s="1"/>
  <c r="I113" i="45"/>
  <c r="A116" i="45" l="1"/>
  <c r="G115" i="45"/>
  <c r="C115" i="45"/>
  <c r="D115" i="45" s="1"/>
  <c r="B115" i="45"/>
  <c r="E114" i="45"/>
  <c r="H114" i="45" s="1"/>
  <c r="I114" i="45"/>
  <c r="C116" i="45" l="1"/>
  <c r="D116" i="45" s="1"/>
  <c r="B116" i="45"/>
  <c r="E115" i="45"/>
  <c r="H115" i="45" s="1"/>
  <c r="I115" i="45"/>
  <c r="G116" i="45"/>
  <c r="A117" i="45"/>
  <c r="G117" i="45" l="1"/>
  <c r="A118" i="45"/>
  <c r="C117" i="45"/>
  <c r="D117" i="45" s="1"/>
  <c r="B117" i="45"/>
  <c r="E116" i="45"/>
  <c r="H116" i="45" s="1"/>
  <c r="I116" i="45"/>
  <c r="C118" i="45" l="1"/>
  <c r="D118" i="45" s="1"/>
  <c r="B118" i="45"/>
  <c r="E117" i="45"/>
  <c r="H117" i="45" s="1"/>
  <c r="I117" i="45"/>
  <c r="A119" i="45"/>
  <c r="G119" i="45" s="1"/>
  <c r="G118" i="45"/>
  <c r="C119" i="45" l="1"/>
  <c r="D119" i="45" s="1"/>
  <c r="B119" i="45"/>
  <c r="E118" i="45"/>
  <c r="H118" i="45" s="1"/>
  <c r="I118" i="45"/>
  <c r="E119" i="45" l="1"/>
  <c r="H119" i="45" s="1"/>
  <c r="I119" i="45"/>
  <c r="F18" i="37" l="1"/>
  <c r="F17" i="37"/>
  <c r="F16" i="37"/>
  <c r="F14" i="37"/>
  <c r="F11" i="37"/>
  <c r="F10" i="37"/>
  <c r="F9" i="37"/>
  <c r="F8" i="37"/>
  <c r="F6" i="37"/>
  <c r="G3" i="41"/>
  <c r="G4" i="41" s="1"/>
  <c r="F9" i="39"/>
  <c r="D18" i="44"/>
  <c r="D14" i="44"/>
  <c r="F10" i="9" l="1"/>
  <c r="F6" i="9"/>
  <c r="D39" i="35" l="1"/>
  <c r="D5" i="40" l="1"/>
  <c r="G13" i="10"/>
  <c r="G10" i="10"/>
  <c r="G15" i="8"/>
  <c r="G14" i="8"/>
  <c r="A8" i="5"/>
  <c r="G11" i="9"/>
  <c r="G9" i="13"/>
  <c r="E10" i="13"/>
  <c r="G10" i="13" s="1"/>
  <c r="G10" i="8" l="1"/>
  <c r="G10" i="19" l="1"/>
  <c r="G9" i="19"/>
  <c r="G7" i="19"/>
  <c r="G5" i="19"/>
  <c r="G18" i="37" l="1"/>
  <c r="G11" i="39" l="1"/>
  <c r="G10" i="39"/>
  <c r="G9" i="39"/>
  <c r="G8" i="39"/>
  <c r="A9" i="39"/>
  <c r="A10" i="39" s="1"/>
  <c r="A11" i="39" s="1"/>
  <c r="F1" i="39"/>
  <c r="G14" i="10"/>
  <c r="G13" i="12"/>
  <c r="B13" i="38"/>
  <c r="B14" i="38" s="1"/>
  <c r="A5" i="13"/>
  <c r="G13" i="8"/>
  <c r="G11" i="37"/>
  <c r="A6" i="9"/>
  <c r="B16" i="38" l="1"/>
  <c r="B18" i="38" s="1"/>
  <c r="B19" i="38" s="1"/>
  <c r="C9" i="38"/>
  <c r="C8" i="38"/>
  <c r="C7" i="38"/>
  <c r="G8" i="10"/>
  <c r="G17" i="37" l="1"/>
  <c r="G16" i="37" l="1"/>
  <c r="G14" i="37"/>
  <c r="G10" i="37"/>
  <c r="G9" i="37"/>
  <c r="G8" i="37"/>
  <c r="A8" i="37"/>
  <c r="A9" i="37" s="1"/>
  <c r="A10" i="37" s="1"/>
  <c r="G6" i="37"/>
  <c r="G8" i="13"/>
  <c r="G21" i="37" l="1"/>
  <c r="A11" i="37"/>
  <c r="A14" i="37" s="1"/>
  <c r="A16" i="37" s="1"/>
  <c r="A17" i="37" s="1"/>
  <c r="A18" i="37" s="1"/>
  <c r="D13" i="35" l="1"/>
  <c r="F1" i="4"/>
  <c r="E12" i="13" l="1"/>
  <c r="F1" i="12" l="1"/>
  <c r="F1" i="8"/>
  <c r="F1" i="9" l="1"/>
  <c r="G6" i="7" l="1"/>
  <c r="F1" i="13" l="1"/>
  <c r="F1" i="10"/>
  <c r="F1" i="7"/>
  <c r="F1" i="6"/>
  <c r="F1" i="19"/>
  <c r="F1" i="5"/>
  <c r="F1" i="2"/>
  <c r="A10" i="35" l="1"/>
  <c r="A11" i="35" s="1"/>
  <c r="A12" i="35" s="1"/>
  <c r="G28" i="14"/>
  <c r="G21" i="14"/>
  <c r="G19" i="14"/>
  <c r="A20" i="14"/>
  <c r="A21" i="14" s="1"/>
  <c r="A22" i="14" s="1"/>
  <c r="A13" i="35" l="1"/>
  <c r="A14" i="35" s="1"/>
  <c r="A15" i="35" s="1"/>
  <c r="A16" i="35" s="1"/>
  <c r="A17" i="35" s="1"/>
  <c r="A18" i="35" s="1"/>
  <c r="A19" i="35" s="1"/>
  <c r="G5" i="13"/>
  <c r="A6" i="13"/>
  <c r="G11" i="10"/>
  <c r="G9" i="10"/>
  <c r="G7" i="10"/>
  <c r="G6" i="12"/>
  <c r="G17" i="10" l="1"/>
  <c r="A7" i="13"/>
  <c r="A8" i="13" s="1"/>
  <c r="A9" i="13" s="1"/>
  <c r="A10" i="13" s="1"/>
  <c r="A11" i="13" s="1"/>
  <c r="G6" i="39" l="1"/>
  <c r="G13" i="39" s="1"/>
  <c r="D16" i="35" s="1"/>
  <c r="A12" i="13" l="1"/>
  <c r="G12" i="13"/>
  <c r="E9" i="4" l="1"/>
  <c r="E7" i="4"/>
  <c r="G31" i="14" l="1"/>
  <c r="G30" i="14"/>
  <c r="G29" i="14"/>
  <c r="G27" i="14"/>
  <c r="G26" i="14"/>
  <c r="G25" i="14"/>
  <c r="G24" i="14"/>
  <c r="G23" i="14"/>
  <c r="G22" i="14"/>
  <c r="G20" i="14"/>
  <c r="G18" i="14"/>
  <c r="G17" i="14"/>
  <c r="G16" i="14"/>
  <c r="G15" i="14"/>
  <c r="G12" i="14"/>
  <c r="G11" i="14"/>
  <c r="G10" i="14"/>
  <c r="G9" i="14"/>
  <c r="G8" i="14"/>
  <c r="F1" i="14"/>
  <c r="G7" i="13"/>
  <c r="G6" i="13"/>
  <c r="G12" i="12"/>
  <c r="G11" i="12"/>
  <c r="G7" i="12"/>
  <c r="G12" i="9"/>
  <c r="G10" i="9"/>
  <c r="G9" i="9"/>
  <c r="G8" i="9"/>
  <c r="G6" i="9"/>
  <c r="G9" i="8"/>
  <c r="G8" i="8"/>
  <c r="G16" i="7"/>
  <c r="G15" i="7"/>
  <c r="G12" i="7"/>
  <c r="G10" i="7"/>
  <c r="G20" i="6"/>
  <c r="G19" i="6"/>
  <c r="G18" i="6"/>
  <c r="G17" i="6"/>
  <c r="G13" i="6"/>
  <c r="G12" i="6"/>
  <c r="G11" i="6"/>
  <c r="G10" i="6"/>
  <c r="G9" i="6"/>
  <c r="G17" i="12" l="1"/>
  <c r="G21" i="8"/>
  <c r="G16" i="13"/>
  <c r="G28" i="3"/>
  <c r="G36" i="14"/>
  <c r="G18" i="9"/>
  <c r="G23" i="6"/>
  <c r="G15" i="19"/>
  <c r="G8" i="5"/>
  <c r="G7" i="5"/>
  <c r="D18" i="35" l="1"/>
  <c r="D17" i="35"/>
  <c r="D10" i="35"/>
  <c r="D15" i="35"/>
  <c r="D11" i="35"/>
  <c r="D14" i="35"/>
  <c r="G10" i="5"/>
  <c r="D9" i="35" l="1"/>
  <c r="G17" i="7" l="1"/>
  <c r="D12" i="35" l="1"/>
  <c r="E1" i="14" l="1"/>
  <c r="E1" i="12"/>
  <c r="E1" i="9"/>
  <c r="E1" i="8"/>
  <c r="E1" i="5"/>
  <c r="E1" i="4"/>
  <c r="E1" i="19"/>
  <c r="A10" i="2"/>
  <c r="A12" i="2" s="1"/>
  <c r="A13" i="2" s="1"/>
  <c r="A14" i="2" s="1"/>
  <c r="A15" i="2" s="1"/>
  <c r="A16" i="2" s="1"/>
  <c r="A17" i="2" s="1"/>
  <c r="A18" i="2" s="1"/>
  <c r="A20" i="2"/>
  <c r="A21" i="2" s="1"/>
  <c r="A22" i="2" s="1"/>
  <c r="A23" i="2" s="1"/>
  <c r="A7" i="3"/>
  <c r="A8" i="3" s="1"/>
  <c r="A10" i="3" s="1"/>
  <c r="A11" i="3" s="1"/>
  <c r="A12" i="3" s="1"/>
  <c r="A13" i="3" s="1"/>
  <c r="A14" i="3" s="1"/>
  <c r="A15" i="3" s="1"/>
  <c r="A16" i="3" s="1"/>
  <c r="A17" i="3" s="1"/>
  <c r="A18" i="3" s="1"/>
  <c r="A19" i="3" s="1"/>
  <c r="A20" i="3" s="1"/>
  <c r="A7" i="4"/>
  <c r="A8" i="4" s="1"/>
  <c r="A9" i="4" s="1"/>
  <c r="A10" i="4" s="1"/>
  <c r="A11" i="4" s="1"/>
  <c r="A12" i="4" s="1"/>
  <c r="A13" i="4" s="1"/>
  <c r="A14" i="4" s="1"/>
  <c r="A15" i="4" s="1"/>
  <c r="A16" i="4" s="1"/>
  <c r="A17" i="4" s="1"/>
  <c r="A18" i="4" s="1"/>
  <c r="A19" i="4" s="1"/>
  <c r="A9" i="14"/>
  <c r="A10" i="14" s="1"/>
  <c r="A11" i="14" s="1"/>
  <c r="A12" i="14" s="1"/>
  <c r="A15" i="14" s="1"/>
  <c r="A16" i="14" s="1"/>
  <c r="A17" i="14" s="1"/>
  <c r="A18" i="14" s="1"/>
  <c r="A23" i="14"/>
  <c r="A24" i="14" s="1"/>
  <c r="A25" i="14" s="1"/>
  <c r="A26" i="14" s="1"/>
  <c r="A27" i="14" s="1"/>
  <c r="A28" i="14" s="1"/>
  <c r="A29" i="14" s="1"/>
  <c r="A8" i="9"/>
  <c r="A9" i="9" s="1"/>
  <c r="A10" i="9" s="1"/>
  <c r="A11" i="9" s="1"/>
  <c r="A12" i="9" s="1"/>
  <c r="A13" i="9" s="1"/>
  <c r="A14" i="9" s="1"/>
  <c r="A30" i="14" l="1"/>
  <c r="A31" i="14" s="1"/>
  <c r="A32" i="14" s="1"/>
  <c r="E1" i="7"/>
  <c r="D8" i="35" l="1"/>
  <c r="D6" i="35" s="1"/>
  <c r="D20" i="35" s="1"/>
  <c r="G8" i="2"/>
  <c r="G26" i="2" l="1"/>
  <c r="D22" i="35"/>
  <c r="D23" i="35" s="1"/>
  <c r="D24" i="35" s="1"/>
  <c r="D25" i="35" s="1"/>
  <c r="D26" i="35" s="1"/>
  <c r="E20" i="35"/>
  <c r="D27" i="35" l="1"/>
  <c r="B3" i="45" s="1"/>
  <c r="B5" i="45" s="1"/>
  <c r="D15" i="45" s="1"/>
  <c r="D32" i="35" l="1"/>
  <c r="D29" i="35"/>
  <c r="D30" i="35" s="1"/>
  <c r="D31" i="35" s="1"/>
  <c r="D22" i="45"/>
  <c r="D12" i="45"/>
  <c r="I12" i="45" s="1"/>
  <c r="D14" i="45"/>
  <c r="E15" i="45" s="1"/>
  <c r="H15" i="45" s="1"/>
  <c r="D18" i="45"/>
  <c r="I18" i="45" s="1"/>
  <c r="D9" i="45"/>
  <c r="I9" i="45" s="1"/>
  <c r="D21" i="45"/>
  <c r="D13" i="45"/>
  <c r="D28" i="45"/>
  <c r="I28" i="45" s="1"/>
  <c r="D20" i="45"/>
  <c r="I20" i="45" s="1"/>
  <c r="D27" i="45"/>
  <c r="D19" i="45"/>
  <c r="D11" i="45"/>
  <c r="D26" i="45"/>
  <c r="I26" i="45" s="1"/>
  <c r="D10" i="45"/>
  <c r="I10" i="45" s="1"/>
  <c r="D25" i="45"/>
  <c r="D17" i="45"/>
  <c r="I17" i="45" s="1"/>
  <c r="D24" i="45"/>
  <c r="I24" i="45" s="1"/>
  <c r="D16" i="45"/>
  <c r="I16" i="45" s="1"/>
  <c r="D8" i="45"/>
  <c r="I8" i="45" s="1"/>
  <c r="D23" i="45"/>
  <c r="I23" i="45" s="1"/>
  <c r="I15" i="45"/>
  <c r="D33" i="35" l="1"/>
  <c r="D34" i="35" s="1"/>
  <c r="D40" i="35" s="1"/>
  <c r="E12" i="45"/>
  <c r="H12" i="45" s="1"/>
  <c r="E26" i="45"/>
  <c r="H26" i="45" s="1"/>
  <c r="E23" i="45"/>
  <c r="H23" i="45" s="1"/>
  <c r="E22" i="45"/>
  <c r="H22" i="45" s="1"/>
  <c r="I22" i="45"/>
  <c r="I11" i="45"/>
  <c r="E18" i="45"/>
  <c r="H18" i="45" s="1"/>
  <c r="E11" i="45"/>
  <c r="H11" i="45" s="1"/>
  <c r="E19" i="45"/>
  <c r="H19" i="45" s="1"/>
  <c r="E14" i="45"/>
  <c r="H14" i="45" s="1"/>
  <c r="I14" i="45"/>
  <c r="E10" i="45"/>
  <c r="H10" i="45" s="1"/>
  <c r="E27" i="45"/>
  <c r="H27" i="45" s="1"/>
  <c r="I27" i="45"/>
  <c r="E13" i="45"/>
  <c r="H13" i="45" s="1"/>
  <c r="I13" i="45"/>
  <c r="E28" i="45"/>
  <c r="H28" i="45" s="1"/>
  <c r="E16" i="45"/>
  <c r="H16" i="45" s="1"/>
  <c r="E24" i="45"/>
  <c r="H24" i="45" s="1"/>
  <c r="E25" i="45"/>
  <c r="H25" i="45" s="1"/>
  <c r="I19" i="45"/>
  <c r="I21" i="45"/>
  <c r="I25" i="45"/>
  <c r="E9" i="45"/>
  <c r="H9" i="45" s="1"/>
  <c r="E21" i="45"/>
  <c r="H21" i="45" s="1"/>
  <c r="E8" i="45"/>
  <c r="H8" i="45" s="1"/>
  <c r="E20" i="45"/>
  <c r="H20" i="45" s="1"/>
  <c r="E17" i="45"/>
  <c r="H17" i="45" s="1"/>
  <c r="E29" i="45"/>
  <c r="H29" i="4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C24" authorId="0" shapeId="0" xr:uid="{00000000-0006-0000-0000-000001000000}">
      <text>
        <r>
          <rPr>
            <b/>
            <sz val="9"/>
            <color indexed="81"/>
            <rFont val="Tahoma"/>
            <family val="2"/>
          </rPr>
          <t>Jon:</t>
        </r>
        <r>
          <rPr>
            <sz val="9"/>
            <color indexed="81"/>
            <rFont val="Tahoma"/>
            <family val="2"/>
          </rPr>
          <t xml:space="preserve">
increased for longer contract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D7" authorId="0" shapeId="0" xr:uid="{00000000-0006-0000-0500-000001000000}">
      <text>
        <r>
          <rPr>
            <b/>
            <sz val="9"/>
            <color indexed="81"/>
            <rFont val="Tahoma"/>
            <family val="2"/>
          </rPr>
          <t>Jon:</t>
        </r>
        <r>
          <rPr>
            <sz val="9"/>
            <color indexed="81"/>
            <rFont val="Tahoma"/>
            <family val="2"/>
          </rPr>
          <t xml:space="preserve">
Awaiting report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F2" authorId="0" shapeId="0" xr:uid="{00000000-0006-0000-0900-000001000000}">
      <text>
        <r>
          <rPr>
            <b/>
            <sz val="9"/>
            <color indexed="81"/>
            <rFont val="Tahoma"/>
            <family val="2"/>
          </rPr>
          <t>Jon:</t>
        </r>
        <r>
          <rPr>
            <sz val="9"/>
            <color indexed="81"/>
            <rFont val="Tahoma"/>
            <family val="2"/>
          </rPr>
          <t xml:space="preserve">
increased 15% for escalation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F12" authorId="0" shapeId="0" xr:uid="{00000000-0006-0000-0F00-000001000000}">
      <text>
        <r>
          <rPr>
            <b/>
            <sz val="10"/>
            <color indexed="81"/>
            <rFont val="Tahoma"/>
            <family val="2"/>
          </rPr>
          <t>Jon:</t>
        </r>
        <r>
          <rPr>
            <sz val="10"/>
            <color indexed="81"/>
            <rFont val="Tahoma"/>
            <family val="2"/>
          </rPr>
          <t xml:space="preserve">
after checking WWMF rates</t>
        </r>
      </text>
    </comment>
    <comment ref="F13" authorId="0" shapeId="0" xr:uid="{00000000-0006-0000-0F00-000002000000}">
      <text>
        <r>
          <rPr>
            <b/>
            <sz val="10"/>
            <color indexed="81"/>
            <rFont val="Tahoma"/>
            <family val="2"/>
          </rPr>
          <t>Jon:</t>
        </r>
        <r>
          <rPr>
            <sz val="10"/>
            <color indexed="81"/>
            <rFont val="Tahoma"/>
            <family val="2"/>
          </rPr>
          <t xml:space="preserve">
after checking WWMF rates</t>
        </r>
      </text>
    </comment>
    <comment ref="F14" authorId="0" shapeId="0" xr:uid="{00000000-0006-0000-0F00-000003000000}">
      <text>
        <r>
          <rPr>
            <b/>
            <sz val="10"/>
            <color indexed="81"/>
            <rFont val="Tahoma"/>
            <family val="2"/>
          </rPr>
          <t>Jon:</t>
        </r>
        <r>
          <rPr>
            <sz val="10"/>
            <color indexed="81"/>
            <rFont val="Tahoma"/>
            <family val="2"/>
          </rPr>
          <t xml:space="preserve">
after checking WWMF rates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E9" authorId="0" shapeId="0" xr:uid="{00000000-0006-0000-1000-000001000000}">
      <text>
        <r>
          <rPr>
            <b/>
            <sz val="9"/>
            <color indexed="81"/>
            <rFont val="Tahoma"/>
            <family val="2"/>
          </rPr>
          <t>Jon:</t>
        </r>
        <r>
          <rPr>
            <sz val="9"/>
            <color indexed="81"/>
            <rFont val="Tahoma"/>
            <family val="2"/>
          </rPr>
          <t xml:space="preserve">
gas lines</t>
        </r>
      </text>
    </comment>
    <comment ref="E10" authorId="0" shapeId="0" xr:uid="{00000000-0006-0000-1000-000002000000}">
      <text>
        <r>
          <rPr>
            <b/>
            <sz val="9"/>
            <color indexed="81"/>
            <rFont val="Tahoma"/>
            <family val="2"/>
          </rPr>
          <t>Jon:</t>
        </r>
        <r>
          <rPr>
            <sz val="9"/>
            <color indexed="81"/>
            <rFont val="Tahoma"/>
            <family val="2"/>
          </rPr>
          <t xml:space="preserve">
gas lines</t>
        </r>
      </text>
    </comment>
    <comment ref="E11" authorId="0" shapeId="0" xr:uid="{00000000-0006-0000-1000-000003000000}">
      <text>
        <r>
          <rPr>
            <b/>
            <sz val="9"/>
            <color indexed="81"/>
            <rFont val="Tahoma"/>
            <family val="2"/>
          </rPr>
          <t>Jon:</t>
        </r>
        <r>
          <rPr>
            <sz val="9"/>
            <color indexed="81"/>
            <rFont val="Tahoma"/>
            <family val="2"/>
          </rPr>
          <t xml:space="preserve">
gas lines</t>
        </r>
      </text>
    </comment>
  </commentList>
</comments>
</file>

<file path=xl/sharedStrings.xml><?xml version="1.0" encoding="utf-8"?>
<sst xmlns="http://schemas.openxmlformats.org/spreadsheetml/2006/main" count="786" uniqueCount="415">
  <si>
    <t>SECTION  1 : PRELIMINARY AND GENERAL</t>
  </si>
  <si>
    <t>Item</t>
  </si>
  <si>
    <t>Payment Ref</t>
  </si>
  <si>
    <t>Description</t>
  </si>
  <si>
    <t>Unit</t>
  </si>
  <si>
    <t>Quantity</t>
  </si>
  <si>
    <t>Rate</t>
  </si>
  <si>
    <t>Amount</t>
  </si>
  <si>
    <t>SABS 1200A GENERAL</t>
  </si>
  <si>
    <t>SCHEDULED FIXED CHARGE &amp; VALUE RELATED ITEMS</t>
  </si>
  <si>
    <t>Contractual requirements, sureties &amp; insurance</t>
  </si>
  <si>
    <t>sum</t>
  </si>
  <si>
    <t>PSA.8.3.2</t>
  </si>
  <si>
    <t>Establishment of facilities on site</t>
  </si>
  <si>
    <t>PSA.8.3.2.2</t>
  </si>
  <si>
    <t>Facilities for the Contractor</t>
  </si>
  <si>
    <t>a) Offices &amp; storage sheds</t>
  </si>
  <si>
    <t>b) Workshops</t>
  </si>
  <si>
    <t>e) Ablution &amp; latrine facilities</t>
  </si>
  <si>
    <t>f) Tools &amp; equipment</t>
  </si>
  <si>
    <t>g) Water supplies, electric power &amp; communications</t>
  </si>
  <si>
    <t>i) Access</t>
  </si>
  <si>
    <t>j) Plant</t>
  </si>
  <si>
    <t>PSA.8.3.5</t>
  </si>
  <si>
    <t>As-built survey</t>
  </si>
  <si>
    <t>Removal of site establishment</t>
  </si>
  <si>
    <t>R</t>
  </si>
  <si>
    <t>SECTION  1 : PRELIMINARY AND GENERAL continued</t>
  </si>
  <si>
    <t>SCHEDULED TIME-RELATED ITEMS</t>
  </si>
  <si>
    <t>Operate &amp; maintain facilities for the duration of the contract</t>
  </si>
  <si>
    <t>PSA.8.4.2.2</t>
  </si>
  <si>
    <t>Facilities for the Contractor for the duration of construction</t>
  </si>
  <si>
    <t>Supervision for duration of construction</t>
  </si>
  <si>
    <t>Company &amp; head office overhead costs for the duration of the contract</t>
  </si>
  <si>
    <t>TOTAL TIME RELATED ITEMS TO SUMMARY</t>
  </si>
  <si>
    <t>SUMS STATED PROVISIONALLY BY ENGINEER</t>
  </si>
  <si>
    <t>PSA.8.5(b) 1)</t>
  </si>
  <si>
    <t>Prov sum</t>
  </si>
  <si>
    <t>%</t>
  </si>
  <si>
    <t>TOTAL PROVISIONAL SUMS TO SUMMARY</t>
  </si>
  <si>
    <t>SECTION  2 : SITE CLEARANCE</t>
  </si>
  <si>
    <t>SABS 1200C SITE CLEARANCE</t>
  </si>
  <si>
    <t>2.1</t>
  </si>
  <si>
    <t>PSC.8.2.1</t>
  </si>
  <si>
    <t>m2</t>
  </si>
  <si>
    <t>m3</t>
  </si>
  <si>
    <t>m</t>
  </si>
  <si>
    <t>SECTION 2 : TOTAL TO SUMMARY</t>
  </si>
  <si>
    <t>SABS 1200 DB : EARTHWORKS (PIPE TRENCHES)</t>
  </si>
  <si>
    <t>PSDB.8.3.2 (a)</t>
  </si>
  <si>
    <t>c) Excavation of unsuitable material from trench bottom (provisional)</t>
  </si>
  <si>
    <t>PSDB.8.3.3.1</t>
  </si>
  <si>
    <t>b) Imported backfill materials from commercial source</t>
  </si>
  <si>
    <t>1) Selected fill material</t>
  </si>
  <si>
    <t>SECTION 3 : TOTAL TO SUMMARY</t>
  </si>
  <si>
    <t>SABS 1200 DM: EARTHWORKS (Roads, Subgrade)</t>
  </si>
  <si>
    <t>PSDM.8.3.3</t>
  </si>
  <si>
    <t>PSDM.8.3.4</t>
  </si>
  <si>
    <t>Cut to Fill, Borrow to Fill</t>
  </si>
  <si>
    <t>t</t>
  </si>
  <si>
    <t>SECTION 4 : TOTAL TO SUMMARY</t>
  </si>
  <si>
    <t>SABS 1200DK : GABIONS &amp; PITCHING</t>
  </si>
  <si>
    <t>PSDK.8.2.2</t>
  </si>
  <si>
    <t>Gabions</t>
  </si>
  <si>
    <t>PSDK.8.2.4</t>
  </si>
  <si>
    <t>SECTION 5 : TOTAL TO SUMMARY</t>
  </si>
  <si>
    <t>SABS 1200G : CONCRETE WORK</t>
  </si>
  <si>
    <t>SCHEDULED REINFORCEMENT ITEMS</t>
  </si>
  <si>
    <t>PSG.8.3.1</t>
  </si>
  <si>
    <t>PSG.8.4</t>
  </si>
  <si>
    <t>SCHEDULED CONCRETE ITEMS</t>
  </si>
  <si>
    <t>Concrete Grade 20/19 to pipe encasement</t>
  </si>
  <si>
    <t>SECTION 6 : TOTAL TO SUMMARY</t>
  </si>
  <si>
    <t>SABS 1200LD : SEWERS</t>
  </si>
  <si>
    <t>PSLD.8.2.1</t>
  </si>
  <si>
    <t>No.</t>
  </si>
  <si>
    <t>SABS 1200LE : STORMWATER DRAINAGE</t>
  </si>
  <si>
    <t>Subsoil pipes</t>
  </si>
  <si>
    <t>i) 110mm diameter DN 110</t>
  </si>
  <si>
    <t>PSLE.8.2.14</t>
  </si>
  <si>
    <t>SECTION 9 : TOTAL TO SUMMARY</t>
  </si>
  <si>
    <t>Payment   Ref</t>
  </si>
  <si>
    <t>PARTICULAR SPECIFICATION : LINING SYSTEMS</t>
  </si>
  <si>
    <t>SECTION 10 : TOTAL TO SUMMARY</t>
  </si>
  <si>
    <t>PARTICULAR SPECIFICATIONS : DAYWORKS</t>
  </si>
  <si>
    <t>LABOUR</t>
  </si>
  <si>
    <t>Unskilled workers</t>
  </si>
  <si>
    <t>hr</t>
  </si>
  <si>
    <t>Skilled workers (artisans)</t>
  </si>
  <si>
    <t>Operators &amp; drivers</t>
  </si>
  <si>
    <t>Foreman</t>
  </si>
  <si>
    <t>Gang Supervisor</t>
  </si>
  <si>
    <t>CONSTRUCTIONAL PLANT</t>
  </si>
  <si>
    <t>km</t>
  </si>
  <si>
    <t>Grader (Cat 140G)</t>
  </si>
  <si>
    <t>Tractor-loader backhoe (TLB)</t>
  </si>
  <si>
    <t>Pedestrian Roller (Bomag 90)</t>
  </si>
  <si>
    <t>Compressor &amp; all tools (250cfm)</t>
  </si>
  <si>
    <t>Light delivery vehicle</t>
  </si>
  <si>
    <t>Other : Contractor to specify</t>
  </si>
  <si>
    <t>SECTION 11 : TOTAL TO SUMMARY</t>
  </si>
  <si>
    <t>Community Liaison officer</t>
  </si>
  <si>
    <t>Treatment of roadbed: road and liner formation</t>
  </si>
  <si>
    <t>PSDM.8.3.15</t>
  </si>
  <si>
    <t>SECTION 3 : EARTHWORKS</t>
  </si>
  <si>
    <t>SABS 1200 D: EARTHWORKS</t>
  </si>
  <si>
    <t>b) 600 diameter 100D spigot and socket.</t>
  </si>
  <si>
    <t>PSD.8.3.11</t>
  </si>
  <si>
    <t>Excavation &amp; backfill in all materials for</t>
  </si>
  <si>
    <t>PSG.8.4.3.1</t>
  </si>
  <si>
    <t>PSG.8.4.3.2</t>
  </si>
  <si>
    <t>PSLD.8.2.13</t>
  </si>
  <si>
    <t>Offices for Engineer &amp; staff and notice board</t>
  </si>
  <si>
    <t>Other time-related obligations: setting out, survey for as-built drawings, security, deviations and dealing with traffic.</t>
  </si>
  <si>
    <t>Other fixed-charge obligations: setting out, security, deviations and dealing with traffic.</t>
  </si>
  <si>
    <t>SECTION  4 : EARTHWORKS (PIPE TRENCHES)</t>
  </si>
  <si>
    <t>a) 1) Treatment of in situ material by ripping and compacting to 93% Mod AASHTO density</t>
  </si>
  <si>
    <t>Blinding concrete. 10MPa strength</t>
  </si>
  <si>
    <t>PSG.8.4.3.3</t>
  </si>
  <si>
    <t>b) to drains and headwalls: Reno mattress 6m x 2m x 0,3m thick with 2,5mm diameter wire galvanised &amp; PVC coated 80x100mm mesh. Inclusive of all excavation &amp; surface preparation. (Provisional).</t>
  </si>
  <si>
    <t>LGM 8.1</t>
  </si>
  <si>
    <t>LGC.8.1</t>
  </si>
  <si>
    <t>SECTION 5 : EARTHWORKS (Roads, Subgrade)</t>
  </si>
  <si>
    <t>SECTION 8 : TOTAL TO SUMMARY</t>
  </si>
  <si>
    <t>2) Generally for 90 to 250mm inclusive outside diameter piping &amp; drains.   &gt;1.2 - 2m depth.</t>
  </si>
  <si>
    <t>1) Generally for 90 to 250mm inclusive outside diameter piping &amp; drains.   0 - 1.2m depth.</t>
  </si>
  <si>
    <t>SITE CLEARANCE</t>
  </si>
  <si>
    <t>EARTHWORKS</t>
  </si>
  <si>
    <t>EARTHWORKS (PIPE TRENCHES)</t>
  </si>
  <si>
    <t>EARTHWORKS (ROADS, SUBGRADE)</t>
  </si>
  <si>
    <t>GABIONS &amp; PITCHING</t>
  </si>
  <si>
    <t>CONCRETE WORK</t>
  </si>
  <si>
    <t>SEWERS</t>
  </si>
  <si>
    <t>STORMWATER DRAINAGE</t>
  </si>
  <si>
    <t>PARTICULAR SPECIFICATION: LINING</t>
  </si>
  <si>
    <t>PARTICULAR SPECIFICATIONS: DAYWORKS</t>
  </si>
  <si>
    <t>Section</t>
  </si>
  <si>
    <t>SUMS STATED PROVISIONALLY</t>
  </si>
  <si>
    <t>h) Dealing with leachate, water &amp; dust</t>
  </si>
  <si>
    <t>h) Dealing with leachate, water &amp; dust.</t>
  </si>
  <si>
    <t>Overheads, charges &amp; profit on item above</t>
  </si>
  <si>
    <t>TOTAL CARRIED TO FORM OF OFFER AND ACCEPTANCE</t>
  </si>
  <si>
    <t>SCHEDULED FIXED CHARGE ITEMS</t>
  </si>
  <si>
    <t>SCHEDULED TIME RELATED ITEMS</t>
  </si>
  <si>
    <t>TOTAL FIXED CHARGE ITEMS TO SUMMARY</t>
  </si>
  <si>
    <r>
      <t>Steel bars</t>
    </r>
    <r>
      <rPr>
        <sz val="10"/>
        <rFont val="Arial"/>
        <family val="2"/>
      </rPr>
      <t xml:space="preserve"> - mild, high tensile or welded mesh</t>
    </r>
  </si>
  <si>
    <t>PAA-5.1</t>
  </si>
  <si>
    <t>PAA-5.2</t>
  </si>
  <si>
    <t>Cost of acceptance testing</t>
  </si>
  <si>
    <t>Provisional sum for specialist testing on the liner components as directed by the Engineer.</t>
  </si>
  <si>
    <t>PSC 8.2.12</t>
  </si>
  <si>
    <t>PSDB.8.3.8</t>
  </si>
  <si>
    <t>SUMMARY OF BILL OF QUANTITIES</t>
  </si>
  <si>
    <t>Mentoring of CPG Contractor</t>
  </si>
  <si>
    <t>PSD.8.3.8</t>
  </si>
  <si>
    <t>Leak detection of geomembrane lining by dipole in accordance with ASTM D7007.</t>
  </si>
  <si>
    <t>LGM 8.5</t>
  </si>
  <si>
    <t>LGM 8.6</t>
  </si>
  <si>
    <t>Additional survey as required</t>
  </si>
  <si>
    <t>ADD 15% VALUE ADDED TAX</t>
  </si>
  <si>
    <t>Tracked excavator (20t - 22t)</t>
  </si>
  <si>
    <t>Vibratory roller (8t - 10t)</t>
  </si>
  <si>
    <t>Water Tanker 8 000 litres to 12 000 litres</t>
  </si>
  <si>
    <t>Bulldozer &amp; ripper (Cat D5 to D6)</t>
  </si>
  <si>
    <t>Crane truck; 10t capacity</t>
  </si>
  <si>
    <t>SUB TOTAL EXC VAT</t>
  </si>
  <si>
    <t>Contractor’s obligations in respect of the Occupational Health and Safety Act and any other Health &amp; Safety regulations as may be applicable i.e. Covid-19 compliance.</t>
  </si>
  <si>
    <t>Front-end-loader 2.5m3 bucket</t>
  </si>
  <si>
    <t>a) 450 diameter 100D spigot and socket.</t>
  </si>
  <si>
    <t>Lowbed (40t capacity)</t>
  </si>
  <si>
    <t>Front-end-loader 4m3 bucket</t>
  </si>
  <si>
    <t>Tracked excavator (30t)</t>
  </si>
  <si>
    <t>All terrain dumptruck (ADT) 30t capacity</t>
  </si>
  <si>
    <t>PSA.8.3.3 
&amp; PS 11</t>
  </si>
  <si>
    <t>PSA.8.4.5
&amp; PS 11</t>
  </si>
  <si>
    <t>PS-10.3</t>
  </si>
  <si>
    <t>ADD CONTINGENCY</t>
  </si>
  <si>
    <t>SUB TOTAL</t>
  </si>
  <si>
    <t>ADD FOR ESCALATION</t>
  </si>
  <si>
    <t>FEES</t>
  </si>
  <si>
    <t>GAZETTED FEES AT</t>
  </si>
  <si>
    <t xml:space="preserve">LESS 20% DISCOUNT </t>
  </si>
  <si>
    <t>TOTAL FEE (ESTIMATED MAXIMUM)</t>
  </si>
  <si>
    <t>DISBURSEMENTS</t>
  </si>
  <si>
    <t>TOTAL FEE INCLUDING DISBURSMENT (EXCL. VAT)</t>
  </si>
  <si>
    <t>TOTAL BUDGET (EXC VAT)</t>
  </si>
  <si>
    <t>SAVING / OVER BUDGET (EXC VAT)</t>
  </si>
  <si>
    <t>DSW BUDGET 2023/2024</t>
  </si>
  <si>
    <t>2024/2025</t>
  </si>
  <si>
    <t>WATER STORAGE RESERVOIR</t>
  </si>
  <si>
    <t>SABS 1200 ME, MF, MH &amp; MK: SUBBASE, BASE, SURFACING &amp; KERBING</t>
  </si>
  <si>
    <t>Base Course</t>
  </si>
  <si>
    <t>MF.8.3.3</t>
  </si>
  <si>
    <t>MH.8.5.1</t>
  </si>
  <si>
    <t>Prime coat MSP 1 at 0,8l/m2</t>
  </si>
  <si>
    <t>MH.8.5.3</t>
  </si>
  <si>
    <t>Tack coat  MSP 1 at 0,2l/m2</t>
  </si>
  <si>
    <t>MH.8.5.4</t>
  </si>
  <si>
    <t>ETHEKWINI MUNICIPALITY CLEANSING &amp; SOLID WASTE</t>
  </si>
  <si>
    <t>ESTIMATE</t>
  </si>
  <si>
    <t>SECTION 1</t>
  </si>
  <si>
    <t>DESCRIPTION</t>
  </si>
  <si>
    <t>AMOUNT</t>
  </si>
  <si>
    <t>ROADS : SURFACING</t>
  </si>
  <si>
    <t>EARTHWORKS : PIPE TRENCHES</t>
  </si>
  <si>
    <t>MEDIUM PRESSURE PIPELINES &amp; SEWERS</t>
  </si>
  <si>
    <t>ADD VALUE ADDED TAX</t>
  </si>
  <si>
    <r>
      <t>a) to drains and headwalls : 1m</t>
    </r>
    <r>
      <rPr>
        <vertAlign val="superscript"/>
        <sz val="10"/>
        <rFont val="Arial"/>
        <family val="2"/>
      </rPr>
      <t>3</t>
    </r>
    <r>
      <rPr>
        <sz val="10"/>
        <rFont val="Arial"/>
        <family val="2"/>
      </rPr>
      <t xml:space="preserve"> gabions with  2,5mm diameter wire galvanised &amp; PVC coated 80 x 100mm mesh. Inclusive of all excavation &amp; surface preparation. (Provisional).</t>
    </r>
  </si>
  <si>
    <t>b) Graded crushed stone base (G2) compacted to 100% Mod AASHTO density, generally 150mm thick. Provisional.</t>
  </si>
  <si>
    <t>Surfacing (new or overlay)</t>
  </si>
  <si>
    <t>Surfacing Repairs (ALL PROVISIONAL)</t>
  </si>
  <si>
    <t>Allowance for a Social Facilitator</t>
  </si>
  <si>
    <t>PSDK.8.2.5</t>
  </si>
  <si>
    <t>3) 250 to 1050mm inclusive diameter piping &amp; anchor trenches.   0 - 1.3m depth.</t>
  </si>
  <si>
    <t>4) 250 to 1050mm inclusive diameter piping &amp; anchor trenches.   &gt;1.3 - 2m depth.</t>
  </si>
  <si>
    <t>EARTHWORKS : ROADS, SUBGRADE</t>
  </si>
  <si>
    <t>GABIONS, PITCHING INCLUDING GEOFABRIC</t>
  </si>
  <si>
    <t>PARTICULAR SPECIFICATIONS: LINING SYSTEMS</t>
  </si>
  <si>
    <t>SECTION 6 : ROADS : SURFACING</t>
  </si>
  <si>
    <t>SECTION 8 : CONCRETE WORK</t>
  </si>
  <si>
    <t>Asphalt wearing course 25mm up to 40mm thickness continuous grade with 5% bitumen content. Paver laid</t>
  </si>
  <si>
    <t>Asphalt wearing course 25mm up to 40mm thickness continuous grade with 5% bitumen content. Hand laid in repaired areas.</t>
  </si>
  <si>
    <t>SECTION 9 : SEWERS</t>
  </si>
  <si>
    <t>2025/2026</t>
  </si>
  <si>
    <t>Cleaning of existing stormwater piping, manholes &amp; chambers using approved pressure jetting equipment or other approved means, including emptying / de silting etc at the manholes.  All removed material to be disposed of on the landfill as indicated,  Size 450mm to 1100mm diameter.</t>
  </si>
  <si>
    <t>Cleaning of existing sewer lines including all manholes &amp; chambers 110mm to 305mm diameter using approved pressure jet equipment.</t>
  </si>
  <si>
    <t>PSLD.8.2.20</t>
  </si>
  <si>
    <t>PSLD.8.2.21</t>
  </si>
  <si>
    <t>PSLD.8.2.22</t>
  </si>
  <si>
    <t>PSLD.8.2.23</t>
  </si>
  <si>
    <t>SECTION 9 : BROUGHT FORWARD</t>
  </si>
  <si>
    <r>
      <t xml:space="preserve">OVERALL CONTRACT VALUE </t>
    </r>
    <r>
      <rPr>
        <b/>
        <sz val="11"/>
        <rFont val="Arial Narrow"/>
        <family val="2"/>
      </rPr>
      <t>(tender, contingency, escalation &amp; fees)</t>
    </r>
  </si>
  <si>
    <t>Sealing cracks with 200mm wide geosynthetic and sealant as specified in Cl A8.6.5.1</t>
  </si>
  <si>
    <t>Sealing cracks with geosynthetic crack sealing over area as specified above and Cl A8.6.5.1</t>
  </si>
  <si>
    <t>a) Perforated "Drainex" pipe or equal approved to subsurface drains.</t>
  </si>
  <si>
    <t>PSLE.8.2.15</t>
  </si>
  <si>
    <t>PSC8.5.1</t>
  </si>
  <si>
    <t>PSC8.6.1</t>
  </si>
  <si>
    <t>PSC8.6.1.1</t>
  </si>
  <si>
    <t>PSC8.6.1.2</t>
  </si>
  <si>
    <t>PSC8.8.2.1</t>
  </si>
  <si>
    <t>Excavation in existing pavements for patching or repair. To include for saw cutting and all asphalt, granular material and cemented layer removal as instructed on site for all areas of repair.</t>
  </si>
  <si>
    <t>Establishment of leak detection equipment, once off for dipole testing.</t>
  </si>
  <si>
    <r>
      <t>6m</t>
    </r>
    <r>
      <rPr>
        <vertAlign val="superscript"/>
        <sz val="10.5"/>
        <rFont val="Arial"/>
        <family val="2"/>
      </rPr>
      <t>3</t>
    </r>
    <r>
      <rPr>
        <sz val="10.5"/>
        <rFont val="Arial"/>
        <family val="2"/>
      </rPr>
      <t xml:space="preserve"> tip truck</t>
    </r>
  </si>
  <si>
    <r>
      <t>10m</t>
    </r>
    <r>
      <rPr>
        <vertAlign val="superscript"/>
        <sz val="10.5"/>
        <rFont val="Arial"/>
        <family val="2"/>
      </rPr>
      <t>3</t>
    </r>
    <r>
      <rPr>
        <sz val="10.5"/>
        <rFont val="Arial"/>
        <family val="2"/>
      </rPr>
      <t xml:space="preserve"> tip truck</t>
    </r>
  </si>
  <si>
    <t>PSA.8.5 (b) 1)</t>
  </si>
  <si>
    <t>LGM 8.2</t>
  </si>
  <si>
    <t>LGC.8.2</t>
  </si>
  <si>
    <t>BISASAR ROAD LANDFILL SITE: CAPPING CONSTRUCTION : PHASE 2</t>
  </si>
  <si>
    <t>PSD.8.3.4</t>
  </si>
  <si>
    <t>b) Importing of materials. Soil from stockpile on the Bisasar Road Landfill site. Provisional.</t>
  </si>
  <si>
    <t>a) Grassing by means of hydroseeding.  Provisional.</t>
  </si>
  <si>
    <r>
      <t>b)</t>
    </r>
    <r>
      <rPr>
        <b/>
        <sz val="10"/>
        <rFont val="Arial"/>
        <family val="2"/>
      </rPr>
      <t xml:space="preserve"> Type 5 Geofabric</t>
    </r>
    <r>
      <rPr>
        <sz val="10"/>
        <rFont val="Arial"/>
        <family val="2"/>
      </rPr>
      <t xml:space="preserve"> (340g/m2) generally separation between geomembrane and soil. Inclusive of all overlaps and wastage.to gabions &amp; drains etc. Inclusive of all overlaps and wastage.</t>
    </r>
  </si>
  <si>
    <r>
      <t>a)</t>
    </r>
    <r>
      <rPr>
        <b/>
        <sz val="10"/>
        <rFont val="Arial"/>
        <family val="2"/>
      </rPr>
      <t xml:space="preserve"> Type 3 Geofabric</t>
    </r>
    <r>
      <rPr>
        <sz val="10"/>
        <rFont val="Arial"/>
        <family val="2"/>
      </rPr>
      <t xml:space="preserve"> (180g/m2) to subsoil leachate drains etc. Inclusive of all overlaps and wastage. Provisional.</t>
    </r>
  </si>
  <si>
    <t>Location &amp; protection of existing services, cleaning of open drains, pipe inlets etc.</t>
  </si>
  <si>
    <r>
      <t xml:space="preserve">Concrete. </t>
    </r>
    <r>
      <rPr>
        <sz val="10"/>
        <rFont val="Arial"/>
        <family val="2"/>
      </rPr>
      <t>Grade 30/19 concrete inc formwork, finishes, boxing out, curing and jointing to non standard sewer &amp; stormwater structures, 150mm to 350mm thick in bases and walls.</t>
    </r>
  </si>
  <si>
    <r>
      <rPr>
        <b/>
        <sz val="10"/>
        <rFont val="Arial"/>
        <family val="2"/>
      </rPr>
      <t>Stone pitching</t>
    </r>
    <r>
      <rPr>
        <sz val="10"/>
        <rFont val="Arial"/>
        <family val="2"/>
      </rPr>
      <t xml:space="preserve"> &amp; stone pitching reapirs, for erosion control of stormwater.  Inclusive of all backing &amp; weepholes. Provisonal.</t>
    </r>
  </si>
  <si>
    <t>50mm OD solid wall</t>
  </si>
  <si>
    <t>160mm OD solid wall</t>
  </si>
  <si>
    <t>110mm OD solid wal</t>
  </si>
  <si>
    <t>32mm OD solid wall</t>
  </si>
  <si>
    <t>110mm OD perforated wall</t>
  </si>
  <si>
    <r>
      <t xml:space="preserve">Supply and lay </t>
    </r>
    <r>
      <rPr>
        <b/>
        <sz val="10"/>
        <rFont val="Arial"/>
        <family val="2"/>
      </rPr>
      <t>PE 100 SDR 17 PN 10 HDPE pipe</t>
    </r>
    <r>
      <rPr>
        <sz val="10"/>
        <rFont val="Arial"/>
        <family val="2"/>
      </rPr>
      <t xml:space="preserve"> in the following sizes inclusive of fusion welding, bends, joints and T pieces.  Generally as water reticulaton, gas collection and gravity leachate pipes. Provisional</t>
    </r>
  </si>
  <si>
    <t>Supply &amp; lay concrete pipe. Provisional</t>
  </si>
  <si>
    <r>
      <t xml:space="preserve">Concrete "V" or trapezoidal type </t>
    </r>
    <r>
      <rPr>
        <b/>
        <u/>
        <sz val="11"/>
        <rFont val="Arial"/>
        <family val="2"/>
      </rPr>
      <t>drain repairs &amp; connection into ex. drains</t>
    </r>
    <r>
      <rPr>
        <sz val="10"/>
        <rFont val="Arial"/>
        <family val="2"/>
      </rPr>
      <t xml:space="preserve"> in 25/19 concrete. Approx. 0,25m</t>
    </r>
    <r>
      <rPr>
        <vertAlign val="superscript"/>
        <sz val="10"/>
        <rFont val="Arial"/>
        <family val="2"/>
      </rPr>
      <t>3</t>
    </r>
    <r>
      <rPr>
        <sz val="10"/>
        <rFont val="Arial"/>
        <family val="2"/>
      </rPr>
      <t xml:space="preserve">/m but varies. Including removal of material and repairs to existing drains. </t>
    </r>
  </si>
  <si>
    <r>
      <rPr>
        <b/>
        <sz val="10"/>
        <rFont val="Arial"/>
        <family val="2"/>
      </rPr>
      <t xml:space="preserve">Gabion repair </t>
    </r>
    <r>
      <rPr>
        <sz val="10"/>
        <rFont val="Arial"/>
        <family val="2"/>
      </rPr>
      <t>and grouting in existing open drains.</t>
    </r>
  </si>
  <si>
    <t>COTO Ref</t>
  </si>
  <si>
    <t>Ancillary works related to the infrastructure and site security, fencing, gates etc.</t>
  </si>
  <si>
    <t>Excavation &amp; filling for catchwater mounds and channels incl. working on 1v:3h landfill slopes,  forming and compaction.  Material provided elsewhere.</t>
  </si>
  <si>
    <t>Provision of a CQA Plan or report as required by the regulatory authorities conditions of approval.</t>
  </si>
  <si>
    <t>Valves for up to 160mm OD HDPE piping. Suitable for controlling landfill gas or leachate.</t>
  </si>
  <si>
    <t>500</t>
  </si>
  <si>
    <t>Thickness</t>
  </si>
  <si>
    <t>Area of capping</t>
  </si>
  <si>
    <t>Soil</t>
  </si>
  <si>
    <t>mm</t>
  </si>
  <si>
    <t>23/24</t>
  </si>
  <si>
    <t>24/25</t>
  </si>
  <si>
    <t>25/26</t>
  </si>
  <si>
    <t>26/27</t>
  </si>
  <si>
    <t>PSA.8.3.1</t>
  </si>
  <si>
    <t>PSA.8.3.4</t>
  </si>
  <si>
    <t>PSA.8.4.1</t>
  </si>
  <si>
    <t>PSA.8.4.2</t>
  </si>
  <si>
    <t>PSA.8.4.3</t>
  </si>
  <si>
    <t>PSA.8.4.4</t>
  </si>
  <si>
    <t>PSA.8.5(b) 2)</t>
  </si>
  <si>
    <t>PSAB.3.2 &amp; PSAB.8.2.1</t>
  </si>
  <si>
    <t>PSD.8.3.10</t>
  </si>
  <si>
    <t>PSDB.8.3.2 (c)</t>
  </si>
  <si>
    <t>PSDK.8.2.8</t>
  </si>
  <si>
    <t>PSDK.8.2.9</t>
  </si>
  <si>
    <t>PSG.8.4.2</t>
  </si>
  <si>
    <t>PSG.8.4.3</t>
  </si>
  <si>
    <t>PSLD.8.2.15</t>
  </si>
  <si>
    <t>PSLE.8.2.1 a)</t>
  </si>
  <si>
    <t>PSLE.8.2.1 b)</t>
  </si>
  <si>
    <t>PSLE.8.2.8 b)</t>
  </si>
  <si>
    <t>Inlet or outlet headwalls for up to 1200mm diameter pipe or smaller, and from open drains.  All inclusive of excavation, reinforced concrete base, brick walls and trimming and grouting of pipework.</t>
  </si>
  <si>
    <r>
      <t>Supply Geomembrane to GRI GM-17</t>
    </r>
    <r>
      <rPr>
        <sz val="10.5"/>
        <color rgb="FFFF0000"/>
        <rFont val="Arial"/>
        <family val="2"/>
      </rPr>
      <t>.  1.5mm thick LLDPE as approved.  Supply to the site and store safely, for slope areas measured net, excluding all wastage, overlaps and welding requirements but including anchorage length and overlap with existing liner.
Including for embossed texturing on both faces of the geomembrane.</t>
    </r>
  </si>
  <si>
    <r>
      <t>Installation of Geomembrane to GRI GM-13</t>
    </r>
    <r>
      <rPr>
        <sz val="10.5"/>
        <color rgb="FFFF0000"/>
        <rFont val="Arial"/>
        <family val="2"/>
      </rPr>
      <t>.  1.5mm thick LLDPE as approved.  Completely install geomembrane on slopes of up to 1v:2.5h (generally 1v:3h max.).  Slope area measured net, excluding all wastage, overlaps and welding requirements but including anchorage length and overlap with existing liner.
Including for embossed texturing on both faces of the geomembrane.</t>
    </r>
  </si>
  <si>
    <r>
      <t xml:space="preserve">Geosynthetic Clay Liner (GCL). </t>
    </r>
    <r>
      <rPr>
        <sz val="10.5"/>
        <color rgb="FFFF0000"/>
        <rFont val="Arial"/>
        <family val="2"/>
      </rPr>
      <t xml:space="preserve"> Supply  to the site and store safely in accordance with the project and manufacturer's specifications. Slope area measured net, excluding all wastage, and overlaps but including anchorage length and overlap with existing liner.</t>
    </r>
  </si>
  <si>
    <r>
      <t xml:space="preserve">Geosynthetic Clay Liner (GCL). </t>
    </r>
    <r>
      <rPr>
        <sz val="10.5"/>
        <color rgb="FFFF0000"/>
        <rFont val="Arial"/>
        <family val="2"/>
      </rPr>
      <t xml:space="preserve"> Completely install on slopes of up to 1v:2.5h (generally flatter) and under gabion drainage structues.  Slope area measured net, excluding all wastage, and overlaps but including anchorage length and overlap with existing liner or other lining systems.</t>
    </r>
  </si>
  <si>
    <t>2026/2027</t>
  </si>
  <si>
    <t>Fiscal Year 24/25</t>
  </si>
  <si>
    <t>Fiscal Year 25/26</t>
  </si>
  <si>
    <t>Fiscal Year 26/27</t>
  </si>
  <si>
    <t>SECTION 12 : PARTICULAR SPECIFICATION : LINING SYSTEMS</t>
  </si>
  <si>
    <t>SUMMARY OF ANCILLARY WORKS</t>
  </si>
  <si>
    <t>BROAD ESTIMATE</t>
  </si>
  <si>
    <t xml:space="preserve">  date</t>
  </si>
  <si>
    <t>Amount (est)</t>
  </si>
  <si>
    <t>Provision of an odour control system for environmental and public complaint limitation.</t>
  </si>
  <si>
    <t>Provision of a new weighbridge to replace Weighbridge No. 3 completely</t>
  </si>
  <si>
    <t>Rates</t>
  </si>
  <si>
    <t>Road construction &amp; repairs, surfacing, cracks &amp; potholes</t>
  </si>
  <si>
    <t>Gabion &amp; stone pitching repairs</t>
  </si>
  <si>
    <t>Wind scatter fencing</t>
  </si>
  <si>
    <t>Vee drain etc repairs</t>
  </si>
  <si>
    <t>Concrete paving, entrance &amp; up from workshop</t>
  </si>
  <si>
    <t>Repairs to weighbridge kiosk</t>
  </si>
  <si>
    <t>Cleaning of sewer &amp; stormwater pipelines</t>
  </si>
  <si>
    <t>HDPE piping etc</t>
  </si>
  <si>
    <t>Stormwater piping &amp; structures</t>
  </si>
  <si>
    <t>New 100kl reservoir</t>
  </si>
  <si>
    <t>Confirm quantity</t>
  </si>
  <si>
    <t>Prov sum?</t>
  </si>
  <si>
    <t>Estimate is about R400k</t>
  </si>
  <si>
    <t>Duration</t>
  </si>
  <si>
    <t>Months</t>
  </si>
  <si>
    <t>RR - Remainder of budget (amount usually spent at early stage for material)</t>
  </si>
  <si>
    <t>Budget</t>
  </si>
  <si>
    <t>Incl Contingencies and VAT</t>
  </si>
  <si>
    <t>Retention</t>
  </si>
  <si>
    <t>Budget (excl. escalation and retention)</t>
  </si>
  <si>
    <t>Month</t>
  </si>
  <si>
    <t>Time</t>
  </si>
  <si>
    <t>Estimate Spend</t>
  </si>
  <si>
    <t>Cumulative</t>
  </si>
  <si>
    <t>Monthly</t>
  </si>
  <si>
    <t>Allowable</t>
  </si>
  <si>
    <t>Proposed Spend</t>
  </si>
  <si>
    <t>16 Month Contract</t>
  </si>
  <si>
    <t>20 Month Contract</t>
  </si>
  <si>
    <t>12 Month Contract</t>
  </si>
  <si>
    <t>1 Month</t>
  </si>
  <si>
    <t>11 Months</t>
  </si>
  <si>
    <t>2 Months</t>
  </si>
  <si>
    <t>12 Months</t>
  </si>
  <si>
    <t>3 Months</t>
  </si>
  <si>
    <t>5 Months</t>
  </si>
  <si>
    <t>Start date</t>
  </si>
  <si>
    <t>Construction</t>
  </si>
  <si>
    <t>Consultant</t>
  </si>
  <si>
    <t xml:space="preserve">Cleaning of existing silt chambers, sumps, manholes including emptying /de-silting. All removed material to be disposed of on the landfill as indicated. </t>
  </si>
  <si>
    <t xml:space="preserve">50 weeks </t>
  </si>
  <si>
    <t>Remove refuse from landfill area where leachate interception and/or levelling and clearing is needed.</t>
  </si>
  <si>
    <r>
      <rPr>
        <b/>
        <sz val="10"/>
        <color theme="1"/>
        <rFont val="Arial"/>
        <family val="2"/>
      </rPr>
      <t>Standard crack sealing</t>
    </r>
    <r>
      <rPr>
        <sz val="10"/>
        <color theme="1"/>
        <rFont val="Arial"/>
        <family val="2"/>
      </rPr>
      <t xml:space="preserve"> but including cleaning the crack with compressed air, applying herbicide and/or aggregate as needed, priming and sealing then rolling as required. Sealant and prime to be in accordance with Cl A8.5.5.2 or Colseal SBR latex modified mineral filled bitumen emulsion cold pour crack sealant or equal approved.</t>
    </r>
  </si>
  <si>
    <r>
      <rPr>
        <b/>
        <sz val="10"/>
        <color theme="1"/>
        <rFont val="Arial"/>
        <family val="2"/>
      </rPr>
      <t>Geosynthetic crack sealing</t>
    </r>
    <r>
      <rPr>
        <sz val="10"/>
        <color theme="1"/>
        <rFont val="Arial"/>
        <family val="2"/>
      </rPr>
      <t xml:space="preserve"> but including cleaning cracks with compressed air, applying herbicide as needed, priming and sealing then rolling as required. Sealant to be Colseal SBR latex modified mineral filled bitumen emulsion cold pour crack sealant or equal approved.  Geosynthetic to be Seallmac by Kaytech applied in accordance with the manufacturers specification, or equal approved.</t>
    </r>
  </si>
  <si>
    <t>PSG.8.4.4</t>
  </si>
  <si>
    <r>
      <t>Floor Hardener</t>
    </r>
    <r>
      <rPr>
        <sz val="10"/>
        <rFont val="Arial"/>
        <family val="2"/>
      </rPr>
      <t xml:space="preserve"> - Multi Amour 100 or equal approved inclusive of curing compound at 9kg/m2 as a dry shake</t>
    </r>
  </si>
  <si>
    <t>PSG.8.4.3.4</t>
  </si>
  <si>
    <t>Concrete "V" and trapezoidal type drains 
Grade 25/19 concrete. Approx. 0,15m3/m but varies.</t>
  </si>
  <si>
    <t>EAP</t>
  </si>
  <si>
    <t>No Lining in this Contract Phase</t>
  </si>
  <si>
    <t>cost per m2</t>
  </si>
  <si>
    <t>new and repairs</t>
  </si>
  <si>
    <r>
      <t xml:space="preserve">Concrete Paving Repairs. </t>
    </r>
    <r>
      <rPr>
        <sz val="10"/>
        <rFont val="Arial"/>
        <family val="2"/>
      </rPr>
      <t>Grade 35/19 concrete inc formwork, finishes, boxing out, curing and all jointing. 150mm to 250mm thick.</t>
    </r>
  </si>
  <si>
    <r>
      <t xml:space="preserve">Concrete Paving. </t>
    </r>
    <r>
      <rPr>
        <sz val="10"/>
        <rFont val="Arial"/>
        <family val="2"/>
      </rPr>
      <t>Grade 35/19 concrete inc formwork, finishes, boxing out, curing and all jointing. 150mm to 250mm thick.</t>
    </r>
  </si>
  <si>
    <t>PSG.8.4.3.5</t>
  </si>
  <si>
    <t>Facilities for the Engineer</t>
  </si>
  <si>
    <t>PSA.8.3.2.1</t>
  </si>
  <si>
    <r>
      <t>m</t>
    </r>
    <r>
      <rPr>
        <vertAlign val="superscript"/>
        <sz val="10"/>
        <rFont val="Arial"/>
        <family val="2"/>
      </rPr>
      <t>3</t>
    </r>
  </si>
  <si>
    <t>BISASAR ROAD LANDFILL SITE: CAPPING PHASE 3</t>
  </si>
  <si>
    <t>CONTRACT 32818-6W</t>
  </si>
  <si>
    <t xml:space="preserve">Spreading topsoil. Provisional. From material stockpiled on site. </t>
  </si>
  <si>
    <r>
      <t xml:space="preserve">Nominal </t>
    </r>
    <r>
      <rPr>
        <b/>
        <sz val="10"/>
        <color rgb="FFFF0000"/>
        <rFont val="Arial"/>
        <family val="2"/>
      </rPr>
      <t>100m3 tank</t>
    </r>
    <r>
      <rPr>
        <sz val="10"/>
        <color rgb="FFFF0000"/>
        <rFont val="Arial"/>
        <family val="2"/>
      </rPr>
      <t>, roofed with all panels and roof of Zincalume coated steel to SANS 9364 suitable for use in the coastal environment or Grade 316 stainless steel (ASTM A240). Bolts hot dip galvanised to SANS 121. Dome roof to be self supporting. Tank to have wind girts as needed and fixed access ladder with safety cage, platform, access hatch and hand rails, all suitably corrosion protected. Level indicator and ventilation to be provided.  (ATS FlexiTank systems AluZinc tank or equal approved).
Tank to be lined with UV stabilised PVC liner 1 000g/m2 minimum (or equal approved) as specified by the manufacturer.</t>
    </r>
  </si>
  <si>
    <r>
      <rPr>
        <b/>
        <sz val="10"/>
        <color rgb="FFFF0000"/>
        <rFont val="Arial"/>
        <family val="2"/>
      </rPr>
      <t>Tank penetrations</t>
    </r>
    <r>
      <rPr>
        <sz val="10"/>
        <color rgb="FFFF0000"/>
        <rFont val="Arial"/>
        <family val="2"/>
      </rPr>
      <t xml:space="preserve"> inlet, outlet &amp; dump drain. All components to be hot dip galvanised and gaskets to be neoprene or similar.  Nominal maximum diameter 100mm (101.6mm), flanges to SABS 1123. Flanged each side or nozzle and strainer for inlet and outlet respectively.
All to Engineers approval.</t>
    </r>
  </si>
  <si>
    <r>
      <rPr>
        <b/>
        <sz val="10"/>
        <color rgb="FFFF0000"/>
        <rFont val="Arial"/>
        <family val="2"/>
      </rPr>
      <t>Piping.</t>
    </r>
    <r>
      <rPr>
        <sz val="10"/>
        <color rgb="FFFF0000"/>
        <rFont val="Arial"/>
        <family val="2"/>
      </rPr>
      <t xml:space="preserve"> Nominal diameter up to 100mm (101.6mm), flanges to SABS 1123 all hot dip galvanised to relevant SANS specification. Including flanges, bends and/or other couplings, bowser supports and adaptors.</t>
    </r>
  </si>
  <si>
    <r>
      <rPr>
        <b/>
        <sz val="10"/>
        <color rgb="FFFF0000"/>
        <rFont val="Arial"/>
        <family val="2"/>
      </rPr>
      <t xml:space="preserve">Valves. </t>
    </r>
    <r>
      <rPr>
        <sz val="10"/>
        <color rgb="FFFF0000"/>
        <rFont val="Arial"/>
        <family val="2"/>
      </rPr>
      <t>Minimum hot dip galvanised with body &amp; stainless steel Grade 316 blade, knife gate valves, PTFE O rings and seta, manual,  nominal diameter up to 160mm, flanged. Including all fixings.Provisional.</t>
    </r>
  </si>
  <si>
    <r>
      <t>Supply Geomembrane to GRI GM-17</t>
    </r>
    <r>
      <rPr>
        <sz val="10.5"/>
        <color theme="1"/>
        <rFont val="Arial"/>
        <family val="2"/>
      </rPr>
      <t>.  1.5mm thick LLDPE as approved.  Supply to the site and store safely, for slope areas measured net, excluding all wastage, overlaps and welding requirements but including anchorage length and overlap with existing liner.
Including for embossed texturing on both faces of the geomembrane.</t>
    </r>
  </si>
  <si>
    <r>
      <t xml:space="preserve">Geosynthetic Clay Liner (GCL). </t>
    </r>
    <r>
      <rPr>
        <sz val="10.5"/>
        <color theme="1"/>
        <rFont val="Arial"/>
        <family val="2"/>
      </rPr>
      <t xml:space="preserve"> Supply  to the site and store safely in accordance with the project and manufacturer's specifications. Slope area measured net, excluding all wastage, and overlaps but including anchorage length and overlap with existing liner.</t>
    </r>
  </si>
  <si>
    <t>Grouting or fine aggregate concrete of the wall, base or invert of gabion or Reno mattress structures.  100mm thick, 20MPa.</t>
  </si>
  <si>
    <t xml:space="preserve">Clear and grub including the removal of all vegetation, any trees (girth up to 2,0m), stumps, poles, trimming of above ground obstructions including refuse, rubble roads, masonry structuers and fencing.  Including reclearing as instructed. All inc transport within 2km.  </t>
  </si>
  <si>
    <t>250mm OD solid wall</t>
  </si>
  <si>
    <t>d) G8 imported sand/silty sand generally 125-150mm thick to capping area and where specified inclusive of supply, placing, grader shaping and compact to 95% Mod AASHTO density. Inclusive of placement over geosynthetics.</t>
  </si>
  <si>
    <t>PSDM.8.3.5</t>
  </si>
  <si>
    <t>Selected Layers</t>
  </si>
  <si>
    <t>Supply of geogrid as veneer reinforcement (to new access roads or as required)</t>
  </si>
  <si>
    <t>PSDK.8.2.4 b)</t>
  </si>
  <si>
    <t>Importing of Materials</t>
  </si>
  <si>
    <t>2) 19mm single sized crushed stone.</t>
  </si>
  <si>
    <t>3) 53mm single sized crushed stone.</t>
  </si>
  <si>
    <r>
      <t>d)</t>
    </r>
    <r>
      <rPr>
        <b/>
        <sz val="10"/>
        <rFont val="Arial"/>
        <family val="2"/>
      </rPr>
      <t xml:space="preserve"> Waste cover</t>
    </r>
    <r>
      <rPr>
        <sz val="10"/>
        <rFont val="Arial"/>
        <family val="2"/>
      </rPr>
      <t>.  Material from site stockpiles, placed 150mm to 200mm thick on existing waste and compacted to 90% Mod AASHTO density or as approved.</t>
    </r>
  </si>
  <si>
    <t>a) G5 imported gravel generally 150mm thick gravel wearing course to roadways inc supply, placing &amp; grader shaping where specified.  Compaction to 98% Mod AASHTO density.</t>
  </si>
  <si>
    <t>c) G7 selected fill material for road selected layer and where specified.  Compaction to 95% Mod AASHTO density. Provisional.</t>
  </si>
  <si>
    <r>
      <t xml:space="preserve">e) </t>
    </r>
    <r>
      <rPr>
        <b/>
        <sz val="10"/>
        <rFont val="Arial"/>
        <family val="2"/>
      </rPr>
      <t>Dumprock</t>
    </r>
    <r>
      <rPr>
        <sz val="10"/>
        <rFont val="Arial"/>
        <family val="2"/>
      </rPr>
      <t>.  Imported quarried crushed rock to comply with DR in TRH 14, supply, place and spread, nominal compaction. Provisional.</t>
    </r>
  </si>
  <si>
    <t>Provision for construction of gas header station and connections</t>
  </si>
  <si>
    <t>SECTION 11 : PARTICULAR SPECIFICATION : LINING SYSTEMS</t>
  </si>
  <si>
    <r>
      <t>Installation of Geomembrane to GRI GM-17</t>
    </r>
    <r>
      <rPr>
        <sz val="10.5"/>
        <color theme="1"/>
        <rFont val="Arial"/>
        <family val="2"/>
      </rPr>
      <t>.  1.5mm thick LLDPE as approved.  Completely install geomembrane on slopes of up to 1v:2.5h (generally 1v:3h max.).  Slope area measured net, excluding all wastage, overlaps and welding requirements but including anchorage length and overlap with existing liner.
Including for embossed texturing on both faces of the geomembrane.</t>
    </r>
  </si>
  <si>
    <t>SECTION  6 : GABIONS &amp; PITCHING</t>
  </si>
  <si>
    <t>SECTION 7 : SEWERS</t>
  </si>
  <si>
    <t>SECTION 8 : STORMWATER DRAINAGE</t>
  </si>
  <si>
    <t>SECTION  10 : PARTICULAR SPECIFICATIONS : DAYWORKS</t>
  </si>
  <si>
    <t xml:space="preserve">Bisasar Road Landfill Site: Capping Phase 3
</t>
  </si>
  <si>
    <t>Contract No: 32818-6W</t>
  </si>
  <si>
    <t>a) 1) Treatment of in situ material by ripping and compacting to 90% Mod AASHTO density or as approved by the Engineer, supplementing with soil from the site stockpile as needed. Including working on waste.</t>
  </si>
  <si>
    <r>
      <t>c)</t>
    </r>
    <r>
      <rPr>
        <b/>
        <sz val="10"/>
        <rFont val="Arial"/>
        <family val="2"/>
      </rPr>
      <t xml:space="preserve"> Type 8 Geofabric</t>
    </r>
    <r>
      <rPr>
        <sz val="10"/>
        <rFont val="Arial"/>
        <family val="2"/>
      </rPr>
      <t xml:space="preserve"> (750g/m2) protection geotextile to capping area. Provisional</t>
    </r>
  </si>
  <si>
    <r>
      <t>d)</t>
    </r>
    <r>
      <rPr>
        <b/>
        <sz val="10"/>
        <rFont val="Arial"/>
        <family val="2"/>
      </rPr>
      <t xml:space="preserve"> Cushion Geofabric</t>
    </r>
    <r>
      <rPr>
        <sz val="10"/>
        <rFont val="Arial"/>
        <family val="2"/>
      </rPr>
      <t xml:space="preserve"> (1000g/m2) blanket to capping area or roadways. Provisional</t>
    </r>
  </si>
  <si>
    <t>below topsoil, below LLDPE</t>
  </si>
  <si>
    <t>ABOVE LLDPE</t>
  </si>
  <si>
    <r>
      <t xml:space="preserve">Geosynthetic Clay Liner (GCL). </t>
    </r>
    <r>
      <rPr>
        <sz val="10.5"/>
        <rFont val="Arial"/>
        <family val="2"/>
      </rPr>
      <t xml:space="preserve"> Completely install on slopes of up to 1v:2.5h (generally flatter) and under gabion drainage structues.  Slope area measured net, excluding all wastage, and overlaps but including anchorage length and overlap with existing liner or other lining systems.</t>
    </r>
  </si>
  <si>
    <r>
      <t xml:space="preserve">b) </t>
    </r>
    <r>
      <rPr>
        <b/>
        <sz val="10"/>
        <rFont val="Arial"/>
        <family val="2"/>
      </rPr>
      <t>Drainage Stone</t>
    </r>
    <r>
      <rPr>
        <sz val="10"/>
        <rFont val="Arial"/>
        <family val="2"/>
      </rPr>
      <t>- Imported 75mm single sized, hard, durable crushed stone to the Engineer's approval.  150mm and 300mm thick.  Nominal compaction.  Slopes up to approximately 1v:3h.</t>
    </r>
  </si>
  <si>
    <r>
      <rPr>
        <b/>
        <sz val="10"/>
        <rFont val="Arial"/>
        <family val="2"/>
      </rPr>
      <t>Anchor trench backfill</t>
    </r>
    <r>
      <rPr>
        <sz val="10"/>
        <rFont val="Arial"/>
        <family val="2"/>
      </rPr>
      <t xml:space="preserve"> and bed &amp; backfill pipes etc with approved material placing and compaction to 93% Mod AASHTO density.  Generally in selected areas for pipe bedding and / or backfilling where specified.</t>
    </r>
  </si>
  <si>
    <t>SECTION 7 : CARRIED FORWARD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</si>
</sst>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7" formatCode="&quot;R&quot;#,##0.00;\-&quot;R&quot;#,##0.00"/>
    <numFmt numFmtId="8" formatCode="&quot;R&quot;#,##0.00;[Red]\-&quot;R&quot;#,##0.00"/>
    <numFmt numFmtId="43" formatCode="_-* #,##0.00_-;\-* #,##0.00_-;_-* &quot;-&quot;??_-;_-@_-"/>
    <numFmt numFmtId="164" formatCode="&quot;R&quot;\ #,##0;&quot;R&quot;\ \-#,##0"/>
    <numFmt numFmtId="165" formatCode="&quot;R&quot;\ #,##0.00;&quot;R&quot;\ \-#,##0.00"/>
    <numFmt numFmtId="166" formatCode="&quot;R&quot;\ #,##0.00;[Red]&quot;R&quot;\ \-#,##0.00"/>
    <numFmt numFmtId="167" formatCode="_ &quot;R&quot;\ * #,##0.00_ ;_ &quot;R&quot;\ * \-#,##0.00_ ;_ &quot;R&quot;\ * &quot;-&quot;??_ ;_ @_ "/>
    <numFmt numFmtId="168" formatCode="_ * #,##0.00_ ;_ * \-#,##0.00_ ;_ * &quot;-&quot;??_ ;_ @_ "/>
    <numFmt numFmtId="169" formatCode="\$#,##0\ ;\(\$#,##0\)"/>
    <numFmt numFmtId="170" formatCode="\$#,##0.00\ ;\(\$#,##0.00\)"/>
    <numFmt numFmtId="171" formatCode="0.0"/>
    <numFmt numFmtId="172" formatCode="[$R-1C09]\ #,##0.00"/>
    <numFmt numFmtId="173" formatCode="&quot;R&quot;#\ ###\ ##0.00"/>
    <numFmt numFmtId="174" formatCode="&quot;R&quot;#\ ###\ ##0.00\ ;\ &quot;R&quot;###\ ##0.00\ ;\ &quot;R&quot;##0.00"/>
    <numFmt numFmtId="175" formatCode="&quot;R&quot;#,##0.00;[Red]&quot;R&quot;\ \-#,##0.00"/>
    <numFmt numFmtId="176" formatCode="0.0%"/>
    <numFmt numFmtId="177" formatCode="#\ ###\ ##0"/>
    <numFmt numFmtId="178" formatCode="&quot;R&quot;###\ ###\ ##0.00;[Red]&quot;R&quot;\ \-#,##0.00"/>
    <numFmt numFmtId="179" formatCode="&quot;R&quot;#\ ###\ ##0.00;[Red]&quot;R&quot;\ \-#,##0.00"/>
    <numFmt numFmtId="180" formatCode="&quot;R&quot;#,##0.00;&quot;R&quot;\ \-#,##0.00"/>
    <numFmt numFmtId="181" formatCode="&quot;R&quot;\ #,##0.00"/>
    <numFmt numFmtId="182" formatCode="_ * #,##0_ ;_ * \-#,##0_ ;_ * &quot;-&quot;??_ ;_ @_ "/>
    <numFmt numFmtId="183" formatCode="#,##0.0_ ;\-#,##0.0\ "/>
    <numFmt numFmtId="184" formatCode="_ * #,##0_ ;_ * \-#,##0.0_ ;_ * &quot;-&quot;??_ ;_ @_ "/>
    <numFmt numFmtId="185" formatCode="#,##0_ ;\-#,##0\ "/>
    <numFmt numFmtId="186" formatCode="&quot;R&quot;#\ ###\ ##0.00;&quot;R&quot;\-#\ ###\ ##0.00"/>
    <numFmt numFmtId="187" formatCode="_-[$R-1C09]* #,##0.00_-;\-[$R-1C09]* #,##0.00_-;_-[$R-1C09]* &quot;-&quot;??_-;_-@_-"/>
  </numFmts>
  <fonts count="78" x14ac:knownFonts="1">
    <font>
      <sz val="10"/>
      <name val="Arial"/>
    </font>
    <font>
      <sz val="11"/>
      <color theme="1"/>
      <name val="Calibri"/>
      <family val="2"/>
      <scheme val="minor"/>
    </font>
    <font>
      <sz val="11"/>
      <color theme="1"/>
      <name val="Calibri"/>
      <family val="2"/>
      <scheme val="minor"/>
    </font>
    <font>
      <sz val="10"/>
      <name val="Arial"/>
      <family val="2"/>
    </font>
    <font>
      <b/>
      <sz val="18"/>
      <name val="Arial"/>
      <family val="2"/>
    </font>
    <font>
      <b/>
      <sz val="12"/>
      <name val="Arial"/>
      <family val="2"/>
    </font>
    <font>
      <b/>
      <sz val="11"/>
      <name val="Arial"/>
      <family val="2"/>
    </font>
    <font>
      <b/>
      <sz val="10"/>
      <name val="Arial"/>
      <family val="2"/>
    </font>
    <font>
      <b/>
      <sz val="9"/>
      <name val="Arial"/>
      <family val="2"/>
    </font>
    <font>
      <sz val="11"/>
      <name val="Arial"/>
      <family val="2"/>
    </font>
    <font>
      <b/>
      <u/>
      <sz val="11"/>
      <name val="Arial"/>
      <family val="2"/>
    </font>
    <font>
      <b/>
      <sz val="12"/>
      <name val="Arial"/>
      <family val="2"/>
    </font>
    <font>
      <b/>
      <sz val="10"/>
      <name val="Arial"/>
      <family val="2"/>
    </font>
    <font>
      <sz val="10"/>
      <name val="Arial"/>
      <family val="2"/>
    </font>
    <font>
      <vertAlign val="superscript"/>
      <sz val="10"/>
      <name val="Arial"/>
      <family val="2"/>
    </font>
    <font>
      <b/>
      <i/>
      <sz val="10"/>
      <name val="Arial"/>
      <family val="2"/>
    </font>
    <font>
      <b/>
      <sz val="10"/>
      <color indexed="10"/>
      <name val="Arial"/>
      <family val="2"/>
    </font>
    <font>
      <b/>
      <sz val="10"/>
      <color indexed="10"/>
      <name val="Arial"/>
      <family val="2"/>
    </font>
    <font>
      <sz val="10"/>
      <name val="Arial"/>
      <family val="2"/>
    </font>
    <font>
      <sz val="10"/>
      <name val="Arial"/>
      <family val="2"/>
    </font>
    <font>
      <sz val="11"/>
      <color theme="1"/>
      <name val="Calibri"/>
      <family val="2"/>
      <scheme val="minor"/>
    </font>
    <font>
      <u/>
      <sz val="10"/>
      <name val="Arial"/>
      <family val="2"/>
    </font>
    <font>
      <i/>
      <sz val="11"/>
      <name val="Arial"/>
      <family val="2"/>
    </font>
    <font>
      <i/>
      <sz val="10"/>
      <name val="Arial"/>
      <family val="2"/>
    </font>
    <font>
      <b/>
      <sz val="10.5"/>
      <name val="Arial"/>
      <family val="2"/>
    </font>
    <font>
      <sz val="10.5"/>
      <name val="Arial"/>
      <family val="2"/>
    </font>
    <font>
      <b/>
      <sz val="11.5"/>
      <name val="Arial"/>
      <family val="2"/>
    </font>
    <font>
      <b/>
      <sz val="10"/>
      <color rgb="FFFF0000"/>
      <name val="Arial"/>
      <family val="2"/>
    </font>
    <font>
      <b/>
      <sz val="10.5"/>
      <color rgb="FFFF0000"/>
      <name val="Arial"/>
      <family val="2"/>
    </font>
    <font>
      <b/>
      <sz val="12"/>
      <color rgb="FFFF0000"/>
      <name val="Arial"/>
      <family val="2"/>
    </font>
    <font>
      <b/>
      <sz val="9"/>
      <color indexed="81"/>
      <name val="Tahoma"/>
      <family val="2"/>
    </font>
    <font>
      <sz val="9"/>
      <color indexed="81"/>
      <name val="Tahoma"/>
      <family val="2"/>
    </font>
    <font>
      <sz val="10"/>
      <color indexed="81"/>
      <name val="Tahoma"/>
      <family val="2"/>
    </font>
    <font>
      <b/>
      <sz val="10"/>
      <color indexed="81"/>
      <name val="Tahoma"/>
      <family val="2"/>
    </font>
    <font>
      <sz val="12"/>
      <name val="Arial"/>
      <family val="2"/>
    </font>
    <font>
      <b/>
      <sz val="13"/>
      <name val="Arial"/>
      <family val="2"/>
    </font>
    <font>
      <b/>
      <sz val="11"/>
      <name val="Arial Narrow"/>
      <family val="2"/>
    </font>
    <font>
      <b/>
      <u/>
      <sz val="10.5"/>
      <name val="Arial"/>
      <family val="2"/>
    </font>
    <font>
      <b/>
      <sz val="10.5"/>
      <color indexed="10"/>
      <name val="Arial"/>
      <family val="2"/>
    </font>
    <font>
      <vertAlign val="superscript"/>
      <sz val="10.5"/>
      <name val="Arial"/>
      <family val="2"/>
    </font>
    <font>
      <sz val="9"/>
      <name val="Arial"/>
      <family val="2"/>
    </font>
    <font>
      <sz val="10"/>
      <color rgb="FF808080"/>
      <name val="Arial"/>
      <family val="2"/>
    </font>
    <font>
      <b/>
      <sz val="11"/>
      <color rgb="FF000000"/>
      <name val="Arial"/>
      <family val="2"/>
    </font>
    <font>
      <b/>
      <i/>
      <sz val="13"/>
      <name val="Arial"/>
      <family val="2"/>
    </font>
    <font>
      <b/>
      <sz val="10"/>
      <color rgb="FF000000"/>
      <name val="Arial"/>
      <family val="2"/>
    </font>
    <font>
      <sz val="10"/>
      <color rgb="FFFF0000"/>
      <name val="Arial"/>
      <family val="2"/>
    </font>
    <font>
      <sz val="10.5"/>
      <color rgb="FFFF0000"/>
      <name val="Arial"/>
      <family val="2"/>
    </font>
    <font>
      <b/>
      <sz val="11"/>
      <color rgb="FFFF0000"/>
      <name val="Arial"/>
      <family val="2"/>
    </font>
    <font>
      <b/>
      <sz val="10"/>
      <color rgb="FFFF0000"/>
      <name val="Arial Narrow"/>
      <family val="2"/>
    </font>
    <font>
      <sz val="10.5"/>
      <color rgb="FFFF0000"/>
      <name val="Arial Narrow"/>
      <family val="2"/>
    </font>
    <font>
      <sz val="18"/>
      <color theme="3"/>
      <name val="Cambria"/>
      <family val="2"/>
      <scheme val="maj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theme="1"/>
      <name val="Arial"/>
      <family val="2"/>
    </font>
    <font>
      <b/>
      <sz val="15"/>
      <color theme="3"/>
      <name val="Calibri"/>
      <family val="2"/>
      <scheme val="minor"/>
    </font>
    <font>
      <b/>
      <sz val="13"/>
      <color theme="3"/>
      <name val="Calibri"/>
      <family val="2"/>
      <scheme val="minor"/>
    </font>
    <font>
      <sz val="11"/>
      <color rgb="FF9C5700"/>
      <name val="Calibri"/>
      <family val="2"/>
      <scheme val="minor"/>
    </font>
    <font>
      <b/>
      <sz val="11"/>
      <color theme="1"/>
      <name val="Calibri"/>
      <family val="2"/>
      <scheme val="minor"/>
    </font>
    <font>
      <b/>
      <sz val="10"/>
      <color theme="1"/>
      <name val="Arial"/>
      <family val="2"/>
    </font>
    <font>
      <sz val="10.5"/>
      <color theme="1"/>
      <name val="Arial"/>
      <family val="2"/>
    </font>
    <font>
      <b/>
      <sz val="12"/>
      <color theme="1"/>
      <name val="Arial"/>
      <family val="2"/>
    </font>
    <font>
      <b/>
      <sz val="11"/>
      <color theme="1"/>
      <name val="Arial"/>
      <family val="2"/>
    </font>
    <font>
      <b/>
      <sz val="9"/>
      <color theme="1"/>
      <name val="Arial"/>
      <family val="2"/>
    </font>
    <font>
      <sz val="11"/>
      <color theme="1"/>
      <name val="Arial"/>
      <family val="2"/>
    </font>
    <font>
      <b/>
      <sz val="10.5"/>
      <color theme="1"/>
      <name val="Arial"/>
      <family val="2"/>
    </font>
    <font>
      <sz val="11"/>
      <color rgb="FFFF0000"/>
      <name val="Arial"/>
      <family val="2"/>
    </font>
    <font>
      <b/>
      <sz val="10"/>
      <color theme="1"/>
      <name val="Arial Narrow"/>
      <family val="2"/>
    </font>
    <font>
      <sz val="10.5"/>
      <color theme="1"/>
      <name val="Arial Narrow"/>
      <family val="2"/>
    </font>
    <font>
      <sz val="10.5"/>
      <name val="Arial Narrow"/>
      <family val="2"/>
    </font>
  </fonts>
  <fills count="52">
    <fill>
      <patternFill patternType="none"/>
    </fill>
    <fill>
      <patternFill patternType="gray125"/>
    </fill>
    <fill>
      <patternFill patternType="lightDown">
        <fgColor indexed="65"/>
      </patternFill>
    </fill>
    <fill>
      <patternFill patternType="lightDown">
        <fgColor indexed="9"/>
      </patternFill>
    </fill>
    <fill>
      <patternFill patternType="solid">
        <fgColor indexed="65"/>
        <bgColor indexed="9"/>
      </patternFill>
    </fill>
    <fill>
      <patternFill patternType="solid">
        <fgColor theme="0"/>
        <bgColor indexed="64"/>
      </patternFill>
    </fill>
    <fill>
      <patternFill patternType="solid">
        <fgColor rgb="FFFFFF00"/>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8" tint="0.79998168889431442"/>
        <bgColor indexed="64"/>
      </patternFill>
    </fill>
    <fill>
      <patternFill patternType="solid">
        <fgColor rgb="FF92D050"/>
        <bgColor indexed="64"/>
      </patternFill>
    </fill>
    <fill>
      <patternFill patternType="solid">
        <fgColor theme="9" tint="0.59999389629810485"/>
        <bgColor indexed="64"/>
      </patternFill>
    </fill>
    <fill>
      <patternFill patternType="solid">
        <fgColor indexed="65"/>
        <bgColor theme="0"/>
      </patternFill>
    </fill>
    <fill>
      <patternFill patternType="solid">
        <fgColor rgb="FFFFFFFF"/>
        <bgColor theme="0"/>
      </patternFill>
    </fill>
    <fill>
      <patternFill patternType="solid">
        <fgColor theme="0"/>
        <bgColor theme="0"/>
      </patternFill>
    </fill>
    <fill>
      <patternFill patternType="gray125">
        <fgColor theme="0"/>
        <bgColor theme="0"/>
      </patternFill>
    </fill>
    <fill>
      <patternFill patternType="lightDown">
        <fgColor theme="0"/>
        <bgColor theme="0"/>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5" tint="0.59999389629810485"/>
        <bgColor indexed="64"/>
      </patternFill>
    </fill>
  </fills>
  <borders count="106">
    <border>
      <left/>
      <right/>
      <top/>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double">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bottom/>
      <diagonal/>
    </border>
    <border>
      <left style="thin">
        <color indexed="64"/>
      </left>
      <right/>
      <top/>
      <bottom/>
      <diagonal/>
    </border>
    <border>
      <left style="double">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style="double">
        <color indexed="64"/>
      </right>
      <top style="medium">
        <color indexed="64"/>
      </top>
      <bottom style="double">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double">
        <color indexed="64"/>
      </left>
      <right style="thin">
        <color indexed="64"/>
      </right>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style="double">
        <color indexed="64"/>
      </right>
      <top style="thin">
        <color indexed="64"/>
      </top>
      <bottom/>
      <diagonal/>
    </border>
    <border>
      <left style="thin">
        <color indexed="64"/>
      </left>
      <right style="thin">
        <color indexed="64"/>
      </right>
      <top/>
      <bottom style="medium">
        <color indexed="64"/>
      </bottom>
      <diagonal/>
    </border>
    <border>
      <left/>
      <right/>
      <top/>
      <bottom style="medium">
        <color indexed="64"/>
      </bottom>
      <diagonal/>
    </border>
    <border>
      <left style="thin">
        <color indexed="64"/>
      </left>
      <right style="double">
        <color indexed="64"/>
      </right>
      <top/>
      <bottom style="medium">
        <color indexed="64"/>
      </bottom>
      <diagonal/>
    </border>
    <border>
      <left style="double">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double">
        <color indexed="64"/>
      </top>
      <bottom style="thin">
        <color indexed="64"/>
      </bottom>
      <diagonal/>
    </border>
    <border>
      <left/>
      <right style="double">
        <color indexed="64"/>
      </right>
      <top style="double">
        <color indexed="64"/>
      </top>
      <bottom style="double">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double">
        <color indexed="64"/>
      </top>
      <bottom/>
      <diagonal/>
    </border>
    <border>
      <left style="medium">
        <color indexed="64"/>
      </left>
      <right style="thin">
        <color indexed="64"/>
      </right>
      <top style="medium">
        <color indexed="64"/>
      </top>
      <bottom/>
      <diagonal/>
    </border>
    <border>
      <left style="thin">
        <color indexed="64"/>
      </left>
      <right style="double">
        <color indexed="64"/>
      </right>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double">
        <color indexed="64"/>
      </top>
      <bottom style="thin">
        <color indexed="64"/>
      </bottom>
      <diagonal/>
    </border>
    <border>
      <left style="thin">
        <color indexed="64"/>
      </left>
      <right/>
      <top style="medium">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style="medium">
        <color indexed="64"/>
      </top>
      <bottom/>
      <diagonal/>
    </border>
    <border>
      <left style="double">
        <color indexed="64"/>
      </left>
      <right style="double">
        <color indexed="64"/>
      </right>
      <top style="double">
        <color indexed="64"/>
      </top>
      <bottom style="double">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right style="thin">
        <color indexed="64"/>
      </right>
      <top style="medium">
        <color indexed="64"/>
      </top>
      <bottom style="double">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double">
        <color indexed="64"/>
      </top>
      <bottom style="thin">
        <color indexed="64"/>
      </bottom>
      <diagonal/>
    </border>
    <border>
      <left style="double">
        <color indexed="64"/>
      </left>
      <right/>
      <top/>
      <bottom/>
      <diagonal/>
    </border>
    <border>
      <left/>
      <right/>
      <top style="thin">
        <color auto="1"/>
      </top>
      <bottom/>
      <diagonal/>
    </border>
    <border>
      <left style="medium">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style="medium">
        <color indexed="64"/>
      </left>
      <right/>
      <top style="double">
        <color indexed="64"/>
      </top>
      <bottom style="thin">
        <color indexed="64"/>
      </bottom>
      <diagonal/>
    </border>
    <border>
      <left style="medium">
        <color indexed="64"/>
      </left>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double">
        <color indexed="64"/>
      </bottom>
      <diagonal/>
    </border>
    <border>
      <left style="thin">
        <color indexed="64"/>
      </left>
      <right style="medium">
        <color indexed="64"/>
      </right>
      <top style="double">
        <color indexed="64"/>
      </top>
      <bottom style="thin">
        <color indexed="64"/>
      </bottom>
      <diagonal/>
    </border>
    <border>
      <left style="thin">
        <color indexed="64"/>
      </left>
      <right style="medium">
        <color indexed="64"/>
      </right>
      <top/>
      <bottom style="medium">
        <color indexed="64"/>
      </bottom>
      <diagonal/>
    </border>
    <border>
      <left style="thin">
        <color auto="1"/>
      </left>
      <right style="medium">
        <color auto="1"/>
      </right>
      <top style="medium">
        <color auto="1"/>
      </top>
      <bottom/>
      <diagonal/>
    </border>
    <border>
      <left style="medium">
        <color auto="1"/>
      </left>
      <right/>
      <top style="medium">
        <color auto="1"/>
      </top>
      <bottom/>
      <diagonal/>
    </border>
    <border>
      <left style="thin">
        <color auto="1"/>
      </left>
      <right/>
      <top style="medium">
        <color auto="1"/>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medium">
        <color indexed="64"/>
      </bottom>
      <diagonal/>
    </border>
    <border>
      <left style="medium">
        <color auto="1"/>
      </left>
      <right/>
      <top style="double">
        <color auto="1"/>
      </top>
      <bottom style="dotted">
        <color auto="1"/>
      </bottom>
      <diagonal/>
    </border>
    <border>
      <left style="thin">
        <color indexed="64"/>
      </left>
      <right/>
      <top style="double">
        <color auto="1"/>
      </top>
      <bottom style="dotted">
        <color auto="1"/>
      </bottom>
      <diagonal/>
    </border>
    <border>
      <left/>
      <right style="thin">
        <color auto="1"/>
      </right>
      <top style="double">
        <color auto="1"/>
      </top>
      <bottom style="dotted">
        <color auto="1"/>
      </bottom>
      <diagonal/>
    </border>
    <border>
      <left style="thin">
        <color indexed="64"/>
      </left>
      <right style="medium">
        <color auto="1"/>
      </right>
      <top style="double">
        <color auto="1"/>
      </top>
      <bottom style="dotted">
        <color auto="1"/>
      </bottom>
      <diagonal/>
    </border>
    <border>
      <left style="medium">
        <color auto="1"/>
      </left>
      <right/>
      <top style="dotted">
        <color auto="1"/>
      </top>
      <bottom style="dotted">
        <color auto="1"/>
      </bottom>
      <diagonal/>
    </border>
    <border>
      <left style="thin">
        <color auto="1"/>
      </left>
      <right/>
      <top style="dotted">
        <color auto="1"/>
      </top>
      <bottom style="dotted">
        <color auto="1"/>
      </bottom>
      <diagonal/>
    </border>
    <border>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right/>
      <top style="dotted">
        <color auto="1"/>
      </top>
      <bottom style="dotted">
        <color auto="1"/>
      </bottom>
      <diagonal/>
    </border>
    <border>
      <left style="medium">
        <color auto="1"/>
      </left>
      <right/>
      <top style="dotted">
        <color auto="1"/>
      </top>
      <bottom style="medium">
        <color auto="1"/>
      </bottom>
      <diagonal/>
    </border>
    <border>
      <left style="thin">
        <color auto="1"/>
      </left>
      <right/>
      <top style="dotted">
        <color auto="1"/>
      </top>
      <bottom style="medium">
        <color auto="1"/>
      </bottom>
      <diagonal/>
    </border>
    <border>
      <left/>
      <right/>
      <top style="dotted">
        <color auto="1"/>
      </top>
      <bottom style="medium">
        <color auto="1"/>
      </bottom>
      <diagonal/>
    </border>
    <border>
      <left style="thin">
        <color auto="1"/>
      </left>
      <right style="medium">
        <color auto="1"/>
      </right>
      <top style="dotted">
        <color auto="1"/>
      </top>
      <bottom style="medium">
        <color auto="1"/>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style="thin">
        <color theme="4"/>
      </top>
      <bottom style="double">
        <color theme="4"/>
      </bottom>
      <diagonal/>
    </border>
    <border>
      <left style="thin">
        <color auto="1"/>
      </left>
      <right style="thin">
        <color auto="1"/>
      </right>
      <top style="dotted">
        <color auto="1"/>
      </top>
      <bottom style="dotted">
        <color auto="1"/>
      </bottom>
      <diagonal/>
    </border>
    <border>
      <left style="thin">
        <color auto="1"/>
      </left>
      <right style="thin">
        <color auto="1"/>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69">
    <xf numFmtId="0" fontId="0" fillId="0" borderId="0"/>
    <xf numFmtId="168" fontId="19" fillId="0" borderId="0" applyFont="0" applyFill="0" applyBorder="0" applyAlignment="0" applyProtection="0"/>
    <xf numFmtId="168" fontId="3" fillId="0" borderId="0" applyFont="0" applyFill="0" applyBorder="0" applyAlignment="0" applyProtection="0"/>
    <xf numFmtId="3" fontId="3" fillId="0" borderId="0" applyFont="0" applyFill="0" applyBorder="0" applyAlignment="0" applyProtection="0"/>
    <xf numFmtId="169" fontId="3" fillId="0" borderId="0" applyFont="0" applyFill="0" applyBorder="0" applyAlignment="0" applyProtection="0"/>
    <xf numFmtId="0" fontId="3" fillId="0" borderId="0" applyFont="0" applyFill="0" applyBorder="0" applyAlignment="0" applyProtection="0"/>
    <xf numFmtId="2" fontId="3" fillId="0" borderId="0" applyFon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20" fillId="0" borderId="0"/>
    <xf numFmtId="0" fontId="20" fillId="0" borderId="0"/>
    <xf numFmtId="0" fontId="3" fillId="0" borderId="0"/>
    <xf numFmtId="0" fontId="20" fillId="0" borderId="0"/>
    <xf numFmtId="0" fontId="20" fillId="0" borderId="0"/>
    <xf numFmtId="0" fontId="3" fillId="0" borderId="0" applyProtection="0"/>
    <xf numFmtId="0" fontId="3" fillId="0" borderId="0" applyProtection="0"/>
    <xf numFmtId="9" fontId="19" fillId="0" borderId="0" applyFont="0" applyFill="0" applyBorder="0" applyAlignment="0" applyProtection="0"/>
    <xf numFmtId="9" fontId="3" fillId="0" borderId="0" applyFont="0" applyFill="0" applyBorder="0" applyAlignment="0" applyProtection="0"/>
    <xf numFmtId="0" fontId="3" fillId="0" borderId="1" applyNumberFormat="0" applyFont="0" applyFill="0" applyAlignment="0" applyProtection="0"/>
    <xf numFmtId="0" fontId="50" fillId="0" borderId="0" applyNumberFormat="0" applyFill="0" applyBorder="0" applyAlignment="0" applyProtection="0"/>
    <xf numFmtId="0" fontId="51" fillId="0" borderId="91" applyNumberFormat="0" applyFill="0" applyAlignment="0" applyProtection="0"/>
    <xf numFmtId="0" fontId="51" fillId="0" borderId="0" applyNumberFormat="0" applyFill="0" applyBorder="0" applyAlignment="0" applyProtection="0"/>
    <xf numFmtId="0" fontId="52" fillId="19" borderId="0" applyNumberFormat="0" applyBorder="0" applyAlignment="0" applyProtection="0"/>
    <xf numFmtId="0" fontId="53" fillId="20" borderId="0" applyNumberFormat="0" applyBorder="0" applyAlignment="0" applyProtection="0"/>
    <xf numFmtId="0" fontId="54" fillId="22" borderId="92" applyNumberFormat="0" applyAlignment="0" applyProtection="0"/>
    <xf numFmtId="0" fontId="55" fillId="23" borderId="93" applyNumberFormat="0" applyAlignment="0" applyProtection="0"/>
    <xf numFmtId="0" fontId="56" fillId="23" borderId="92" applyNumberFormat="0" applyAlignment="0" applyProtection="0"/>
    <xf numFmtId="0" fontId="57" fillId="0" borderId="94" applyNumberFormat="0" applyFill="0" applyAlignment="0" applyProtection="0"/>
    <xf numFmtId="0" fontId="58" fillId="24" borderId="95" applyNumberFormat="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61"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61"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61"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61"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61" fillId="46" borderId="0" applyNumberFormat="0" applyBorder="0" applyAlignment="0" applyProtection="0"/>
    <xf numFmtId="0" fontId="2" fillId="47" borderId="0" applyNumberFormat="0" applyBorder="0" applyAlignment="0" applyProtection="0"/>
    <xf numFmtId="0" fontId="2" fillId="48" borderId="0" applyNumberFormat="0" applyBorder="0" applyAlignment="0" applyProtection="0"/>
    <xf numFmtId="0" fontId="2" fillId="0" borderId="0"/>
    <xf numFmtId="43" fontId="2" fillId="0" borderId="0" applyFont="0" applyFill="0" applyBorder="0" applyAlignment="0" applyProtection="0"/>
    <xf numFmtId="0" fontId="63" fillId="0" borderId="97" applyNumberFormat="0" applyFill="0" applyAlignment="0" applyProtection="0"/>
    <xf numFmtId="0" fontId="64" fillId="0" borderId="98" applyNumberFormat="0" applyFill="0" applyAlignment="0" applyProtection="0"/>
    <xf numFmtId="0" fontId="65" fillId="21" borderId="0" applyNumberFormat="0" applyBorder="0" applyAlignment="0" applyProtection="0"/>
    <xf numFmtId="0" fontId="2" fillId="25" borderId="96" applyNumberFormat="0" applyFont="0" applyAlignment="0" applyProtection="0"/>
    <xf numFmtId="0" fontId="66" fillId="0" borderId="99" applyNumberFormat="0" applyFill="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41" borderId="0" applyNumberFormat="0" applyBorder="0" applyAlignment="0" applyProtection="0"/>
    <xf numFmtId="0" fontId="2" fillId="45" borderId="0" applyNumberFormat="0" applyBorder="0" applyAlignment="0" applyProtection="0"/>
    <xf numFmtId="0" fontId="2" fillId="49" borderId="0" applyNumberFormat="0" applyBorder="0" applyAlignment="0" applyProtection="0"/>
    <xf numFmtId="0" fontId="3" fillId="0" borderId="0"/>
    <xf numFmtId="43" fontId="2" fillId="0" borderId="0" applyFont="0" applyFill="0" applyBorder="0" applyAlignment="0" applyProtection="0"/>
    <xf numFmtId="9" fontId="2" fillId="0" borderId="0" applyFont="0" applyFill="0" applyBorder="0" applyAlignment="0" applyProtection="0"/>
    <xf numFmtId="0" fontId="62" fillId="0" borderId="0"/>
    <xf numFmtId="9" fontId="62" fillId="0" borderId="0" applyFont="0" applyFill="0" applyBorder="0" applyAlignment="0" applyProtection="0"/>
    <xf numFmtId="0" fontId="1" fillId="0" borderId="0"/>
    <xf numFmtId="9" fontId="1" fillId="0" borderId="0" applyFont="0" applyFill="0" applyBorder="0" applyAlignment="0" applyProtection="0"/>
  </cellStyleXfs>
  <cellXfs count="935">
    <xf numFmtId="0" fontId="0" fillId="0" borderId="0" xfId="0"/>
    <xf numFmtId="0" fontId="5" fillId="0" borderId="2" xfId="0" applyFont="1" applyBorder="1"/>
    <xf numFmtId="0" fontId="0" fillId="0" borderId="3" xfId="0" applyBorder="1"/>
    <xf numFmtId="0" fontId="3" fillId="0" borderId="0" xfId="15"/>
    <xf numFmtId="0" fontId="0" fillId="0" borderId="4" xfId="0" applyBorder="1" applyAlignment="1">
      <alignment horizontal="center"/>
    </xf>
    <xf numFmtId="0" fontId="0" fillId="0" borderId="0" xfId="0" applyAlignment="1">
      <alignment horizontal="center"/>
    </xf>
    <xf numFmtId="0" fontId="0" fillId="0" borderId="5" xfId="0" applyBorder="1"/>
    <xf numFmtId="0" fontId="0" fillId="0" borderId="5" xfId="0" applyBorder="1" applyAlignment="1">
      <alignment horizontal="center"/>
    </xf>
    <xf numFmtId="178" fontId="0" fillId="0" borderId="6" xfId="0" applyNumberFormat="1" applyBorder="1" applyAlignment="1">
      <alignment horizontal="right"/>
    </xf>
    <xf numFmtId="0" fontId="0" fillId="0" borderId="7" xfId="0" applyBorder="1" applyAlignment="1">
      <alignment horizontal="center" vertical="top"/>
    </xf>
    <xf numFmtId="0" fontId="0" fillId="0" borderId="0" xfId="0" applyAlignment="1">
      <alignment horizontal="center" vertical="top"/>
    </xf>
    <xf numFmtId="0" fontId="0" fillId="0" borderId="5" xfId="0" applyBorder="1" applyAlignment="1">
      <alignment horizontal="center" vertical="top"/>
    </xf>
    <xf numFmtId="0" fontId="9" fillId="0" borderId="5" xfId="0" applyFont="1" applyBorder="1" applyAlignment="1">
      <alignment vertical="top"/>
    </xf>
    <xf numFmtId="0" fontId="0" fillId="0" borderId="0" xfId="0" applyAlignment="1">
      <alignment horizontal="left" vertical="top"/>
    </xf>
    <xf numFmtId="0" fontId="9" fillId="0" borderId="7" xfId="0" applyFont="1" applyBorder="1" applyAlignment="1">
      <alignment horizontal="center" vertical="top"/>
    </xf>
    <xf numFmtId="0" fontId="9" fillId="0" borderId="5" xfId="0" applyFont="1" applyBorder="1" applyAlignment="1">
      <alignment vertical="top" wrapText="1"/>
    </xf>
    <xf numFmtId="2" fontId="9" fillId="0" borderId="7" xfId="0" applyNumberFormat="1" applyFont="1" applyBorder="1" applyAlignment="1">
      <alignment horizontal="center" vertical="top"/>
    </xf>
    <xf numFmtId="170" fontId="0" fillId="0" borderId="8" xfId="0" applyNumberFormat="1" applyBorder="1" applyAlignment="1" applyProtection="1">
      <alignment vertical="top"/>
      <protection locked="0"/>
    </xf>
    <xf numFmtId="178" fontId="0" fillId="0" borderId="6" xfId="0" applyNumberFormat="1" applyBorder="1" applyAlignment="1" applyProtection="1">
      <alignment horizontal="right" vertical="top"/>
      <protection locked="0"/>
    </xf>
    <xf numFmtId="0" fontId="3" fillId="0" borderId="7" xfId="15" applyBorder="1" applyAlignment="1">
      <alignment horizontal="right" vertical="top"/>
    </xf>
    <xf numFmtId="0" fontId="3" fillId="0" borderId="0" xfId="15" applyAlignment="1">
      <alignment horizontal="center" vertical="top"/>
    </xf>
    <xf numFmtId="0" fontId="3" fillId="0" borderId="5" xfId="15" applyBorder="1" applyAlignment="1">
      <alignment vertical="top"/>
    </xf>
    <xf numFmtId="0" fontId="7" fillId="0" borderId="9" xfId="15" applyFont="1" applyBorder="1" applyAlignment="1">
      <alignment horizontal="right"/>
    </xf>
    <xf numFmtId="0" fontId="7" fillId="0" borderId="10" xfId="15" applyFont="1" applyBorder="1" applyAlignment="1">
      <alignment horizontal="center"/>
    </xf>
    <xf numFmtId="0" fontId="0" fillId="0" borderId="7" xfId="0" applyBorder="1" applyAlignment="1">
      <alignment horizontal="center"/>
    </xf>
    <xf numFmtId="0" fontId="0" fillId="0" borderId="0" xfId="0" applyAlignment="1">
      <alignment horizontal="left"/>
    </xf>
    <xf numFmtId="2" fontId="9" fillId="0" borderId="7" xfId="0" applyNumberFormat="1" applyFont="1" applyBorder="1" applyAlignment="1">
      <alignment horizontal="center" vertical="top" wrapText="1"/>
    </xf>
    <xf numFmtId="0" fontId="0" fillId="0" borderId="5" xfId="0" applyBorder="1" applyAlignment="1">
      <alignment horizontal="center" vertical="top" wrapText="1"/>
    </xf>
    <xf numFmtId="0" fontId="0" fillId="0" borderId="0" xfId="0" applyAlignment="1">
      <alignment horizontal="center" vertical="top" wrapText="1"/>
    </xf>
    <xf numFmtId="49" fontId="9" fillId="0" borderId="7" xfId="0" applyNumberFormat="1" applyFont="1" applyBorder="1" applyAlignment="1">
      <alignment horizontal="center" vertical="top"/>
    </xf>
    <xf numFmtId="49" fontId="0" fillId="0" borderId="0" xfId="0" applyNumberFormat="1" applyAlignment="1">
      <alignment horizontal="left" vertical="top"/>
    </xf>
    <xf numFmtId="49" fontId="9" fillId="0" borderId="5" xfId="0" applyNumberFormat="1" applyFont="1" applyBorder="1" applyAlignment="1">
      <alignment vertical="top" wrapText="1"/>
    </xf>
    <xf numFmtId="0" fontId="0" fillId="0" borderId="5" xfId="0" applyBorder="1" applyAlignment="1">
      <alignment vertical="top"/>
    </xf>
    <xf numFmtId="0" fontId="7" fillId="0" borderId="9" xfId="0" applyFont="1" applyBorder="1" applyAlignment="1">
      <alignment horizontal="right"/>
    </xf>
    <xf numFmtId="0" fontId="7" fillId="0" borderId="10" xfId="0" applyFont="1" applyBorder="1" applyAlignment="1">
      <alignment horizontal="center"/>
    </xf>
    <xf numFmtId="0" fontId="5" fillId="2" borderId="2" xfId="0" applyFont="1" applyFill="1" applyBorder="1"/>
    <xf numFmtId="0" fontId="0" fillId="0" borderId="0" xfId="0" applyAlignment="1">
      <alignment vertical="top"/>
    </xf>
    <xf numFmtId="0" fontId="0" fillId="2" borderId="7" xfId="0" applyFill="1" applyBorder="1" applyAlignment="1">
      <alignment horizontal="center"/>
    </xf>
    <xf numFmtId="0" fontId="0" fillId="0" borderId="12" xfId="0" applyBorder="1" applyAlignment="1">
      <alignment horizontal="center"/>
    </xf>
    <xf numFmtId="0" fontId="6" fillId="0" borderId="5" xfId="0" applyFont="1" applyBorder="1"/>
    <xf numFmtId="0" fontId="0" fillId="0" borderId="14" xfId="0" applyBorder="1" applyAlignment="1">
      <alignment horizontal="center"/>
    </xf>
    <xf numFmtId="0" fontId="7" fillId="2" borderId="9" xfId="0" applyFont="1" applyFill="1" applyBorder="1"/>
    <xf numFmtId="0" fontId="7" fillId="3" borderId="10" xfId="0" applyFont="1" applyFill="1" applyBorder="1"/>
    <xf numFmtId="0" fontId="7" fillId="0" borderId="10" xfId="0" applyFont="1" applyBorder="1"/>
    <xf numFmtId="0" fontId="5" fillId="0" borderId="2" xfId="14" applyFont="1" applyBorder="1"/>
    <xf numFmtId="0" fontId="3" fillId="0" borderId="0" xfId="14"/>
    <xf numFmtId="0" fontId="3" fillId="2" borderId="7" xfId="14" applyFill="1" applyBorder="1"/>
    <xf numFmtId="0" fontId="3" fillId="2" borderId="7" xfId="14" applyFill="1" applyBorder="1" applyAlignment="1">
      <alignment horizontal="right" vertical="top"/>
    </xf>
    <xf numFmtId="0" fontId="3" fillId="0" borderId="0" xfId="14" applyAlignment="1">
      <alignment horizontal="center" vertical="top"/>
    </xf>
    <xf numFmtId="0" fontId="13" fillId="2" borderId="7" xfId="14" applyFont="1" applyFill="1" applyBorder="1" applyAlignment="1">
      <alignment horizontal="left" vertical="top"/>
    </xf>
    <xf numFmtId="0" fontId="13" fillId="0" borderId="0" xfId="14" applyFont="1" applyAlignment="1">
      <alignment horizontal="center" vertical="top"/>
    </xf>
    <xf numFmtId="0" fontId="9" fillId="2" borderId="7" xfId="14" applyFont="1" applyFill="1" applyBorder="1" applyAlignment="1">
      <alignment horizontal="center" vertical="top" wrapText="1"/>
    </xf>
    <xf numFmtId="175" fontId="0" fillId="0" borderId="8" xfId="0" applyNumberFormat="1" applyBorder="1" applyAlignment="1" applyProtection="1">
      <alignment vertical="top"/>
      <protection locked="0"/>
    </xf>
    <xf numFmtId="0" fontId="9" fillId="2" borderId="7" xfId="14" applyFont="1" applyFill="1" applyBorder="1" applyAlignment="1">
      <alignment horizontal="center" vertical="top"/>
    </xf>
    <xf numFmtId="171" fontId="9" fillId="2" borderId="7" xfId="14" applyNumberFormat="1" applyFont="1" applyFill="1" applyBorder="1" applyAlignment="1">
      <alignment horizontal="center" vertical="top"/>
    </xf>
    <xf numFmtId="171" fontId="13" fillId="3" borderId="0" xfId="14" applyNumberFormat="1" applyFont="1" applyFill="1" applyAlignment="1">
      <alignment vertical="top"/>
    </xf>
    <xf numFmtId="171" fontId="9" fillId="2" borderId="7" xfId="0" applyNumberFormat="1" applyFont="1" applyFill="1" applyBorder="1" applyAlignment="1">
      <alignment horizontal="center" vertical="top"/>
    </xf>
    <xf numFmtId="0" fontId="13" fillId="0" borderId="0" xfId="0" applyFont="1" applyAlignment="1">
      <alignment horizontal="center" vertical="top"/>
    </xf>
    <xf numFmtId="171" fontId="13" fillId="2" borderId="7" xfId="14" applyNumberFormat="1" applyFont="1" applyFill="1" applyBorder="1" applyAlignment="1">
      <alignment horizontal="center" vertical="top"/>
    </xf>
    <xf numFmtId="171" fontId="13" fillId="0" borderId="5" xfId="14" applyNumberFormat="1" applyFont="1" applyBorder="1" applyAlignment="1">
      <alignment vertical="top" wrapText="1"/>
    </xf>
    <xf numFmtId="0" fontId="7" fillId="2" borderId="9" xfId="15" applyFont="1" applyFill="1" applyBorder="1" applyAlignment="1">
      <alignment horizontal="right"/>
    </xf>
    <xf numFmtId="0" fontId="7" fillId="2" borderId="10" xfId="15" applyFont="1" applyFill="1" applyBorder="1" applyAlignment="1">
      <alignment horizontal="center"/>
    </xf>
    <xf numFmtId="178" fontId="0" fillId="0" borderId="6" xfId="0" applyNumberFormat="1" applyBorder="1" applyAlignment="1" applyProtection="1">
      <alignment horizontal="right"/>
      <protection locked="0"/>
    </xf>
    <xf numFmtId="177" fontId="9" fillId="0" borderId="5" xfId="0" applyNumberFormat="1" applyFont="1" applyBorder="1" applyAlignment="1">
      <alignment horizontal="right" vertical="top"/>
    </xf>
    <xf numFmtId="171" fontId="9" fillId="0" borderId="7" xfId="0" applyNumberFormat="1" applyFont="1" applyBorder="1" applyAlignment="1">
      <alignment horizontal="center" vertical="top"/>
    </xf>
    <xf numFmtId="0" fontId="13" fillId="0" borderId="5" xfId="0" applyFont="1" applyBorder="1" applyAlignment="1">
      <alignment vertical="top" wrapText="1"/>
    </xf>
    <xf numFmtId="0" fontId="12" fillId="0" borderId="5" xfId="0" applyFont="1" applyBorder="1" applyAlignment="1">
      <alignment vertical="top"/>
    </xf>
    <xf numFmtId="2" fontId="0" fillId="0" borderId="0" xfId="0" applyNumberFormat="1" applyAlignment="1">
      <alignment vertical="top"/>
    </xf>
    <xf numFmtId="175" fontId="0" fillId="0" borderId="8" xfId="0" applyNumberFormat="1" applyBorder="1" applyAlignment="1" applyProtection="1">
      <alignment horizontal="right" vertical="top"/>
      <protection locked="0"/>
    </xf>
    <xf numFmtId="0" fontId="7" fillId="0" borderId="9" xfId="0" applyFont="1" applyBorder="1" applyAlignment="1">
      <alignment horizontal="center"/>
    </xf>
    <xf numFmtId="0" fontId="0" fillId="0" borderId="7" xfId="0" applyBorder="1"/>
    <xf numFmtId="0" fontId="6" fillId="0" borderId="0" xfId="0" applyFont="1" applyAlignment="1">
      <alignment vertical="top"/>
    </xf>
    <xf numFmtId="0" fontId="6" fillId="0" borderId="5" xfId="0" applyFont="1" applyBorder="1" applyAlignment="1">
      <alignment vertical="top"/>
    </xf>
    <xf numFmtId="171" fontId="0" fillId="0" borderId="0" xfId="0" applyNumberFormat="1" applyAlignment="1">
      <alignment vertical="top"/>
    </xf>
    <xf numFmtId="0" fontId="7" fillId="0" borderId="9" xfId="0" applyFont="1" applyBorder="1"/>
    <xf numFmtId="0" fontId="5" fillId="0" borderId="3" xfId="0" applyFont="1" applyBorder="1"/>
    <xf numFmtId="178" fontId="0" fillId="0" borderId="6" xfId="0" applyNumberFormat="1" applyBorder="1" applyAlignment="1" applyProtection="1">
      <alignment vertical="top"/>
      <protection locked="0"/>
    </xf>
    <xf numFmtId="0" fontId="13" fillId="0" borderId="0" xfId="0" applyFont="1" applyAlignment="1">
      <alignment horizontal="left" vertical="top"/>
    </xf>
    <xf numFmtId="0" fontId="13" fillId="0" borderId="5" xfId="0" applyFont="1" applyBorder="1" applyAlignment="1">
      <alignment vertical="top"/>
    </xf>
    <xf numFmtId="0" fontId="0" fillId="0" borderId="0" xfId="0" applyAlignment="1">
      <alignment vertical="top" wrapText="1"/>
    </xf>
    <xf numFmtId="0" fontId="9" fillId="0" borderId="7" xfId="0" applyFont="1" applyBorder="1" applyAlignment="1">
      <alignment horizontal="center" vertical="top" wrapText="1"/>
    </xf>
    <xf numFmtId="2" fontId="13" fillId="0" borderId="0" xfId="14" applyNumberFormat="1" applyFont="1" applyAlignment="1">
      <alignment vertical="top"/>
    </xf>
    <xf numFmtId="1" fontId="13" fillId="0" borderId="5" xfId="0" applyNumberFormat="1" applyFont="1" applyBorder="1" applyAlignment="1">
      <alignment horizontal="right" vertical="top"/>
    </xf>
    <xf numFmtId="1" fontId="13" fillId="0" borderId="5" xfId="0" applyNumberFormat="1" applyFont="1" applyBorder="1" applyAlignment="1">
      <alignment horizontal="right" vertical="top" wrapText="1"/>
    </xf>
    <xf numFmtId="2" fontId="13" fillId="0" borderId="7" xfId="0" applyNumberFormat="1" applyFont="1" applyBorder="1" applyAlignment="1">
      <alignment vertical="top"/>
    </xf>
    <xf numFmtId="0" fontId="3" fillId="0" borderId="5" xfId="15" applyBorder="1" applyAlignment="1">
      <alignment horizontal="center" vertical="top"/>
    </xf>
    <xf numFmtId="1" fontId="3" fillId="0" borderId="5" xfId="15" applyNumberFormat="1" applyBorder="1" applyAlignment="1">
      <alignment vertical="top"/>
    </xf>
    <xf numFmtId="0" fontId="9" fillId="0" borderId="7" xfId="0" applyFont="1" applyBorder="1" applyAlignment="1">
      <alignment horizontal="center"/>
    </xf>
    <xf numFmtId="0" fontId="0" fillId="0" borderId="0" xfId="0" applyAlignment="1">
      <alignment vertical="center"/>
    </xf>
    <xf numFmtId="4" fontId="0" fillId="0" borderId="8" xfId="0" applyNumberFormat="1" applyBorder="1" applyAlignment="1" applyProtection="1">
      <alignment vertical="top"/>
      <protection locked="0"/>
    </xf>
    <xf numFmtId="4" fontId="0" fillId="0" borderId="6" xfId="0" applyNumberFormat="1" applyBorder="1" applyAlignment="1" applyProtection="1">
      <alignment vertical="top"/>
      <protection locked="0"/>
    </xf>
    <xf numFmtId="0" fontId="15" fillId="0" borderId="5" xfId="0" applyFont="1" applyBorder="1" applyAlignment="1">
      <alignment vertical="top"/>
    </xf>
    <xf numFmtId="4" fontId="0" fillId="0" borderId="8" xfId="0" applyNumberFormat="1" applyBorder="1" applyAlignment="1" applyProtection="1">
      <alignment horizontal="right"/>
      <protection locked="0"/>
    </xf>
    <xf numFmtId="4" fontId="3" fillId="0" borderId="8" xfId="14" applyNumberFormat="1" applyBorder="1" applyAlignment="1" applyProtection="1">
      <alignment vertical="top"/>
      <protection locked="0"/>
    </xf>
    <xf numFmtId="0" fontId="16" fillId="0" borderId="0" xfId="15" applyFont="1"/>
    <xf numFmtId="0" fontId="17" fillId="0" borderId="0" xfId="0" applyFont="1" applyAlignment="1">
      <alignment vertical="center"/>
    </xf>
    <xf numFmtId="0" fontId="12" fillId="0" borderId="9" xfId="0" applyFont="1" applyBorder="1"/>
    <xf numFmtId="0" fontId="12" fillId="0" borderId="10" xfId="0" applyFont="1" applyBorder="1"/>
    <xf numFmtId="175" fontId="0" fillId="0" borderId="6" xfId="0" applyNumberFormat="1" applyBorder="1" applyAlignment="1" applyProtection="1">
      <alignment horizontal="right" vertical="top"/>
      <protection locked="0"/>
    </xf>
    <xf numFmtId="175" fontId="13" fillId="0" borderId="8" xfId="0" applyNumberFormat="1" applyFont="1" applyBorder="1" applyAlignment="1" applyProtection="1">
      <alignment vertical="top"/>
      <protection locked="0"/>
    </xf>
    <xf numFmtId="0" fontId="18" fillId="0" borderId="0" xfId="0" applyFont="1" applyAlignment="1">
      <alignment horizontal="center" vertical="top"/>
    </xf>
    <xf numFmtId="0" fontId="0" fillId="0" borderId="15" xfId="0" applyBorder="1" applyAlignment="1">
      <alignment horizontal="center"/>
    </xf>
    <xf numFmtId="0" fontId="0" fillId="0" borderId="21" xfId="0" applyBorder="1" applyAlignment="1">
      <alignment horizontal="center"/>
    </xf>
    <xf numFmtId="175" fontId="0" fillId="0" borderId="5" xfId="0" applyNumberFormat="1" applyBorder="1" applyAlignment="1" applyProtection="1">
      <alignment vertical="top"/>
      <protection locked="0"/>
    </xf>
    <xf numFmtId="0" fontId="3" fillId="0" borderId="0" xfId="0" applyFont="1"/>
    <xf numFmtId="172" fontId="0" fillId="0" borderId="0" xfId="0" applyNumberFormat="1"/>
    <xf numFmtId="172" fontId="0" fillId="0" borderId="0" xfId="0" applyNumberFormat="1" applyAlignment="1">
      <alignment vertical="top"/>
    </xf>
    <xf numFmtId="172" fontId="0" fillId="0" borderId="0" xfId="0" applyNumberFormat="1" applyAlignment="1">
      <alignment vertical="top" wrapText="1"/>
    </xf>
    <xf numFmtId="0" fontId="0" fillId="2" borderId="0" xfId="0" applyFill="1"/>
    <xf numFmtId="0" fontId="0" fillId="3" borderId="0" xfId="0" applyFill="1"/>
    <xf numFmtId="0" fontId="7" fillId="0" borderId="3" xfId="0" applyFont="1" applyBorder="1" applyAlignment="1">
      <alignment horizontal="center"/>
    </xf>
    <xf numFmtId="0" fontId="0" fillId="0" borderId="5" xfId="0" applyBorder="1" applyAlignment="1">
      <alignment horizontal="right" vertical="top" wrapText="1"/>
    </xf>
    <xf numFmtId="0" fontId="0" fillId="0" borderId="5" xfId="0" applyBorder="1" applyAlignment="1">
      <alignment horizontal="right" vertical="top"/>
    </xf>
    <xf numFmtId="0" fontId="3" fillId="0" borderId="5" xfId="0" applyFont="1" applyBorder="1" applyAlignment="1">
      <alignment vertical="top"/>
    </xf>
    <xf numFmtId="0" fontId="3" fillId="0" borderId="5" xfId="0" applyFont="1" applyBorder="1" applyAlignment="1">
      <alignment vertical="top" wrapText="1"/>
    </xf>
    <xf numFmtId="172" fontId="0" fillId="0" borderId="13" xfId="0" applyNumberFormat="1" applyBorder="1"/>
    <xf numFmtId="172" fontId="0" fillId="0" borderId="5" xfId="0" applyNumberFormat="1" applyBorder="1" applyAlignment="1">
      <alignment vertical="top"/>
    </xf>
    <xf numFmtId="170" fontId="0" fillId="0" borderId="5" xfId="0" applyNumberFormat="1" applyBorder="1" applyAlignment="1" applyProtection="1">
      <alignment vertical="top"/>
      <protection locked="0"/>
    </xf>
    <xf numFmtId="172" fontId="3" fillId="0" borderId="20" xfId="15" applyNumberFormat="1" applyBorder="1" applyAlignment="1">
      <alignment vertical="top"/>
    </xf>
    <xf numFmtId="172" fontId="0" fillId="0" borderId="5" xfId="0" applyNumberFormat="1" applyBorder="1"/>
    <xf numFmtId="0" fontId="7" fillId="0" borderId="3" xfId="0" applyFont="1" applyBorder="1"/>
    <xf numFmtId="172" fontId="3" fillId="0" borderId="0" xfId="0" applyNumberFormat="1" applyFont="1" applyAlignment="1">
      <alignment vertical="top"/>
    </xf>
    <xf numFmtId="182" fontId="0" fillId="0" borderId="8" xfId="1" applyNumberFormat="1" applyFont="1" applyFill="1" applyBorder="1" applyAlignment="1" applyProtection="1">
      <alignment vertical="top"/>
      <protection locked="0"/>
    </xf>
    <xf numFmtId="49" fontId="3" fillId="4" borderId="5" xfId="15" applyNumberFormat="1" applyFill="1" applyBorder="1" applyAlignment="1" applyProtection="1">
      <alignment horizontal="right" vertical="top"/>
      <protection locked="0"/>
    </xf>
    <xf numFmtId="176" fontId="18" fillId="0" borderId="5" xfId="0" applyNumberFormat="1" applyFont="1" applyBorder="1" applyAlignment="1">
      <alignment vertical="top"/>
    </xf>
    <xf numFmtId="172" fontId="0" fillId="0" borderId="20" xfId="0" applyNumberFormat="1" applyBorder="1"/>
    <xf numFmtId="181" fontId="0" fillId="0" borderId="5" xfId="0" applyNumberFormat="1" applyBorder="1" applyAlignment="1" applyProtection="1">
      <alignment vertical="top"/>
      <protection locked="0"/>
    </xf>
    <xf numFmtId="167" fontId="0" fillId="0" borderId="6" xfId="0" applyNumberFormat="1" applyBorder="1" applyAlignment="1">
      <alignment horizontal="right"/>
    </xf>
    <xf numFmtId="167" fontId="0" fillId="0" borderId="6" xfId="0" applyNumberFormat="1" applyBorder="1" applyAlignment="1">
      <alignment horizontal="right" vertical="top"/>
    </xf>
    <xf numFmtId="167" fontId="0" fillId="0" borderId="6" xfId="0" applyNumberFormat="1" applyBorder="1" applyAlignment="1" applyProtection="1">
      <alignment horizontal="right" vertical="top"/>
      <protection locked="0"/>
    </xf>
    <xf numFmtId="167" fontId="3" fillId="0" borderId="6" xfId="15" applyNumberFormat="1" applyBorder="1" applyAlignment="1">
      <alignment horizontal="right" vertical="top"/>
    </xf>
    <xf numFmtId="167" fontId="0" fillId="0" borderId="0" xfId="0" applyNumberFormat="1"/>
    <xf numFmtId="0" fontId="7" fillId="0" borderId="31" xfId="0" applyFont="1" applyBorder="1" applyAlignment="1">
      <alignment horizontal="center" vertical="center"/>
    </xf>
    <xf numFmtId="167" fontId="3" fillId="0" borderId="6" xfId="14" applyNumberFormat="1" applyBorder="1" applyAlignment="1" applyProtection="1">
      <alignment horizontal="right" vertical="top"/>
      <protection locked="0"/>
    </xf>
    <xf numFmtId="167" fontId="0" fillId="0" borderId="19" xfId="0" applyNumberFormat="1" applyBorder="1" applyProtection="1">
      <protection locked="0"/>
    </xf>
    <xf numFmtId="0" fontId="3" fillId="0" borderId="5" xfId="0" applyFont="1" applyBorder="1" applyAlignment="1">
      <alignment horizontal="center" vertical="top"/>
    </xf>
    <xf numFmtId="0" fontId="3" fillId="0" borderId="0" xfId="0" applyFont="1" applyAlignment="1">
      <alignment horizontal="center" vertical="top" wrapText="1"/>
    </xf>
    <xf numFmtId="0" fontId="13" fillId="0" borderId="0" xfId="0" applyFont="1" applyAlignment="1">
      <alignment horizontal="left" vertical="top" wrapText="1"/>
    </xf>
    <xf numFmtId="0" fontId="0" fillId="0" borderId="20" xfId="0" applyBorder="1" applyAlignment="1">
      <alignment horizontal="center" vertical="top"/>
    </xf>
    <xf numFmtId="0" fontId="3" fillId="0" borderId="20" xfId="0" applyFont="1" applyBorder="1" applyAlignment="1">
      <alignment vertical="top"/>
    </xf>
    <xf numFmtId="0" fontId="18" fillId="0" borderId="20" xfId="0" applyFont="1" applyBorder="1" applyAlignment="1">
      <alignment horizontal="center" vertical="top"/>
    </xf>
    <xf numFmtId="0" fontId="3" fillId="0" borderId="20" xfId="0" applyFont="1" applyBorder="1" applyAlignment="1">
      <alignment horizontal="center" vertical="top"/>
    </xf>
    <xf numFmtId="176" fontId="18" fillId="0" borderId="20" xfId="0" applyNumberFormat="1" applyFont="1" applyBorder="1" applyAlignment="1">
      <alignment vertical="top"/>
    </xf>
    <xf numFmtId="183" fontId="0" fillId="0" borderId="8" xfId="1" applyNumberFormat="1" applyFont="1" applyFill="1" applyBorder="1" applyAlignment="1" applyProtection="1">
      <alignment vertical="top"/>
      <protection locked="0"/>
    </xf>
    <xf numFmtId="0" fontId="3" fillId="0" borderId="0" xfId="0" applyFont="1" applyAlignment="1">
      <alignment horizontal="center" vertical="top"/>
    </xf>
    <xf numFmtId="180" fontId="0" fillId="0" borderId="6" xfId="0" applyNumberFormat="1" applyBorder="1" applyAlignment="1" applyProtection="1">
      <alignment horizontal="right" vertical="top"/>
      <protection locked="0"/>
    </xf>
    <xf numFmtId="180" fontId="0" fillId="0" borderId="6" xfId="0" applyNumberFormat="1" applyBorder="1" applyAlignment="1" applyProtection="1">
      <alignment horizontal="right"/>
      <protection locked="0"/>
    </xf>
    <xf numFmtId="0" fontId="0" fillId="0" borderId="25" xfId="0" applyBorder="1" applyAlignment="1">
      <alignment horizontal="center" vertical="center"/>
    </xf>
    <xf numFmtId="0" fontId="0" fillId="0" borderId="24" xfId="0" applyBorder="1" applyAlignment="1">
      <alignment horizontal="center" vertical="center"/>
    </xf>
    <xf numFmtId="180" fontId="0" fillId="0" borderId="6" xfId="0" applyNumberFormat="1" applyBorder="1" applyAlignment="1">
      <alignment horizontal="right" vertical="top"/>
    </xf>
    <xf numFmtId="0" fontId="9" fillId="2" borderId="15" xfId="0" applyFont="1" applyFill="1" applyBorder="1" applyAlignment="1">
      <alignment horizontal="center" vertical="top"/>
    </xf>
    <xf numFmtId="165" fontId="0" fillId="0" borderId="22" xfId="0" applyNumberFormat="1" applyBorder="1" applyAlignment="1" applyProtection="1">
      <alignment horizontal="right" vertical="top"/>
      <protection locked="0"/>
    </xf>
    <xf numFmtId="0" fontId="9" fillId="0" borderId="7" xfId="0" applyFont="1" applyBorder="1" applyAlignment="1">
      <alignment horizontal="center" vertical="center"/>
    </xf>
    <xf numFmtId="0" fontId="0" fillId="0" borderId="7" xfId="0" applyBorder="1" applyAlignment="1">
      <alignment vertical="center"/>
    </xf>
    <xf numFmtId="0" fontId="6" fillId="0" borderId="0" xfId="0" applyFont="1" applyAlignment="1">
      <alignment vertical="center"/>
    </xf>
    <xf numFmtId="0" fontId="6" fillId="0" borderId="5" xfId="0" applyFont="1" applyBorder="1" applyAlignment="1">
      <alignment vertical="center"/>
    </xf>
    <xf numFmtId="0" fontId="0" fillId="0" borderId="0" xfId="0" applyAlignment="1">
      <alignment horizontal="center" vertical="center"/>
    </xf>
    <xf numFmtId="175" fontId="0" fillId="0" borderId="8" xfId="0" applyNumberFormat="1" applyBorder="1" applyAlignment="1" applyProtection="1">
      <alignment horizontal="right" vertical="center"/>
      <protection locked="0"/>
    </xf>
    <xf numFmtId="178" fontId="0" fillId="0" borderId="6" xfId="0" applyNumberFormat="1" applyBorder="1" applyAlignment="1" applyProtection="1">
      <alignment horizontal="right" vertical="center"/>
      <protection locked="0"/>
    </xf>
    <xf numFmtId="0" fontId="21" fillId="0" borderId="5" xfId="0" applyFont="1" applyBorder="1" applyAlignment="1">
      <alignment vertical="top"/>
    </xf>
    <xf numFmtId="185" fontId="9" fillId="0" borderId="8" xfId="1" applyNumberFormat="1" applyFont="1" applyFill="1" applyBorder="1" applyAlignment="1" applyProtection="1">
      <alignment horizontal="right" vertical="top"/>
      <protection locked="0"/>
    </xf>
    <xf numFmtId="0" fontId="6" fillId="0" borderId="5" xfId="0" applyFont="1" applyBorder="1" applyAlignment="1">
      <alignment vertical="center" wrapText="1"/>
    </xf>
    <xf numFmtId="0" fontId="3" fillId="0" borderId="0" xfId="0" applyFont="1" applyAlignment="1">
      <alignment horizontal="left" vertical="top"/>
    </xf>
    <xf numFmtId="172" fontId="0" fillId="0" borderId="6" xfId="0" applyNumberFormat="1" applyBorder="1" applyAlignment="1">
      <alignment vertical="top" wrapText="1"/>
    </xf>
    <xf numFmtId="172" fontId="0" fillId="0" borderId="6" xfId="0" applyNumberFormat="1" applyBorder="1" applyAlignment="1">
      <alignment vertical="top"/>
    </xf>
    <xf numFmtId="172" fontId="3" fillId="0" borderId="6" xfId="0" applyNumberFormat="1" applyFont="1" applyBorder="1" applyAlignment="1">
      <alignment vertical="top"/>
    </xf>
    <xf numFmtId="177" fontId="7" fillId="0" borderId="3" xfId="0" applyNumberFormat="1" applyFont="1" applyBorder="1"/>
    <xf numFmtId="172" fontId="0" fillId="0" borderId="14" xfId="0" applyNumberFormat="1" applyBorder="1" applyAlignment="1">
      <alignment vertical="top"/>
    </xf>
    <xf numFmtId="180" fontId="0" fillId="0" borderId="6" xfId="0" applyNumberFormat="1" applyBorder="1"/>
    <xf numFmtId="178" fontId="23" fillId="0" borderId="6" xfId="0" applyNumberFormat="1" applyFont="1" applyBorder="1" applyAlignment="1">
      <alignment horizontal="right" vertical="center"/>
    </xf>
    <xf numFmtId="9" fontId="0" fillId="0" borderId="0" xfId="16" applyFont="1" applyFill="1"/>
    <xf numFmtId="0" fontId="25" fillId="0" borderId="5" xfId="15" applyFont="1" applyBorder="1" applyAlignment="1">
      <alignment vertical="top" wrapText="1"/>
    </xf>
    <xf numFmtId="0" fontId="24" fillId="0" borderId="5" xfId="15" applyFont="1" applyBorder="1" applyAlignment="1">
      <alignment vertical="top" wrapText="1"/>
    </xf>
    <xf numFmtId="0" fontId="3" fillId="0" borderId="0" xfId="0" applyFont="1" applyAlignment="1">
      <alignment vertical="top"/>
    </xf>
    <xf numFmtId="0" fontId="3" fillId="0" borderId="0" xfId="15" applyAlignment="1">
      <alignment vertical="top"/>
    </xf>
    <xf numFmtId="0" fontId="3" fillId="0" borderId="5" xfId="14" applyBorder="1" applyAlignment="1">
      <alignment vertical="top" wrapText="1"/>
    </xf>
    <xf numFmtId="174" fontId="3" fillId="0" borderId="5" xfId="15" applyNumberFormat="1" applyBorder="1" applyAlignment="1" applyProtection="1">
      <alignment vertical="top"/>
      <protection locked="0"/>
    </xf>
    <xf numFmtId="0" fontId="3" fillId="0" borderId="0" xfId="15" applyAlignment="1">
      <alignment vertical="center"/>
    </xf>
    <xf numFmtId="49" fontId="22" fillId="0" borderId="5" xfId="0" applyNumberFormat="1" applyFont="1" applyBorder="1" applyAlignment="1">
      <alignment vertical="center" wrapText="1"/>
    </xf>
    <xf numFmtId="0" fontId="23" fillId="0" borderId="0" xfId="0" applyFont="1" applyAlignment="1">
      <alignment horizontal="center" vertical="center"/>
    </xf>
    <xf numFmtId="174" fontId="23" fillId="0" borderId="5" xfId="15" applyNumberFormat="1" applyFont="1" applyBorder="1" applyAlignment="1" applyProtection="1">
      <alignment horizontal="right" vertical="center"/>
      <protection locked="0"/>
    </xf>
    <xf numFmtId="172" fontId="23" fillId="0" borderId="5" xfId="0" applyNumberFormat="1" applyFont="1" applyBorder="1" applyAlignment="1">
      <alignment vertical="center"/>
    </xf>
    <xf numFmtId="0" fontId="9" fillId="0" borderId="5" xfId="0" applyFont="1" applyBorder="1"/>
    <xf numFmtId="166" fontId="0" fillId="0" borderId="0" xfId="0" applyNumberFormat="1"/>
    <xf numFmtId="0" fontId="25" fillId="0" borderId="39" xfId="0" applyFont="1" applyBorder="1" applyAlignment="1">
      <alignment horizontal="left" vertical="center"/>
    </xf>
    <xf numFmtId="0" fontId="5" fillId="0" borderId="10" xfId="0" applyFont="1" applyBorder="1" applyAlignment="1">
      <alignment horizontal="right" vertical="center"/>
    </xf>
    <xf numFmtId="0" fontId="7" fillId="0" borderId="10" xfId="15" applyFont="1" applyBorder="1" applyAlignment="1">
      <alignment vertical="center"/>
    </xf>
    <xf numFmtId="172" fontId="7" fillId="0" borderId="10" xfId="0" applyNumberFormat="1" applyFont="1" applyBorder="1" applyAlignment="1">
      <alignment horizontal="right" vertical="center"/>
    </xf>
    <xf numFmtId="175" fontId="3" fillId="0" borderId="5" xfId="11" applyNumberFormat="1" applyBorder="1" applyAlignment="1" applyProtection="1">
      <alignment vertical="top"/>
      <protection locked="0"/>
    </xf>
    <xf numFmtId="4" fontId="0" fillId="0" borderId="20" xfId="0" applyNumberFormat="1" applyBorder="1" applyAlignment="1" applyProtection="1">
      <alignment horizontal="right"/>
      <protection locked="0"/>
    </xf>
    <xf numFmtId="167" fontId="0" fillId="0" borderId="6" xfId="0" applyNumberFormat="1" applyBorder="1" applyProtection="1">
      <protection locked="0"/>
    </xf>
    <xf numFmtId="180" fontId="3" fillId="0" borderId="5" xfId="11" applyNumberFormat="1" applyBorder="1" applyAlignment="1" applyProtection="1">
      <alignment vertical="top"/>
      <protection locked="0"/>
    </xf>
    <xf numFmtId="165" fontId="3" fillId="0" borderId="5" xfId="11" applyNumberFormat="1" applyBorder="1" applyAlignment="1" applyProtection="1">
      <alignment vertical="top"/>
      <protection locked="0"/>
    </xf>
    <xf numFmtId="170" fontId="0" fillId="0" borderId="13" xfId="0" applyNumberFormat="1" applyBorder="1" applyProtection="1">
      <protection locked="0"/>
    </xf>
    <xf numFmtId="4" fontId="0" fillId="0" borderId="5" xfId="0" applyNumberFormat="1" applyBorder="1" applyAlignment="1">
      <alignment horizontal="center"/>
    </xf>
    <xf numFmtId="4" fontId="0" fillId="0" borderId="5" xfId="0" applyNumberFormat="1" applyBorder="1" applyProtection="1">
      <protection locked="0"/>
    </xf>
    <xf numFmtId="177" fontId="0" fillId="0" borderId="8" xfId="0" applyNumberFormat="1" applyBorder="1" applyAlignment="1">
      <alignment horizontal="right"/>
    </xf>
    <xf numFmtId="170" fontId="0" fillId="0" borderId="5" xfId="0" applyNumberFormat="1" applyBorder="1" applyAlignment="1" applyProtection="1">
      <alignment horizontal="right"/>
      <protection locked="0"/>
    </xf>
    <xf numFmtId="0" fontId="6" fillId="0" borderId="5" xfId="0" applyFont="1" applyBorder="1" applyAlignment="1">
      <alignment vertical="top" wrapText="1"/>
    </xf>
    <xf numFmtId="0" fontId="3" fillId="0" borderId="0" xfId="0" applyFont="1" applyAlignment="1">
      <alignment vertical="top" wrapText="1"/>
    </xf>
    <xf numFmtId="4" fontId="0" fillId="0" borderId="5" xfId="0" applyNumberFormat="1" applyBorder="1" applyAlignment="1" applyProtection="1">
      <alignment horizontal="right" vertical="top"/>
      <protection locked="0"/>
    </xf>
    <xf numFmtId="2" fontId="3" fillId="0" borderId="0" xfId="14" applyNumberFormat="1" applyAlignment="1">
      <alignment vertical="top"/>
    </xf>
    <xf numFmtId="2" fontId="6" fillId="0" borderId="15" xfId="0" applyNumberFormat="1" applyFont="1" applyBorder="1" applyAlignment="1">
      <alignment horizontal="center" vertical="top"/>
    </xf>
    <xf numFmtId="0" fontId="3" fillId="0" borderId="20" xfId="0" applyFont="1" applyBorder="1" applyAlignment="1">
      <alignment vertical="top" wrapText="1"/>
    </xf>
    <xf numFmtId="175" fontId="0" fillId="0" borderId="20" xfId="0" applyNumberFormat="1" applyBorder="1" applyAlignment="1" applyProtection="1">
      <alignment vertical="top"/>
      <protection locked="0"/>
    </xf>
    <xf numFmtId="171" fontId="9" fillId="0" borderId="7" xfId="0" applyNumberFormat="1" applyFont="1" applyBorder="1" applyAlignment="1">
      <alignment horizontal="center" vertical="top" wrapText="1"/>
    </xf>
    <xf numFmtId="165" fontId="0" fillId="0" borderId="20" xfId="0" applyNumberFormat="1" applyBorder="1" applyAlignment="1" applyProtection="1">
      <alignment vertical="top"/>
      <protection locked="0"/>
    </xf>
    <xf numFmtId="1" fontId="3" fillId="0" borderId="5" xfId="15" applyNumberFormat="1" applyBorder="1" applyAlignment="1" applyProtection="1">
      <alignment horizontal="right" vertical="top"/>
      <protection locked="0"/>
    </xf>
    <xf numFmtId="172" fontId="3" fillId="0" borderId="5" xfId="15" applyNumberFormat="1" applyBorder="1" applyAlignment="1" applyProtection="1">
      <alignment horizontal="right" vertical="top"/>
      <protection locked="0"/>
    </xf>
    <xf numFmtId="0" fontId="3" fillId="0" borderId="5" xfId="15" applyBorder="1"/>
    <xf numFmtId="1" fontId="3" fillId="0" borderId="5" xfId="0" applyNumberFormat="1" applyFont="1" applyBorder="1" applyAlignment="1">
      <alignment horizontal="right" vertical="top"/>
    </xf>
    <xf numFmtId="1" fontId="3" fillId="0" borderId="5" xfId="0" applyNumberFormat="1" applyFont="1" applyBorder="1" applyAlignment="1">
      <alignment horizontal="right" vertical="top" wrapText="1"/>
    </xf>
    <xf numFmtId="1" fontId="3" fillId="0" borderId="5" xfId="0" applyNumberFormat="1" applyFont="1" applyBorder="1" applyAlignment="1">
      <alignment vertical="top"/>
    </xf>
    <xf numFmtId="1" fontId="3" fillId="0" borderId="5" xfId="0" applyNumberFormat="1" applyFont="1" applyBorder="1" applyAlignment="1">
      <alignment vertical="top" wrapText="1"/>
    </xf>
    <xf numFmtId="1" fontId="3" fillId="4" borderId="5" xfId="15" applyNumberFormat="1" applyFill="1" applyBorder="1" applyAlignment="1" applyProtection="1">
      <alignment vertical="top"/>
      <protection locked="0"/>
    </xf>
    <xf numFmtId="0" fontId="0" fillId="0" borderId="1" xfId="0" applyBorder="1"/>
    <xf numFmtId="175" fontId="0" fillId="0" borderId="50" xfId="0" applyNumberFormat="1" applyBorder="1" applyAlignment="1" applyProtection="1">
      <alignment horizontal="right" vertical="top"/>
      <protection locked="0"/>
    </xf>
    <xf numFmtId="7" fontId="0" fillId="0" borderId="0" xfId="0" applyNumberFormat="1"/>
    <xf numFmtId="0" fontId="7" fillId="0" borderId="52" xfId="0" applyFont="1" applyBorder="1" applyAlignment="1">
      <alignment horizontal="left" vertical="center"/>
    </xf>
    <xf numFmtId="0" fontId="7" fillId="0" borderId="0" xfId="0" applyFont="1" applyAlignment="1">
      <alignment horizontal="left" vertical="center"/>
    </xf>
    <xf numFmtId="9" fontId="7" fillId="0" borderId="0" xfId="0" applyNumberFormat="1" applyFont="1" applyAlignment="1">
      <alignment horizontal="right" vertical="center"/>
    </xf>
    <xf numFmtId="0" fontId="5" fillId="8" borderId="55" xfId="0" applyFont="1" applyFill="1" applyBorder="1" applyAlignment="1">
      <alignment horizontal="left" vertical="center"/>
    </xf>
    <xf numFmtId="0" fontId="24" fillId="8" borderId="56" xfId="0" applyFont="1" applyFill="1" applyBorder="1" applyAlignment="1">
      <alignment horizontal="left" vertical="center"/>
    </xf>
    <xf numFmtId="10" fontId="27" fillId="8" borderId="49" xfId="0" applyNumberFormat="1" applyFont="1" applyFill="1" applyBorder="1" applyAlignment="1">
      <alignment horizontal="right" vertical="center"/>
    </xf>
    <xf numFmtId="9" fontId="3" fillId="8" borderId="21" xfId="0" applyNumberFormat="1" applyFont="1" applyFill="1" applyBorder="1" applyAlignment="1">
      <alignment horizontal="right" vertical="center"/>
    </xf>
    <xf numFmtId="10" fontId="3" fillId="8" borderId="40" xfId="0" applyNumberFormat="1" applyFont="1" applyFill="1" applyBorder="1" applyAlignment="1">
      <alignment horizontal="right" vertical="center"/>
    </xf>
    <xf numFmtId="0" fontId="6" fillId="9" borderId="38" xfId="0" applyFont="1" applyFill="1" applyBorder="1" applyAlignment="1">
      <alignment vertical="center"/>
    </xf>
    <xf numFmtId="0" fontId="9" fillId="9" borderId="39" xfId="0" applyFont="1" applyFill="1" applyBorder="1" applyAlignment="1">
      <alignment vertical="center"/>
    </xf>
    <xf numFmtId="0" fontId="24" fillId="11" borderId="52" xfId="0" applyFont="1" applyFill="1" applyBorder="1" applyAlignment="1">
      <alignment horizontal="center" vertical="center"/>
    </xf>
    <xf numFmtId="0" fontId="24" fillId="11" borderId="0" xfId="0" applyFont="1" applyFill="1" applyAlignment="1">
      <alignment horizontal="left" vertical="center"/>
    </xf>
    <xf numFmtId="0" fontId="24" fillId="11" borderId="38" xfId="0" applyFont="1" applyFill="1" applyBorder="1" applyAlignment="1">
      <alignment horizontal="center" vertical="center"/>
    </xf>
    <xf numFmtId="0" fontId="6" fillId="11" borderId="39" xfId="0" applyFont="1" applyFill="1" applyBorder="1" applyAlignment="1">
      <alignment horizontal="left" vertical="center"/>
    </xf>
    <xf numFmtId="0" fontId="0" fillId="7" borderId="38" xfId="0" applyFill="1" applyBorder="1"/>
    <xf numFmtId="0" fontId="0" fillId="7" borderId="39" xfId="0" applyFill="1" applyBorder="1"/>
    <xf numFmtId="0" fontId="3" fillId="0" borderId="36" xfId="0" applyFont="1" applyBorder="1" applyAlignment="1">
      <alignment vertical="center"/>
    </xf>
    <xf numFmtId="0" fontId="3" fillId="0" borderId="35" xfId="0" applyFont="1" applyBorder="1" applyAlignment="1">
      <alignment vertical="center"/>
    </xf>
    <xf numFmtId="172" fontId="7" fillId="0" borderId="62" xfId="0" applyNumberFormat="1" applyFont="1" applyBorder="1" applyAlignment="1">
      <alignment horizontal="center" vertical="center"/>
    </xf>
    <xf numFmtId="165" fontId="3" fillId="0" borderId="65" xfId="1" applyNumberFormat="1" applyFont="1" applyFill="1" applyBorder="1" applyAlignment="1">
      <alignment vertical="center"/>
    </xf>
    <xf numFmtId="165" fontId="0" fillId="0" borderId="65" xfId="2" applyNumberFormat="1" applyFont="1" applyBorder="1" applyAlignment="1">
      <alignment vertical="center"/>
    </xf>
    <xf numFmtId="165" fontId="5" fillId="0" borderId="61" xfId="1" applyNumberFormat="1" applyFont="1" applyFill="1" applyBorder="1" applyAlignment="1">
      <alignment vertical="center"/>
    </xf>
    <xf numFmtId="0" fontId="7" fillId="0" borderId="10" xfId="0" applyFont="1" applyBorder="1" applyAlignment="1">
      <alignment horizontal="center" vertical="center"/>
    </xf>
    <xf numFmtId="0" fontId="5" fillId="0" borderId="21" xfId="0" applyFont="1" applyBorder="1" applyAlignment="1">
      <alignment horizontal="center" vertical="center"/>
    </xf>
    <xf numFmtId="182" fontId="0" fillId="0" borderId="5" xfId="2" applyNumberFormat="1" applyFont="1" applyFill="1" applyBorder="1" applyAlignment="1" applyProtection="1">
      <alignment vertical="top"/>
      <protection locked="0"/>
    </xf>
    <xf numFmtId="175" fontId="0" fillId="5" borderId="5" xfId="0" applyNumberFormat="1" applyFill="1" applyBorder="1" applyAlignment="1" applyProtection="1">
      <alignment vertical="top"/>
      <protection locked="0"/>
    </xf>
    <xf numFmtId="175" fontId="0" fillId="5" borderId="6" xfId="0" applyNumberFormat="1" applyFill="1" applyBorder="1" applyAlignment="1" applyProtection="1">
      <alignment horizontal="right" vertical="top"/>
      <protection locked="0"/>
    </xf>
    <xf numFmtId="165" fontId="24" fillId="0" borderId="67" xfId="2" applyNumberFormat="1" applyFont="1" applyFill="1" applyBorder="1" applyAlignment="1">
      <alignment vertical="center"/>
    </xf>
    <xf numFmtId="165" fontId="5" fillId="10" borderId="68" xfId="2" applyNumberFormat="1" applyFont="1" applyFill="1" applyBorder="1" applyAlignment="1">
      <alignment vertical="center"/>
    </xf>
    <xf numFmtId="165" fontId="24" fillId="8" borderId="69" xfId="2" applyNumberFormat="1" applyFont="1" applyFill="1" applyBorder="1" applyAlignment="1">
      <alignment vertical="center"/>
    </xf>
    <xf numFmtId="165" fontId="7" fillId="8" borderId="70" xfId="2" applyNumberFormat="1" applyFont="1" applyFill="1" applyBorder="1" applyAlignment="1">
      <alignment vertical="center"/>
    </xf>
    <xf numFmtId="165" fontId="3" fillId="8" borderId="71" xfId="2" applyNumberFormat="1" applyFont="1" applyFill="1" applyBorder="1" applyAlignment="1">
      <alignment vertical="center"/>
    </xf>
    <xf numFmtId="165" fontId="6" fillId="8" borderId="61" xfId="2" applyNumberFormat="1" applyFont="1" applyFill="1" applyBorder="1" applyAlignment="1">
      <alignment vertical="center"/>
    </xf>
    <xf numFmtId="165" fontId="3" fillId="8" borderId="65" xfId="2" applyNumberFormat="1" applyFont="1" applyFill="1" applyBorder="1" applyAlignment="1">
      <alignment vertical="center"/>
    </xf>
    <xf numFmtId="165" fontId="24" fillId="8" borderId="61" xfId="2" applyNumberFormat="1" applyFont="1" applyFill="1" applyBorder="1" applyAlignment="1">
      <alignment vertical="center"/>
    </xf>
    <xf numFmtId="165" fontId="6" fillId="9" borderId="61" xfId="0" applyNumberFormat="1" applyFont="1" applyFill="1" applyBorder="1" applyAlignment="1">
      <alignment vertical="center"/>
    </xf>
    <xf numFmtId="165" fontId="28" fillId="11" borderId="67" xfId="2" applyNumberFormat="1" applyFont="1" applyFill="1" applyBorder="1" applyAlignment="1">
      <alignment vertical="center"/>
    </xf>
    <xf numFmtId="165" fontId="29" fillId="11" borderId="61" xfId="2" applyNumberFormat="1" applyFont="1" applyFill="1" applyBorder="1" applyAlignment="1">
      <alignment vertical="center"/>
    </xf>
    <xf numFmtId="165" fontId="29" fillId="7" borderId="61" xfId="0" applyNumberFormat="1" applyFont="1" applyFill="1" applyBorder="1" applyAlignment="1">
      <alignment vertical="center"/>
    </xf>
    <xf numFmtId="0" fontId="3" fillId="0" borderId="0" xfId="11"/>
    <xf numFmtId="0" fontId="3" fillId="0" borderId="0" xfId="11" applyAlignment="1">
      <alignment vertical="center"/>
    </xf>
    <xf numFmtId="0" fontId="5" fillId="0" borderId="10" xfId="11" applyFont="1" applyBorder="1" applyAlignment="1">
      <alignment horizontal="right" vertical="center"/>
    </xf>
    <xf numFmtId="167" fontId="3" fillId="0" borderId="0" xfId="11" applyNumberFormat="1"/>
    <xf numFmtId="0" fontId="34" fillId="0" borderId="0" xfId="11" applyFont="1"/>
    <xf numFmtId="0" fontId="34" fillId="0" borderId="0" xfId="0" applyFont="1"/>
    <xf numFmtId="0" fontId="7" fillId="0" borderId="74" xfId="0" applyFont="1" applyBorder="1" applyAlignment="1">
      <alignment horizontal="center" vertical="center"/>
    </xf>
    <xf numFmtId="0" fontId="7" fillId="0" borderId="41" xfId="0" applyFont="1" applyBorder="1" applyAlignment="1">
      <alignment horizontal="center" vertical="center"/>
    </xf>
    <xf numFmtId="172" fontId="7" fillId="0" borderId="72" xfId="0" applyNumberFormat="1" applyFont="1" applyBorder="1" applyAlignment="1">
      <alignment horizontal="center" vertical="center"/>
    </xf>
    <xf numFmtId="0" fontId="7" fillId="0" borderId="73" xfId="0" applyFont="1" applyBorder="1" applyAlignment="1">
      <alignment vertical="center"/>
    </xf>
    <xf numFmtId="186" fontId="6" fillId="0" borderId="76" xfId="2" applyNumberFormat="1" applyFont="1" applyFill="1" applyBorder="1" applyAlignment="1">
      <alignment vertical="center"/>
    </xf>
    <xf numFmtId="9" fontId="9" fillId="0" borderId="77" xfId="0" applyNumberFormat="1" applyFont="1" applyBorder="1" applyAlignment="1">
      <alignment horizontal="center" vertical="center"/>
    </xf>
    <xf numFmtId="7" fontId="9" fillId="0" borderId="66" xfId="0" applyNumberFormat="1" applyFont="1" applyBorder="1" applyAlignment="1">
      <alignment vertical="center"/>
    </xf>
    <xf numFmtId="7" fontId="6" fillId="0" borderId="61" xfId="0" applyNumberFormat="1" applyFont="1" applyBorder="1" applyAlignment="1">
      <alignment vertical="center"/>
    </xf>
    <xf numFmtId="172" fontId="25" fillId="0" borderId="81" xfId="0" applyNumberFormat="1" applyFont="1" applyBorder="1" applyAlignment="1">
      <alignment vertical="center"/>
    </xf>
    <xf numFmtId="172" fontId="25" fillId="0" borderId="85" xfId="0" applyNumberFormat="1" applyFont="1" applyBorder="1" applyAlignment="1">
      <alignment vertical="center"/>
    </xf>
    <xf numFmtId="172" fontId="25" fillId="0" borderId="85" xfId="0" applyNumberFormat="1" applyFont="1" applyBorder="1" applyAlignment="1">
      <alignment horizontal="right" vertical="center"/>
    </xf>
    <xf numFmtId="172" fontId="25" fillId="0" borderId="90" xfId="0" applyNumberFormat="1" applyFont="1" applyBorder="1" applyAlignment="1">
      <alignment horizontal="right" vertical="center"/>
    </xf>
    <xf numFmtId="0" fontId="24" fillId="11" borderId="75" xfId="0" applyFont="1" applyFill="1" applyBorder="1" applyAlignment="1">
      <alignment horizontal="center" vertical="center"/>
    </xf>
    <xf numFmtId="0" fontId="24" fillId="11" borderId="51" xfId="0" applyFont="1" applyFill="1" applyBorder="1" applyAlignment="1">
      <alignment vertical="center"/>
    </xf>
    <xf numFmtId="0" fontId="24" fillId="11" borderId="51" xfId="0" applyFont="1" applyFill="1" applyBorder="1" applyAlignment="1">
      <alignment horizontal="left" vertical="center"/>
    </xf>
    <xf numFmtId="165" fontId="28" fillId="11" borderId="76" xfId="2" applyNumberFormat="1" applyFont="1" applyFill="1" applyBorder="1" applyAlignment="1">
      <alignment vertical="center"/>
    </xf>
    <xf numFmtId="0" fontId="7" fillId="0" borderId="9" xfId="0" applyFont="1" applyBorder="1" applyAlignment="1">
      <alignment vertical="center"/>
    </xf>
    <xf numFmtId="0" fontId="7" fillId="0" borderId="10" xfId="0" applyFont="1" applyBorder="1" applyAlignment="1">
      <alignment vertical="center"/>
    </xf>
    <xf numFmtId="177" fontId="7" fillId="0" borderId="10" xfId="0" applyNumberFormat="1" applyFont="1" applyBorder="1" applyAlignment="1">
      <alignment vertical="center"/>
    </xf>
    <xf numFmtId="178" fontId="6" fillId="0" borderId="11" xfId="0" applyNumberFormat="1" applyFont="1" applyBorder="1" applyAlignment="1" applyProtection="1">
      <alignment horizontal="right" vertical="center"/>
      <protection locked="0"/>
    </xf>
    <xf numFmtId="0" fontId="7" fillId="0" borderId="10" xfId="15" applyFont="1" applyBorder="1" applyAlignment="1">
      <alignment horizontal="center" vertical="center"/>
    </xf>
    <xf numFmtId="4" fontId="7" fillId="0" borderId="10" xfId="0" applyNumberFormat="1" applyFont="1" applyBorder="1" applyAlignment="1">
      <alignment horizontal="right" vertical="center"/>
    </xf>
    <xf numFmtId="180" fontId="6" fillId="0" borderId="11" xfId="0" applyNumberFormat="1" applyFont="1" applyBorder="1" applyAlignment="1" applyProtection="1">
      <alignment horizontal="right" vertical="center"/>
      <protection locked="0"/>
    </xf>
    <xf numFmtId="0" fontId="12" fillId="0" borderId="10" xfId="0" applyFont="1" applyBorder="1" applyAlignment="1">
      <alignment vertical="center"/>
    </xf>
    <xf numFmtId="177" fontId="12" fillId="0" borderId="10" xfId="0" applyNumberFormat="1" applyFont="1" applyBorder="1" applyAlignment="1">
      <alignment vertical="center"/>
    </xf>
    <xf numFmtId="172" fontId="12" fillId="0" borderId="10" xfId="0" applyNumberFormat="1" applyFont="1" applyBorder="1" applyAlignment="1">
      <alignment horizontal="right" vertical="center"/>
    </xf>
    <xf numFmtId="178" fontId="6" fillId="0" borderId="11" xfId="0" applyNumberFormat="1" applyFont="1" applyBorder="1" applyAlignment="1" applyProtection="1">
      <alignment vertical="center"/>
      <protection locked="0"/>
    </xf>
    <xf numFmtId="178" fontId="6" fillId="0" borderId="11" xfId="0" applyNumberFormat="1" applyFont="1" applyBorder="1" applyAlignment="1">
      <alignment horizontal="right" vertical="center"/>
    </xf>
    <xf numFmtId="172" fontId="7" fillId="0" borderId="10" xfId="15" applyNumberFormat="1" applyFont="1" applyBorder="1" applyAlignment="1">
      <alignment horizontal="right" vertical="center"/>
    </xf>
    <xf numFmtId="167" fontId="6" fillId="0" borderId="11" xfId="15" applyNumberFormat="1" applyFont="1" applyBorder="1" applyAlignment="1">
      <alignment horizontal="right" vertical="center"/>
    </xf>
    <xf numFmtId="0" fontId="11" fillId="0" borderId="10" xfId="15" applyFont="1" applyBorder="1" applyAlignment="1">
      <alignment horizontal="right" vertical="center"/>
    </xf>
    <xf numFmtId="180" fontId="6" fillId="0" borderId="11" xfId="0" applyNumberFormat="1" applyFont="1" applyBorder="1" applyAlignment="1">
      <alignment horizontal="right" vertical="center"/>
    </xf>
    <xf numFmtId="172" fontId="7" fillId="0" borderId="46" xfId="0" applyNumberFormat="1" applyFont="1" applyBorder="1" applyAlignment="1">
      <alignment horizontal="right" vertical="center"/>
    </xf>
    <xf numFmtId="171" fontId="3" fillId="5" borderId="5" xfId="0" applyNumberFormat="1" applyFont="1" applyFill="1" applyBorder="1" applyAlignment="1">
      <alignment vertical="top" wrapText="1"/>
    </xf>
    <xf numFmtId="0" fontId="13" fillId="5" borderId="0" xfId="0" applyFont="1" applyFill="1" applyAlignment="1">
      <alignment horizontal="center" vertical="top"/>
    </xf>
    <xf numFmtId="182" fontId="0" fillId="5" borderId="8" xfId="1" applyNumberFormat="1" applyFont="1" applyFill="1" applyBorder="1" applyAlignment="1" applyProtection="1">
      <alignment vertical="top"/>
      <protection locked="0"/>
    </xf>
    <xf numFmtId="180" fontId="0" fillId="5" borderId="6" xfId="0" applyNumberFormat="1" applyFill="1" applyBorder="1" applyAlignment="1" applyProtection="1">
      <alignment horizontal="right" vertical="top"/>
      <protection locked="0"/>
    </xf>
    <xf numFmtId="3" fontId="25" fillId="5" borderId="8" xfId="1" applyNumberFormat="1" applyFont="1" applyFill="1" applyBorder="1" applyAlignment="1" applyProtection="1">
      <alignment vertical="top"/>
      <protection locked="0"/>
    </xf>
    <xf numFmtId="0" fontId="0" fillId="5" borderId="0" xfId="0" applyFill="1" applyAlignment="1">
      <alignment horizontal="center" vertical="top"/>
    </xf>
    <xf numFmtId="0" fontId="3" fillId="5" borderId="0" xfId="0" applyFont="1" applyFill="1" applyAlignment="1">
      <alignment vertical="top"/>
    </xf>
    <xf numFmtId="0" fontId="3" fillId="5" borderId="0" xfId="0" applyFont="1" applyFill="1" applyAlignment="1">
      <alignment horizontal="center" vertical="top"/>
    </xf>
    <xf numFmtId="2" fontId="0" fillId="5" borderId="0" xfId="0" applyNumberFormat="1" applyFill="1" applyAlignment="1">
      <alignment vertical="top"/>
    </xf>
    <xf numFmtId="171" fontId="0" fillId="5" borderId="0" xfId="0" applyNumberFormat="1" applyFill="1" applyAlignment="1">
      <alignment vertical="top"/>
    </xf>
    <xf numFmtId="0" fontId="7" fillId="5" borderId="5" xfId="0" applyFont="1" applyFill="1" applyBorder="1" applyAlignment="1">
      <alignment vertical="top" wrapText="1"/>
    </xf>
    <xf numFmtId="0" fontId="5" fillId="7" borderId="39" xfId="0" applyFont="1" applyFill="1" applyBorder="1" applyAlignment="1">
      <alignment vertical="center"/>
    </xf>
    <xf numFmtId="173" fontId="3" fillId="5" borderId="5" xfId="0" applyNumberFormat="1" applyFont="1" applyFill="1" applyBorder="1" applyAlignment="1">
      <alignment horizontal="center" vertical="top"/>
    </xf>
    <xf numFmtId="180" fontId="0" fillId="5" borderId="6" xfId="0" applyNumberFormat="1" applyFill="1" applyBorder="1" applyAlignment="1">
      <alignment horizontal="right" vertical="top"/>
    </xf>
    <xf numFmtId="173" fontId="3" fillId="5" borderId="5" xfId="0" applyNumberFormat="1" applyFont="1" applyFill="1" applyBorder="1" applyAlignment="1">
      <alignment horizontal="center" vertical="top" wrapText="1"/>
    </xf>
    <xf numFmtId="180" fontId="3" fillId="5" borderId="6" xfId="0" applyNumberFormat="1" applyFont="1" applyFill="1" applyBorder="1" applyAlignment="1">
      <alignment horizontal="right" vertical="top"/>
    </xf>
    <xf numFmtId="0" fontId="25" fillId="5" borderId="5" xfId="15" applyFont="1" applyFill="1" applyBorder="1" applyAlignment="1">
      <alignment vertical="top" wrapText="1"/>
    </xf>
    <xf numFmtId="0" fontId="0" fillId="5" borderId="0" xfId="0" applyFill="1" applyAlignment="1">
      <alignment vertical="top"/>
    </xf>
    <xf numFmtId="9" fontId="7" fillId="13" borderId="0" xfId="0" applyNumberFormat="1" applyFont="1" applyFill="1" applyAlignment="1">
      <alignment horizontal="right" vertical="center"/>
    </xf>
    <xf numFmtId="0" fontId="13" fillId="5" borderId="0" xfId="0" applyFont="1" applyFill="1" applyAlignment="1">
      <alignment horizontal="left" vertical="center"/>
    </xf>
    <xf numFmtId="0" fontId="12" fillId="5" borderId="5" xfId="0" applyFont="1" applyFill="1" applyBorder="1" applyAlignment="1">
      <alignment vertical="center"/>
    </xf>
    <xf numFmtId="4" fontId="0" fillId="5" borderId="8" xfId="0" applyNumberFormat="1" applyFill="1" applyBorder="1" applyAlignment="1" applyProtection="1">
      <alignment vertical="top"/>
      <protection locked="0"/>
    </xf>
    <xf numFmtId="0" fontId="13" fillId="5" borderId="5" xfId="0" applyFont="1" applyFill="1" applyBorder="1" applyAlignment="1">
      <alignment vertical="top"/>
    </xf>
    <xf numFmtId="175" fontId="0" fillId="5" borderId="8" xfId="0" applyNumberFormat="1" applyFill="1" applyBorder="1" applyAlignment="1" applyProtection="1">
      <alignment vertical="top"/>
      <protection locked="0"/>
    </xf>
    <xf numFmtId="0" fontId="3" fillId="5" borderId="5" xfId="0" applyFont="1" applyFill="1" applyBorder="1" applyAlignment="1">
      <alignment horizontal="left" vertical="top" wrapText="1"/>
    </xf>
    <xf numFmtId="175" fontId="13" fillId="5" borderId="8" xfId="0" applyNumberFormat="1" applyFont="1" applyFill="1" applyBorder="1" applyAlignment="1" applyProtection="1">
      <alignment vertical="top"/>
      <protection locked="0"/>
    </xf>
    <xf numFmtId="2" fontId="25" fillId="0" borderId="7" xfId="0" applyNumberFormat="1" applyFont="1" applyBorder="1" applyAlignment="1">
      <alignment horizontal="center" vertical="top"/>
    </xf>
    <xf numFmtId="2" fontId="25" fillId="5" borderId="7" xfId="0" applyNumberFormat="1" applyFont="1" applyFill="1" applyBorder="1" applyAlignment="1">
      <alignment horizontal="center" vertical="top"/>
    </xf>
    <xf numFmtId="0" fontId="25" fillId="0" borderId="15" xfId="0" applyFont="1" applyBorder="1" applyAlignment="1">
      <alignment horizontal="center" vertical="top"/>
    </xf>
    <xf numFmtId="49" fontId="25" fillId="0" borderId="5" xfId="0" applyNumberFormat="1" applyFont="1" applyBorder="1" applyAlignment="1">
      <alignment vertical="top" wrapText="1"/>
    </xf>
    <xf numFmtId="0" fontId="25" fillId="0" borderId="5" xfId="0" applyFont="1" applyBorder="1" applyAlignment="1">
      <alignment vertical="top"/>
    </xf>
    <xf numFmtId="0" fontId="37" fillId="0" borderId="5" xfId="0" applyFont="1" applyBorder="1" applyAlignment="1">
      <alignment vertical="top"/>
    </xf>
    <xf numFmtId="0" fontId="25" fillId="0" borderId="5" xfId="0" applyFont="1" applyBorder="1" applyAlignment="1">
      <alignment vertical="top" wrapText="1"/>
    </xf>
    <xf numFmtId="49" fontId="25" fillId="0" borderId="5" xfId="0" applyNumberFormat="1" applyFont="1" applyBorder="1" applyAlignment="1">
      <alignment vertical="top"/>
    </xf>
    <xf numFmtId="49" fontId="25" fillId="5" borderId="5" xfId="0" applyNumberFormat="1" applyFont="1" applyFill="1" applyBorder="1" applyAlignment="1">
      <alignment vertical="top" wrapText="1"/>
    </xf>
    <xf numFmtId="0" fontId="25" fillId="5" borderId="5" xfId="0" applyFont="1" applyFill="1" applyBorder="1" applyAlignment="1">
      <alignment vertical="top" wrapText="1"/>
    </xf>
    <xf numFmtId="0" fontId="37" fillId="0" borderId="5" xfId="0" applyFont="1" applyBorder="1"/>
    <xf numFmtId="0" fontId="25" fillId="0" borderId="5" xfId="0" applyFont="1" applyBorder="1"/>
    <xf numFmtId="0" fontId="38" fillId="0" borderId="5" xfId="0" applyFont="1" applyBorder="1" applyAlignment="1">
      <alignment vertical="top" wrapText="1"/>
    </xf>
    <xf numFmtId="0" fontId="24" fillId="0" borderId="5" xfId="0" applyFont="1" applyBorder="1" applyAlignment="1">
      <alignment vertical="top"/>
    </xf>
    <xf numFmtId="0" fontId="25" fillId="0" borderId="5" xfId="15" applyFont="1" applyBorder="1" applyAlignment="1">
      <alignment vertical="top"/>
    </xf>
    <xf numFmtId="0" fontId="25" fillId="5" borderId="78" xfId="0" applyFont="1" applyFill="1" applyBorder="1" applyAlignment="1">
      <alignment horizontal="center" vertical="center"/>
    </xf>
    <xf numFmtId="0" fontId="25" fillId="5" borderId="79" xfId="0" applyFont="1" applyFill="1" applyBorder="1" applyAlignment="1">
      <alignment vertical="center"/>
    </xf>
    <xf numFmtId="9" fontId="25" fillId="5" borderId="80" xfId="17" applyFont="1" applyFill="1" applyBorder="1" applyAlignment="1">
      <alignment vertical="center"/>
    </xf>
    <xf numFmtId="0" fontId="25" fillId="5" borderId="82" xfId="0" applyFont="1" applyFill="1" applyBorder="1" applyAlignment="1">
      <alignment horizontal="center" vertical="center"/>
    </xf>
    <xf numFmtId="0" fontId="25" fillId="5" borderId="83" xfId="0" applyFont="1" applyFill="1" applyBorder="1" applyAlignment="1">
      <alignment vertical="center"/>
    </xf>
    <xf numFmtId="9" fontId="25" fillId="5" borderId="84" xfId="17" applyFont="1" applyFill="1" applyBorder="1" applyAlignment="1">
      <alignment vertical="center"/>
    </xf>
    <xf numFmtId="0" fontId="25" fillId="5" borderId="86" xfId="0" applyFont="1" applyFill="1" applyBorder="1" applyAlignment="1">
      <alignment vertical="center"/>
    </xf>
    <xf numFmtId="0" fontId="25" fillId="5" borderId="87" xfId="0" applyFont="1" applyFill="1" applyBorder="1" applyAlignment="1">
      <alignment horizontal="center" vertical="center"/>
    </xf>
    <xf numFmtId="0" fontId="25" fillId="5" borderId="88" xfId="0" applyFont="1" applyFill="1" applyBorder="1" applyAlignment="1">
      <alignment vertical="center"/>
    </xf>
    <xf numFmtId="0" fontId="25" fillId="5" borderId="89" xfId="0" applyFont="1" applyFill="1" applyBorder="1" applyAlignment="1">
      <alignment vertical="center"/>
    </xf>
    <xf numFmtId="177" fontId="9" fillId="0" borderId="5" xfId="0" applyNumberFormat="1" applyFont="1" applyBorder="1" applyAlignment="1">
      <alignment horizontal="right" vertical="top" wrapText="1"/>
    </xf>
    <xf numFmtId="9" fontId="25" fillId="7" borderId="39" xfId="0" applyNumberFormat="1" applyFont="1" applyFill="1" applyBorder="1" applyAlignment="1">
      <alignment horizontal="center" vertical="center"/>
    </xf>
    <xf numFmtId="165" fontId="25" fillId="7" borderId="61" xfId="1" applyNumberFormat="1" applyFont="1" applyFill="1" applyBorder="1" applyAlignment="1">
      <alignment vertical="center"/>
    </xf>
    <xf numFmtId="0" fontId="3" fillId="0" borderId="0" xfId="11" applyAlignment="1">
      <alignment vertical="top"/>
    </xf>
    <xf numFmtId="0" fontId="3" fillId="0" borderId="5" xfId="11" applyBorder="1" applyAlignment="1">
      <alignment horizontal="center" vertical="top"/>
    </xf>
    <xf numFmtId="2" fontId="9" fillId="0" borderId="15" xfId="0" applyNumberFormat="1" applyFont="1" applyBorder="1" applyAlignment="1">
      <alignment horizontal="center" vertical="top"/>
    </xf>
    <xf numFmtId="171" fontId="3" fillId="0" borderId="20" xfId="0" applyNumberFormat="1" applyFont="1" applyBorder="1" applyAlignment="1">
      <alignment vertical="top"/>
    </xf>
    <xf numFmtId="0" fontId="3" fillId="0" borderId="20" xfId="0" applyFont="1" applyBorder="1" applyAlignment="1">
      <alignment horizontal="center" vertical="top" wrapText="1"/>
    </xf>
    <xf numFmtId="177" fontId="9" fillId="0" borderId="20" xfId="0" applyNumberFormat="1" applyFont="1" applyBorder="1" applyAlignment="1">
      <alignment horizontal="right" vertical="top" wrapText="1"/>
    </xf>
    <xf numFmtId="180" fontId="0" fillId="0" borderId="22" xfId="0" applyNumberFormat="1" applyBorder="1" applyAlignment="1" applyProtection="1">
      <alignment horizontal="right" vertical="top"/>
      <protection locked="0"/>
    </xf>
    <xf numFmtId="3" fontId="0" fillId="0" borderId="0" xfId="0" applyNumberFormat="1"/>
    <xf numFmtId="0" fontId="43" fillId="14" borderId="0" xfId="0" applyFont="1" applyFill="1" applyAlignment="1">
      <alignment vertical="center"/>
    </xf>
    <xf numFmtId="0" fontId="0" fillId="14" borderId="0" xfId="0" applyFill="1"/>
    <xf numFmtId="0" fontId="44" fillId="14" borderId="0" xfId="0" applyFont="1" applyFill="1" applyAlignment="1">
      <alignment horizontal="center" vertical="center" wrapText="1"/>
    </xf>
    <xf numFmtId="0" fontId="3" fillId="14" borderId="0" xfId="0" applyFont="1" applyFill="1" applyAlignment="1">
      <alignment horizontal="center" vertical="center" wrapText="1"/>
    </xf>
    <xf numFmtId="0" fontId="3" fillId="14" borderId="0" xfId="0" applyFont="1" applyFill="1" applyAlignment="1">
      <alignment vertical="center" wrapText="1"/>
    </xf>
    <xf numFmtId="0" fontId="7" fillId="14" borderId="0" xfId="0" applyFont="1" applyFill="1" applyAlignment="1">
      <alignment horizontal="justify" vertical="center" wrapText="1"/>
    </xf>
    <xf numFmtId="0" fontId="3" fillId="14" borderId="0" xfId="0" applyFont="1" applyFill="1" applyAlignment="1">
      <alignment horizontal="justify" vertical="center" wrapText="1"/>
    </xf>
    <xf numFmtId="0" fontId="5" fillId="16" borderId="0" xfId="0" applyFont="1" applyFill="1" applyAlignment="1">
      <alignment horizontal="justify" vertical="center"/>
    </xf>
    <xf numFmtId="0" fontId="44" fillId="16" borderId="0" xfId="0" applyFont="1" applyFill="1" applyAlignment="1">
      <alignment horizontal="center" vertical="center" wrapText="1"/>
    </xf>
    <xf numFmtId="0" fontId="40" fillId="17" borderId="0" xfId="0" applyFont="1" applyFill="1" applyAlignment="1">
      <alignment horizontal="center" vertical="center" wrapText="1"/>
    </xf>
    <xf numFmtId="0" fontId="40" fillId="16" borderId="0" xfId="0" applyFont="1" applyFill="1" applyAlignment="1">
      <alignment horizontal="center" vertical="center" wrapText="1"/>
    </xf>
    <xf numFmtId="0" fontId="41" fillId="16" borderId="0" xfId="0" applyFont="1" applyFill="1" applyAlignment="1">
      <alignment horizontal="center" vertical="center" wrapText="1"/>
    </xf>
    <xf numFmtId="0" fontId="40" fillId="18" borderId="0" xfId="0" applyFont="1" applyFill="1" applyAlignment="1">
      <alignment horizontal="center" vertical="center" wrapText="1"/>
    </xf>
    <xf numFmtId="187" fontId="0" fillId="0" borderId="0" xfId="0" applyNumberFormat="1"/>
    <xf numFmtId="0" fontId="45" fillId="0" borderId="5" xfId="0" applyFont="1" applyBorder="1" applyAlignment="1">
      <alignment vertical="top" wrapText="1"/>
    </xf>
    <xf numFmtId="0" fontId="27" fillId="5" borderId="5" xfId="0" applyFont="1" applyFill="1" applyBorder="1" applyAlignment="1">
      <alignment vertical="top" wrapText="1"/>
    </xf>
    <xf numFmtId="0" fontId="7" fillId="0" borderId="5" xfId="0" applyFont="1" applyBorder="1" applyAlignment="1">
      <alignment vertical="top" wrapText="1"/>
    </xf>
    <xf numFmtId="0" fontId="29" fillId="0" borderId="10" xfId="0" applyFont="1" applyBorder="1" applyAlignment="1">
      <alignment horizontal="right" vertical="center"/>
    </xf>
    <xf numFmtId="172" fontId="27" fillId="0" borderId="10" xfId="0" applyNumberFormat="1" applyFont="1" applyBorder="1" applyAlignment="1">
      <alignment horizontal="right" vertical="center"/>
    </xf>
    <xf numFmtId="0" fontId="27" fillId="0" borderId="23" xfId="15" applyFont="1" applyBorder="1" applyAlignment="1">
      <alignment horizontal="center" vertical="center" wrapText="1"/>
    </xf>
    <xf numFmtId="0" fontId="48" fillId="0" borderId="16" xfId="15" applyFont="1" applyBorder="1" applyAlignment="1">
      <alignment horizontal="center" vertical="center"/>
    </xf>
    <xf numFmtId="0" fontId="27" fillId="0" borderId="16" xfId="15" applyFont="1" applyBorder="1" applyAlignment="1">
      <alignment horizontal="center" vertical="center" wrapText="1"/>
    </xf>
    <xf numFmtId="0" fontId="27" fillId="0" borderId="36" xfId="15" applyFont="1" applyBorder="1" applyAlignment="1">
      <alignment horizontal="center" vertical="center" wrapText="1"/>
    </xf>
    <xf numFmtId="172" fontId="27" fillId="0" borderId="17" xfId="0" applyNumberFormat="1" applyFont="1" applyBorder="1" applyAlignment="1">
      <alignment horizontal="center" vertical="center"/>
    </xf>
    <xf numFmtId="178" fontId="27" fillId="0" borderId="18" xfId="0" applyNumberFormat="1" applyFont="1" applyBorder="1" applyAlignment="1">
      <alignment horizontal="center" vertical="center"/>
    </xf>
    <xf numFmtId="0" fontId="27" fillId="0" borderId="7" xfId="15" applyFont="1" applyBorder="1" applyAlignment="1">
      <alignment horizontal="center" vertical="top" wrapText="1"/>
    </xf>
    <xf numFmtId="0" fontId="27" fillId="0" borderId="0" xfId="15" applyFont="1" applyAlignment="1">
      <alignment horizontal="center" vertical="top" wrapText="1"/>
    </xf>
    <xf numFmtId="0" fontId="27" fillId="0" borderId="5" xfId="15" applyFont="1" applyBorder="1" applyAlignment="1">
      <alignment horizontal="center" vertical="top" wrapText="1"/>
    </xf>
    <xf numFmtId="0" fontId="27" fillId="0" borderId="8" xfId="15" applyFont="1" applyBorder="1" applyAlignment="1">
      <alignment horizontal="center" vertical="top" wrapText="1"/>
    </xf>
    <xf numFmtId="172" fontId="27" fillId="0" borderId="13" xfId="0" applyNumberFormat="1" applyFont="1" applyBorder="1" applyAlignment="1">
      <alignment horizontal="center"/>
    </xf>
    <xf numFmtId="178" fontId="27" fillId="0" borderId="19" xfId="0" applyNumberFormat="1" applyFont="1" applyBorder="1" applyAlignment="1">
      <alignment horizontal="right"/>
    </xf>
    <xf numFmtId="0" fontId="45" fillId="0" borderId="8" xfId="0" applyFont="1" applyBorder="1" applyAlignment="1">
      <alignment vertical="top" wrapText="1"/>
    </xf>
    <xf numFmtId="172" fontId="27" fillId="0" borderId="5" xfId="15" applyNumberFormat="1" applyFont="1" applyBorder="1" applyAlignment="1">
      <alignment horizontal="center" vertical="top" wrapText="1"/>
    </xf>
    <xf numFmtId="172" fontId="27" fillId="0" borderId="6" xfId="15" applyNumberFormat="1" applyFont="1" applyBorder="1" applyAlignment="1">
      <alignment horizontal="center" vertical="top" wrapText="1"/>
    </xf>
    <xf numFmtId="171" fontId="45" fillId="5" borderId="7" xfId="15" applyNumberFormat="1" applyFont="1" applyFill="1" applyBorder="1" applyAlignment="1">
      <alignment horizontal="center" vertical="top"/>
    </xf>
    <xf numFmtId="0" fontId="45" fillId="5" borderId="14" xfId="15" applyFont="1" applyFill="1" applyBorder="1" applyAlignment="1">
      <alignment vertical="top"/>
    </xf>
    <xf numFmtId="0" fontId="28" fillId="5" borderId="5" xfId="15" applyFont="1" applyFill="1" applyBorder="1" applyAlignment="1">
      <alignment vertical="top" wrapText="1"/>
    </xf>
    <xf numFmtId="0" fontId="46" fillId="5" borderId="0" xfId="15" applyFont="1" applyFill="1" applyAlignment="1">
      <alignment horizontal="center" vertical="top"/>
    </xf>
    <xf numFmtId="184" fontId="46" fillId="5" borderId="8" xfId="1" applyNumberFormat="1" applyFont="1" applyFill="1" applyBorder="1" applyAlignment="1" applyProtection="1">
      <alignment vertical="top"/>
      <protection locked="0"/>
    </xf>
    <xf numFmtId="175" fontId="46" fillId="5" borderId="5" xfId="0" applyNumberFormat="1" applyFont="1" applyFill="1" applyBorder="1" applyAlignment="1" applyProtection="1">
      <alignment vertical="top"/>
      <protection locked="0"/>
    </xf>
    <xf numFmtId="178" fontId="46" fillId="5" borderId="6" xfId="0" applyNumberFormat="1" applyFont="1" applyFill="1" applyBorder="1" applyAlignment="1" applyProtection="1">
      <alignment horizontal="right" vertical="top"/>
      <protection locked="0"/>
    </xf>
    <xf numFmtId="171" fontId="45" fillId="7" borderId="7" xfId="15" applyNumberFormat="1" applyFont="1" applyFill="1" applyBorder="1" applyAlignment="1">
      <alignment horizontal="center" vertical="top"/>
    </xf>
    <xf numFmtId="0" fontId="45" fillId="7" borderId="14" xfId="15" applyFont="1" applyFill="1" applyBorder="1" applyAlignment="1">
      <alignment vertical="top"/>
    </xf>
    <xf numFmtId="0" fontId="46" fillId="7" borderId="5" xfId="15" applyFont="1" applyFill="1" applyBorder="1" applyAlignment="1">
      <alignment vertical="top" wrapText="1"/>
    </xf>
    <xf numFmtId="0" fontId="46" fillId="7" borderId="0" xfId="15" applyFont="1" applyFill="1" applyAlignment="1">
      <alignment horizontal="center" vertical="top"/>
    </xf>
    <xf numFmtId="184" fontId="46" fillId="7" borderId="8" xfId="2" applyNumberFormat="1" applyFont="1" applyFill="1" applyBorder="1" applyAlignment="1" applyProtection="1">
      <alignment vertical="top"/>
      <protection locked="0"/>
    </xf>
    <xf numFmtId="175" fontId="46" fillId="7" borderId="5" xfId="0" applyNumberFormat="1" applyFont="1" applyFill="1" applyBorder="1" applyAlignment="1" applyProtection="1">
      <alignment vertical="top"/>
      <protection locked="0"/>
    </xf>
    <xf numFmtId="178" fontId="46" fillId="7" borderId="6" xfId="0" applyNumberFormat="1" applyFont="1" applyFill="1" applyBorder="1" applyAlignment="1" applyProtection="1">
      <alignment horizontal="right" vertical="top"/>
      <protection locked="0"/>
    </xf>
    <xf numFmtId="171" fontId="45" fillId="0" borderId="7" xfId="15" applyNumberFormat="1" applyFont="1" applyBorder="1" applyAlignment="1">
      <alignment horizontal="center" vertical="top"/>
    </xf>
    <xf numFmtId="2" fontId="45" fillId="0" borderId="0" xfId="0" applyNumberFormat="1" applyFont="1" applyAlignment="1">
      <alignment horizontal="left" vertical="top" wrapText="1"/>
    </xf>
    <xf numFmtId="0" fontId="46" fillId="0" borderId="5" xfId="15" applyFont="1" applyBorder="1" applyAlignment="1">
      <alignment vertical="top" wrapText="1"/>
    </xf>
    <xf numFmtId="0" fontId="46" fillId="0" borderId="0" xfId="15" applyFont="1" applyAlignment="1">
      <alignment horizontal="center" vertical="top"/>
    </xf>
    <xf numFmtId="173" fontId="46" fillId="0" borderId="8" xfId="0" applyNumberFormat="1" applyFont="1" applyBorder="1" applyAlignment="1">
      <alignment horizontal="center" vertical="top"/>
    </xf>
    <xf numFmtId="176" fontId="46" fillId="0" borderId="5" xfId="0" applyNumberFormat="1" applyFont="1" applyBorder="1" applyAlignment="1">
      <alignment vertical="top"/>
    </xf>
    <xf numFmtId="180" fontId="46" fillId="0" borderId="6" xfId="0" applyNumberFormat="1" applyFont="1" applyBorder="1" applyAlignment="1">
      <alignment horizontal="right" vertical="top"/>
    </xf>
    <xf numFmtId="0" fontId="45" fillId="0" borderId="0" xfId="0" applyFont="1" applyAlignment="1">
      <alignment horizontal="left" vertical="top"/>
    </xf>
    <xf numFmtId="0" fontId="46" fillId="0" borderId="0" xfId="0" applyFont="1" applyAlignment="1">
      <alignment horizontal="center" vertical="top"/>
    </xf>
    <xf numFmtId="173" fontId="49" fillId="0" borderId="5" xfId="0" applyNumberFormat="1" applyFont="1" applyBorder="1" applyAlignment="1">
      <alignment horizontal="right" vertical="top"/>
    </xf>
    <xf numFmtId="176" fontId="46" fillId="0" borderId="14" xfId="0" applyNumberFormat="1" applyFont="1" applyBorder="1" applyAlignment="1">
      <alignment vertical="top"/>
    </xf>
    <xf numFmtId="171" fontId="45" fillId="0" borderId="15" xfId="15" applyNumberFormat="1" applyFont="1" applyBorder="1" applyAlignment="1">
      <alignment horizontal="center" vertical="top"/>
    </xf>
    <xf numFmtId="0" fontId="45" fillId="0" borderId="20" xfId="15" applyFont="1" applyBorder="1" applyAlignment="1">
      <alignment vertical="top"/>
    </xf>
    <xf numFmtId="0" fontId="45" fillId="0" borderId="20" xfId="15" applyFont="1" applyBorder="1" applyAlignment="1">
      <alignment vertical="top" wrapText="1"/>
    </xf>
    <xf numFmtId="0" fontId="45" fillId="0" borderId="20" xfId="15" applyFont="1" applyBorder="1" applyAlignment="1">
      <alignment horizontal="center" vertical="top"/>
    </xf>
    <xf numFmtId="164" fontId="45" fillId="0" borderId="20" xfId="1" applyNumberFormat="1" applyFont="1" applyFill="1" applyBorder="1" applyAlignment="1" applyProtection="1">
      <alignment horizontal="center" vertical="top"/>
      <protection locked="0"/>
    </xf>
    <xf numFmtId="175" fontId="45" fillId="0" borderId="43" xfId="0" applyNumberFormat="1" applyFont="1" applyBorder="1" applyAlignment="1" applyProtection="1">
      <alignment vertical="top"/>
      <protection locked="0"/>
    </xf>
    <xf numFmtId="178" fontId="45" fillId="0" borderId="22" xfId="0" applyNumberFormat="1" applyFont="1" applyBorder="1" applyAlignment="1" applyProtection="1">
      <alignment horizontal="right" vertical="top"/>
      <protection locked="0"/>
    </xf>
    <xf numFmtId="0" fontId="27" fillId="2" borderId="9" xfId="15" applyFont="1" applyFill="1" applyBorder="1" applyAlignment="1">
      <alignment vertical="center"/>
    </xf>
    <xf numFmtId="0" fontId="27" fillId="3" borderId="10" xfId="15" applyFont="1" applyFill="1" applyBorder="1" applyAlignment="1">
      <alignment vertical="center"/>
    </xf>
    <xf numFmtId="0" fontId="29" fillId="0" borderId="10" xfId="0" applyFont="1" applyBorder="1" applyAlignment="1">
      <alignment horizontal="center" vertical="center"/>
    </xf>
    <xf numFmtId="0" fontId="27" fillId="0" borderId="10" xfId="15" applyFont="1" applyBorder="1" applyAlignment="1">
      <alignment vertical="center"/>
    </xf>
    <xf numFmtId="179" fontId="47" fillId="0" borderId="11" xfId="15" applyNumberFormat="1" applyFont="1" applyBorder="1" applyAlignment="1" applyProtection="1">
      <alignment horizontal="right" vertical="center"/>
      <protection locked="0"/>
    </xf>
    <xf numFmtId="165" fontId="45" fillId="0" borderId="65" xfId="1" applyNumberFormat="1" applyFont="1" applyFill="1" applyBorder="1" applyAlignment="1">
      <alignment vertical="center"/>
    </xf>
    <xf numFmtId="43" fontId="62" fillId="50" borderId="100" xfId="50" applyFont="1" applyFill="1" applyBorder="1"/>
    <xf numFmtId="43" fontId="62" fillId="50" borderId="83" xfId="50" applyFont="1" applyFill="1" applyBorder="1"/>
    <xf numFmtId="43" fontId="7" fillId="0" borderId="101" xfId="50" applyFont="1" applyFill="1" applyBorder="1" applyAlignment="1" applyProtection="1">
      <alignment vertical="center"/>
    </xf>
    <xf numFmtId="43" fontId="7" fillId="0" borderId="61" xfId="50" applyFont="1" applyFill="1" applyBorder="1" applyAlignment="1" applyProtection="1">
      <alignment vertical="center"/>
    </xf>
    <xf numFmtId="0" fontId="62" fillId="0" borderId="0" xfId="65"/>
    <xf numFmtId="0" fontId="43" fillId="14" borderId="0" xfId="65" applyFont="1" applyFill="1" applyAlignment="1">
      <alignment vertical="center"/>
    </xf>
    <xf numFmtId="0" fontId="62" fillId="14" borderId="0" xfId="65" applyFill="1"/>
    <xf numFmtId="0" fontId="9" fillId="8" borderId="21" xfId="65" applyFont="1" applyFill="1" applyBorder="1" applyAlignment="1">
      <alignment vertical="center"/>
    </xf>
    <xf numFmtId="14" fontId="6" fillId="8" borderId="21" xfId="65" applyNumberFormat="1" applyFont="1" applyFill="1" applyBorder="1" applyAlignment="1">
      <alignment horizontal="left" vertical="center"/>
    </xf>
    <xf numFmtId="0" fontId="5" fillId="16" borderId="0" xfId="65" applyFont="1" applyFill="1" applyAlignment="1">
      <alignment horizontal="justify" vertical="center"/>
    </xf>
    <xf numFmtId="0" fontId="7" fillId="0" borderId="31" xfId="65" applyFont="1" applyBorder="1" applyAlignment="1">
      <alignment horizontal="center" vertical="center"/>
    </xf>
    <xf numFmtId="172" fontId="7" fillId="0" borderId="62" xfId="65" applyNumberFormat="1" applyFont="1" applyBorder="1" applyAlignment="1">
      <alignment horizontal="center" vertical="center"/>
    </xf>
    <xf numFmtId="0" fontId="44" fillId="16" borderId="0" xfId="65" applyFont="1" applyFill="1" applyAlignment="1">
      <alignment horizontal="center" vertical="center" wrapText="1"/>
    </xf>
    <xf numFmtId="0" fontId="44" fillId="14" borderId="0" xfId="65" applyFont="1" applyFill="1" applyAlignment="1">
      <alignment horizontal="center" vertical="center" wrapText="1"/>
    </xf>
    <xf numFmtId="0" fontId="68" fillId="0" borderId="25" xfId="65" applyFont="1" applyBorder="1" applyAlignment="1">
      <alignment horizontal="center" vertical="center"/>
    </xf>
    <xf numFmtId="0" fontId="40" fillId="17" borderId="0" xfId="65" applyFont="1" applyFill="1" applyAlignment="1">
      <alignment horizontal="center" vertical="center" wrapText="1"/>
    </xf>
    <xf numFmtId="0" fontId="3" fillId="14" borderId="0" xfId="65" applyFont="1" applyFill="1" applyAlignment="1">
      <alignment horizontal="center" vertical="center" wrapText="1"/>
    </xf>
    <xf numFmtId="0" fontId="3" fillId="14" borderId="0" xfId="65" applyFont="1" applyFill="1" applyAlignment="1">
      <alignment vertical="center" wrapText="1"/>
    </xf>
    <xf numFmtId="0" fontId="68" fillId="0" borderId="24" xfId="65" applyFont="1" applyBorder="1" applyAlignment="1">
      <alignment horizontal="center" vertical="center"/>
    </xf>
    <xf numFmtId="0" fontId="40" fillId="16" borderId="0" xfId="65" applyFont="1" applyFill="1" applyAlignment="1">
      <alignment horizontal="center" vertical="center" wrapText="1"/>
    </xf>
    <xf numFmtId="0" fontId="7" fillId="14" borderId="0" xfId="65" applyFont="1" applyFill="1" applyAlignment="1">
      <alignment horizontal="justify" vertical="center" wrapText="1"/>
    </xf>
    <xf numFmtId="0" fontId="68" fillId="51" borderId="24" xfId="65" applyFont="1" applyFill="1" applyBorder="1" applyAlignment="1">
      <alignment horizontal="center" vertical="center"/>
    </xf>
    <xf numFmtId="0" fontId="41" fillId="16" borderId="0" xfId="65" applyFont="1" applyFill="1" applyAlignment="1">
      <alignment horizontal="center" vertical="center" wrapText="1"/>
    </xf>
    <xf numFmtId="0" fontId="40" fillId="18" borderId="0" xfId="65" applyFont="1" applyFill="1" applyAlignment="1">
      <alignment horizontal="center" vertical="center" wrapText="1"/>
    </xf>
    <xf numFmtId="0" fontId="3" fillId="14" borderId="0" xfId="65" applyFont="1" applyFill="1" applyAlignment="1">
      <alignment horizontal="justify" vertical="center" wrapText="1"/>
    </xf>
    <xf numFmtId="0" fontId="9" fillId="15" borderId="0" xfId="65" applyFont="1" applyFill="1" applyAlignment="1">
      <alignment horizontal="center" vertical="center" wrapText="1"/>
    </xf>
    <xf numFmtId="1" fontId="25" fillId="0" borderId="27" xfId="65" applyNumberFormat="1" applyFont="1" applyBorder="1" applyAlignment="1">
      <alignment horizontal="left" vertical="center"/>
    </xf>
    <xf numFmtId="1" fontId="25" fillId="0" borderId="12" xfId="65" applyNumberFormat="1" applyFont="1" applyBorder="1" applyAlignment="1">
      <alignment horizontal="left" vertical="center"/>
    </xf>
    <xf numFmtId="0" fontId="68" fillId="0" borderId="48" xfId="65" applyFont="1" applyBorder="1" applyAlignment="1">
      <alignment horizontal="center" vertical="center"/>
    </xf>
    <xf numFmtId="0" fontId="6" fillId="0" borderId="38" xfId="65" applyFont="1" applyBorder="1" applyAlignment="1">
      <alignment horizontal="left" vertical="center"/>
    </xf>
    <xf numFmtId="0" fontId="9" fillId="0" borderId="39" xfId="65" applyFont="1" applyBorder="1" applyAlignment="1">
      <alignment horizontal="left" vertical="center"/>
    </xf>
    <xf numFmtId="0" fontId="25" fillId="0" borderId="39" xfId="65" applyFont="1" applyBorder="1" applyAlignment="1">
      <alignment horizontal="left" vertical="center"/>
    </xf>
    <xf numFmtId="165" fontId="5" fillId="0" borderId="61" xfId="2" applyNumberFormat="1" applyFont="1" applyFill="1" applyBorder="1" applyAlignment="1">
      <alignment vertical="center"/>
    </xf>
    <xf numFmtId="0" fontId="25" fillId="0" borderId="41" xfId="65" applyFont="1" applyBorder="1"/>
    <xf numFmtId="165" fontId="25" fillId="12" borderId="70" xfId="2" applyNumberFormat="1" applyFont="1" applyFill="1" applyBorder="1" applyAlignment="1">
      <alignment vertical="center"/>
    </xf>
    <xf numFmtId="165" fontId="25" fillId="12" borderId="65" xfId="2" applyNumberFormat="1" applyFont="1" applyFill="1" applyBorder="1" applyAlignment="1">
      <alignment vertical="center"/>
    </xf>
    <xf numFmtId="165" fontId="68" fillId="12" borderId="65" xfId="2" applyNumberFormat="1" applyFont="1" applyFill="1" applyBorder="1" applyAlignment="1">
      <alignment vertical="center"/>
    </xf>
    <xf numFmtId="165" fontId="25" fillId="12" borderId="76" xfId="2" applyNumberFormat="1" applyFont="1" applyFill="1" applyBorder="1" applyAlignment="1">
      <alignment vertical="center"/>
    </xf>
    <xf numFmtId="165" fontId="25" fillId="12" borderId="66" xfId="2" applyNumberFormat="1" applyFont="1" applyFill="1" applyBorder="1" applyAlignment="1">
      <alignment vertical="center"/>
    </xf>
    <xf numFmtId="0" fontId="1" fillId="0" borderId="0" xfId="67"/>
    <xf numFmtId="0" fontId="66" fillId="6" borderId="0" xfId="67" applyFont="1" applyFill="1" applyAlignment="1">
      <alignment horizontal="center"/>
    </xf>
    <xf numFmtId="187" fontId="66" fillId="6" borderId="0" xfId="67" applyNumberFormat="1" applyFont="1" applyFill="1" applyAlignment="1">
      <alignment horizontal="center"/>
    </xf>
    <xf numFmtId="9" fontId="66" fillId="6" borderId="0" xfId="68" applyFont="1" applyFill="1" applyAlignment="1">
      <alignment horizontal="center"/>
    </xf>
    <xf numFmtId="187" fontId="1" fillId="0" borderId="0" xfId="67" applyNumberFormat="1" applyAlignment="1">
      <alignment horizontal="center"/>
    </xf>
    <xf numFmtId="187" fontId="1" fillId="0" borderId="0" xfId="67" applyNumberFormat="1"/>
    <xf numFmtId="0" fontId="66" fillId="0" borderId="0" xfId="67" applyFont="1" applyAlignment="1">
      <alignment horizontal="center"/>
    </xf>
    <xf numFmtId="0" fontId="66" fillId="0" borderId="102" xfId="67" applyFont="1" applyBorder="1" applyAlignment="1">
      <alignment horizontal="center"/>
    </xf>
    <xf numFmtId="2" fontId="1" fillId="0" borderId="102" xfId="67" applyNumberFormat="1" applyBorder="1"/>
    <xf numFmtId="9" fontId="0" fillId="0" borderId="102" xfId="68" applyFont="1" applyBorder="1" applyAlignment="1">
      <alignment horizontal="center"/>
    </xf>
    <xf numFmtId="187" fontId="1" fillId="0" borderId="102" xfId="67" applyNumberFormat="1" applyBorder="1"/>
    <xf numFmtId="9" fontId="1" fillId="0" borderId="0" xfId="16" applyFont="1"/>
    <xf numFmtId="17" fontId="0" fillId="0" borderId="0" xfId="0" applyNumberFormat="1"/>
    <xf numFmtId="43" fontId="62" fillId="50" borderId="0" xfId="50" applyFont="1" applyFill="1" applyBorder="1"/>
    <xf numFmtId="0" fontId="16" fillId="0" borderId="0" xfId="0" applyFont="1" applyAlignment="1">
      <alignment vertical="center"/>
    </xf>
    <xf numFmtId="1" fontId="69" fillId="2" borderId="2" xfId="11" applyNumberFormat="1" applyFont="1" applyFill="1" applyBorder="1" applyAlignment="1">
      <alignment vertical="center"/>
    </xf>
    <xf numFmtId="0" fontId="62" fillId="0" borderId="3" xfId="11" applyFont="1" applyBorder="1"/>
    <xf numFmtId="0" fontId="67" fillId="0" borderId="3" xfId="11" applyFont="1" applyBorder="1"/>
    <xf numFmtId="0" fontId="72" fillId="0" borderId="7" xfId="11" applyFont="1" applyBorder="1" applyAlignment="1">
      <alignment horizontal="center" vertical="center"/>
    </xf>
    <xf numFmtId="0" fontId="70" fillId="0" borderId="8" xfId="14" applyFont="1" applyBorder="1" applyAlignment="1">
      <alignment horizontal="left" vertical="center"/>
    </xf>
    <xf numFmtId="0" fontId="70" fillId="0" borderId="0" xfId="14" applyFont="1" applyAlignment="1">
      <alignment horizontal="left" vertical="center"/>
    </xf>
    <xf numFmtId="0" fontId="70" fillId="0" borderId="14" xfId="14" applyFont="1" applyBorder="1" applyAlignment="1">
      <alignment horizontal="left" vertical="center"/>
    </xf>
    <xf numFmtId="177" fontId="62" fillId="0" borderId="5" xfId="11" applyNumberFormat="1" applyFont="1" applyBorder="1" applyAlignment="1">
      <alignment horizontal="left" vertical="center"/>
    </xf>
    <xf numFmtId="170" fontId="62" fillId="0" borderId="8" xfId="11" applyNumberFormat="1" applyFont="1" applyBorder="1" applyAlignment="1" applyProtection="1">
      <alignment horizontal="right" vertical="center"/>
      <protection locked="0"/>
    </xf>
    <xf numFmtId="167" fontId="62" fillId="0" borderId="6" xfId="11" applyNumberFormat="1" applyFont="1" applyBorder="1" applyAlignment="1" applyProtection="1">
      <alignment horizontal="right" vertical="center"/>
      <protection locked="0"/>
    </xf>
    <xf numFmtId="0" fontId="72" fillId="0" borderId="7" xfId="11" applyFont="1" applyBorder="1" applyAlignment="1">
      <alignment horizontal="center" vertical="top"/>
    </xf>
    <xf numFmtId="0" fontId="62" fillId="0" borderId="8" xfId="11" applyFont="1" applyBorder="1" applyAlignment="1">
      <alignment vertical="top"/>
    </xf>
    <xf numFmtId="0" fontId="70" fillId="0" borderId="5" xfId="11" applyFont="1" applyBorder="1" applyAlignment="1">
      <alignment vertical="top" wrapText="1"/>
    </xf>
    <xf numFmtId="0" fontId="62" fillId="0" borderId="0" xfId="11" applyFont="1" applyAlignment="1">
      <alignment horizontal="center" vertical="top"/>
    </xf>
    <xf numFmtId="177" fontId="72" fillId="0" borderId="5" xfId="11" applyNumberFormat="1" applyFont="1" applyBorder="1" applyAlignment="1">
      <alignment horizontal="right" vertical="top"/>
    </xf>
    <xf numFmtId="175" fontId="62" fillId="0" borderId="8" xfId="11" applyNumberFormat="1" applyFont="1" applyBorder="1" applyAlignment="1" applyProtection="1">
      <alignment vertical="top"/>
      <protection locked="0"/>
    </xf>
    <xf numFmtId="167" fontId="62" fillId="0" borderId="6" xfId="11" applyNumberFormat="1" applyFont="1" applyBorder="1" applyAlignment="1" applyProtection="1">
      <alignment horizontal="right" vertical="top"/>
      <protection locked="0"/>
    </xf>
    <xf numFmtId="171" fontId="72" fillId="0" borderId="7" xfId="11" applyNumberFormat="1" applyFont="1" applyBorder="1" applyAlignment="1">
      <alignment horizontal="center" vertical="top"/>
    </xf>
    <xf numFmtId="0" fontId="62" fillId="0" borderId="5" xfId="11" applyFont="1" applyBorder="1" applyAlignment="1">
      <alignment vertical="top" wrapText="1"/>
    </xf>
    <xf numFmtId="180" fontId="62" fillId="0" borderId="6" xfId="11" applyNumberFormat="1" applyFont="1" applyBorder="1" applyAlignment="1" applyProtection="1">
      <alignment horizontal="right" vertical="top"/>
      <protection locked="0"/>
    </xf>
    <xf numFmtId="0" fontId="70" fillId="0" borderId="5" xfId="11" applyFont="1" applyBorder="1" applyAlignment="1">
      <alignment vertical="center" wrapText="1"/>
    </xf>
    <xf numFmtId="0" fontId="62" fillId="0" borderId="8" xfId="11" applyFont="1" applyBorder="1" applyAlignment="1">
      <alignment vertical="top" wrapText="1"/>
    </xf>
    <xf numFmtId="0" fontId="62" fillId="0" borderId="8" xfId="11" applyFont="1" applyBorder="1" applyAlignment="1">
      <alignment horizontal="center" vertical="top"/>
    </xf>
    <xf numFmtId="171" fontId="68" fillId="0" borderId="7" xfId="11" applyNumberFormat="1" applyFont="1" applyBorder="1" applyAlignment="1">
      <alignment horizontal="center" vertical="top"/>
    </xf>
    <xf numFmtId="0" fontId="67" fillId="0" borderId="8" xfId="11" applyFont="1" applyBorder="1" applyAlignment="1">
      <alignment vertical="top"/>
    </xf>
    <xf numFmtId="0" fontId="70" fillId="0" borderId="8" xfId="11" applyFont="1" applyBorder="1" applyAlignment="1">
      <alignment vertical="top" wrapText="1"/>
    </xf>
    <xf numFmtId="0" fontId="62" fillId="0" borderId="8" xfId="11" applyFont="1" applyBorder="1" applyAlignment="1">
      <alignment horizontal="left" vertical="top"/>
    </xf>
    <xf numFmtId="175" fontId="62" fillId="0" borderId="6" xfId="11" applyNumberFormat="1" applyFont="1" applyBorder="1" applyAlignment="1" applyProtection="1">
      <alignment vertical="top"/>
      <protection locked="0"/>
    </xf>
    <xf numFmtId="0" fontId="62" fillId="0" borderId="7" xfId="11" applyFont="1" applyBorder="1" applyAlignment="1">
      <alignment horizontal="center"/>
    </xf>
    <xf numFmtId="0" fontId="62" fillId="0" borderId="44" xfId="11" applyFont="1" applyBorder="1"/>
    <xf numFmtId="0" fontId="62" fillId="0" borderId="20" xfId="11" applyFont="1" applyBorder="1"/>
    <xf numFmtId="0" fontId="62" fillId="0" borderId="0" xfId="11" applyFont="1" applyAlignment="1">
      <alignment horizontal="center"/>
    </xf>
    <xf numFmtId="177" fontId="62" fillId="0" borderId="5" xfId="11" applyNumberFormat="1" applyFont="1" applyBorder="1" applyAlignment="1">
      <alignment horizontal="right"/>
    </xf>
    <xf numFmtId="4" fontId="62" fillId="0" borderId="8" xfId="11" applyNumberFormat="1" applyFont="1" applyBorder="1" applyAlignment="1" applyProtection="1">
      <alignment horizontal="right"/>
      <protection locked="0"/>
    </xf>
    <xf numFmtId="167" fontId="62" fillId="0" borderId="6" xfId="11" applyNumberFormat="1" applyFont="1" applyBorder="1" applyAlignment="1" applyProtection="1">
      <alignment horizontal="right"/>
      <protection locked="0"/>
    </xf>
    <xf numFmtId="0" fontId="67" fillId="0" borderId="9" xfId="11" applyFont="1" applyBorder="1" applyAlignment="1">
      <alignment horizontal="center" vertical="center"/>
    </xf>
    <xf numFmtId="0" fontId="67" fillId="0" borderId="10" xfId="11" applyFont="1" applyBorder="1" applyAlignment="1">
      <alignment vertical="center"/>
    </xf>
    <xf numFmtId="0" fontId="69" fillId="0" borderId="10" xfId="11" applyFont="1" applyBorder="1" applyAlignment="1">
      <alignment horizontal="right" vertical="center"/>
    </xf>
    <xf numFmtId="177" fontId="67" fillId="0" borderId="10" xfId="11" applyNumberFormat="1" applyFont="1" applyBorder="1" applyAlignment="1">
      <alignment vertical="center"/>
    </xf>
    <xf numFmtId="172" fontId="67" fillId="0" borderId="10" xfId="11" applyNumberFormat="1" applyFont="1" applyBorder="1" applyAlignment="1">
      <alignment horizontal="right" vertical="center"/>
    </xf>
    <xf numFmtId="180" fontId="70" fillId="0" borderId="11" xfId="11" applyNumberFormat="1" applyFont="1" applyBorder="1" applyAlignment="1" applyProtection="1">
      <alignment horizontal="right" vertical="center"/>
      <protection locked="0"/>
    </xf>
    <xf numFmtId="0" fontId="69" fillId="0" borderId="2" xfId="0" applyFont="1" applyBorder="1"/>
    <xf numFmtId="0" fontId="62" fillId="0" borderId="3" xfId="0" applyFont="1" applyBorder="1"/>
    <xf numFmtId="0" fontId="67" fillId="0" borderId="3" xfId="0" applyFont="1" applyBorder="1" applyAlignment="1">
      <alignment horizontal="center"/>
    </xf>
    <xf numFmtId="0" fontId="62" fillId="0" borderId="7" xfId="0" applyFont="1" applyBorder="1" applyAlignment="1">
      <alignment horizontal="center"/>
    </xf>
    <xf numFmtId="0" fontId="62" fillId="0" borderId="0" xfId="0" applyFont="1"/>
    <xf numFmtId="0" fontId="62" fillId="0" borderId="5" xfId="0" applyFont="1" applyBorder="1"/>
    <xf numFmtId="0" fontId="62" fillId="0" borderId="0" xfId="0" applyFont="1" applyAlignment="1">
      <alignment horizontal="center"/>
    </xf>
    <xf numFmtId="177" fontId="62" fillId="0" borderId="8" xfId="0" applyNumberFormat="1" applyFont="1" applyBorder="1" applyAlignment="1">
      <alignment horizontal="right"/>
    </xf>
    <xf numFmtId="170" fontId="62" fillId="0" borderId="5" xfId="0" applyNumberFormat="1" applyFont="1" applyBorder="1" applyAlignment="1" applyProtection="1">
      <alignment horizontal="right"/>
      <protection locked="0"/>
    </xf>
    <xf numFmtId="178" fontId="62" fillId="0" borderId="6" xfId="0" applyNumberFormat="1" applyFont="1" applyBorder="1" applyAlignment="1" applyProtection="1">
      <alignment horizontal="right"/>
      <protection locked="0"/>
    </xf>
    <xf numFmtId="0" fontId="72" fillId="0" borderId="7" xfId="0" applyFont="1" applyBorder="1" applyAlignment="1">
      <alignment horizontal="center" vertical="top"/>
    </xf>
    <xf numFmtId="0" fontId="70" fillId="0" borderId="0" xfId="0" applyFont="1" applyAlignment="1">
      <alignment vertical="top"/>
    </xf>
    <xf numFmtId="0" fontId="70" fillId="0" borderId="5" xfId="0" applyFont="1" applyBorder="1" applyAlignment="1">
      <alignment vertical="top" wrapText="1"/>
    </xf>
    <xf numFmtId="0" fontId="73" fillId="0" borderId="9" xfId="11" applyFont="1" applyBorder="1" applyAlignment="1">
      <alignment vertical="center"/>
    </xf>
    <xf numFmtId="0" fontId="73" fillId="0" borderId="10" xfId="11" applyFont="1" applyBorder="1" applyAlignment="1">
      <alignment vertical="center"/>
    </xf>
    <xf numFmtId="0" fontId="69" fillId="0" borderId="10" xfId="11" applyFont="1" applyBorder="1" applyAlignment="1">
      <alignment horizontal="left" vertical="center"/>
    </xf>
    <xf numFmtId="177" fontId="73" fillId="0" borderId="10" xfId="11" applyNumberFormat="1" applyFont="1" applyBorder="1" applyAlignment="1">
      <alignment vertical="center"/>
    </xf>
    <xf numFmtId="4" fontId="68" fillId="0" borderId="46" xfId="11" applyNumberFormat="1" applyFont="1" applyBorder="1" applyAlignment="1">
      <alignment horizontal="right" vertical="center"/>
    </xf>
    <xf numFmtId="178" fontId="73" fillId="0" borderId="11" xfId="11" applyNumberFormat="1" applyFont="1" applyBorder="1" applyAlignment="1" applyProtection="1">
      <alignment horizontal="right" vertical="center"/>
      <protection locked="0"/>
    </xf>
    <xf numFmtId="0" fontId="67" fillId="0" borderId="9" xfId="0" applyFont="1" applyBorder="1" applyAlignment="1">
      <alignment vertical="center"/>
    </xf>
    <xf numFmtId="0" fontId="67" fillId="0" borderId="10" xfId="0" applyFont="1" applyBorder="1" applyAlignment="1">
      <alignment vertical="center"/>
    </xf>
    <xf numFmtId="0" fontId="69" fillId="0" borderId="10" xfId="0" applyFont="1" applyBorder="1" applyAlignment="1">
      <alignment horizontal="right" vertical="center"/>
    </xf>
    <xf numFmtId="177" fontId="67" fillId="0" borderId="10" xfId="0" applyNumberFormat="1" applyFont="1" applyBorder="1" applyAlignment="1">
      <alignment vertical="center"/>
    </xf>
    <xf numFmtId="172" fontId="67" fillId="0" borderId="10" xfId="0" applyNumberFormat="1" applyFont="1" applyBorder="1" applyAlignment="1">
      <alignment horizontal="right" vertical="center"/>
    </xf>
    <xf numFmtId="178" fontId="70" fillId="0" borderId="11" xfId="0" applyNumberFormat="1" applyFont="1" applyBorder="1" applyAlignment="1" applyProtection="1">
      <alignment horizontal="right" vertical="center"/>
      <protection locked="0"/>
    </xf>
    <xf numFmtId="8" fontId="3" fillId="0" borderId="0" xfId="15" applyNumberFormat="1"/>
    <xf numFmtId="0" fontId="62" fillId="0" borderId="24" xfId="0" applyFont="1" applyBorder="1" applyAlignment="1">
      <alignment horizontal="center" vertical="center"/>
    </xf>
    <xf numFmtId="1" fontId="62" fillId="0" borderId="35" xfId="0" applyNumberFormat="1" applyFont="1" applyBorder="1" applyAlignment="1">
      <alignment horizontal="left" vertical="center"/>
    </xf>
    <xf numFmtId="0" fontId="62" fillId="0" borderId="40" xfId="0" applyFont="1" applyBorder="1" applyAlignment="1">
      <alignment horizontal="left" vertical="center"/>
    </xf>
    <xf numFmtId="165" fontId="62" fillId="0" borderId="65" xfId="1" applyNumberFormat="1" applyFont="1" applyFill="1" applyBorder="1" applyAlignment="1">
      <alignment vertical="center"/>
    </xf>
    <xf numFmtId="0" fontId="45" fillId="0" borderId="105" xfId="0" applyFont="1" applyBorder="1" applyAlignment="1">
      <alignment horizontal="center" vertical="center"/>
    </xf>
    <xf numFmtId="165" fontId="3" fillId="0" borderId="76" xfId="1" applyNumberFormat="1" applyFont="1" applyFill="1" applyBorder="1" applyAlignment="1">
      <alignment vertical="center"/>
    </xf>
    <xf numFmtId="0" fontId="25" fillId="0" borderId="0" xfId="0" applyFont="1"/>
    <xf numFmtId="165" fontId="3" fillId="0" borderId="52" xfId="1" applyNumberFormat="1" applyFont="1" applyFill="1" applyBorder="1" applyAlignment="1">
      <alignment vertical="center"/>
    </xf>
    <xf numFmtId="0" fontId="25" fillId="0" borderId="0" xfId="0" applyFont="1" applyAlignment="1">
      <alignment vertical="center"/>
    </xf>
    <xf numFmtId="0" fontId="3" fillId="0" borderId="0" xfId="0" applyFont="1" applyAlignment="1">
      <alignment horizontal="left" vertical="top" wrapText="1"/>
    </xf>
    <xf numFmtId="0" fontId="0" fillId="0" borderId="0" xfId="0" applyAlignment="1">
      <alignment horizontal="left" vertical="top" wrapText="1"/>
    </xf>
    <xf numFmtId="49" fontId="3" fillId="0" borderId="0" xfId="0" applyNumberFormat="1" applyFont="1" applyAlignment="1">
      <alignment horizontal="left" vertical="top"/>
    </xf>
    <xf numFmtId="49" fontId="3" fillId="0" borderId="0" xfId="0" applyNumberFormat="1" applyFont="1" applyAlignment="1">
      <alignment horizontal="left" vertical="top" wrapText="1"/>
    </xf>
    <xf numFmtId="2" fontId="0" fillId="0" borderId="5" xfId="0" applyNumberFormat="1" applyBorder="1" applyAlignment="1">
      <alignment horizontal="left" vertical="top" wrapText="1"/>
    </xf>
    <xf numFmtId="2" fontId="0" fillId="0" borderId="0" xfId="0" applyNumberFormat="1" applyAlignment="1">
      <alignment horizontal="left" vertical="top"/>
    </xf>
    <xf numFmtId="171" fontId="72" fillId="0" borderId="7" xfId="0" applyNumberFormat="1" applyFont="1" applyBorder="1" applyAlignment="1">
      <alignment horizontal="center" vertical="top"/>
    </xf>
    <xf numFmtId="0" fontId="62" fillId="0" borderId="5" xfId="0" applyFont="1" applyBorder="1" applyAlignment="1">
      <alignment vertical="top" wrapText="1"/>
    </xf>
    <xf numFmtId="176" fontId="62" fillId="5" borderId="5" xfId="0" applyNumberFormat="1" applyFont="1" applyFill="1" applyBorder="1" applyAlignment="1">
      <alignment vertical="top"/>
    </xf>
    <xf numFmtId="172" fontId="62" fillId="5" borderId="5" xfId="0" applyNumberFormat="1" applyFont="1" applyFill="1" applyBorder="1" applyAlignment="1">
      <alignment vertical="top"/>
    </xf>
    <xf numFmtId="171" fontId="3" fillId="0" borderId="5" xfId="0" applyNumberFormat="1" applyFont="1" applyBorder="1" applyAlignment="1">
      <alignment vertical="top"/>
    </xf>
    <xf numFmtId="171" fontId="3" fillId="0" borderId="0" xfId="0" applyNumberFormat="1" applyFont="1" applyAlignment="1">
      <alignment vertical="top"/>
    </xf>
    <xf numFmtId="0" fontId="3" fillId="0" borderId="5" xfId="11" applyBorder="1" applyAlignment="1">
      <alignment horizontal="left" vertical="top" wrapText="1"/>
    </xf>
    <xf numFmtId="0" fontId="3" fillId="0" borderId="5" xfId="14" applyBorder="1" applyAlignment="1">
      <alignment horizontal="center" vertical="top"/>
    </xf>
    <xf numFmtId="2" fontId="3" fillId="0" borderId="8" xfId="1" applyNumberFormat="1" applyFont="1" applyFill="1" applyBorder="1" applyAlignment="1" applyProtection="1">
      <alignment vertical="center"/>
      <protection locked="0"/>
    </xf>
    <xf numFmtId="3" fontId="3" fillId="0" borderId="8" xfId="1" applyNumberFormat="1" applyFont="1" applyFill="1" applyBorder="1" applyAlignment="1" applyProtection="1">
      <alignment vertical="top"/>
      <protection locked="0"/>
    </xf>
    <xf numFmtId="3" fontId="3" fillId="5" borderId="8" xfId="1" applyNumberFormat="1" applyFont="1" applyFill="1" applyBorder="1" applyAlignment="1" applyProtection="1">
      <alignment vertical="top"/>
      <protection locked="0"/>
    </xf>
    <xf numFmtId="177" fontId="62" fillId="0" borderId="5" xfId="11" applyNumberFormat="1" applyFont="1" applyBorder="1" applyAlignment="1">
      <alignment horizontal="right" vertical="top"/>
    </xf>
    <xf numFmtId="0" fontId="67" fillId="0" borderId="14" xfId="11" applyFont="1" applyBorder="1" applyAlignment="1">
      <alignment vertical="top" wrapText="1"/>
    </xf>
    <xf numFmtId="182" fontId="3" fillId="0" borderId="8" xfId="1" applyNumberFormat="1" applyFont="1" applyFill="1" applyBorder="1" applyAlignment="1" applyProtection="1">
      <alignment vertical="top"/>
      <protection locked="0"/>
    </xf>
    <xf numFmtId="177" fontId="3" fillId="0" borderId="5" xfId="0" applyNumberFormat="1" applyFont="1" applyBorder="1" applyAlignment="1">
      <alignment horizontal="right" vertical="top" wrapText="1"/>
    </xf>
    <xf numFmtId="182" fontId="3" fillId="0" borderId="5" xfId="1" applyNumberFormat="1" applyFont="1" applyFill="1" applyBorder="1" applyAlignment="1" applyProtection="1">
      <alignment vertical="top"/>
      <protection locked="0"/>
    </xf>
    <xf numFmtId="182" fontId="3" fillId="0" borderId="8" xfId="2" applyNumberFormat="1" applyFont="1" applyFill="1" applyBorder="1" applyAlignment="1" applyProtection="1">
      <alignment vertical="top"/>
      <protection locked="0"/>
    </xf>
    <xf numFmtId="185" fontId="3" fillId="0" borderId="8" xfId="1" applyNumberFormat="1" applyFont="1" applyFill="1" applyBorder="1" applyAlignment="1" applyProtection="1">
      <alignment horizontal="right" vertical="top"/>
      <protection locked="0"/>
    </xf>
    <xf numFmtId="175" fontId="0" fillId="0" borderId="44" xfId="0" applyNumberFormat="1" applyBorder="1" applyAlignment="1" applyProtection="1">
      <alignment horizontal="right"/>
      <protection locked="0"/>
    </xf>
    <xf numFmtId="178" fontId="0" fillId="0" borderId="22" xfId="0" applyNumberFormat="1" applyBorder="1" applyAlignment="1" applyProtection="1">
      <alignment horizontal="right"/>
      <protection locked="0"/>
    </xf>
    <xf numFmtId="165" fontId="3" fillId="0" borderId="0" xfId="1" applyNumberFormat="1" applyFont="1" applyFill="1" applyBorder="1" applyAlignment="1">
      <alignment vertical="center"/>
    </xf>
    <xf numFmtId="165" fontId="25" fillId="0" borderId="68" xfId="2" applyNumberFormat="1" applyFont="1" applyFill="1" applyBorder="1" applyAlignment="1">
      <alignment vertical="center"/>
    </xf>
    <xf numFmtId="0" fontId="24" fillId="0" borderId="52" xfId="0" applyFont="1" applyBorder="1" applyAlignment="1">
      <alignment horizontal="left" vertical="center"/>
    </xf>
    <xf numFmtId="0" fontId="25" fillId="0" borderId="0" xfId="0" applyFont="1" applyAlignment="1">
      <alignment horizontal="left" vertical="center"/>
    </xf>
    <xf numFmtId="165" fontId="5" fillId="0" borderId="67" xfId="1" applyNumberFormat="1" applyFont="1" applyFill="1" applyBorder="1" applyAlignment="1">
      <alignment vertical="center"/>
    </xf>
    <xf numFmtId="0" fontId="28" fillId="0" borderId="38" xfId="0" applyFont="1" applyBorder="1" applyAlignment="1">
      <alignment horizontal="left" vertical="center"/>
    </xf>
    <xf numFmtId="172" fontId="67" fillId="0" borderId="17" xfId="0" applyNumberFormat="1" applyFont="1" applyBorder="1" applyAlignment="1">
      <alignment horizontal="center" vertical="center"/>
    </xf>
    <xf numFmtId="178" fontId="67" fillId="0" borderId="18" xfId="0" applyNumberFormat="1" applyFont="1" applyBorder="1" applyAlignment="1">
      <alignment horizontal="center" vertical="center"/>
    </xf>
    <xf numFmtId="182" fontId="0" fillId="6" borderId="8" xfId="1" applyNumberFormat="1" applyFont="1" applyFill="1" applyBorder="1" applyAlignment="1" applyProtection="1">
      <alignment vertical="top"/>
      <protection locked="0"/>
    </xf>
    <xf numFmtId="2" fontId="46" fillId="5" borderId="7" xfId="0" applyNumberFormat="1" applyFont="1" applyFill="1" applyBorder="1" applyAlignment="1">
      <alignment horizontal="center" vertical="top"/>
    </xf>
    <xf numFmtId="2" fontId="45" fillId="0" borderId="5" xfId="0" applyNumberFormat="1" applyFont="1" applyBorder="1" applyAlignment="1">
      <alignment horizontal="left" vertical="top" wrapText="1"/>
    </xf>
    <xf numFmtId="0" fontId="46" fillId="5" borderId="5" xfId="15" applyFont="1" applyFill="1" applyBorder="1" applyAlignment="1">
      <alignment vertical="top" wrapText="1"/>
    </xf>
    <xf numFmtId="0" fontId="45" fillId="5" borderId="0" xfId="0" applyFont="1" applyFill="1" applyAlignment="1">
      <alignment horizontal="center" vertical="top"/>
    </xf>
    <xf numFmtId="173" fontId="45" fillId="5" borderId="5" xfId="0" applyNumberFormat="1" applyFont="1" applyFill="1" applyBorder="1" applyAlignment="1">
      <alignment horizontal="center" vertical="top" wrapText="1"/>
    </xf>
    <xf numFmtId="172" fontId="45" fillId="5" borderId="5" xfId="0" applyNumberFormat="1" applyFont="1" applyFill="1" applyBorder="1" applyAlignment="1">
      <alignment vertical="top"/>
    </xf>
    <xf numFmtId="180" fontId="45" fillId="5" borderId="6" xfId="0" applyNumberFormat="1" applyFont="1" applyFill="1" applyBorder="1" applyAlignment="1">
      <alignment horizontal="right" vertical="top"/>
    </xf>
    <xf numFmtId="2" fontId="45" fillId="0" borderId="0" xfId="0" applyNumberFormat="1" applyFont="1" applyAlignment="1">
      <alignment horizontal="left" vertical="top"/>
    </xf>
    <xf numFmtId="173" fontId="45" fillId="5" borderId="5" xfId="0" applyNumberFormat="1" applyFont="1" applyFill="1" applyBorder="1" applyAlignment="1">
      <alignment horizontal="center" vertical="top"/>
    </xf>
    <xf numFmtId="176" fontId="45" fillId="5" borderId="5" xfId="0" applyNumberFormat="1" applyFont="1" applyFill="1" applyBorder="1" applyAlignment="1">
      <alignment vertical="top"/>
    </xf>
    <xf numFmtId="180" fontId="45" fillId="0" borderId="6" xfId="0" applyNumberFormat="1" applyFont="1" applyBorder="1" applyAlignment="1">
      <alignment horizontal="right" vertical="top"/>
    </xf>
    <xf numFmtId="171" fontId="74" fillId="0" borderId="7" xfId="0" applyNumberFormat="1" applyFont="1" applyBorder="1" applyAlignment="1">
      <alignment horizontal="center" vertical="top"/>
    </xf>
    <xf numFmtId="175" fontId="45" fillId="0" borderId="8" xfId="0" applyNumberFormat="1" applyFont="1" applyBorder="1" applyAlignment="1" applyProtection="1">
      <alignment vertical="top"/>
      <protection locked="0"/>
    </xf>
    <xf numFmtId="0" fontId="45" fillId="0" borderId="0" xfId="14" applyFont="1" applyAlignment="1">
      <alignment horizontal="center" vertical="top"/>
    </xf>
    <xf numFmtId="180" fontId="45" fillId="0" borderId="6" xfId="0" applyNumberFormat="1" applyFont="1" applyBorder="1" applyAlignment="1" applyProtection="1">
      <alignment horizontal="right" vertical="top"/>
      <protection locked="0"/>
    </xf>
    <xf numFmtId="171" fontId="45" fillId="0" borderId="0" xfId="0" applyNumberFormat="1" applyFont="1" applyAlignment="1">
      <alignment vertical="top"/>
    </xf>
    <xf numFmtId="0" fontId="27" fillId="0" borderId="5" xfId="0" applyFont="1" applyBorder="1" applyAlignment="1">
      <alignment vertical="top" wrapText="1"/>
    </xf>
    <xf numFmtId="0" fontId="45" fillId="0" borderId="0" xfId="0" applyFont="1" applyAlignment="1">
      <alignment horizontal="center" vertical="top" wrapText="1"/>
    </xf>
    <xf numFmtId="177" fontId="45" fillId="0" borderId="5" xfId="0" applyNumberFormat="1" applyFont="1" applyBorder="1" applyAlignment="1">
      <alignment horizontal="right" vertical="top" wrapText="1"/>
    </xf>
    <xf numFmtId="0" fontId="45" fillId="0" borderId="0" xfId="0" applyFont="1" applyAlignment="1">
      <alignment vertical="top" wrapText="1"/>
    </xf>
    <xf numFmtId="2" fontId="74" fillId="0" borderId="7" xfId="11" applyNumberFormat="1" applyFont="1" applyBorder="1" applyAlignment="1">
      <alignment horizontal="center" vertical="top"/>
    </xf>
    <xf numFmtId="0" fontId="45" fillId="5" borderId="0" xfId="11" applyFont="1" applyFill="1" applyAlignment="1">
      <alignment vertical="top" wrapText="1"/>
    </xf>
    <xf numFmtId="0" fontId="47" fillId="0" borderId="5" xfId="11" applyFont="1" applyBorder="1" applyAlignment="1">
      <alignment vertical="center" wrapText="1"/>
    </xf>
    <xf numFmtId="182" fontId="45" fillId="0" borderId="5" xfId="2" applyNumberFormat="1" applyFont="1" applyFill="1" applyBorder="1" applyAlignment="1" applyProtection="1">
      <alignment vertical="top"/>
      <protection locked="0"/>
    </xf>
    <xf numFmtId="175" fontId="45" fillId="0" borderId="0" xfId="11" applyNumberFormat="1" applyFont="1" applyAlignment="1" applyProtection="1">
      <alignment vertical="top"/>
      <protection locked="0"/>
    </xf>
    <xf numFmtId="175" fontId="45" fillId="0" borderId="6" xfId="11" applyNumberFormat="1" applyFont="1" applyBorder="1" applyAlignment="1" applyProtection="1">
      <alignment horizontal="right" vertical="top"/>
      <protection locked="0"/>
    </xf>
    <xf numFmtId="0" fontId="45" fillId="0" borderId="5" xfId="11" applyFont="1" applyBorder="1" applyAlignment="1">
      <alignment vertical="top" wrapText="1"/>
    </xf>
    <xf numFmtId="2" fontId="47" fillId="0" borderId="15" xfId="0" applyNumberFormat="1" applyFont="1" applyBorder="1" applyAlignment="1">
      <alignment horizontal="center" vertical="top"/>
    </xf>
    <xf numFmtId="0" fontId="45" fillId="0" borderId="20" xfId="0" applyFont="1" applyBorder="1" applyAlignment="1">
      <alignment vertical="top" wrapText="1"/>
    </xf>
    <xf numFmtId="0" fontId="45" fillId="0" borderId="20" xfId="14" applyFont="1" applyBorder="1" applyAlignment="1">
      <alignment horizontal="center" vertical="top"/>
    </xf>
    <xf numFmtId="182" fontId="45" fillId="0" borderId="44" xfId="2" applyNumberFormat="1" applyFont="1" applyFill="1" applyBorder="1" applyAlignment="1" applyProtection="1">
      <alignment vertical="top"/>
      <protection locked="0"/>
    </xf>
    <xf numFmtId="175" fontId="45" fillId="0" borderId="20" xfId="0" applyNumberFormat="1" applyFont="1" applyBorder="1" applyAlignment="1" applyProtection="1">
      <alignment vertical="top"/>
      <protection locked="0"/>
    </xf>
    <xf numFmtId="175" fontId="45" fillId="0" borderId="22" xfId="0" applyNumberFormat="1" applyFont="1" applyBorder="1" applyAlignment="1" applyProtection="1">
      <alignment horizontal="right" vertical="top"/>
      <protection locked="0"/>
    </xf>
    <xf numFmtId="0" fontId="67" fillId="0" borderId="23" xfId="15" applyFont="1" applyBorder="1" applyAlignment="1">
      <alignment horizontal="center" vertical="center" wrapText="1"/>
    </xf>
    <xf numFmtId="0" fontId="75" fillId="0" borderId="16" xfId="15" applyFont="1" applyBorder="1" applyAlignment="1">
      <alignment horizontal="center" vertical="center"/>
    </xf>
    <xf numFmtId="0" fontId="67" fillId="0" borderId="16" xfId="15" applyFont="1" applyBorder="1" applyAlignment="1">
      <alignment horizontal="center" vertical="center" wrapText="1"/>
    </xf>
    <xf numFmtId="0" fontId="67" fillId="0" borderId="36" xfId="15" applyFont="1" applyBorder="1" applyAlignment="1">
      <alignment horizontal="center" vertical="center" wrapText="1"/>
    </xf>
    <xf numFmtId="0" fontId="67" fillId="0" borderId="7" xfId="15" applyFont="1" applyBorder="1" applyAlignment="1">
      <alignment horizontal="center" vertical="top" wrapText="1"/>
    </xf>
    <xf numFmtId="0" fontId="67" fillId="0" borderId="0" xfId="15" applyFont="1" applyAlignment="1">
      <alignment horizontal="center" vertical="top" wrapText="1"/>
    </xf>
    <xf numFmtId="0" fontId="67" fillId="0" borderId="5" xfId="15" applyFont="1" applyBorder="1" applyAlignment="1">
      <alignment horizontal="center" vertical="top" wrapText="1"/>
    </xf>
    <xf numFmtId="0" fontId="67" fillId="0" borderId="8" xfId="15" applyFont="1" applyBorder="1" applyAlignment="1">
      <alignment horizontal="center" vertical="top" wrapText="1"/>
    </xf>
    <xf numFmtId="172" fontId="67" fillId="0" borderId="13" xfId="0" applyNumberFormat="1" applyFont="1" applyBorder="1" applyAlignment="1">
      <alignment horizontal="center"/>
    </xf>
    <xf numFmtId="178" fontId="67" fillId="0" borderId="19" xfId="0" applyNumberFormat="1" applyFont="1" applyBorder="1" applyAlignment="1">
      <alignment horizontal="right"/>
    </xf>
    <xf numFmtId="0" fontId="62" fillId="0" borderId="8" xfId="0" applyFont="1" applyBorder="1" applyAlignment="1">
      <alignment vertical="top" wrapText="1"/>
    </xf>
    <xf numFmtId="172" fontId="67" fillId="0" borderId="5" xfId="15" applyNumberFormat="1" applyFont="1" applyBorder="1" applyAlignment="1">
      <alignment horizontal="center" vertical="top" wrapText="1"/>
    </xf>
    <xf numFmtId="172" fontId="67" fillId="0" borderId="6" xfId="15" applyNumberFormat="1" applyFont="1" applyBorder="1" applyAlignment="1">
      <alignment horizontal="center" vertical="top" wrapText="1"/>
    </xf>
    <xf numFmtId="171" fontId="62" fillId="5" borderId="7" xfId="15" applyNumberFormat="1" applyFont="1" applyFill="1" applyBorder="1" applyAlignment="1">
      <alignment horizontal="center" vertical="top"/>
    </xf>
    <xf numFmtId="0" fontId="62" fillId="5" borderId="14" xfId="15" applyFont="1" applyFill="1" applyBorder="1" applyAlignment="1">
      <alignment vertical="top"/>
    </xf>
    <xf numFmtId="0" fontId="73" fillId="5" borderId="5" xfId="15" applyFont="1" applyFill="1" applyBorder="1" applyAlignment="1">
      <alignment vertical="top" wrapText="1"/>
    </xf>
    <xf numFmtId="0" fontId="68" fillId="5" borderId="0" xfId="15" applyFont="1" applyFill="1" applyAlignment="1">
      <alignment horizontal="center" vertical="top"/>
    </xf>
    <xf numFmtId="184" fontId="68" fillId="5" borderId="8" xfId="2" applyNumberFormat="1" applyFont="1" applyFill="1" applyBorder="1" applyAlignment="1" applyProtection="1">
      <alignment vertical="top"/>
      <protection locked="0"/>
    </xf>
    <xf numFmtId="175" fontId="68" fillId="5" borderId="5" xfId="0" applyNumberFormat="1" applyFont="1" applyFill="1" applyBorder="1" applyAlignment="1" applyProtection="1">
      <alignment vertical="top"/>
      <protection locked="0"/>
    </xf>
    <xf numFmtId="178" fontId="68" fillId="5" borderId="6" xfId="0" applyNumberFormat="1" applyFont="1" applyFill="1" applyBorder="1" applyAlignment="1" applyProtection="1">
      <alignment horizontal="right" vertical="top"/>
      <protection locked="0"/>
    </xf>
    <xf numFmtId="171" fontId="62" fillId="0" borderId="7" xfId="15" applyNumberFormat="1" applyFont="1" applyBorder="1" applyAlignment="1">
      <alignment horizontal="center" vertical="top"/>
    </xf>
    <xf numFmtId="0" fontId="68" fillId="0" borderId="5" xfId="15" applyFont="1" applyBorder="1" applyAlignment="1">
      <alignment vertical="top" wrapText="1"/>
    </xf>
    <xf numFmtId="180" fontId="68" fillId="0" borderId="6" xfId="0" applyNumberFormat="1" applyFont="1" applyBorder="1" applyAlignment="1">
      <alignment horizontal="right" vertical="top"/>
    </xf>
    <xf numFmtId="0" fontId="62" fillId="0" borderId="0" xfId="0" applyFont="1" applyAlignment="1">
      <alignment horizontal="left" vertical="top"/>
    </xf>
    <xf numFmtId="0" fontId="68" fillId="0" borderId="0" xfId="0" applyFont="1" applyAlignment="1">
      <alignment horizontal="center" vertical="top"/>
    </xf>
    <xf numFmtId="173" fontId="76" fillId="0" borderId="5" xfId="0" applyNumberFormat="1" applyFont="1" applyBorder="1" applyAlignment="1">
      <alignment horizontal="right" vertical="top"/>
    </xf>
    <xf numFmtId="176" fontId="68" fillId="0" borderId="14" xfId="0" applyNumberFormat="1" applyFont="1" applyBorder="1" applyAlignment="1">
      <alignment vertical="top"/>
    </xf>
    <xf numFmtId="171" fontId="62" fillId="0" borderId="15" xfId="15" applyNumberFormat="1" applyFont="1" applyBorder="1" applyAlignment="1">
      <alignment horizontal="center" vertical="top"/>
    </xf>
    <xf numFmtId="0" fontId="62" fillId="0" borderId="20" xfId="15" applyFont="1" applyBorder="1" applyAlignment="1">
      <alignment vertical="top"/>
    </xf>
    <xf numFmtId="0" fontId="62" fillId="0" borderId="20" xfId="15" applyFont="1" applyBorder="1" applyAlignment="1">
      <alignment vertical="top" wrapText="1"/>
    </xf>
    <xf numFmtId="0" fontId="62" fillId="0" borderId="20" xfId="15" applyFont="1" applyBorder="1" applyAlignment="1">
      <alignment horizontal="center" vertical="top"/>
    </xf>
    <xf numFmtId="164" fontId="62" fillId="0" borderId="20" xfId="2" applyNumberFormat="1" applyFont="1" applyFill="1" applyBorder="1" applyAlignment="1" applyProtection="1">
      <alignment horizontal="center" vertical="top"/>
      <protection locked="0"/>
    </xf>
    <xf numFmtId="175" fontId="62" fillId="0" borderId="43" xfId="0" applyNumberFormat="1" applyFont="1" applyBorder="1" applyAlignment="1" applyProtection="1">
      <alignment vertical="top"/>
      <protection locked="0"/>
    </xf>
    <xf numFmtId="178" fontId="62" fillId="0" borderId="22" xfId="0" applyNumberFormat="1" applyFont="1" applyBorder="1" applyAlignment="1" applyProtection="1">
      <alignment horizontal="right" vertical="top"/>
      <protection locked="0"/>
    </xf>
    <xf numFmtId="0" fontId="67" fillId="2" borderId="9" xfId="15" applyFont="1" applyFill="1" applyBorder="1" applyAlignment="1">
      <alignment vertical="center"/>
    </xf>
    <xf numFmtId="0" fontId="67" fillId="3" borderId="10" xfId="15" applyFont="1" applyFill="1" applyBorder="1" applyAlignment="1">
      <alignment vertical="center"/>
    </xf>
    <xf numFmtId="0" fontId="69" fillId="0" borderId="10" xfId="0" applyFont="1" applyBorder="1" applyAlignment="1">
      <alignment horizontal="center" vertical="center"/>
    </xf>
    <xf numFmtId="0" fontId="67" fillId="0" borderId="10" xfId="15" applyFont="1" applyBorder="1" applyAlignment="1">
      <alignment vertical="center"/>
    </xf>
    <xf numFmtId="179" fontId="70" fillId="0" borderId="11" xfId="15" applyNumberFormat="1" applyFont="1" applyBorder="1" applyAlignment="1" applyProtection="1">
      <alignment horizontal="right" vertical="center"/>
      <protection locked="0"/>
    </xf>
    <xf numFmtId="171" fontId="72" fillId="0" borderId="7" xfId="14" applyNumberFormat="1" applyFont="1" applyBorder="1" applyAlignment="1">
      <alignment horizontal="center" vertical="top"/>
    </xf>
    <xf numFmtId="2" fontId="72" fillId="5" borderId="7" xfId="0" applyNumberFormat="1" applyFont="1" applyFill="1" applyBorder="1" applyAlignment="1">
      <alignment horizontal="center" vertical="top"/>
    </xf>
    <xf numFmtId="171" fontId="9" fillId="5" borderId="7" xfId="0" applyNumberFormat="1" applyFont="1" applyFill="1" applyBorder="1" applyAlignment="1">
      <alignment horizontal="center" vertical="top"/>
    </xf>
    <xf numFmtId="171" fontId="13" fillId="0" borderId="7" xfId="0" applyNumberFormat="1" applyFont="1" applyBorder="1" applyAlignment="1">
      <alignment horizontal="center" vertical="top"/>
    </xf>
    <xf numFmtId="2" fontId="72" fillId="0" borderId="7" xfId="0" applyNumberFormat="1" applyFont="1" applyBorder="1" applyAlignment="1">
      <alignment horizontal="center" vertical="top"/>
    </xf>
    <xf numFmtId="0" fontId="3" fillId="0" borderId="0" xfId="0" applyFont="1" applyAlignment="1">
      <alignment horizontal="center" vertical="center"/>
    </xf>
    <xf numFmtId="175" fontId="3" fillId="0" borderId="5" xfId="0" applyNumberFormat="1" applyFont="1" applyBorder="1" applyAlignment="1" applyProtection="1">
      <alignment vertical="top"/>
      <protection locked="0"/>
    </xf>
    <xf numFmtId="175" fontId="3" fillId="0" borderId="6" xfId="0" applyNumberFormat="1" applyFont="1" applyBorder="1" applyAlignment="1" applyProtection="1">
      <alignment horizontal="right" vertical="top"/>
      <protection locked="0"/>
    </xf>
    <xf numFmtId="4" fontId="3" fillId="0" borderId="8" xfId="0" applyNumberFormat="1" applyFont="1" applyBorder="1" applyAlignment="1" applyProtection="1">
      <alignment vertical="top"/>
      <protection locked="0"/>
    </xf>
    <xf numFmtId="175" fontId="3" fillId="0" borderId="8" xfId="0" applyNumberFormat="1" applyFont="1" applyBorder="1" applyAlignment="1" applyProtection="1">
      <alignment horizontal="right" vertical="top"/>
      <protection locked="0"/>
    </xf>
    <xf numFmtId="0" fontId="3" fillId="0" borderId="5" xfId="15" applyBorder="1" applyAlignment="1">
      <alignment vertical="top" wrapText="1"/>
    </xf>
    <xf numFmtId="2" fontId="3" fillId="5" borderId="0" xfId="14" applyNumberFormat="1" applyFill="1" applyAlignment="1">
      <alignment vertical="top"/>
    </xf>
    <xf numFmtId="175" fontId="3" fillId="0" borderId="50" xfId="0" applyNumberFormat="1" applyFont="1" applyBorder="1" applyAlignment="1" applyProtection="1">
      <alignment horizontal="right" vertical="top"/>
      <protection locked="0"/>
    </xf>
    <xf numFmtId="0" fontId="3" fillId="0" borderId="0" xfId="0" applyFont="1" applyAlignment="1">
      <alignment horizontal="center"/>
    </xf>
    <xf numFmtId="177" fontId="3" fillId="0" borderId="8" xfId="0" applyNumberFormat="1" applyFont="1" applyBorder="1" applyAlignment="1">
      <alignment horizontal="right"/>
    </xf>
    <xf numFmtId="170" fontId="3" fillId="0" borderId="8" xfId="0" applyNumberFormat="1" applyFont="1" applyBorder="1" applyAlignment="1" applyProtection="1">
      <alignment horizontal="right"/>
      <protection locked="0"/>
    </xf>
    <xf numFmtId="178" fontId="3" fillId="0" borderId="6" xfId="0" applyNumberFormat="1" applyFont="1" applyBorder="1" applyAlignment="1" applyProtection="1">
      <alignment horizontal="right"/>
      <protection locked="0"/>
    </xf>
    <xf numFmtId="0" fontId="9" fillId="0" borderId="7" xfId="0" applyFont="1" applyBorder="1" applyAlignment="1">
      <alignment vertical="top" wrapText="1"/>
    </xf>
    <xf numFmtId="0" fontId="7" fillId="0" borderId="0" xfId="0" applyFont="1" applyAlignment="1">
      <alignment vertical="center" wrapText="1"/>
    </xf>
    <xf numFmtId="0" fontId="7" fillId="0" borderId="5" xfId="0" applyFont="1" applyBorder="1" applyAlignment="1">
      <alignment vertical="center" wrapText="1"/>
    </xf>
    <xf numFmtId="177" fontId="9" fillId="0" borderId="8" xfId="0" applyNumberFormat="1" applyFont="1" applyBorder="1" applyAlignment="1">
      <alignment vertical="top" wrapText="1"/>
    </xf>
    <xf numFmtId="178" fontId="3" fillId="0" borderId="6" xfId="0" applyNumberFormat="1" applyFont="1" applyBorder="1" applyAlignment="1" applyProtection="1">
      <alignment horizontal="right" vertical="top"/>
      <protection locked="0"/>
    </xf>
    <xf numFmtId="171" fontId="3" fillId="0" borderId="7" xfId="15" applyNumberFormat="1" applyBorder="1" applyAlignment="1">
      <alignment horizontal="center" vertical="top"/>
    </xf>
    <xf numFmtId="0" fontId="3" fillId="0" borderId="14" xfId="15" applyBorder="1" applyAlignment="1">
      <alignment vertical="top"/>
    </xf>
    <xf numFmtId="0" fontId="25" fillId="0" borderId="0" xfId="15" applyFont="1" applyAlignment="1">
      <alignment horizontal="center" vertical="top"/>
    </xf>
    <xf numFmtId="184" fontId="25" fillId="0" borderId="8" xfId="2" applyNumberFormat="1" applyFont="1" applyFill="1" applyBorder="1" applyAlignment="1" applyProtection="1">
      <alignment vertical="top"/>
      <protection locked="0"/>
    </xf>
    <xf numFmtId="175" fontId="25" fillId="0" borderId="5" xfId="0" applyNumberFormat="1" applyFont="1" applyBorder="1" applyAlignment="1" applyProtection="1">
      <alignment vertical="top"/>
      <protection locked="0"/>
    </xf>
    <xf numFmtId="178" fontId="25" fillId="0" borderId="6" xfId="0" applyNumberFormat="1" applyFont="1" applyBorder="1" applyAlignment="1" applyProtection="1">
      <alignment horizontal="right" vertical="top"/>
      <protection locked="0"/>
    </xf>
    <xf numFmtId="2" fontId="3" fillId="0" borderId="0" xfId="0" applyNumberFormat="1" applyFont="1" applyAlignment="1">
      <alignment horizontal="left" vertical="top" wrapText="1"/>
    </xf>
    <xf numFmtId="173" fontId="25" fillId="0" borderId="8" xfId="0" applyNumberFormat="1" applyFont="1" applyBorder="1" applyAlignment="1">
      <alignment horizontal="center" vertical="top"/>
    </xf>
    <xf numFmtId="176" fontId="25" fillId="0" borderId="5" xfId="0" applyNumberFormat="1" applyFont="1" applyBorder="1" applyAlignment="1">
      <alignment vertical="top"/>
    </xf>
    <xf numFmtId="180" fontId="25" fillId="0" borderId="6" xfId="0" applyNumberFormat="1" applyFont="1" applyBorder="1" applyAlignment="1">
      <alignment horizontal="right" vertical="top"/>
    </xf>
    <xf numFmtId="0" fontId="25" fillId="0" borderId="0" xfId="0" applyFont="1" applyAlignment="1">
      <alignment horizontal="center" vertical="top"/>
    </xf>
    <xf numFmtId="173" fontId="77" fillId="0" borderId="5" xfId="0" applyNumberFormat="1" applyFont="1" applyBorder="1" applyAlignment="1">
      <alignment horizontal="right" vertical="top"/>
    </xf>
    <xf numFmtId="176" fontId="25" fillId="0" borderId="14" xfId="0" applyNumberFormat="1" applyFont="1" applyBorder="1" applyAlignment="1">
      <alignment vertical="top"/>
    </xf>
    <xf numFmtId="171" fontId="0" fillId="0" borderId="5" xfId="0" applyNumberFormat="1" applyBorder="1" applyAlignment="1">
      <alignment vertical="top"/>
    </xf>
    <xf numFmtId="1" fontId="5" fillId="0" borderId="2" xfId="0" applyNumberFormat="1" applyFont="1" applyBorder="1" applyAlignment="1">
      <alignment vertical="center"/>
    </xf>
    <xf numFmtId="0" fontId="7" fillId="0" borderId="3" xfId="0" applyFont="1" applyBorder="1" applyAlignment="1">
      <alignment vertical="center"/>
    </xf>
    <xf numFmtId="0" fontId="7" fillId="0" borderId="5" xfId="0" applyFont="1" applyBorder="1" applyAlignment="1">
      <alignment vertical="center"/>
    </xf>
    <xf numFmtId="177" fontId="3" fillId="0" borderId="8" xfId="0" applyNumberFormat="1" applyFont="1" applyBorder="1" applyAlignment="1">
      <alignment horizontal="right" vertical="top"/>
    </xf>
    <xf numFmtId="0" fontId="3" fillId="0" borderId="3" xfId="0" applyFont="1" applyBorder="1" applyAlignment="1">
      <alignment vertical="center"/>
    </xf>
    <xf numFmtId="170" fontId="3" fillId="0" borderId="8" xfId="0" applyNumberFormat="1" applyFont="1" applyBorder="1" applyAlignment="1" applyProtection="1">
      <alignment horizontal="right" vertical="center"/>
      <protection locked="0"/>
    </xf>
    <xf numFmtId="170" fontId="3" fillId="0" borderId="5" xfId="0" applyNumberFormat="1" applyFont="1" applyBorder="1" applyAlignment="1" applyProtection="1">
      <alignment horizontal="right" vertical="center"/>
      <protection locked="0"/>
    </xf>
    <xf numFmtId="167" fontId="3" fillId="0" borderId="6" xfId="0" applyNumberFormat="1" applyFont="1" applyBorder="1" applyAlignment="1" applyProtection="1">
      <alignment horizontal="right" vertical="center"/>
      <protection locked="0"/>
    </xf>
    <xf numFmtId="175" fontId="3" fillId="0" borderId="8" xfId="0" applyNumberFormat="1" applyFont="1" applyBorder="1" applyAlignment="1" applyProtection="1">
      <alignment vertical="top"/>
      <protection locked="0"/>
    </xf>
    <xf numFmtId="167" fontId="3" fillId="0" borderId="6" xfId="0" applyNumberFormat="1" applyFont="1" applyBorder="1" applyAlignment="1" applyProtection="1">
      <alignment horizontal="right" vertical="top"/>
      <protection locked="0"/>
    </xf>
    <xf numFmtId="180" fontId="3" fillId="0" borderId="6" xfId="0" applyNumberFormat="1" applyFont="1" applyBorder="1" applyAlignment="1" applyProtection="1">
      <alignment horizontal="right" vertical="top"/>
      <protection locked="0"/>
    </xf>
    <xf numFmtId="0" fontId="3" fillId="0" borderId="0" xfId="0" applyFont="1" applyAlignment="1">
      <alignment vertical="center"/>
    </xf>
    <xf numFmtId="0" fontId="3" fillId="0" borderId="5" xfId="0" applyFont="1" applyBorder="1" applyAlignment="1">
      <alignment vertical="center"/>
    </xf>
    <xf numFmtId="3" fontId="3" fillId="0" borderId="8" xfId="2" applyNumberFormat="1" applyFont="1" applyFill="1" applyBorder="1" applyAlignment="1" applyProtection="1">
      <alignment vertical="top"/>
      <protection locked="0"/>
    </xf>
    <xf numFmtId="0" fontId="7" fillId="0" borderId="3" xfId="14" applyFont="1" applyBorder="1" applyAlignment="1">
      <alignment horizontal="center"/>
    </xf>
    <xf numFmtId="0" fontId="40" fillId="0" borderId="5" xfId="14" applyFont="1" applyBorder="1" applyAlignment="1">
      <alignment vertical="top" wrapText="1"/>
    </xf>
    <xf numFmtId="0" fontId="7" fillId="0" borderId="5" xfId="14" applyFont="1" applyBorder="1" applyAlignment="1">
      <alignment vertical="top" wrapText="1"/>
    </xf>
    <xf numFmtId="0" fontId="40" fillId="0" borderId="0" xfId="14" applyFont="1" applyAlignment="1">
      <alignment vertical="top" wrapText="1"/>
    </xf>
    <xf numFmtId="171" fontId="9" fillId="0" borderId="5" xfId="0" applyNumberFormat="1" applyFont="1" applyBorder="1" applyAlignment="1">
      <alignment vertical="top" wrapText="1"/>
    </xf>
    <xf numFmtId="0" fontId="3" fillId="0" borderId="3" xfId="14" applyBorder="1"/>
    <xf numFmtId="0" fontId="3" fillId="0" borderId="5" xfId="14" applyBorder="1"/>
    <xf numFmtId="0" fontId="3" fillId="0" borderId="0" xfId="14" applyAlignment="1">
      <alignment horizontal="center"/>
    </xf>
    <xf numFmtId="170" fontId="3" fillId="0" borderId="8" xfId="14" applyNumberFormat="1" applyBorder="1" applyAlignment="1" applyProtection="1">
      <alignment horizontal="left"/>
      <protection locked="0"/>
    </xf>
    <xf numFmtId="167" fontId="3" fillId="0" borderId="6" xfId="14" applyNumberFormat="1" applyBorder="1" applyAlignment="1" applyProtection="1">
      <alignment horizontal="left"/>
      <protection locked="0"/>
    </xf>
    <xf numFmtId="175" fontId="3" fillId="0" borderId="8" xfId="14" applyNumberFormat="1" applyBorder="1" applyAlignment="1" applyProtection="1">
      <alignment horizontal="right" vertical="top"/>
      <protection locked="0"/>
    </xf>
    <xf numFmtId="0" fontId="3" fillId="0" borderId="0" xfId="14" applyAlignment="1">
      <alignment vertical="top"/>
    </xf>
    <xf numFmtId="0" fontId="3" fillId="0" borderId="5" xfId="14" applyBorder="1" applyAlignment="1">
      <alignment vertical="top"/>
    </xf>
    <xf numFmtId="0" fontId="3" fillId="0" borderId="0" xfId="14" applyAlignment="1">
      <alignment horizontal="center" vertical="top" wrapText="1"/>
    </xf>
    <xf numFmtId="175" fontId="3" fillId="0" borderId="8" xfId="11" applyNumberFormat="1" applyBorder="1" applyAlignment="1" applyProtection="1">
      <alignment vertical="top"/>
      <protection locked="0"/>
    </xf>
    <xf numFmtId="180" fontId="3" fillId="0" borderId="8" xfId="0" applyNumberFormat="1" applyFont="1" applyBorder="1" applyAlignment="1" applyProtection="1">
      <alignment vertical="top"/>
      <protection locked="0"/>
    </xf>
    <xf numFmtId="0" fontId="3" fillId="0" borderId="0" xfId="14" applyAlignment="1">
      <alignment vertical="top" wrapText="1"/>
    </xf>
    <xf numFmtId="180" fontId="3" fillId="0" borderId="8" xfId="14" applyNumberFormat="1" applyBorder="1" applyAlignment="1" applyProtection="1">
      <alignment horizontal="right" vertical="top"/>
      <protection locked="0"/>
    </xf>
    <xf numFmtId="171" fontId="3" fillId="0" borderId="5" xfId="14" applyNumberFormat="1" applyBorder="1" applyAlignment="1">
      <alignment vertical="top"/>
    </xf>
    <xf numFmtId="171" fontId="3" fillId="0" borderId="0" xfId="14" applyNumberFormat="1" applyAlignment="1">
      <alignment vertical="top"/>
    </xf>
    <xf numFmtId="171" fontId="3" fillId="0" borderId="5" xfId="14" applyNumberFormat="1" applyBorder="1" applyAlignment="1">
      <alignment vertical="top" wrapText="1"/>
    </xf>
    <xf numFmtId="171" fontId="3" fillId="0" borderId="5" xfId="0" applyNumberFormat="1" applyFont="1" applyBorder="1" applyAlignment="1">
      <alignment vertical="top" wrapText="1"/>
    </xf>
    <xf numFmtId="1" fontId="5" fillId="0" borderId="2" xfId="0" applyNumberFormat="1" applyFont="1" applyBorder="1"/>
    <xf numFmtId="177" fontId="3" fillId="0" borderId="5" xfId="0" applyNumberFormat="1" applyFont="1" applyBorder="1" applyAlignment="1">
      <alignment horizontal="right" vertical="top"/>
    </xf>
    <xf numFmtId="2" fontId="3" fillId="0" borderId="0" xfId="0" applyNumberFormat="1" applyFont="1" applyAlignment="1">
      <alignment vertical="top"/>
    </xf>
    <xf numFmtId="0" fontId="3" fillId="0" borderId="3" xfId="0" applyFont="1" applyBorder="1"/>
    <xf numFmtId="170" fontId="3" fillId="0" borderId="8" xfId="0" applyNumberFormat="1" applyFont="1" applyBorder="1" applyAlignment="1" applyProtection="1">
      <alignment horizontal="right" vertical="top"/>
      <protection locked="0"/>
    </xf>
    <xf numFmtId="170" fontId="3" fillId="0" borderId="5" xfId="0" applyNumberFormat="1" applyFont="1" applyBorder="1" applyAlignment="1" applyProtection="1">
      <alignment horizontal="right" vertical="top"/>
      <protection locked="0"/>
    </xf>
    <xf numFmtId="3" fontId="3" fillId="0" borderId="8" xfId="0" applyNumberFormat="1" applyFont="1" applyBorder="1" applyAlignment="1">
      <alignment horizontal="center" vertical="top"/>
    </xf>
    <xf numFmtId="0" fontId="9" fillId="0" borderId="20" xfId="0" applyFont="1" applyBorder="1" applyAlignment="1">
      <alignment vertical="top" wrapText="1"/>
    </xf>
    <xf numFmtId="3" fontId="9" fillId="0" borderId="44" xfId="0" applyNumberFormat="1" applyFont="1" applyBorder="1" applyAlignment="1">
      <alignment horizontal="right" vertical="top"/>
    </xf>
    <xf numFmtId="182" fontId="3" fillId="0" borderId="5" xfId="1" applyNumberFormat="1" applyFont="1" applyFill="1" applyBorder="1" applyAlignment="1" applyProtection="1">
      <alignment horizontal="center" vertical="top"/>
      <protection locked="0"/>
    </xf>
    <xf numFmtId="0" fontId="25" fillId="0" borderId="7" xfId="0" applyFont="1" applyBorder="1" applyAlignment="1">
      <alignment horizontal="center"/>
    </xf>
    <xf numFmtId="0" fontId="3" fillId="0" borderId="5" xfId="0" applyFont="1" applyBorder="1"/>
    <xf numFmtId="0" fontId="25" fillId="0" borderId="7" xfId="0" applyFont="1" applyBorder="1" applyAlignment="1">
      <alignment horizontal="center" vertical="top"/>
    </xf>
    <xf numFmtId="0" fontId="10" fillId="0" borderId="5" xfId="0" applyFont="1" applyBorder="1" applyAlignment="1">
      <alignment vertical="top"/>
    </xf>
    <xf numFmtId="2" fontId="25" fillId="0" borderId="7" xfId="0" applyNumberFormat="1" applyFont="1" applyBorder="1" applyAlignment="1">
      <alignment horizontal="center" vertical="top" wrapText="1"/>
    </xf>
    <xf numFmtId="2" fontId="0" fillId="0" borderId="0" xfId="0" applyNumberFormat="1" applyAlignment="1">
      <alignment horizontal="left" vertical="top" wrapText="1"/>
    </xf>
    <xf numFmtId="173" fontId="3" fillId="0" borderId="5" xfId="0" applyNumberFormat="1" applyFont="1" applyBorder="1" applyAlignment="1">
      <alignment horizontal="center" vertical="top" wrapText="1"/>
    </xf>
    <xf numFmtId="173" fontId="62" fillId="0" borderId="5" xfId="0" applyNumberFormat="1" applyFont="1" applyBorder="1" applyAlignment="1">
      <alignment vertical="top" wrapText="1"/>
    </xf>
    <xf numFmtId="173" fontId="3" fillId="0" borderId="5" xfId="0" applyNumberFormat="1" applyFont="1" applyBorder="1" applyAlignment="1">
      <alignment horizontal="center" vertical="top"/>
    </xf>
    <xf numFmtId="176" fontId="62" fillId="0" borderId="5" xfId="0" applyNumberFormat="1" applyFont="1" applyBorder="1" applyAlignment="1">
      <alignment vertical="top"/>
    </xf>
    <xf numFmtId="172" fontId="62" fillId="0" borderId="5" xfId="0" applyNumberFormat="1" applyFont="1" applyBorder="1" applyAlignment="1">
      <alignment vertical="top"/>
    </xf>
    <xf numFmtId="180" fontId="3" fillId="0" borderId="6" xfId="0" applyNumberFormat="1" applyFont="1" applyBorder="1" applyAlignment="1">
      <alignment horizontal="right" vertical="top"/>
    </xf>
    <xf numFmtId="2" fontId="46" fillId="0" borderId="7" xfId="0" applyNumberFormat="1" applyFont="1" applyBorder="1" applyAlignment="1">
      <alignment horizontal="center" vertical="top"/>
    </xf>
    <xf numFmtId="0" fontId="45" fillId="0" borderId="0" xfId="0" applyFont="1" applyAlignment="1">
      <alignment horizontal="center" vertical="top"/>
    </xf>
    <xf numFmtId="173" fontId="45" fillId="0" borderId="5" xfId="0" applyNumberFormat="1" applyFont="1" applyBorder="1" applyAlignment="1">
      <alignment horizontal="center" vertical="top"/>
    </xf>
    <xf numFmtId="176" fontId="45" fillId="0" borderId="5" xfId="0" applyNumberFormat="1" applyFont="1" applyBorder="1" applyAlignment="1">
      <alignment vertical="top"/>
    </xf>
    <xf numFmtId="170" fontId="0" fillId="0" borderId="5" xfId="0" applyNumberFormat="1" applyBorder="1" applyAlignment="1" applyProtection="1">
      <alignment horizontal="right" vertical="top"/>
      <protection locked="0"/>
    </xf>
    <xf numFmtId="0" fontId="3" fillId="0" borderId="5" xfId="0" applyFont="1" applyBorder="1" applyAlignment="1">
      <alignment horizontal="right" vertical="top"/>
    </xf>
    <xf numFmtId="182" fontId="0" fillId="0" borderId="5" xfId="1" applyNumberFormat="1" applyFont="1" applyFill="1" applyBorder="1" applyAlignment="1">
      <alignment vertical="top"/>
    </xf>
    <xf numFmtId="182" fontId="0" fillId="0" borderId="5" xfId="0" applyNumberFormat="1" applyBorder="1" applyAlignment="1" applyProtection="1">
      <alignment vertical="top"/>
      <protection locked="0"/>
    </xf>
    <xf numFmtId="182" fontId="3" fillId="0" borderId="20" xfId="15" applyNumberFormat="1" applyBorder="1" applyAlignment="1">
      <alignment vertical="top"/>
    </xf>
    <xf numFmtId="0" fontId="3" fillId="8" borderId="59" xfId="0" applyFont="1" applyFill="1" applyBorder="1" applyAlignment="1">
      <alignment horizontal="left" vertical="center"/>
    </xf>
    <xf numFmtId="0" fontId="3" fillId="8" borderId="40" xfId="0" applyFont="1" applyFill="1" applyBorder="1" applyAlignment="1">
      <alignment horizontal="left" vertical="center"/>
    </xf>
    <xf numFmtId="0" fontId="24" fillId="8" borderId="38" xfId="0" applyFont="1" applyFill="1" applyBorder="1" applyAlignment="1">
      <alignment horizontal="left" vertical="center"/>
    </xf>
    <xf numFmtId="0" fontId="24" fillId="8" borderId="39" xfId="0" applyFont="1" applyFill="1" applyBorder="1" applyAlignment="1">
      <alignment horizontal="left" vertical="center"/>
    </xf>
    <xf numFmtId="0" fontId="6" fillId="9" borderId="53" xfId="0" applyFont="1" applyFill="1" applyBorder="1" applyAlignment="1">
      <alignment horizontal="left" vertical="center"/>
    </xf>
    <xf numFmtId="0" fontId="6" fillId="9" borderId="54" xfId="0" applyFont="1" applyFill="1" applyBorder="1" applyAlignment="1">
      <alignment horizontal="left" vertical="center"/>
    </xf>
    <xf numFmtId="0" fontId="7" fillId="8" borderId="57" xfId="0" applyFont="1" applyFill="1" applyBorder="1" applyAlignment="1">
      <alignment horizontal="left" vertical="center"/>
    </xf>
    <xf numFmtId="0" fontId="7" fillId="8" borderId="49" xfId="0" applyFont="1" applyFill="1" applyBorder="1" applyAlignment="1">
      <alignment horizontal="left" vertical="center"/>
    </xf>
    <xf numFmtId="0" fontId="6" fillId="0" borderId="0" xfId="0" applyFont="1" applyAlignment="1">
      <alignment horizontal="center" vertical="center"/>
    </xf>
    <xf numFmtId="0" fontId="25" fillId="7" borderId="38" xfId="0" applyFont="1" applyFill="1" applyBorder="1" applyAlignment="1">
      <alignment horizontal="left" vertical="center"/>
    </xf>
    <xf numFmtId="0" fontId="25" fillId="7" borderId="39" xfId="0" applyFont="1" applyFill="1" applyBorder="1" applyAlignment="1">
      <alignment horizontal="left" vertical="center"/>
    </xf>
    <xf numFmtId="0" fontId="13" fillId="0" borderId="35" xfId="0" applyFont="1" applyBorder="1" applyAlignment="1">
      <alignment horizontal="left" vertical="center"/>
    </xf>
    <xf numFmtId="0" fontId="13" fillId="0" borderId="40" xfId="0" applyFont="1" applyBorder="1" applyAlignment="1">
      <alignment horizontal="left" vertical="center"/>
    </xf>
    <xf numFmtId="0" fontId="13" fillId="0" borderId="103" xfId="0" applyFont="1" applyBorder="1" applyAlignment="1">
      <alignment horizontal="left" vertical="center"/>
    </xf>
    <xf numFmtId="0" fontId="26" fillId="0" borderId="0" xfId="0" applyFont="1" applyAlignment="1">
      <alignment horizontal="center" vertical="center"/>
    </xf>
    <xf numFmtId="165" fontId="3" fillId="0" borderId="63" xfId="1" applyNumberFormat="1" applyFont="1" applyFill="1" applyBorder="1" applyAlignment="1">
      <alignment horizontal="right" vertical="center"/>
    </xf>
    <xf numFmtId="165" fontId="3" fillId="0" borderId="64" xfId="1" applyNumberFormat="1" applyFont="1" applyFill="1" applyBorder="1" applyAlignment="1">
      <alignment horizontal="right" vertical="center"/>
    </xf>
    <xf numFmtId="0" fontId="7" fillId="0" borderId="37" xfId="0" applyFont="1" applyBorder="1" applyAlignment="1">
      <alignment horizontal="center" vertical="center"/>
    </xf>
    <xf numFmtId="0" fontId="7" fillId="0" borderId="10" xfId="0" applyFont="1" applyBorder="1" applyAlignment="1">
      <alignment horizontal="center" vertical="center"/>
    </xf>
    <xf numFmtId="0" fontId="5" fillId="8" borderId="21" xfId="0" applyFont="1" applyFill="1" applyBorder="1" applyAlignment="1">
      <alignment horizontal="center" vertical="center"/>
    </xf>
    <xf numFmtId="0" fontId="5" fillId="0" borderId="0" xfId="0" applyFont="1" applyAlignment="1">
      <alignment horizontal="center" vertical="center"/>
    </xf>
    <xf numFmtId="9" fontId="3" fillId="0" borderId="30" xfId="0" applyNumberFormat="1" applyFont="1" applyBorder="1" applyAlignment="1">
      <alignment horizontal="center" vertical="center"/>
    </xf>
    <xf numFmtId="0" fontId="3" fillId="0" borderId="29" xfId="0" applyFont="1" applyBorder="1" applyAlignment="1">
      <alignment horizontal="center" vertical="center"/>
    </xf>
    <xf numFmtId="0" fontId="45" fillId="0" borderId="8" xfId="0" applyFont="1" applyBorder="1" applyAlignment="1">
      <alignment horizontal="left" vertical="center"/>
    </xf>
    <xf numFmtId="0" fontId="45" fillId="0" borderId="0" xfId="0" applyFont="1" applyAlignment="1">
      <alignment horizontal="left" vertical="center"/>
    </xf>
    <xf numFmtId="9" fontId="3" fillId="0" borderId="35" xfId="16" applyFont="1" applyBorder="1" applyAlignment="1">
      <alignment horizontal="left" vertical="center"/>
    </xf>
    <xf numFmtId="9" fontId="3" fillId="0" borderId="40" xfId="16" applyFont="1" applyBorder="1" applyAlignment="1">
      <alignment horizontal="left" vertical="center"/>
    </xf>
    <xf numFmtId="0" fontId="42" fillId="15" borderId="0" xfId="0" applyFont="1" applyFill="1" applyAlignment="1">
      <alignment horizontal="center" vertical="center" wrapText="1"/>
    </xf>
    <xf numFmtId="0" fontId="7" fillId="14" borderId="0" xfId="0" applyFont="1" applyFill="1" applyAlignment="1">
      <alignment horizontal="justify" vertical="center" wrapText="1"/>
    </xf>
    <xf numFmtId="0" fontId="9" fillId="15" borderId="0" xfId="0" applyFont="1" applyFill="1" applyAlignment="1">
      <alignment horizontal="center" vertical="center" wrapText="1"/>
    </xf>
    <xf numFmtId="0" fontId="3" fillId="8" borderId="58" xfId="0" applyFont="1" applyFill="1" applyBorder="1" applyAlignment="1">
      <alignment horizontal="left" vertical="center"/>
    </xf>
    <xf numFmtId="0" fontId="0" fillId="8" borderId="21" xfId="0" applyFill="1" applyBorder="1" applyAlignment="1">
      <alignment horizontal="left" vertical="center"/>
    </xf>
    <xf numFmtId="0" fontId="6" fillId="8" borderId="38" xfId="0" applyFont="1" applyFill="1" applyBorder="1" applyAlignment="1">
      <alignment horizontal="left" vertical="center"/>
    </xf>
    <xf numFmtId="0" fontId="6" fillId="8" borderId="39" xfId="0" applyFont="1" applyFill="1" applyBorder="1" applyAlignment="1">
      <alignment horizontal="left" vertical="center"/>
    </xf>
    <xf numFmtId="0" fontId="3" fillId="0" borderId="53" xfId="0" applyFont="1" applyBorder="1" applyAlignment="1">
      <alignment horizontal="left" vertical="center"/>
    </xf>
    <xf numFmtId="0" fontId="3" fillId="0" borderId="54" xfId="0" applyFont="1" applyBorder="1" applyAlignment="1">
      <alignment horizontal="left" vertical="center"/>
    </xf>
    <xf numFmtId="0" fontId="3" fillId="0" borderId="0" xfId="0" applyFont="1" applyAlignment="1">
      <alignment horizontal="center" vertical="center"/>
    </xf>
    <xf numFmtId="0" fontId="66" fillId="0" borderId="102" xfId="67" applyFont="1" applyBorder="1" applyAlignment="1">
      <alignment horizontal="center"/>
    </xf>
    <xf numFmtId="0" fontId="9" fillId="0" borderId="60" xfId="0" applyFont="1" applyBorder="1" applyAlignment="1">
      <alignment horizontal="left" vertical="center"/>
    </xf>
    <xf numFmtId="0" fontId="9" fillId="0" borderId="45" xfId="0" applyFont="1" applyBorder="1" applyAlignment="1">
      <alignment horizontal="left" vertical="center"/>
    </xf>
    <xf numFmtId="0" fontId="6" fillId="0" borderId="38" xfId="0" applyFont="1" applyBorder="1" applyAlignment="1">
      <alignment horizontal="left" vertical="center"/>
    </xf>
    <xf numFmtId="0" fontId="6" fillId="0" borderId="39" xfId="0" applyFont="1" applyBorder="1" applyAlignment="1">
      <alignment horizontal="left" vertical="center"/>
    </xf>
    <xf numFmtId="0" fontId="6" fillId="0" borderId="47" xfId="0" applyFont="1" applyBorder="1" applyAlignment="1">
      <alignment horizontal="left" vertical="center"/>
    </xf>
    <xf numFmtId="0" fontId="6" fillId="0" borderId="75" xfId="0" applyFont="1" applyBorder="1" applyAlignment="1">
      <alignment horizontal="left" vertical="center"/>
    </xf>
    <xf numFmtId="0" fontId="6" fillId="0" borderId="51" xfId="0" applyFont="1" applyBorder="1" applyAlignment="1">
      <alignment horizontal="left" vertical="center"/>
    </xf>
    <xf numFmtId="0" fontId="6" fillId="0" borderId="12" xfId="0" applyFont="1" applyBorder="1" applyAlignment="1">
      <alignment horizontal="left" vertical="center"/>
    </xf>
    <xf numFmtId="0" fontId="5" fillId="0" borderId="0" xfId="0" applyFont="1" applyAlignment="1">
      <alignment horizontal="center" vertical="center" wrapText="1"/>
    </xf>
    <xf numFmtId="0" fontId="35" fillId="0" borderId="0" xfId="0" applyFont="1" applyAlignment="1">
      <alignment horizontal="center" vertical="center"/>
    </xf>
    <xf numFmtId="0" fontId="25" fillId="0" borderId="102" xfId="65" applyFont="1" applyBorder="1" applyAlignment="1">
      <alignment horizontal="left" vertical="center" wrapText="1"/>
    </xf>
    <xf numFmtId="0" fontId="6" fillId="0" borderId="0" xfId="65" applyFont="1" applyAlignment="1">
      <alignment horizontal="center" vertical="center"/>
    </xf>
    <xf numFmtId="0" fontId="5" fillId="0" borderId="0" xfId="65" applyFont="1" applyAlignment="1">
      <alignment horizontal="center" vertical="center"/>
    </xf>
    <xf numFmtId="0" fontId="5" fillId="8" borderId="21" xfId="65" applyFont="1" applyFill="1" applyBorder="1" applyAlignment="1">
      <alignment horizontal="center" vertical="center"/>
    </xf>
    <xf numFmtId="0" fontId="7" fillId="0" borderId="37" xfId="65" applyFont="1" applyBorder="1" applyAlignment="1">
      <alignment horizontal="center" vertical="center"/>
    </xf>
    <xf numFmtId="0" fontId="7" fillId="0" borderId="10" xfId="65" applyFont="1" applyBorder="1" applyAlignment="1">
      <alignment horizontal="center" vertical="center"/>
    </xf>
    <xf numFmtId="0" fontId="25" fillId="0" borderId="16" xfId="65" applyFont="1" applyBorder="1" applyAlignment="1">
      <alignment horizontal="left" vertical="center" wrapText="1"/>
    </xf>
    <xf numFmtId="0" fontId="25" fillId="51" borderId="102" xfId="65" applyFont="1" applyFill="1" applyBorder="1" applyAlignment="1">
      <alignment horizontal="left" vertical="center" wrapText="1"/>
    </xf>
    <xf numFmtId="9" fontId="25" fillId="0" borderId="102" xfId="66" applyFont="1" applyBorder="1" applyAlignment="1">
      <alignment horizontal="left" vertical="center" wrapText="1"/>
    </xf>
    <xf numFmtId="0" fontId="7" fillId="14" borderId="0" xfId="65" applyFont="1" applyFill="1" applyAlignment="1">
      <alignment horizontal="justify" vertical="center" wrapText="1"/>
    </xf>
    <xf numFmtId="0" fontId="25" fillId="0" borderId="102" xfId="65" applyFont="1" applyBorder="1" applyAlignment="1">
      <alignment horizontal="left" vertical="center"/>
    </xf>
    <xf numFmtId="0" fontId="9" fillId="15" borderId="0" xfId="65" applyFont="1" applyFill="1" applyAlignment="1">
      <alignment horizontal="center" vertical="center" wrapText="1"/>
    </xf>
    <xf numFmtId="0" fontId="25" fillId="0" borderId="104" xfId="65" applyFont="1" applyBorder="1" applyAlignment="1">
      <alignment horizontal="left" vertical="center"/>
    </xf>
    <xf numFmtId="0" fontId="25" fillId="0" borderId="35" xfId="65" applyFont="1" applyBorder="1" applyAlignment="1">
      <alignment horizontal="left" vertical="center"/>
    </xf>
    <xf numFmtId="0" fontId="25" fillId="0" borderId="103" xfId="65" applyFont="1" applyBorder="1" applyAlignment="1">
      <alignment horizontal="left" vertical="center"/>
    </xf>
    <xf numFmtId="0" fontId="42" fillId="15" borderId="0" xfId="65" applyFont="1" applyFill="1" applyAlignment="1">
      <alignment horizontal="center" vertical="center" wrapText="1"/>
    </xf>
    <xf numFmtId="1" fontId="25" fillId="0" borderId="35" xfId="65" applyNumberFormat="1" applyFont="1" applyBorder="1" applyAlignment="1">
      <alignment horizontal="left" vertical="center"/>
    </xf>
    <xf numFmtId="1" fontId="25" fillId="0" borderId="103" xfId="65" applyNumberFormat="1" applyFont="1" applyBorder="1" applyAlignment="1">
      <alignment horizontal="left" vertical="center"/>
    </xf>
    <xf numFmtId="0" fontId="6" fillId="0" borderId="3" xfId="0" applyFont="1" applyBorder="1" applyAlignment="1">
      <alignment horizontal="center" vertical="center"/>
    </xf>
    <xf numFmtId="0" fontId="6" fillId="0" borderId="26" xfId="0" applyFont="1" applyBorder="1" applyAlignment="1">
      <alignment horizontal="center" vertical="center"/>
    </xf>
    <xf numFmtId="172" fontId="7" fillId="0" borderId="17" xfId="0" applyNumberFormat="1" applyFont="1" applyBorder="1" applyAlignment="1">
      <alignment horizontal="center" vertical="center"/>
    </xf>
    <xf numFmtId="172" fontId="7" fillId="0" borderId="28" xfId="0" applyNumberFormat="1" applyFont="1" applyBorder="1" applyAlignment="1">
      <alignment horizontal="center" vertical="center"/>
    </xf>
    <xf numFmtId="167" fontId="7" fillId="0" borderId="18" xfId="0" applyNumberFormat="1" applyFont="1" applyBorder="1" applyAlignment="1">
      <alignment horizontal="center" vertical="center"/>
    </xf>
    <xf numFmtId="167" fontId="7" fillId="0" borderId="32" xfId="0" applyNumberFormat="1" applyFont="1" applyBorder="1" applyAlignment="1">
      <alignment horizontal="center" vertical="center"/>
    </xf>
    <xf numFmtId="0" fontId="6" fillId="0" borderId="8" xfId="0" applyFont="1" applyBorder="1" applyAlignment="1">
      <alignment horizontal="left" vertical="top"/>
    </xf>
    <xf numFmtId="0" fontId="9" fillId="0" borderId="14" xfId="0" applyFont="1" applyBorder="1" applyAlignment="1">
      <alignment horizontal="left" vertical="top"/>
    </xf>
    <xf numFmtId="0" fontId="7" fillId="0" borderId="33" xfId="0" applyFont="1" applyBorder="1" applyAlignment="1">
      <alignment horizontal="center" vertical="center"/>
    </xf>
    <xf numFmtId="0" fontId="7" fillId="0" borderId="34" xfId="0" applyFont="1" applyBorder="1" applyAlignment="1">
      <alignment horizontal="center" vertical="center"/>
    </xf>
    <xf numFmtId="0" fontId="7" fillId="0" borderId="17" xfId="0" applyFont="1" applyBorder="1" applyAlignment="1">
      <alignment horizontal="center" vertical="center"/>
    </xf>
    <xf numFmtId="0" fontId="7" fillId="0" borderId="28" xfId="0" applyFont="1" applyBorder="1" applyAlignment="1">
      <alignment horizontal="center" vertical="center"/>
    </xf>
    <xf numFmtId="0" fontId="7" fillId="0" borderId="30" xfId="0" applyFont="1" applyBorder="1" applyAlignment="1">
      <alignment horizontal="center" vertical="center"/>
    </xf>
    <xf numFmtId="0" fontId="7" fillId="0" borderId="29" xfId="0" applyFont="1" applyBorder="1" applyAlignment="1">
      <alignment horizontal="center" vertical="center"/>
    </xf>
    <xf numFmtId="0" fontId="8" fillId="0" borderId="17" xfId="0" applyFont="1" applyBorder="1" applyAlignment="1">
      <alignment horizontal="center" vertical="center" wrapText="1"/>
    </xf>
    <xf numFmtId="0" fontId="0" fillId="0" borderId="28" xfId="0" applyBorder="1" applyAlignment="1">
      <alignment horizontal="center" vertical="center" wrapText="1"/>
    </xf>
    <xf numFmtId="7" fontId="7" fillId="0" borderId="3" xfId="0" applyNumberFormat="1" applyFont="1" applyBorder="1" applyAlignment="1">
      <alignment horizontal="right" vertical="center"/>
    </xf>
    <xf numFmtId="7" fontId="7" fillId="0" borderId="26" xfId="0" applyNumberFormat="1" applyFont="1" applyBorder="1" applyAlignment="1">
      <alignment horizontal="right" vertical="center"/>
    </xf>
    <xf numFmtId="172" fontId="7" fillId="0" borderId="30" xfId="0" applyNumberFormat="1" applyFont="1" applyBorder="1" applyAlignment="1">
      <alignment horizontal="center" vertical="center"/>
    </xf>
    <xf numFmtId="172" fontId="7" fillId="0" borderId="29" xfId="0" applyNumberFormat="1" applyFont="1" applyBorder="1" applyAlignment="1">
      <alignment horizontal="center" vertical="center"/>
    </xf>
    <xf numFmtId="0" fontId="7" fillId="0" borderId="33"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28" xfId="0" applyFont="1" applyBorder="1" applyAlignment="1">
      <alignment horizontal="center" vertical="center" wrapText="1"/>
    </xf>
    <xf numFmtId="1" fontId="7" fillId="0" borderId="30" xfId="0" applyNumberFormat="1" applyFont="1" applyBorder="1" applyAlignment="1">
      <alignment horizontal="center" vertical="center" wrapText="1"/>
    </xf>
    <xf numFmtId="1" fontId="7" fillId="0" borderId="29" xfId="0" applyNumberFormat="1" applyFont="1" applyBorder="1" applyAlignment="1">
      <alignment horizontal="center" vertical="center" wrapText="1"/>
    </xf>
    <xf numFmtId="0" fontId="7" fillId="0" borderId="17" xfId="0" applyFont="1" applyBorder="1" applyAlignment="1">
      <alignment vertical="center" wrapText="1"/>
    </xf>
    <xf numFmtId="0" fontId="7" fillId="0" borderId="28" xfId="0" applyFont="1" applyBorder="1" applyAlignment="1">
      <alignment vertical="center" wrapText="1"/>
    </xf>
    <xf numFmtId="1" fontId="7" fillId="0" borderId="17" xfId="0" applyNumberFormat="1" applyFont="1" applyBorder="1" applyAlignment="1">
      <alignment vertical="center" wrapText="1"/>
    </xf>
    <xf numFmtId="1" fontId="7" fillId="0" borderId="28" xfId="0" applyNumberFormat="1" applyFont="1" applyBorder="1" applyAlignment="1">
      <alignment vertical="center" wrapText="1"/>
    </xf>
    <xf numFmtId="0" fontId="6" fillId="0" borderId="42" xfId="0" applyFont="1" applyBorder="1" applyAlignment="1">
      <alignment horizontal="center" vertical="center"/>
    </xf>
    <xf numFmtId="0" fontId="7" fillId="2" borderId="33" xfId="0" applyFont="1" applyFill="1" applyBorder="1" applyAlignment="1">
      <alignment vertical="center"/>
    </xf>
    <xf numFmtId="0" fontId="0" fillId="0" borderId="34" xfId="0" applyBorder="1" applyAlignment="1">
      <alignment vertical="center"/>
    </xf>
    <xf numFmtId="0" fontId="8" fillId="2" borderId="17" xfId="0" applyFont="1" applyFill="1" applyBorder="1" applyAlignment="1">
      <alignment horizontal="center" vertical="center" wrapText="1"/>
    </xf>
    <xf numFmtId="0" fontId="6" fillId="0" borderId="27" xfId="14" applyFont="1" applyBorder="1" applyAlignment="1">
      <alignment vertical="center"/>
    </xf>
    <xf numFmtId="0" fontId="3" fillId="0" borderId="12" xfId="0" applyFont="1" applyBorder="1" applyAlignment="1">
      <alignment vertical="center"/>
    </xf>
    <xf numFmtId="0" fontId="3" fillId="0" borderId="28" xfId="0" applyFont="1" applyBorder="1" applyAlignment="1">
      <alignment horizontal="center" vertical="center" wrapText="1"/>
    </xf>
    <xf numFmtId="0" fontId="7" fillId="0" borderId="17" xfId="14" applyFont="1" applyBorder="1" applyAlignment="1">
      <alignment horizontal="center" vertical="center"/>
    </xf>
    <xf numFmtId="0" fontId="7" fillId="0" borderId="28" xfId="14" applyFont="1" applyBorder="1" applyAlignment="1">
      <alignment horizontal="center" vertical="center"/>
    </xf>
    <xf numFmtId="177" fontId="7" fillId="0" borderId="17" xfId="14" applyNumberFormat="1" applyFont="1" applyBorder="1" applyAlignment="1">
      <alignment horizontal="center" vertical="center"/>
    </xf>
    <xf numFmtId="177" fontId="7" fillId="0" borderId="28" xfId="14" applyNumberFormat="1" applyFont="1" applyBorder="1" applyAlignment="1">
      <alignment horizontal="center" vertical="center"/>
    </xf>
    <xf numFmtId="0" fontId="3" fillId="0" borderId="5" xfId="14" applyBorder="1" applyAlignment="1">
      <alignment vertical="top" wrapText="1"/>
    </xf>
    <xf numFmtId="0" fontId="3" fillId="0" borderId="5" xfId="0" applyFont="1" applyBorder="1" applyAlignment="1">
      <alignment vertical="top" wrapText="1"/>
    </xf>
    <xf numFmtId="0" fontId="6" fillId="0" borderId="8" xfId="14" applyFont="1" applyBorder="1" applyAlignment="1">
      <alignment vertical="top"/>
    </xf>
    <xf numFmtId="0" fontId="3" fillId="0" borderId="14" xfId="0" applyFont="1" applyBorder="1" applyAlignment="1">
      <alignment vertical="top"/>
    </xf>
    <xf numFmtId="0" fontId="7" fillId="2" borderId="33" xfId="14" applyFont="1" applyFill="1" applyBorder="1" applyAlignment="1">
      <alignment horizontal="center" vertical="center"/>
    </xf>
    <xf numFmtId="0" fontId="0" fillId="0" borderId="34" xfId="0" applyBorder="1" applyAlignment="1">
      <alignment horizontal="center" vertical="center"/>
    </xf>
    <xf numFmtId="0" fontId="8" fillId="0" borderId="17" xfId="14" applyFont="1" applyBorder="1" applyAlignment="1">
      <alignment horizontal="center" vertical="center" wrapText="1"/>
    </xf>
    <xf numFmtId="0" fontId="3" fillId="0" borderId="28" xfId="14" applyBorder="1" applyAlignment="1">
      <alignment horizontal="center" vertical="center" wrapText="1"/>
    </xf>
    <xf numFmtId="0" fontId="6" fillId="0" borderId="8" xfId="14" applyFont="1" applyBorder="1" applyAlignment="1">
      <alignment vertical="center"/>
    </xf>
    <xf numFmtId="0" fontId="3" fillId="0" borderId="14" xfId="0" applyFont="1" applyBorder="1" applyAlignment="1">
      <alignment vertical="center"/>
    </xf>
    <xf numFmtId="177" fontId="7" fillId="0" borderId="30" xfId="0" applyNumberFormat="1" applyFont="1" applyBorder="1" applyAlignment="1">
      <alignment horizontal="center" vertical="center"/>
    </xf>
    <xf numFmtId="177" fontId="7" fillId="0" borderId="29" xfId="0" applyNumberFormat="1" applyFont="1" applyBorder="1" applyAlignment="1">
      <alignment horizontal="center" vertical="center"/>
    </xf>
    <xf numFmtId="167" fontId="67" fillId="0" borderId="18" xfId="11" applyNumberFormat="1" applyFont="1" applyBorder="1" applyAlignment="1">
      <alignment horizontal="center" vertical="center"/>
    </xf>
    <xf numFmtId="167" fontId="67" fillId="0" borderId="32" xfId="11" applyNumberFormat="1" applyFont="1" applyBorder="1" applyAlignment="1">
      <alignment horizontal="center" vertical="center"/>
    </xf>
    <xf numFmtId="0" fontId="70" fillId="0" borderId="3" xfId="11" applyFont="1" applyBorder="1" applyAlignment="1">
      <alignment horizontal="center" vertical="center"/>
    </xf>
    <xf numFmtId="0" fontId="70" fillId="0" borderId="26" xfId="11" applyFont="1" applyBorder="1" applyAlignment="1">
      <alignment horizontal="center" vertical="center"/>
    </xf>
    <xf numFmtId="0" fontId="67" fillId="0" borderId="33" xfId="11" applyFont="1" applyBorder="1" applyAlignment="1">
      <alignment horizontal="center" vertical="center"/>
    </xf>
    <xf numFmtId="0" fontId="67" fillId="0" borderId="34" xfId="11" applyFont="1" applyBorder="1" applyAlignment="1">
      <alignment horizontal="center" vertical="center"/>
    </xf>
    <xf numFmtId="0" fontId="71" fillId="0" borderId="17" xfId="11" applyFont="1" applyBorder="1" applyAlignment="1">
      <alignment horizontal="center" vertical="center" wrapText="1"/>
    </xf>
    <xf numFmtId="0" fontId="62" fillId="0" borderId="28" xfId="11" applyFont="1" applyBorder="1" applyAlignment="1">
      <alignment horizontal="center" vertical="center" wrapText="1"/>
    </xf>
    <xf numFmtId="0" fontId="67" fillId="0" borderId="17" xfId="11" applyFont="1" applyBorder="1" applyAlignment="1">
      <alignment horizontal="center" vertical="center"/>
    </xf>
    <xf numFmtId="0" fontId="67" fillId="0" borderId="28" xfId="11" applyFont="1" applyBorder="1" applyAlignment="1">
      <alignment horizontal="center" vertical="center"/>
    </xf>
    <xf numFmtId="177" fontId="67" fillId="0" borderId="17" xfId="11" applyNumberFormat="1" applyFont="1" applyBorder="1" applyAlignment="1">
      <alignment horizontal="center" vertical="center"/>
    </xf>
    <xf numFmtId="177" fontId="67" fillId="0" borderId="28" xfId="11" applyNumberFormat="1" applyFont="1" applyBorder="1" applyAlignment="1">
      <alignment horizontal="center" vertical="center"/>
    </xf>
    <xf numFmtId="172" fontId="67" fillId="0" borderId="17" xfId="11" applyNumberFormat="1" applyFont="1" applyBorder="1" applyAlignment="1">
      <alignment horizontal="center" vertical="center"/>
    </xf>
    <xf numFmtId="172" fontId="67" fillId="0" borderId="28" xfId="11" applyNumberFormat="1" applyFont="1" applyBorder="1" applyAlignment="1">
      <alignment horizontal="center" vertical="center"/>
    </xf>
    <xf numFmtId="178" fontId="7" fillId="0" borderId="18" xfId="0" applyNumberFormat="1" applyFont="1" applyBorder="1" applyAlignment="1">
      <alignment horizontal="center" vertical="center"/>
    </xf>
    <xf numFmtId="178" fontId="7" fillId="0" borderId="32" xfId="0" applyNumberFormat="1" applyFont="1" applyBorder="1" applyAlignment="1">
      <alignment horizontal="center" vertical="center"/>
    </xf>
    <xf numFmtId="177" fontId="7" fillId="0" borderId="17" xfId="0" applyNumberFormat="1" applyFont="1" applyBorder="1" applyAlignment="1">
      <alignment horizontal="center" vertical="center"/>
    </xf>
    <xf numFmtId="177" fontId="7" fillId="0" borderId="28" xfId="0" applyNumberFormat="1" applyFont="1" applyBorder="1" applyAlignment="1">
      <alignment horizontal="center" vertical="center"/>
    </xf>
    <xf numFmtId="0" fontId="70" fillId="0" borderId="26" xfId="0" applyFont="1" applyBorder="1" applyAlignment="1">
      <alignment horizontal="center" vertical="center"/>
    </xf>
    <xf numFmtId="0" fontId="70" fillId="0" borderId="42" xfId="0" applyFont="1" applyBorder="1" applyAlignment="1">
      <alignment horizontal="center" vertical="center"/>
    </xf>
    <xf numFmtId="0" fontId="67" fillId="0" borderId="33" xfId="0" applyFont="1" applyBorder="1" applyAlignment="1">
      <alignment horizontal="center" vertical="center"/>
    </xf>
    <xf numFmtId="0" fontId="67" fillId="0" borderId="34" xfId="0" applyFont="1" applyBorder="1" applyAlignment="1">
      <alignment horizontal="center" vertical="center"/>
    </xf>
    <xf numFmtId="0" fontId="71" fillId="0" borderId="17" xfId="0" applyFont="1" applyBorder="1" applyAlignment="1">
      <alignment horizontal="center" vertical="center" wrapText="1"/>
    </xf>
    <xf numFmtId="0" fontId="62" fillId="0" borderId="28" xfId="0" applyFont="1" applyBorder="1" applyAlignment="1">
      <alignment horizontal="center" vertical="center" wrapText="1"/>
    </xf>
    <xf numFmtId="0" fontId="67" fillId="0" borderId="17" xfId="0" applyFont="1" applyBorder="1" applyAlignment="1">
      <alignment horizontal="center" vertical="center"/>
    </xf>
    <xf numFmtId="0" fontId="67" fillId="0" borderId="28" xfId="0" applyFont="1" applyBorder="1" applyAlignment="1">
      <alignment horizontal="center" vertical="center"/>
    </xf>
    <xf numFmtId="177" fontId="67" fillId="0" borderId="30" xfId="0" applyNumberFormat="1" applyFont="1" applyBorder="1" applyAlignment="1">
      <alignment horizontal="center" vertical="center"/>
    </xf>
    <xf numFmtId="177" fontId="67" fillId="0" borderId="29" xfId="0" applyNumberFormat="1" applyFont="1" applyBorder="1" applyAlignment="1">
      <alignment horizontal="center" vertical="center"/>
    </xf>
    <xf numFmtId="172" fontId="67" fillId="0" borderId="17" xfId="0" applyNumberFormat="1" applyFont="1" applyBorder="1" applyAlignment="1">
      <alignment horizontal="center" vertical="center"/>
    </xf>
    <xf numFmtId="172" fontId="67" fillId="0" borderId="28" xfId="0" applyNumberFormat="1" applyFont="1" applyBorder="1" applyAlignment="1">
      <alignment horizontal="center" vertical="center"/>
    </xf>
    <xf numFmtId="178" fontId="67" fillId="0" borderId="18" xfId="0" applyNumberFormat="1" applyFont="1" applyBorder="1" applyAlignment="1">
      <alignment horizontal="center" vertical="center"/>
    </xf>
    <xf numFmtId="178" fontId="67" fillId="0" borderId="32" xfId="0" applyNumberFormat="1" applyFont="1" applyBorder="1" applyAlignment="1">
      <alignment horizontal="center" vertical="center"/>
    </xf>
    <xf numFmtId="0" fontId="69" fillId="0" borderId="2" xfId="15" applyFont="1" applyBorder="1" applyAlignment="1">
      <alignment horizontal="left"/>
    </xf>
    <xf numFmtId="0" fontId="69" fillId="0" borderId="3" xfId="15" applyFont="1" applyBorder="1" applyAlignment="1">
      <alignment horizontal="left"/>
    </xf>
    <xf numFmtId="0" fontId="70" fillId="0" borderId="3" xfId="0" applyFont="1" applyBorder="1" applyAlignment="1">
      <alignment horizontal="center" vertical="center"/>
    </xf>
    <xf numFmtId="0" fontId="70" fillId="0" borderId="8" xfId="15" applyFont="1" applyBorder="1" applyAlignment="1">
      <alignment horizontal="center" vertical="top" wrapText="1"/>
    </xf>
    <xf numFmtId="0" fontId="70" fillId="0" borderId="0" xfId="15" applyFont="1" applyAlignment="1">
      <alignment horizontal="center" vertical="top" wrapText="1"/>
    </xf>
    <xf numFmtId="0" fontId="8" fillId="0" borderId="28" xfId="0" applyFont="1" applyBorder="1" applyAlignment="1">
      <alignment horizontal="center" vertical="center" wrapText="1"/>
    </xf>
    <xf numFmtId="1" fontId="7" fillId="0" borderId="17" xfId="0" applyNumberFormat="1" applyFont="1" applyBorder="1" applyAlignment="1">
      <alignment horizontal="center" vertical="center" wrapText="1"/>
    </xf>
    <xf numFmtId="1" fontId="7" fillId="0" borderId="28" xfId="0" applyNumberFormat="1" applyFont="1" applyBorder="1" applyAlignment="1">
      <alignment horizontal="center" vertical="center" wrapText="1"/>
    </xf>
    <xf numFmtId="0" fontId="47" fillId="0" borderId="8" xfId="15" applyFont="1" applyBorder="1" applyAlignment="1">
      <alignment horizontal="center" vertical="top" wrapText="1"/>
    </xf>
    <xf numFmtId="0" fontId="47" fillId="0" borderId="0" xfId="15" applyFont="1" applyAlignment="1">
      <alignment horizontal="center" vertical="top" wrapText="1"/>
    </xf>
    <xf numFmtId="0" fontId="47" fillId="0" borderId="3" xfId="0" applyFont="1" applyBorder="1" applyAlignment="1">
      <alignment horizontal="center" vertical="center"/>
    </xf>
    <xf numFmtId="0" fontId="47" fillId="0" borderId="26" xfId="0" applyFont="1" applyBorder="1" applyAlignment="1">
      <alignment horizontal="center" vertical="center"/>
    </xf>
    <xf numFmtId="0" fontId="29" fillId="0" borderId="2" xfId="15" applyFont="1" applyBorder="1" applyAlignment="1">
      <alignment horizontal="left"/>
    </xf>
    <xf numFmtId="0" fontId="29" fillId="0" borderId="3" xfId="15" applyFont="1" applyBorder="1" applyAlignment="1">
      <alignment horizontal="left"/>
    </xf>
  </cellXfs>
  <cellStyles count="69">
    <cellStyle name="20% - Accent1" xfId="32" builtinId="30" customBuiltin="1"/>
    <cellStyle name="20% - Accent2" xfId="35" builtinId="34" customBuiltin="1"/>
    <cellStyle name="20% - Accent3" xfId="38" builtinId="38" customBuiltin="1"/>
    <cellStyle name="20% - Accent4" xfId="41" builtinId="42" customBuiltin="1"/>
    <cellStyle name="20% - Accent5" xfId="44" builtinId="46" customBuiltin="1"/>
    <cellStyle name="20% - Accent6" xfId="47" builtinId="50" customBuiltin="1"/>
    <cellStyle name="40% - Accent1" xfId="33" builtinId="31" customBuiltin="1"/>
    <cellStyle name="40% - Accent2" xfId="36" builtinId="35" customBuiltin="1"/>
    <cellStyle name="40% - Accent3" xfId="39" builtinId="39" customBuiltin="1"/>
    <cellStyle name="40% - Accent4" xfId="42" builtinId="43" customBuiltin="1"/>
    <cellStyle name="40% - Accent5" xfId="45" builtinId="47" customBuiltin="1"/>
    <cellStyle name="40% - Accent6" xfId="48" builtinId="51" customBuiltin="1"/>
    <cellStyle name="60% - Accent1 2" xfId="56" xr:uid="{00000000-0005-0000-0000-00000C000000}"/>
    <cellStyle name="60% - Accent2 2" xfId="57" xr:uid="{00000000-0005-0000-0000-00000D000000}"/>
    <cellStyle name="60% - Accent3 2" xfId="58" xr:uid="{00000000-0005-0000-0000-00000E000000}"/>
    <cellStyle name="60% - Accent4 2" xfId="59" xr:uid="{00000000-0005-0000-0000-00000F000000}"/>
    <cellStyle name="60% - Accent5 2" xfId="60" xr:uid="{00000000-0005-0000-0000-000010000000}"/>
    <cellStyle name="60% - Accent6 2" xfId="61" xr:uid="{00000000-0005-0000-0000-000011000000}"/>
    <cellStyle name="Accent1" xfId="31" builtinId="29" customBuiltin="1"/>
    <cellStyle name="Accent2" xfId="34" builtinId="33" customBuiltin="1"/>
    <cellStyle name="Accent3" xfId="37" builtinId="37" customBuiltin="1"/>
    <cellStyle name="Accent4" xfId="40" builtinId="41" customBuiltin="1"/>
    <cellStyle name="Accent5" xfId="43" builtinId="45" customBuiltin="1"/>
    <cellStyle name="Accent6" xfId="46" builtinId="49" customBuiltin="1"/>
    <cellStyle name="Bad" xfId="23" builtinId="27" customBuiltin="1"/>
    <cellStyle name="Calculation" xfId="26" builtinId="22" customBuiltin="1"/>
    <cellStyle name="Check Cell" xfId="28" builtinId="23" customBuiltin="1"/>
    <cellStyle name="Comma" xfId="1" builtinId="3"/>
    <cellStyle name="Comma 2" xfId="2" xr:uid="{00000000-0005-0000-0000-00001C000000}"/>
    <cellStyle name="Comma 2 2 2 3 2" xfId="63" xr:uid="{00000000-0005-0000-0000-00001D000000}"/>
    <cellStyle name="Comma 3" xfId="50" xr:uid="{00000000-0005-0000-0000-00001E000000}"/>
    <cellStyle name="Comma0" xfId="3" xr:uid="{00000000-0005-0000-0000-00001F000000}"/>
    <cellStyle name="Currency0" xfId="4" xr:uid="{00000000-0005-0000-0000-000020000000}"/>
    <cellStyle name="Date" xfId="5" xr:uid="{00000000-0005-0000-0000-000021000000}"/>
    <cellStyle name="Explanatory Text" xfId="30" builtinId="53" customBuiltin="1"/>
    <cellStyle name="Fixed" xfId="6" xr:uid="{00000000-0005-0000-0000-000023000000}"/>
    <cellStyle name="Good" xfId="22" builtinId="26" customBuiltin="1"/>
    <cellStyle name="Heading 1" xfId="7" builtinId="16" customBuiltin="1"/>
    <cellStyle name="Heading 1 2" xfId="51" xr:uid="{00000000-0005-0000-0000-000026000000}"/>
    <cellStyle name="Heading 2" xfId="8" builtinId="17" customBuiltin="1"/>
    <cellStyle name="Heading 2 2" xfId="52" xr:uid="{00000000-0005-0000-0000-000028000000}"/>
    <cellStyle name="Heading 3" xfId="20" builtinId="18" customBuiltin="1"/>
    <cellStyle name="Heading 4" xfId="21" builtinId="19" customBuiltin="1"/>
    <cellStyle name="Input" xfId="24" builtinId="20" customBuiltin="1"/>
    <cellStyle name="Linked Cell" xfId="27" builtinId="24" customBuiltin="1"/>
    <cellStyle name="Neutral 2" xfId="53" xr:uid="{00000000-0005-0000-0000-00002D000000}"/>
    <cellStyle name="Normal" xfId="0" builtinId="0"/>
    <cellStyle name="Normal 2" xfId="9" xr:uid="{00000000-0005-0000-0000-00002F000000}"/>
    <cellStyle name="Normal 2 2" xfId="10" xr:uid="{00000000-0005-0000-0000-000030000000}"/>
    <cellStyle name="Normal 2 2 4" xfId="62" xr:uid="{00000000-0005-0000-0000-000031000000}"/>
    <cellStyle name="Normal 2 3" xfId="11" xr:uid="{00000000-0005-0000-0000-000032000000}"/>
    <cellStyle name="Normal 2 4" xfId="12" xr:uid="{00000000-0005-0000-0000-000033000000}"/>
    <cellStyle name="Normal 2 5" xfId="13" xr:uid="{00000000-0005-0000-0000-000034000000}"/>
    <cellStyle name="Normal 3" xfId="49" xr:uid="{00000000-0005-0000-0000-000035000000}"/>
    <cellStyle name="Normal 4" xfId="65" xr:uid="{00000000-0005-0000-0000-000036000000}"/>
    <cellStyle name="Normal 5" xfId="67" xr:uid="{00000000-0005-0000-0000-000037000000}"/>
    <cellStyle name="Normal_Benoni 3 soq final" xfId="14" xr:uid="{00000000-0005-0000-0000-000038000000}"/>
    <cellStyle name="Normal_ws 5343 contract totals" xfId="15" xr:uid="{00000000-0005-0000-0000-000039000000}"/>
    <cellStyle name="Note 2" xfId="54" xr:uid="{00000000-0005-0000-0000-00003A000000}"/>
    <cellStyle name="Output" xfId="25" builtinId="21" customBuiltin="1"/>
    <cellStyle name="Per cent" xfId="16" builtinId="5"/>
    <cellStyle name="Percent 2" xfId="17" xr:uid="{00000000-0005-0000-0000-00003D000000}"/>
    <cellStyle name="Percent 3" xfId="64" xr:uid="{00000000-0005-0000-0000-00003E000000}"/>
    <cellStyle name="Percent 4" xfId="66" xr:uid="{00000000-0005-0000-0000-00003F000000}"/>
    <cellStyle name="Percent 5" xfId="68" xr:uid="{00000000-0005-0000-0000-000040000000}"/>
    <cellStyle name="Title" xfId="19" builtinId="15" customBuiltin="1"/>
    <cellStyle name="Total" xfId="18" builtinId="25" customBuiltin="1"/>
    <cellStyle name="Total 2" xfId="55" xr:uid="{00000000-0005-0000-0000-000043000000}"/>
    <cellStyle name="Warning Text" xfId="29"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r>
              <a:rPr lang="en-US"/>
              <a:t>Cumulative Spend</a:t>
            </a:r>
          </a:p>
        </c:rich>
      </c:tx>
      <c:overlay val="0"/>
      <c:spPr>
        <a:noFill/>
        <a:ln>
          <a:noFill/>
        </a:ln>
        <a:effectLst/>
      </c:spPr>
      <c:txPr>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endParaRPr lang="en-US"/>
        </a:p>
      </c:txPr>
    </c:title>
    <c:autoTitleDeleted val="0"/>
    <c:plotArea>
      <c:layout/>
      <c:scatterChart>
        <c:scatterStyle val="lineMarker"/>
        <c:varyColors val="0"/>
        <c:ser>
          <c:idx val="0"/>
          <c:order val="0"/>
          <c:tx>
            <c:strRef>
              <c:f>Calculator!$I$7</c:f>
              <c:strCache>
                <c:ptCount val="1"/>
                <c:pt idx="0">
                  <c:v>Cumulative</c:v>
                </c:pt>
              </c:strCache>
            </c:strRef>
          </c:tx>
          <c:spPr>
            <a:ln w="25400" cap="rnd">
              <a:noFill/>
            </a:ln>
            <a:effectLst>
              <a:glow rad="139700">
                <a:schemeClr val="accent1">
                  <a:satMod val="175000"/>
                  <a:alpha val="14000"/>
                </a:schemeClr>
              </a:glow>
            </a:effectLst>
          </c:spPr>
          <c:marker>
            <c:symbol val="circle"/>
            <c:size val="3"/>
            <c:spPr>
              <a:solidFill>
                <a:schemeClr val="accent1">
                  <a:lumMod val="60000"/>
                  <a:lumOff val="40000"/>
                </a:schemeClr>
              </a:solidFill>
              <a:ln>
                <a:noFill/>
              </a:ln>
              <a:effectLst>
                <a:glow rad="63500">
                  <a:schemeClr val="accent1">
                    <a:satMod val="175000"/>
                    <a:alpha val="25000"/>
                  </a:schemeClr>
                </a:glow>
              </a:effectLst>
            </c:spPr>
          </c:marker>
          <c:xVal>
            <c:strRef>
              <c:f>Calculator!$G$8:$G$119</c:f>
              <c:strCache>
                <c:ptCount val="21"/>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20</c:v>
                </c:pt>
              </c:strCache>
            </c:strRef>
          </c:xVal>
          <c:yVal>
            <c:numRef>
              <c:f>Calculator!$I$8:$I$119</c:f>
              <c:numCache>
                <c:formatCode>_-[$R-1C09]* #,##0.00_-;\-[$R-1C09]* #,##0.00_-;_-[$R-1C09]* "-"??_-;_-@_-</c:formatCode>
                <c:ptCount val="11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numCache>
            </c:numRef>
          </c:yVal>
          <c:smooth val="0"/>
          <c:extLst>
            <c:ext xmlns:c16="http://schemas.microsoft.com/office/drawing/2014/chart" uri="{C3380CC4-5D6E-409C-BE32-E72D297353CC}">
              <c16:uniqueId val="{00000000-75BB-47D8-9F7F-4F4BDB07B4AA}"/>
            </c:ext>
          </c:extLst>
        </c:ser>
        <c:dLbls>
          <c:showLegendKey val="0"/>
          <c:showVal val="0"/>
          <c:showCatName val="0"/>
          <c:showSerName val="0"/>
          <c:showPercent val="0"/>
          <c:showBubbleSize val="0"/>
        </c:dLbls>
        <c:axId val="1111232096"/>
        <c:axId val="1111233344"/>
      </c:scatterChart>
      <c:valAx>
        <c:axId val="1111232096"/>
        <c:scaling>
          <c:orientation val="minMax"/>
        </c:scaling>
        <c:delete val="0"/>
        <c:axPos val="b"/>
        <c:majorGridlines>
          <c:spPr>
            <a:ln w="9525" cap="flat" cmpd="sng" algn="ctr">
              <a:solidFill>
                <a:schemeClr val="dk1">
                  <a:lumMod val="65000"/>
                  <a:lumOff val="35000"/>
                  <a:alpha val="75000"/>
                </a:schemeClr>
              </a:solidFill>
              <a:round/>
            </a:ln>
            <a:effectLst/>
          </c:spPr>
        </c:majorGridlines>
        <c:title>
          <c:tx>
            <c:rich>
              <a:bodyPr rot="0" spcFirstLastPara="1" vertOverflow="ellipsis" vert="horz" wrap="square" anchor="ctr" anchorCtr="1"/>
              <a:lstStyle/>
              <a:p>
                <a:pPr>
                  <a:defRPr sz="900" b="1" i="0" u="none" strike="noStrike" kern="1200" baseline="0">
                    <a:solidFill>
                      <a:schemeClr val="lt1">
                        <a:lumMod val="75000"/>
                      </a:schemeClr>
                    </a:solidFill>
                    <a:latin typeface="+mn-lt"/>
                    <a:ea typeface="+mn-ea"/>
                    <a:cs typeface="+mn-cs"/>
                  </a:defRPr>
                </a:pPr>
                <a:r>
                  <a:rPr lang="en-ZA"/>
                  <a:t>Time (Months)</a:t>
                </a:r>
              </a:p>
            </c:rich>
          </c:tx>
          <c:overlay val="0"/>
          <c:spPr>
            <a:noFill/>
            <a:ln>
              <a:noFill/>
            </a:ln>
            <a:effectLst/>
          </c:spPr>
          <c:txPr>
            <a:bodyPr rot="0" spcFirstLastPara="1" vertOverflow="ellipsis" vert="horz" wrap="square" anchor="ctr" anchorCtr="1"/>
            <a:lstStyle/>
            <a:p>
              <a:pPr>
                <a:defRPr sz="900" b="1" i="0" u="none" strike="noStrike" kern="1200" baseline="0">
                  <a:solidFill>
                    <a:schemeClr val="lt1">
                      <a:lumMod val="7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lt1">
                <a:lumMod val="50000"/>
              </a:schemeClr>
            </a:solidFill>
            <a:round/>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1111233344"/>
        <c:crosses val="autoZero"/>
        <c:crossBetween val="midCat"/>
      </c:valAx>
      <c:valAx>
        <c:axId val="1111233344"/>
        <c:scaling>
          <c:orientation val="minMax"/>
        </c:scaling>
        <c:delete val="0"/>
        <c:axPos val="l"/>
        <c:majorGridlines>
          <c:spPr>
            <a:ln w="9525" cap="flat" cmpd="sng" algn="ctr">
              <a:solidFill>
                <a:schemeClr val="dk1">
                  <a:lumMod val="65000"/>
                  <a:lumOff val="35000"/>
                  <a:alpha val="75000"/>
                </a:schemeClr>
              </a:solidFill>
              <a:round/>
            </a:ln>
            <a:effectLst/>
          </c:spPr>
        </c:majorGridlines>
        <c:title>
          <c:tx>
            <c:rich>
              <a:bodyPr rot="-5400000" spcFirstLastPara="1" vertOverflow="ellipsis" vert="horz" wrap="square" anchor="ctr" anchorCtr="1"/>
              <a:lstStyle/>
              <a:p>
                <a:pPr>
                  <a:defRPr sz="900" b="1" i="0" u="none" strike="noStrike" kern="1200" baseline="0">
                    <a:solidFill>
                      <a:schemeClr val="lt1">
                        <a:lumMod val="75000"/>
                      </a:schemeClr>
                    </a:solidFill>
                    <a:latin typeface="+mn-lt"/>
                    <a:ea typeface="+mn-ea"/>
                    <a:cs typeface="+mn-cs"/>
                  </a:defRPr>
                </a:pPr>
                <a:r>
                  <a:rPr lang="en-ZA"/>
                  <a:t>Spend (R)</a:t>
                </a:r>
              </a:p>
            </c:rich>
          </c:tx>
          <c:overlay val="0"/>
          <c:spPr>
            <a:noFill/>
            <a:ln>
              <a:noFill/>
            </a:ln>
            <a:effectLst/>
          </c:spPr>
          <c:txPr>
            <a:bodyPr rot="-5400000" spcFirstLastPara="1" vertOverflow="ellipsis" vert="horz" wrap="square" anchor="ctr" anchorCtr="1"/>
            <a:lstStyle/>
            <a:p>
              <a:pPr>
                <a:defRPr sz="900" b="1" i="0" u="none" strike="noStrike" kern="1200" baseline="0">
                  <a:solidFill>
                    <a:schemeClr val="lt1">
                      <a:lumMod val="75000"/>
                    </a:schemeClr>
                  </a:solidFill>
                  <a:latin typeface="+mn-lt"/>
                  <a:ea typeface="+mn-ea"/>
                  <a:cs typeface="+mn-cs"/>
                </a:defRPr>
              </a:pPr>
              <a:endParaRPr lang="en-US"/>
            </a:p>
          </c:txPr>
        </c:title>
        <c:numFmt formatCode="&quot;R&quot;#,##0.00" sourceLinked="0"/>
        <c:majorTickMark val="none"/>
        <c:minorTickMark val="none"/>
        <c:tickLblPos val="nextTo"/>
        <c:spPr>
          <a:noFill/>
          <a:ln w="9525" cap="flat" cmpd="sng" algn="ctr">
            <a:solidFill>
              <a:schemeClr val="lt1">
                <a:lumMod val="50000"/>
              </a:schemeClr>
            </a:solidFill>
            <a:round/>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1111232096"/>
        <c:crosses val="autoZero"/>
        <c:crossBetween val="midCat"/>
      </c:valAx>
      <c:spPr>
        <a:noFill/>
        <a:ln>
          <a:noFill/>
        </a:ln>
        <a:effectLst/>
      </c:spPr>
    </c:plotArea>
    <c:plotVisOnly val="1"/>
    <c:dispBlanksAs val="gap"/>
    <c:showDLblsOverMax val="0"/>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5">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15000"/>
        <a:lumOff val="85000"/>
      </a:schemeClr>
    </cs:fontRef>
    <cs:spPr>
      <a:solidFill>
        <a:schemeClr val="dk1">
          <a:lumMod val="65000"/>
          <a:lumOff val="3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
  <cs:dataPoint3D>
    <cs:lnRef idx="0">
      <cs:styleClr val="auto"/>
    </cs:lnRef>
    <cs:fillRef idx="0">
      <cs:styleClr val="auto"/>
    </cs:fillRef>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3D>
  <cs:dataPointLine>
    <cs:lnRef idx="0">
      <cs:styleClr val="auto"/>
    </cs:lnRef>
    <cs:fillRef idx="0">
      <cs:styleClr val="auto"/>
    </cs:fillRef>
    <cs:effectRef idx="0">
      <cs:styleClr val="auto"/>
    </cs:effectRef>
    <cs:fontRef idx="minor">
      <a:schemeClr val="dk1"/>
    </cs:fontRef>
    <cs:spPr>
      <a:ln w="22225" cap="rnd">
        <a:solidFill>
          <a:schemeClr val="phClr"/>
        </a:solidFill>
      </a:ln>
      <a:effectLst>
        <a:glow rad="139700">
          <a:schemeClr val="phClr">
            <a:satMod val="175000"/>
            <a:alpha val="1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3"/>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dk1">
            <a:lumMod val="65000"/>
            <a:lumOff val="35000"/>
            <a:alpha val="75000"/>
          </a:schemeClr>
        </a:solidFill>
        <a:round/>
      </a:ln>
    </cs:spPr>
  </cs:gridlineMajor>
  <cs:gridlineMinor>
    <cs:lnRef idx="0"/>
    <cs:fillRef idx="0"/>
    <cs:effectRef idx="0"/>
    <cs:fontRef idx="minor">
      <a:schemeClr val="tx1"/>
    </cs:fontRef>
    <cs:spPr>
      <a:ln w="9525" cap="flat" cmpd="sng" algn="ctr">
        <a:solidFill>
          <a:schemeClr val="dk1">
            <a:lumMod val="65000"/>
            <a:lumOff val="35000"/>
            <a:alpha val="25000"/>
          </a:schemeClr>
        </a:soli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1" kern="1200" cap="none" baseline="0"/>
  </cs:title>
  <cs:trendline>
    <cs:lnRef idx="0">
      <cs:styleClr val="auto"/>
    </cs:lnRef>
    <cs:fillRef idx="0"/>
    <cs:effectRef idx="0"/>
    <cs:fontRef idx="minor">
      <a:schemeClr val="lt1"/>
    </cs:fontRef>
    <cs:spPr>
      <a:ln w="25400"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spPr>
      <a:ln w="9525" cap="flat" cmpd="sng" algn="ctr">
        <a:solidFill>
          <a:schemeClr val="lt1">
            <a:lumMod val="50000"/>
          </a:schemeClr>
        </a:solidFill>
        <a:round/>
      </a:ln>
    </cs:spPr>
    <cs:defRPr sz="900" kern="1200"/>
    <cs:bodyPr/>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9</xdr:col>
      <xdr:colOff>120238</xdr:colOff>
      <xdr:row>5</xdr:row>
      <xdr:rowOff>7917</xdr:rowOff>
    </xdr:from>
    <xdr:to>
      <xdr:col>26</xdr:col>
      <xdr:colOff>65315</xdr:colOff>
      <xdr:row>36</xdr:row>
      <xdr:rowOff>176597</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12</xdr:col>
      <xdr:colOff>593725</xdr:colOff>
      <xdr:row>29</xdr:row>
      <xdr:rowOff>46985</xdr:rowOff>
    </xdr:to>
    <xdr:pic>
      <xdr:nvPicPr>
        <xdr:cNvPr id="2" name="Picture 1">
          <a:extLst>
            <a:ext uri="{FF2B5EF4-FFF2-40B4-BE49-F238E27FC236}">
              <a16:creationId xmlns:a16="http://schemas.microsoft.com/office/drawing/2014/main" id="{3FB72C56-2D53-44E1-80F5-6C4E29FC6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7600" y="161925"/>
          <a:ext cx="4251325" cy="4580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K42"/>
  <sheetViews>
    <sheetView showGridLines="0" showZeros="0" zoomScale="115" zoomScaleNormal="115" workbookViewId="0">
      <selection activeCell="F10" sqref="F10"/>
    </sheetView>
  </sheetViews>
  <sheetFormatPr defaultRowHeight="12.5" x14ac:dyDescent="0.25"/>
  <cols>
    <col min="1" max="1" width="13.6328125" customWidth="1"/>
    <col min="2" max="2" width="45.54296875" bestFit="1" customWidth="1"/>
    <col min="3" max="3" width="8.6328125" customWidth="1"/>
    <col min="4" max="4" width="26.08984375" customWidth="1"/>
    <col min="5" max="5" width="15.81640625" customWidth="1"/>
    <col min="6" max="6" width="14.90625" bestFit="1" customWidth="1"/>
    <col min="11" max="11" width="38.6328125" customWidth="1"/>
  </cols>
  <sheetData>
    <row r="1" spans="1:11" ht="24.9" customHeight="1" x14ac:dyDescent="0.25">
      <c r="A1" s="778" t="s">
        <v>374</v>
      </c>
      <c r="B1" s="778"/>
      <c r="C1" s="778"/>
      <c r="D1" s="778"/>
    </row>
    <row r="2" spans="1:11" ht="24.9" customHeight="1" x14ac:dyDescent="0.25">
      <c r="A2" s="784" t="s">
        <v>373</v>
      </c>
      <c r="B2" s="784"/>
      <c r="C2" s="784"/>
      <c r="D2" s="784"/>
    </row>
    <row r="3" spans="1:11" ht="31.5" customHeight="1" x14ac:dyDescent="0.25">
      <c r="A3" s="790" t="s">
        <v>152</v>
      </c>
      <c r="B3" s="790"/>
      <c r="C3" s="790"/>
      <c r="D3" s="790"/>
      <c r="H3" s="358"/>
      <c r="I3" s="359"/>
      <c r="J3" s="359"/>
      <c r="K3" s="359"/>
    </row>
    <row r="4" spans="1:11" ht="31.5" customHeight="1" thickBot="1" x14ac:dyDescent="0.3">
      <c r="A4" s="789" t="s">
        <v>199</v>
      </c>
      <c r="B4" s="789"/>
      <c r="C4" s="789"/>
      <c r="D4" s="789"/>
      <c r="H4" s="365"/>
      <c r="I4" s="359"/>
      <c r="J4" s="359"/>
      <c r="K4" s="359"/>
    </row>
    <row r="5" spans="1:11" ht="25" customHeight="1" thickBot="1" x14ac:dyDescent="0.3">
      <c r="A5" s="132" t="s">
        <v>136</v>
      </c>
      <c r="B5" s="787" t="s">
        <v>3</v>
      </c>
      <c r="C5" s="788"/>
      <c r="D5" s="236" t="s">
        <v>7</v>
      </c>
      <c r="H5" s="366"/>
      <c r="I5" s="360"/>
      <c r="J5" s="360"/>
      <c r="K5" s="360"/>
    </row>
    <row r="6" spans="1:11" ht="22" customHeight="1" thickTop="1" x14ac:dyDescent="0.25">
      <c r="A6" s="147">
        <v>1</v>
      </c>
      <c r="B6" s="234" t="s">
        <v>142</v>
      </c>
      <c r="C6" s="791">
        <v>0.15</v>
      </c>
      <c r="D6" s="785">
        <f>+C6*SUM(D8:D19)</f>
        <v>0</v>
      </c>
      <c r="H6" s="367"/>
      <c r="I6" s="361"/>
      <c r="J6" s="361"/>
      <c r="K6" s="362"/>
    </row>
    <row r="7" spans="1:11" ht="22" customHeight="1" x14ac:dyDescent="0.25">
      <c r="A7" s="148">
        <v>1</v>
      </c>
      <c r="B7" s="235" t="s">
        <v>143</v>
      </c>
      <c r="C7" s="792"/>
      <c r="D7" s="786"/>
      <c r="H7" s="368"/>
      <c r="I7" s="361"/>
      <c r="J7" s="361"/>
      <c r="K7" s="363"/>
    </row>
    <row r="8" spans="1:11" ht="37.5" customHeight="1" x14ac:dyDescent="0.25">
      <c r="A8" s="148">
        <v>1</v>
      </c>
      <c r="B8" s="795" t="s">
        <v>137</v>
      </c>
      <c r="C8" s="796"/>
      <c r="D8" s="237">
        <f>+'Sec.1 Prov.1.29 - 1.42'!G31</f>
        <v>0</v>
      </c>
      <c r="H8" s="369"/>
      <c r="I8" s="798"/>
      <c r="J8" s="798"/>
      <c r="K8" s="798"/>
    </row>
    <row r="9" spans="1:11" ht="22" customHeight="1" x14ac:dyDescent="0.25">
      <c r="A9" s="148">
        <v>2</v>
      </c>
      <c r="B9" s="781" t="s">
        <v>126</v>
      </c>
      <c r="C9" s="782"/>
      <c r="D9" s="237">
        <f>+' Sec.2 Site Clearance'!G10</f>
        <v>0</v>
      </c>
      <c r="H9" s="370"/>
      <c r="I9" s="361"/>
      <c r="J9" s="361"/>
      <c r="K9" s="364"/>
    </row>
    <row r="10" spans="1:11" ht="22" customHeight="1" x14ac:dyDescent="0.25">
      <c r="A10" s="148">
        <f>A9+1</f>
        <v>3</v>
      </c>
      <c r="B10" s="781" t="s">
        <v>127</v>
      </c>
      <c r="C10" s="782"/>
      <c r="D10" s="238">
        <f>+'Sec.3 Earth Wks'!G15</f>
        <v>0</v>
      </c>
      <c r="H10" s="799"/>
      <c r="I10" s="799"/>
      <c r="J10" s="799"/>
      <c r="K10" s="799"/>
    </row>
    <row r="11" spans="1:11" ht="26.5" customHeight="1" x14ac:dyDescent="0.25">
      <c r="A11" s="148">
        <f t="shared" ref="A11:A18" si="0">A10+1</f>
        <v>4</v>
      </c>
      <c r="B11" s="781" t="s">
        <v>128</v>
      </c>
      <c r="C11" s="782"/>
      <c r="D11" s="237">
        <f>+'Sec.4 Earth Wks Pipes'!G23</f>
        <v>0</v>
      </c>
      <c r="H11" s="797"/>
      <c r="I11" s="797"/>
      <c r="J11" s="797"/>
      <c r="K11" s="797"/>
    </row>
    <row r="12" spans="1:11" ht="22" customHeight="1" x14ac:dyDescent="0.25">
      <c r="A12" s="148">
        <f t="shared" si="0"/>
        <v>5</v>
      </c>
      <c r="B12" s="781" t="s">
        <v>129</v>
      </c>
      <c r="C12" s="782"/>
      <c r="D12" s="237">
        <f>+'Sec.5 Earth Wks. Roads'!G17</f>
        <v>0</v>
      </c>
      <c r="H12" s="359"/>
      <c r="I12" s="359"/>
      <c r="J12" s="359"/>
      <c r="K12" s="359"/>
    </row>
    <row r="13" spans="1:11" ht="22" customHeight="1" x14ac:dyDescent="0.25">
      <c r="A13" s="551">
        <f>+A12+1</f>
        <v>6</v>
      </c>
      <c r="B13" s="552" t="s">
        <v>203</v>
      </c>
      <c r="C13" s="553"/>
      <c r="D13" s="554">
        <f>+'  Sec 6 Roads'!G21</f>
        <v>0</v>
      </c>
      <c r="E13" s="104"/>
    </row>
    <row r="14" spans="1:11" ht="22" customHeight="1" x14ac:dyDescent="0.25">
      <c r="A14" s="148">
        <f>+A13+1</f>
        <v>7</v>
      </c>
      <c r="B14" s="781" t="s">
        <v>130</v>
      </c>
      <c r="C14" s="782"/>
      <c r="D14" s="237">
        <f>+'Sec.6 Gabions &amp; Pitching'!G21</f>
        <v>0</v>
      </c>
    </row>
    <row r="15" spans="1:11" ht="22" customHeight="1" x14ac:dyDescent="0.25">
      <c r="A15" s="148">
        <f t="shared" si="0"/>
        <v>8</v>
      </c>
      <c r="B15" s="781" t="s">
        <v>131</v>
      </c>
      <c r="C15" s="782"/>
      <c r="D15" s="237">
        <f>+'Sec.8 Conc.'!G18</f>
        <v>0</v>
      </c>
    </row>
    <row r="16" spans="1:11" ht="22" customHeight="1" x14ac:dyDescent="0.25">
      <c r="A16" s="148">
        <f>+A15+1</f>
        <v>9</v>
      </c>
      <c r="B16" s="781" t="s">
        <v>132</v>
      </c>
      <c r="C16" s="782"/>
      <c r="D16" s="237">
        <f>'Sec.9 Sewers (2)'!G13</f>
        <v>0</v>
      </c>
    </row>
    <row r="17" spans="1:6" ht="22" customHeight="1" x14ac:dyDescent="0.25">
      <c r="A17" s="148">
        <f t="shared" si="0"/>
        <v>10</v>
      </c>
      <c r="B17" s="781" t="s">
        <v>133</v>
      </c>
      <c r="C17" s="782"/>
      <c r="D17" s="237">
        <f>+'Sec.8 SWD'!G17</f>
        <v>0</v>
      </c>
    </row>
    <row r="18" spans="1:6" ht="22" customHeight="1" x14ac:dyDescent="0.25">
      <c r="A18" s="551">
        <f t="shared" si="0"/>
        <v>11</v>
      </c>
      <c r="B18" s="781" t="s">
        <v>135</v>
      </c>
      <c r="C18" s="783"/>
      <c r="D18" s="429">
        <f>+'Sec.10 Dayworks'!G36</f>
        <v>0</v>
      </c>
      <c r="E18" s="104"/>
    </row>
    <row r="19" spans="1:6" ht="22" customHeight="1" thickBot="1" x14ac:dyDescent="0.3">
      <c r="A19" s="555">
        <f>+A18+1</f>
        <v>12</v>
      </c>
      <c r="B19" s="793" t="s">
        <v>134</v>
      </c>
      <c r="C19" s="794"/>
      <c r="D19" s="556"/>
      <c r="F19" s="104" t="s">
        <v>364</v>
      </c>
    </row>
    <row r="20" spans="1:6" s="557" customFormat="1" ht="30" customHeight="1" thickBot="1" x14ac:dyDescent="0.35">
      <c r="A20" s="591" t="s">
        <v>165</v>
      </c>
      <c r="B20" s="184"/>
      <c r="C20" s="184"/>
      <c r="D20" s="239">
        <f>SUM(D6:D19)</f>
        <v>0</v>
      </c>
      <c r="E20" s="558">
        <f>+D20/100000</f>
        <v>0</v>
      </c>
      <c r="F20" s="559" t="s">
        <v>365</v>
      </c>
    </row>
    <row r="21" spans="1:6" s="557" customFormat="1" ht="30" customHeight="1" x14ac:dyDescent="0.3">
      <c r="A21" s="588"/>
      <c r="B21" s="589"/>
      <c r="C21" s="589"/>
      <c r="D21" s="590"/>
      <c r="E21" s="586"/>
      <c r="F21" s="559"/>
    </row>
    <row r="22" spans="1:6" s="557" customFormat="1" ht="30" customHeight="1" thickBot="1" x14ac:dyDescent="0.35">
      <c r="A22" s="218" t="s">
        <v>176</v>
      </c>
      <c r="B22" s="219"/>
      <c r="C22" s="220">
        <v>0.15</v>
      </c>
      <c r="D22" s="245">
        <f>D20*C22</f>
        <v>0</v>
      </c>
      <c r="E22" s="586"/>
      <c r="F22" s="559"/>
    </row>
    <row r="23" spans="1:6" s="557" customFormat="1" ht="30" customHeight="1" x14ac:dyDescent="0.3">
      <c r="A23" s="804" t="s">
        <v>177</v>
      </c>
      <c r="B23" s="805"/>
      <c r="C23" s="805"/>
      <c r="D23" s="587">
        <f>D22+D20</f>
        <v>0</v>
      </c>
      <c r="E23" s="586"/>
      <c r="F23" s="559"/>
    </row>
    <row r="24" spans="1:6" s="557" customFormat="1" ht="30" customHeight="1" thickBot="1" x14ac:dyDescent="0.35">
      <c r="A24" s="218" t="s">
        <v>178</v>
      </c>
      <c r="B24" s="219"/>
      <c r="C24" s="314">
        <v>0.1</v>
      </c>
      <c r="D24" s="245">
        <f>+C24*D23</f>
        <v>0</v>
      </c>
      <c r="E24" s="586"/>
      <c r="F24" s="559"/>
    </row>
    <row r="25" spans="1:6" s="557" customFormat="1" ht="30" customHeight="1" thickBot="1" x14ac:dyDescent="0.35">
      <c r="A25" s="804" t="s">
        <v>177</v>
      </c>
      <c r="B25" s="805"/>
      <c r="C25" s="805"/>
      <c r="D25" s="587">
        <f>D24+D23</f>
        <v>0</v>
      </c>
      <c r="E25" s="586"/>
      <c r="F25" s="559"/>
    </row>
    <row r="26" spans="1:6" ht="25" customHeight="1" thickBot="1" x14ac:dyDescent="0.3">
      <c r="A26" s="779" t="s">
        <v>159</v>
      </c>
      <c r="B26" s="780"/>
      <c r="C26" s="348">
        <v>0.15</v>
      </c>
      <c r="D26" s="349">
        <f>+D25*C26</f>
        <v>0</v>
      </c>
    </row>
    <row r="27" spans="1:6" ht="25" customHeight="1" x14ac:dyDescent="0.25">
      <c r="A27" s="774" t="s">
        <v>177</v>
      </c>
      <c r="B27" s="775"/>
      <c r="C27" s="775"/>
      <c r="D27" s="246">
        <f>+D26+D25</f>
        <v>0</v>
      </c>
      <c r="F27" s="217"/>
    </row>
    <row r="28" spans="1:6" ht="21.9" customHeight="1" thickBot="1" x14ac:dyDescent="0.3">
      <c r="A28" s="221" t="s">
        <v>179</v>
      </c>
      <c r="B28" s="222"/>
      <c r="C28" s="222"/>
      <c r="D28" s="247"/>
    </row>
    <row r="29" spans="1:6" ht="21.9" customHeight="1" thickTop="1" x14ac:dyDescent="0.25">
      <c r="A29" s="776" t="s">
        <v>180</v>
      </c>
      <c r="B29" s="777"/>
      <c r="C29" s="223">
        <v>7.0000000000000007E-2</v>
      </c>
      <c r="D29" s="248">
        <f>+D27*C29</f>
        <v>0</v>
      </c>
    </row>
    <row r="30" spans="1:6" ht="21.9" customHeight="1" thickBot="1" x14ac:dyDescent="0.3">
      <c r="A30" s="800" t="s">
        <v>181</v>
      </c>
      <c r="B30" s="801"/>
      <c r="C30" s="224">
        <v>-0.2</v>
      </c>
      <c r="D30" s="249">
        <f>+C30*D29</f>
        <v>0</v>
      </c>
    </row>
    <row r="31" spans="1:6" ht="21.9" customHeight="1" thickBot="1" x14ac:dyDescent="0.3">
      <c r="A31" s="802" t="s">
        <v>182</v>
      </c>
      <c r="B31" s="803"/>
      <c r="C31" s="803"/>
      <c r="D31" s="250">
        <f>+D30+D29</f>
        <v>0</v>
      </c>
    </row>
    <row r="32" spans="1:6" ht="21.9" customHeight="1" thickBot="1" x14ac:dyDescent="0.3">
      <c r="A32" s="770" t="s">
        <v>183</v>
      </c>
      <c r="B32" s="771"/>
      <c r="C32" s="225">
        <v>3.7499999999999999E-2</v>
      </c>
      <c r="D32" s="251">
        <f>+C32*D27</f>
        <v>0</v>
      </c>
    </row>
    <row r="33" spans="1:6" ht="21.9" customHeight="1" thickBot="1" x14ac:dyDescent="0.3">
      <c r="A33" s="772" t="s">
        <v>184</v>
      </c>
      <c r="B33" s="773"/>
      <c r="C33" s="773"/>
      <c r="D33" s="252">
        <f>SUM(D31:D32)</f>
        <v>0</v>
      </c>
    </row>
    <row r="34" spans="1:6" ht="25" customHeight="1" thickBot="1" x14ac:dyDescent="0.3">
      <c r="A34" s="226" t="s">
        <v>231</v>
      </c>
      <c r="B34" s="227"/>
      <c r="C34" s="227"/>
      <c r="D34" s="253">
        <f>+D33+D27</f>
        <v>0</v>
      </c>
    </row>
    <row r="35" spans="1:6" ht="25" customHeight="1" x14ac:dyDescent="0.25">
      <c r="A35" s="228"/>
      <c r="B35" s="229" t="s">
        <v>187</v>
      </c>
      <c r="C35" s="229"/>
      <c r="D35" s="254">
        <v>0</v>
      </c>
      <c r="E35" s="371">
        <v>1400000</v>
      </c>
      <c r="F35" s="104" t="s">
        <v>363</v>
      </c>
    </row>
    <row r="36" spans="1:6" ht="25" customHeight="1" x14ac:dyDescent="0.25">
      <c r="A36" s="275"/>
      <c r="B36" s="276" t="s">
        <v>188</v>
      </c>
      <c r="C36" s="277"/>
      <c r="D36" s="278">
        <v>4200000</v>
      </c>
    </row>
    <row r="37" spans="1:6" ht="25" customHeight="1" x14ac:dyDescent="0.25">
      <c r="A37" s="275"/>
      <c r="B37" s="276" t="s">
        <v>223</v>
      </c>
      <c r="C37" s="277"/>
      <c r="D37" s="278">
        <v>42000000</v>
      </c>
    </row>
    <row r="38" spans="1:6" ht="25" customHeight="1" thickBot="1" x14ac:dyDescent="0.3">
      <c r="A38" s="275"/>
      <c r="B38" s="276" t="s">
        <v>303</v>
      </c>
      <c r="C38" s="277"/>
      <c r="D38" s="278">
        <v>30000000</v>
      </c>
    </row>
    <row r="39" spans="1:6" ht="25" customHeight="1" thickBot="1" x14ac:dyDescent="0.3">
      <c r="A39" s="230"/>
      <c r="B39" s="231" t="s">
        <v>185</v>
      </c>
      <c r="C39" s="231"/>
      <c r="D39" s="255">
        <f>SUM(D35:D38)</f>
        <v>76200000</v>
      </c>
    </row>
    <row r="40" spans="1:6" ht="25" customHeight="1" thickBot="1" x14ac:dyDescent="0.3">
      <c r="A40" s="232"/>
      <c r="B40" s="307" t="s">
        <v>186</v>
      </c>
      <c r="C40" s="233"/>
      <c r="D40" s="256">
        <f>+D39-D34</f>
        <v>76200000</v>
      </c>
    </row>
    <row r="41" spans="1:6" ht="21.9" customHeight="1" x14ac:dyDescent="0.25"/>
    <row r="42" spans="1:6" ht="21.9" customHeight="1" x14ac:dyDescent="0.25"/>
  </sheetData>
  <mergeCells count="30">
    <mergeCell ref="A30:B30"/>
    <mergeCell ref="A31:C31"/>
    <mergeCell ref="B9:C9"/>
    <mergeCell ref="B10:C10"/>
    <mergeCell ref="B11:C11"/>
    <mergeCell ref="B12:C12"/>
    <mergeCell ref="A23:C23"/>
    <mergeCell ref="A25:C25"/>
    <mergeCell ref="C6:C7"/>
    <mergeCell ref="B19:C19"/>
    <mergeCell ref="B8:C8"/>
    <mergeCell ref="H11:K11"/>
    <mergeCell ref="I8:K8"/>
    <mergeCell ref="H10:K10"/>
    <mergeCell ref="A32:B32"/>
    <mergeCell ref="A33:C33"/>
    <mergeCell ref="A27:C27"/>
    <mergeCell ref="A29:B29"/>
    <mergeCell ref="A1:D1"/>
    <mergeCell ref="A26:B26"/>
    <mergeCell ref="B14:C14"/>
    <mergeCell ref="B15:C15"/>
    <mergeCell ref="B16:C16"/>
    <mergeCell ref="B17:C17"/>
    <mergeCell ref="B18:C18"/>
    <mergeCell ref="A2:D2"/>
    <mergeCell ref="D6:D7"/>
    <mergeCell ref="B5:C5"/>
    <mergeCell ref="A4:D4"/>
    <mergeCell ref="A3:D3"/>
  </mergeCells>
  <printOptions horizontalCentered="1" gridLines="1"/>
  <pageMargins left="0.70866141732283472" right="0.70866141732283472" top="0.59055118110236227" bottom="0.59055118110236227" header="0.31496062992125984" footer="0.31496062992125984"/>
  <pageSetup paperSize="9" orientation="portrait" r:id="rId1"/>
  <headerFooter>
    <oddFooter>&amp;LWilson &amp; Pass Inc&amp;R&amp;D</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17"/>
  <sheetViews>
    <sheetView workbookViewId="0">
      <selection activeCell="C23" sqref="C23"/>
    </sheetView>
  </sheetViews>
  <sheetFormatPr defaultRowHeight="12.5" x14ac:dyDescent="0.25"/>
  <cols>
    <col min="2" max="3" width="14.36328125" bestFit="1" customWidth="1"/>
    <col min="4" max="5" width="15.36328125" bestFit="1" customWidth="1"/>
    <col min="7" max="7" width="15.36328125" bestFit="1" customWidth="1"/>
  </cols>
  <sheetData>
    <row r="2" spans="1:11" x14ac:dyDescent="0.25">
      <c r="B2" t="s">
        <v>276</v>
      </c>
      <c r="C2" t="s">
        <v>277</v>
      </c>
      <c r="D2" t="s">
        <v>278</v>
      </c>
      <c r="E2" t="s">
        <v>279</v>
      </c>
    </row>
    <row r="3" spans="1:11" x14ac:dyDescent="0.25">
      <c r="B3" s="371">
        <v>1400000</v>
      </c>
      <c r="C3" s="371">
        <v>4200000</v>
      </c>
      <c r="D3" s="371">
        <v>42000000</v>
      </c>
      <c r="E3" s="371">
        <v>30000000</v>
      </c>
      <c r="G3" s="371">
        <f>SUM(C3:E3)</f>
        <v>76200000</v>
      </c>
    </row>
    <row r="4" spans="1:11" x14ac:dyDescent="0.25">
      <c r="C4">
        <v>4</v>
      </c>
      <c r="D4">
        <v>12</v>
      </c>
      <c r="E4">
        <v>12</v>
      </c>
      <c r="G4" s="371">
        <f>G3*0.92</f>
        <v>70104000</v>
      </c>
    </row>
    <row r="5" spans="1:11" ht="13" thickBot="1" x14ac:dyDescent="0.3">
      <c r="J5" t="s">
        <v>328</v>
      </c>
      <c r="K5" t="s">
        <v>355</v>
      </c>
    </row>
    <row r="6" spans="1:11" ht="13.5" thickBot="1" x14ac:dyDescent="0.3">
      <c r="B6" s="104" t="s">
        <v>340</v>
      </c>
      <c r="C6" s="432" t="s">
        <v>304</v>
      </c>
      <c r="D6" s="432" t="s">
        <v>305</v>
      </c>
      <c r="E6" s="433" t="s">
        <v>306</v>
      </c>
    </row>
    <row r="7" spans="1:11" x14ac:dyDescent="0.25">
      <c r="C7" s="430">
        <v>4200000</v>
      </c>
      <c r="D7" s="430">
        <v>42000000</v>
      </c>
      <c r="E7" s="431">
        <v>30000000</v>
      </c>
    </row>
    <row r="8" spans="1:11" x14ac:dyDescent="0.25">
      <c r="A8" s="104" t="s">
        <v>352</v>
      </c>
      <c r="C8" s="482"/>
      <c r="D8" s="482"/>
      <c r="E8" s="482"/>
    </row>
    <row r="9" spans="1:11" x14ac:dyDescent="0.25">
      <c r="A9" s="104" t="s">
        <v>341</v>
      </c>
      <c r="G9" s="104" t="s">
        <v>351</v>
      </c>
    </row>
    <row r="10" spans="1:11" x14ac:dyDescent="0.25">
      <c r="A10" s="806" t="s">
        <v>344</v>
      </c>
      <c r="B10" s="806"/>
      <c r="C10" s="104" t="s">
        <v>345</v>
      </c>
      <c r="D10" s="104" t="s">
        <v>346</v>
      </c>
      <c r="G10" s="481">
        <v>45413</v>
      </c>
    </row>
    <row r="11" spans="1:11" x14ac:dyDescent="0.25">
      <c r="A11" s="806"/>
      <c r="B11" s="806"/>
      <c r="C11" s="371">
        <v>1756830.0199383216</v>
      </c>
      <c r="D11" s="371">
        <f>42709186.1878-C11</f>
        <v>40952356.167861678</v>
      </c>
      <c r="E11" s="371"/>
      <c r="G11" s="481"/>
    </row>
    <row r="12" spans="1:11" x14ac:dyDescent="0.25">
      <c r="A12" s="806" t="s">
        <v>342</v>
      </c>
      <c r="B12" s="806"/>
      <c r="C12" s="104" t="s">
        <v>347</v>
      </c>
      <c r="D12" s="104" t="s">
        <v>348</v>
      </c>
      <c r="E12" s="104" t="s">
        <v>347</v>
      </c>
      <c r="G12" s="481">
        <v>45383</v>
      </c>
    </row>
    <row r="13" spans="1:11" x14ac:dyDescent="0.25">
      <c r="A13" s="806"/>
      <c r="B13" s="806"/>
      <c r="C13" s="371">
        <v>2698081.6554372846</v>
      </c>
      <c r="D13" s="371">
        <f>34911058.2457235-C13</f>
        <v>32212976.590286218</v>
      </c>
      <c r="E13" s="371">
        <f>42709186.1878-D13-C13</f>
        <v>7798127.9420764949</v>
      </c>
      <c r="G13" s="481"/>
    </row>
    <row r="14" spans="1:11" x14ac:dyDescent="0.25">
      <c r="A14" s="806" t="s">
        <v>343</v>
      </c>
      <c r="B14" s="806"/>
      <c r="C14" s="104" t="s">
        <v>349</v>
      </c>
      <c r="D14" s="104" t="s">
        <v>348</v>
      </c>
      <c r="E14" s="104" t="s">
        <v>350</v>
      </c>
      <c r="G14" s="481">
        <v>45352</v>
      </c>
    </row>
    <row r="15" spans="1:11" x14ac:dyDescent="0.25">
      <c r="A15" s="806"/>
      <c r="B15" s="806"/>
      <c r="C15" s="371">
        <v>3088995.277515369</v>
      </c>
      <c r="D15" s="371">
        <f>25102591.1142931-C15</f>
        <v>22013595.836777728</v>
      </c>
      <c r="E15" s="371">
        <f>42709186.1878-D15-C15</f>
        <v>17606595.073506899</v>
      </c>
      <c r="G15" s="481"/>
    </row>
    <row r="17" spans="1:11" x14ac:dyDescent="0.25">
      <c r="A17" s="104" t="s">
        <v>353</v>
      </c>
      <c r="K17">
        <f>50/4</f>
        <v>12.5</v>
      </c>
    </row>
  </sheetData>
  <mergeCells count="3">
    <mergeCell ref="A10:B11"/>
    <mergeCell ref="A12:B13"/>
    <mergeCell ref="A14:B1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I119"/>
  <sheetViews>
    <sheetView topLeftCell="A4" zoomScaleNormal="100" workbookViewId="0">
      <selection activeCell="C22" sqref="C22"/>
    </sheetView>
  </sheetViews>
  <sheetFormatPr defaultColWidth="8.90625" defaultRowHeight="14.5" x14ac:dyDescent="0.35"/>
  <cols>
    <col min="1" max="1" width="32.81640625" style="469" bestFit="1" customWidth="1"/>
    <col min="2" max="2" width="22.6328125" style="469" customWidth="1"/>
    <col min="3" max="3" width="33.08984375" style="469" customWidth="1"/>
    <col min="4" max="4" width="16" style="469" bestFit="1" customWidth="1"/>
    <col min="5" max="5" width="15" style="469" bestFit="1" customWidth="1"/>
    <col min="6" max="7" width="8.90625" style="469"/>
    <col min="8" max="8" width="17.36328125" style="469" bestFit="1" customWidth="1"/>
    <col min="9" max="9" width="17.1796875" style="469" bestFit="1" customWidth="1"/>
    <col min="10" max="16384" width="8.90625" style="469"/>
  </cols>
  <sheetData>
    <row r="2" spans="1:9" x14ac:dyDescent="0.35">
      <c r="A2" s="469" t="s">
        <v>328</v>
      </c>
      <c r="B2" s="470">
        <v>20</v>
      </c>
      <c r="C2" s="469" t="s">
        <v>329</v>
      </c>
      <c r="E2" s="469" t="s">
        <v>330</v>
      </c>
    </row>
    <row r="3" spans="1:9" x14ac:dyDescent="0.35">
      <c r="A3" s="469" t="s">
        <v>331</v>
      </c>
      <c r="B3" s="471">
        <f>'SUMMARY EST'!D27</f>
        <v>0</v>
      </c>
      <c r="C3" s="469" t="s">
        <v>332</v>
      </c>
    </row>
    <row r="4" spans="1:9" x14ac:dyDescent="0.35">
      <c r="A4" s="469" t="s">
        <v>333</v>
      </c>
      <c r="B4" s="472">
        <v>0</v>
      </c>
    </row>
    <row r="5" spans="1:9" x14ac:dyDescent="0.35">
      <c r="A5" s="469" t="s">
        <v>334</v>
      </c>
      <c r="B5" s="473">
        <f>B3*(B4+1)</f>
        <v>0</v>
      </c>
      <c r="E5" s="474"/>
    </row>
    <row r="6" spans="1:9" x14ac:dyDescent="0.35">
      <c r="A6" s="475"/>
      <c r="B6" s="475"/>
      <c r="C6" s="475"/>
      <c r="D6" s="807" t="s">
        <v>331</v>
      </c>
      <c r="E6" s="807"/>
    </row>
    <row r="7" spans="1:9" x14ac:dyDescent="0.35">
      <c r="A7" s="476" t="s">
        <v>335</v>
      </c>
      <c r="B7" s="476" t="s">
        <v>336</v>
      </c>
      <c r="C7" s="476" t="s">
        <v>337</v>
      </c>
      <c r="D7" s="476" t="s">
        <v>338</v>
      </c>
      <c r="E7" s="476" t="s">
        <v>339</v>
      </c>
      <c r="G7" s="469" t="s">
        <v>335</v>
      </c>
      <c r="H7" s="469" t="s">
        <v>339</v>
      </c>
      <c r="I7" s="469" t="s">
        <v>338</v>
      </c>
    </row>
    <row r="8" spans="1:9" x14ac:dyDescent="0.35">
      <c r="A8" s="477">
        <f>IF(ISNUMBER(B2),B2/$B$2, "Insert Correct Duration")</f>
        <v>1</v>
      </c>
      <c r="B8" s="478">
        <f>A8/$B$2</f>
        <v>0.05</v>
      </c>
      <c r="C8" s="478">
        <f>IF(B8=1,1,0.5025*(B8^2)+0.4068*(B8))</f>
        <v>2.1596250000000001E-2</v>
      </c>
      <c r="D8" s="479">
        <f>IF(C8="","",$B$5*C8)</f>
        <v>0</v>
      </c>
      <c r="E8" s="479">
        <f>D8</f>
        <v>0</v>
      </c>
      <c r="G8" s="469">
        <f>IF(OR(A8&lt;=$B$2,A8="RR"),IF(A8="RR",$B$2,A8),"")</f>
        <v>1</v>
      </c>
      <c r="H8" s="474">
        <f>IF(ISNUMBER(E8),E8,"")</f>
        <v>0</v>
      </c>
      <c r="I8" s="474">
        <f>IF(ISNUMBER(D8),D8,"")</f>
        <v>0</v>
      </c>
    </row>
    <row r="9" spans="1:9" x14ac:dyDescent="0.35">
      <c r="A9" s="477">
        <f t="shared" ref="A9:A72" si="0">IF(ISTEXT(A8),"",IF((A8+1)&lt;=$B$2,A8+1,IF(ISTEXT(A8),"","RR")))</f>
        <v>2</v>
      </c>
      <c r="B9" s="478">
        <f>IF(OR(B8=1,B8=""),"",A9/$B$2)</f>
        <v>0.1</v>
      </c>
      <c r="C9" s="478">
        <f t="shared" ref="C9:C72" si="1">IF(OR(B8=1,B8=""),IF(OR(C8=1,C8=""),"",1),0.5025*(B9^2)+0.4068*(B9))</f>
        <v>4.5705000000000003E-2</v>
      </c>
      <c r="D9" s="479">
        <f t="shared" ref="D9:D72" si="2">IF(C9="","",$B$5*C9)</f>
        <v>0</v>
      </c>
      <c r="E9" s="479">
        <f>IF(ISERROR(D9-D8),"",D9-D8)</f>
        <v>0</v>
      </c>
      <c r="G9" s="469">
        <f t="shared" ref="G9:G72" si="3">IF(OR(A9&lt;=$B$2,A9="RR"),IF(A9="RR",$B$2,A9),"")</f>
        <v>2</v>
      </c>
      <c r="H9" s="474">
        <f t="shared" ref="H9:H72" si="4">IF(ISNUMBER(E9),E9,"")</f>
        <v>0</v>
      </c>
      <c r="I9" s="474">
        <f t="shared" ref="I9:I72" si="5">IF(ISNUMBER(D9),D9,"")</f>
        <v>0</v>
      </c>
    </row>
    <row r="10" spans="1:9" x14ac:dyDescent="0.35">
      <c r="A10" s="477">
        <f t="shared" si="0"/>
        <v>3</v>
      </c>
      <c r="B10" s="478">
        <f t="shared" ref="B10:B73" si="6">IF(OR(B9=1,B9=""),"",A10/$B$2)</f>
        <v>0.15</v>
      </c>
      <c r="C10" s="478">
        <f t="shared" si="1"/>
        <v>7.2326249999999995E-2</v>
      </c>
      <c r="D10" s="479">
        <f t="shared" si="2"/>
        <v>0</v>
      </c>
      <c r="E10" s="479">
        <f t="shared" ref="E10:E73" si="7">IF(ISERROR(D10-D9),"",D10-D9)</f>
        <v>0</v>
      </c>
      <c r="G10" s="469">
        <f t="shared" si="3"/>
        <v>3</v>
      </c>
      <c r="H10" s="474">
        <f t="shared" si="4"/>
        <v>0</v>
      </c>
      <c r="I10" s="474">
        <f t="shared" si="5"/>
        <v>0</v>
      </c>
    </row>
    <row r="11" spans="1:9" x14ac:dyDescent="0.35">
      <c r="A11" s="477">
        <f t="shared" si="0"/>
        <v>4</v>
      </c>
      <c r="B11" s="478">
        <f t="shared" si="6"/>
        <v>0.2</v>
      </c>
      <c r="C11" s="478">
        <f t="shared" si="1"/>
        <v>0.10146000000000001</v>
      </c>
      <c r="D11" s="479">
        <f t="shared" si="2"/>
        <v>0</v>
      </c>
      <c r="E11" s="479">
        <f t="shared" si="7"/>
        <v>0</v>
      </c>
      <c r="G11" s="469">
        <f t="shared" si="3"/>
        <v>4</v>
      </c>
      <c r="H11" s="474">
        <f t="shared" si="4"/>
        <v>0</v>
      </c>
      <c r="I11" s="474">
        <f t="shared" si="5"/>
        <v>0</v>
      </c>
    </row>
    <row r="12" spans="1:9" x14ac:dyDescent="0.35">
      <c r="A12" s="477">
        <f t="shared" si="0"/>
        <v>5</v>
      </c>
      <c r="B12" s="478">
        <f t="shared" si="6"/>
        <v>0.25</v>
      </c>
      <c r="C12" s="478">
        <f t="shared" si="1"/>
        <v>0.13310624999999998</v>
      </c>
      <c r="D12" s="479">
        <f t="shared" si="2"/>
        <v>0</v>
      </c>
      <c r="E12" s="479">
        <f t="shared" si="7"/>
        <v>0</v>
      </c>
      <c r="G12" s="469">
        <f t="shared" si="3"/>
        <v>5</v>
      </c>
      <c r="H12" s="474">
        <f t="shared" si="4"/>
        <v>0</v>
      </c>
      <c r="I12" s="474">
        <f t="shared" si="5"/>
        <v>0</v>
      </c>
    </row>
    <row r="13" spans="1:9" x14ac:dyDescent="0.35">
      <c r="A13" s="477">
        <f t="shared" si="0"/>
        <v>6</v>
      </c>
      <c r="B13" s="478">
        <f t="shared" si="6"/>
        <v>0.3</v>
      </c>
      <c r="C13" s="478">
        <f t="shared" si="1"/>
        <v>0.167265</v>
      </c>
      <c r="D13" s="479">
        <f t="shared" si="2"/>
        <v>0</v>
      </c>
      <c r="E13" s="479">
        <f t="shared" si="7"/>
        <v>0</v>
      </c>
      <c r="G13" s="469">
        <f t="shared" si="3"/>
        <v>6</v>
      </c>
      <c r="H13" s="474">
        <f t="shared" si="4"/>
        <v>0</v>
      </c>
      <c r="I13" s="474">
        <f t="shared" si="5"/>
        <v>0</v>
      </c>
    </row>
    <row r="14" spans="1:9" x14ac:dyDescent="0.35">
      <c r="A14" s="477">
        <f t="shared" si="0"/>
        <v>7</v>
      </c>
      <c r="B14" s="478">
        <f t="shared" si="6"/>
        <v>0.35</v>
      </c>
      <c r="C14" s="478">
        <f t="shared" si="1"/>
        <v>0.20393624999999996</v>
      </c>
      <c r="D14" s="479">
        <f t="shared" si="2"/>
        <v>0</v>
      </c>
      <c r="E14" s="479">
        <f t="shared" si="7"/>
        <v>0</v>
      </c>
      <c r="G14" s="469">
        <f t="shared" si="3"/>
        <v>7</v>
      </c>
      <c r="H14" s="474">
        <f t="shared" si="4"/>
        <v>0</v>
      </c>
      <c r="I14" s="474">
        <f t="shared" si="5"/>
        <v>0</v>
      </c>
    </row>
    <row r="15" spans="1:9" x14ac:dyDescent="0.35">
      <c r="A15" s="477">
        <f t="shared" si="0"/>
        <v>8</v>
      </c>
      <c r="B15" s="478">
        <f t="shared" si="6"/>
        <v>0.4</v>
      </c>
      <c r="C15" s="478">
        <f t="shared" si="1"/>
        <v>0.24312</v>
      </c>
      <c r="D15" s="479">
        <f t="shared" si="2"/>
        <v>0</v>
      </c>
      <c r="E15" s="479">
        <f t="shared" si="7"/>
        <v>0</v>
      </c>
      <c r="G15" s="469">
        <f t="shared" si="3"/>
        <v>8</v>
      </c>
      <c r="H15" s="474">
        <f t="shared" si="4"/>
        <v>0</v>
      </c>
      <c r="I15" s="474">
        <f t="shared" si="5"/>
        <v>0</v>
      </c>
    </row>
    <row r="16" spans="1:9" x14ac:dyDescent="0.35">
      <c r="A16" s="477">
        <f t="shared" si="0"/>
        <v>9</v>
      </c>
      <c r="B16" s="478">
        <f t="shared" si="6"/>
        <v>0.45</v>
      </c>
      <c r="C16" s="478">
        <f t="shared" si="1"/>
        <v>0.28481624999999999</v>
      </c>
      <c r="D16" s="479">
        <f t="shared" si="2"/>
        <v>0</v>
      </c>
      <c r="E16" s="479">
        <f t="shared" si="7"/>
        <v>0</v>
      </c>
      <c r="G16" s="469">
        <f t="shared" si="3"/>
        <v>9</v>
      </c>
      <c r="H16" s="474">
        <f t="shared" si="4"/>
        <v>0</v>
      </c>
      <c r="I16" s="474">
        <f t="shared" si="5"/>
        <v>0</v>
      </c>
    </row>
    <row r="17" spans="1:9" x14ac:dyDescent="0.35">
      <c r="A17" s="477">
        <f t="shared" si="0"/>
        <v>10</v>
      </c>
      <c r="B17" s="478">
        <f t="shared" si="6"/>
        <v>0.5</v>
      </c>
      <c r="C17" s="478">
        <f t="shared" si="1"/>
        <v>0.32902500000000001</v>
      </c>
      <c r="D17" s="479">
        <f t="shared" si="2"/>
        <v>0</v>
      </c>
      <c r="E17" s="479">
        <f t="shared" si="7"/>
        <v>0</v>
      </c>
      <c r="G17" s="469">
        <f t="shared" si="3"/>
        <v>10</v>
      </c>
      <c r="H17" s="474">
        <f t="shared" si="4"/>
        <v>0</v>
      </c>
      <c r="I17" s="474">
        <f t="shared" si="5"/>
        <v>0</v>
      </c>
    </row>
    <row r="18" spans="1:9" x14ac:dyDescent="0.35">
      <c r="A18" s="477">
        <f t="shared" si="0"/>
        <v>11</v>
      </c>
      <c r="B18" s="478">
        <f t="shared" si="6"/>
        <v>0.55000000000000004</v>
      </c>
      <c r="C18" s="478">
        <f t="shared" si="1"/>
        <v>0.37574625000000006</v>
      </c>
      <c r="D18" s="479">
        <f t="shared" si="2"/>
        <v>0</v>
      </c>
      <c r="E18" s="479">
        <f t="shared" si="7"/>
        <v>0</v>
      </c>
      <c r="G18" s="469">
        <f t="shared" si="3"/>
        <v>11</v>
      </c>
      <c r="H18" s="474">
        <f t="shared" si="4"/>
        <v>0</v>
      </c>
      <c r="I18" s="474">
        <f t="shared" si="5"/>
        <v>0</v>
      </c>
    </row>
    <row r="19" spans="1:9" x14ac:dyDescent="0.35">
      <c r="A19" s="477">
        <f t="shared" si="0"/>
        <v>12</v>
      </c>
      <c r="B19" s="478">
        <f t="shared" si="6"/>
        <v>0.6</v>
      </c>
      <c r="C19" s="478">
        <f t="shared" si="1"/>
        <v>0.42497999999999997</v>
      </c>
      <c r="D19" s="479">
        <f t="shared" si="2"/>
        <v>0</v>
      </c>
      <c r="E19" s="479">
        <f t="shared" si="7"/>
        <v>0</v>
      </c>
      <c r="G19" s="469">
        <f t="shared" si="3"/>
        <v>12</v>
      </c>
      <c r="H19" s="474">
        <f t="shared" si="4"/>
        <v>0</v>
      </c>
      <c r="I19" s="474">
        <f t="shared" si="5"/>
        <v>0</v>
      </c>
    </row>
    <row r="20" spans="1:9" x14ac:dyDescent="0.35">
      <c r="A20" s="477">
        <f t="shared" si="0"/>
        <v>13</v>
      </c>
      <c r="B20" s="478">
        <f t="shared" si="6"/>
        <v>0.65</v>
      </c>
      <c r="C20" s="478">
        <f t="shared" si="1"/>
        <v>0.47672625000000002</v>
      </c>
      <c r="D20" s="479">
        <f t="shared" si="2"/>
        <v>0</v>
      </c>
      <c r="E20" s="479">
        <f t="shared" si="7"/>
        <v>0</v>
      </c>
      <c r="F20" s="480"/>
      <c r="G20" s="469">
        <f t="shared" si="3"/>
        <v>13</v>
      </c>
      <c r="H20" s="474">
        <f t="shared" si="4"/>
        <v>0</v>
      </c>
      <c r="I20" s="474">
        <f t="shared" si="5"/>
        <v>0</v>
      </c>
    </row>
    <row r="21" spans="1:9" x14ac:dyDescent="0.35">
      <c r="A21" s="477">
        <f t="shared" si="0"/>
        <v>14</v>
      </c>
      <c r="B21" s="478">
        <f t="shared" si="6"/>
        <v>0.7</v>
      </c>
      <c r="C21" s="478">
        <f t="shared" si="1"/>
        <v>0.53098499999999993</v>
      </c>
      <c r="D21" s="479">
        <f t="shared" si="2"/>
        <v>0</v>
      </c>
      <c r="E21" s="479">
        <f t="shared" si="7"/>
        <v>0</v>
      </c>
      <c r="F21" s="480"/>
      <c r="G21" s="469">
        <f t="shared" si="3"/>
        <v>14</v>
      </c>
      <c r="H21" s="474">
        <f t="shared" si="4"/>
        <v>0</v>
      </c>
      <c r="I21" s="474">
        <f t="shared" si="5"/>
        <v>0</v>
      </c>
    </row>
    <row r="22" spans="1:9" x14ac:dyDescent="0.35">
      <c r="A22" s="477">
        <f t="shared" si="0"/>
        <v>15</v>
      </c>
      <c r="B22" s="478">
        <f t="shared" si="6"/>
        <v>0.75</v>
      </c>
      <c r="C22" s="478">
        <f t="shared" si="1"/>
        <v>0.58775624999999998</v>
      </c>
      <c r="D22" s="479">
        <f t="shared" si="2"/>
        <v>0</v>
      </c>
      <c r="E22" s="479">
        <f t="shared" si="7"/>
        <v>0</v>
      </c>
      <c r="F22" s="480"/>
      <c r="G22" s="469">
        <f t="shared" si="3"/>
        <v>15</v>
      </c>
      <c r="H22" s="474">
        <f t="shared" si="4"/>
        <v>0</v>
      </c>
      <c r="I22" s="474">
        <f t="shared" si="5"/>
        <v>0</v>
      </c>
    </row>
    <row r="23" spans="1:9" x14ac:dyDescent="0.35">
      <c r="A23" s="477">
        <f t="shared" si="0"/>
        <v>16</v>
      </c>
      <c r="B23" s="478">
        <f t="shared" si="6"/>
        <v>0.8</v>
      </c>
      <c r="C23" s="478">
        <f t="shared" si="1"/>
        <v>0.64704000000000006</v>
      </c>
      <c r="D23" s="479">
        <f t="shared" si="2"/>
        <v>0</v>
      </c>
      <c r="E23" s="479">
        <f t="shared" si="7"/>
        <v>0</v>
      </c>
      <c r="F23" s="480"/>
      <c r="G23" s="469">
        <f t="shared" si="3"/>
        <v>16</v>
      </c>
      <c r="H23" s="474">
        <f t="shared" si="4"/>
        <v>0</v>
      </c>
      <c r="I23" s="474">
        <f t="shared" si="5"/>
        <v>0</v>
      </c>
    </row>
    <row r="24" spans="1:9" x14ac:dyDescent="0.35">
      <c r="A24" s="477">
        <f t="shared" si="0"/>
        <v>17</v>
      </c>
      <c r="B24" s="478">
        <f t="shared" si="6"/>
        <v>0.85</v>
      </c>
      <c r="C24" s="478">
        <f t="shared" si="1"/>
        <v>0.70883624999999983</v>
      </c>
      <c r="D24" s="479">
        <f t="shared" si="2"/>
        <v>0</v>
      </c>
      <c r="E24" s="479">
        <f t="shared" si="7"/>
        <v>0</v>
      </c>
      <c r="G24" s="469">
        <f t="shared" si="3"/>
        <v>17</v>
      </c>
      <c r="H24" s="474">
        <f t="shared" si="4"/>
        <v>0</v>
      </c>
      <c r="I24" s="474">
        <f t="shared" si="5"/>
        <v>0</v>
      </c>
    </row>
    <row r="25" spans="1:9" x14ac:dyDescent="0.35">
      <c r="A25" s="477">
        <f t="shared" si="0"/>
        <v>18</v>
      </c>
      <c r="B25" s="478">
        <f t="shared" si="6"/>
        <v>0.9</v>
      </c>
      <c r="C25" s="478">
        <f t="shared" si="1"/>
        <v>0.77314499999999997</v>
      </c>
      <c r="D25" s="479">
        <f t="shared" si="2"/>
        <v>0</v>
      </c>
      <c r="E25" s="479">
        <f t="shared" si="7"/>
        <v>0</v>
      </c>
      <c r="G25" s="469">
        <f t="shared" si="3"/>
        <v>18</v>
      </c>
      <c r="H25" s="474">
        <f t="shared" si="4"/>
        <v>0</v>
      </c>
      <c r="I25" s="474">
        <f t="shared" si="5"/>
        <v>0</v>
      </c>
    </row>
    <row r="26" spans="1:9" x14ac:dyDescent="0.35">
      <c r="A26" s="477">
        <f t="shared" si="0"/>
        <v>19</v>
      </c>
      <c r="B26" s="478">
        <f t="shared" si="6"/>
        <v>0.95</v>
      </c>
      <c r="C26" s="478">
        <f t="shared" si="1"/>
        <v>0.83996624999999991</v>
      </c>
      <c r="D26" s="479">
        <f t="shared" si="2"/>
        <v>0</v>
      </c>
      <c r="E26" s="479">
        <f t="shared" si="7"/>
        <v>0</v>
      </c>
      <c r="G26" s="469">
        <f t="shared" si="3"/>
        <v>19</v>
      </c>
      <c r="H26" s="474">
        <f t="shared" si="4"/>
        <v>0</v>
      </c>
      <c r="I26" s="474">
        <f t="shared" si="5"/>
        <v>0</v>
      </c>
    </row>
    <row r="27" spans="1:9" x14ac:dyDescent="0.35">
      <c r="A27" s="477">
        <f t="shared" si="0"/>
        <v>20</v>
      </c>
      <c r="B27" s="478">
        <f t="shared" si="6"/>
        <v>1</v>
      </c>
      <c r="C27" s="478">
        <f t="shared" si="1"/>
        <v>0.9093</v>
      </c>
      <c r="D27" s="479">
        <f t="shared" si="2"/>
        <v>0</v>
      </c>
      <c r="E27" s="479">
        <f t="shared" si="7"/>
        <v>0</v>
      </c>
      <c r="G27" s="469">
        <f t="shared" si="3"/>
        <v>20</v>
      </c>
      <c r="H27" s="474">
        <f t="shared" si="4"/>
        <v>0</v>
      </c>
      <c r="I27" s="474">
        <f t="shared" si="5"/>
        <v>0</v>
      </c>
    </row>
    <row r="28" spans="1:9" x14ac:dyDescent="0.35">
      <c r="A28" s="477" t="str">
        <f t="shared" si="0"/>
        <v>RR</v>
      </c>
      <c r="B28" s="478" t="str">
        <f t="shared" si="6"/>
        <v/>
      </c>
      <c r="C28" s="478">
        <f t="shared" si="1"/>
        <v>1</v>
      </c>
      <c r="D28" s="479">
        <f t="shared" si="2"/>
        <v>0</v>
      </c>
      <c r="E28" s="479">
        <f t="shared" si="7"/>
        <v>0</v>
      </c>
      <c r="G28" s="469">
        <f t="shared" si="3"/>
        <v>20</v>
      </c>
      <c r="H28" s="474">
        <f t="shared" si="4"/>
        <v>0</v>
      </c>
      <c r="I28" s="474">
        <f t="shared" si="5"/>
        <v>0</v>
      </c>
    </row>
    <row r="29" spans="1:9" x14ac:dyDescent="0.35">
      <c r="A29" s="477" t="str">
        <f t="shared" si="0"/>
        <v/>
      </c>
      <c r="B29" s="478" t="str">
        <f t="shared" si="6"/>
        <v/>
      </c>
      <c r="C29" s="478" t="str">
        <f t="shared" si="1"/>
        <v/>
      </c>
      <c r="D29" s="479" t="str">
        <f t="shared" si="2"/>
        <v/>
      </c>
      <c r="E29" s="479" t="str">
        <f t="shared" si="7"/>
        <v/>
      </c>
      <c r="G29" s="469" t="str">
        <f t="shared" si="3"/>
        <v/>
      </c>
      <c r="H29" s="474" t="str">
        <f t="shared" si="4"/>
        <v/>
      </c>
      <c r="I29" s="474" t="str">
        <f t="shared" si="5"/>
        <v/>
      </c>
    </row>
    <row r="30" spans="1:9" x14ac:dyDescent="0.35">
      <c r="A30" s="477" t="str">
        <f t="shared" si="0"/>
        <v/>
      </c>
      <c r="B30" s="478" t="str">
        <f t="shared" si="6"/>
        <v/>
      </c>
      <c r="C30" s="478" t="str">
        <f t="shared" si="1"/>
        <v/>
      </c>
      <c r="D30" s="479" t="str">
        <f t="shared" si="2"/>
        <v/>
      </c>
      <c r="E30" s="479" t="str">
        <f t="shared" si="7"/>
        <v/>
      </c>
      <c r="G30" s="469" t="str">
        <f t="shared" si="3"/>
        <v/>
      </c>
      <c r="H30" s="474" t="str">
        <f t="shared" si="4"/>
        <v/>
      </c>
      <c r="I30" s="474" t="str">
        <f t="shared" si="5"/>
        <v/>
      </c>
    </row>
    <row r="31" spans="1:9" x14ac:dyDescent="0.35">
      <c r="A31" s="477" t="str">
        <f t="shared" si="0"/>
        <v/>
      </c>
      <c r="B31" s="478" t="str">
        <f t="shared" si="6"/>
        <v/>
      </c>
      <c r="C31" s="478" t="str">
        <f t="shared" si="1"/>
        <v/>
      </c>
      <c r="D31" s="479" t="str">
        <f t="shared" si="2"/>
        <v/>
      </c>
      <c r="E31" s="479" t="str">
        <f t="shared" si="7"/>
        <v/>
      </c>
      <c r="G31" s="469" t="str">
        <f t="shared" si="3"/>
        <v/>
      </c>
      <c r="H31" s="474" t="str">
        <f t="shared" si="4"/>
        <v/>
      </c>
      <c r="I31" s="474" t="str">
        <f t="shared" si="5"/>
        <v/>
      </c>
    </row>
    <row r="32" spans="1:9" x14ac:dyDescent="0.35">
      <c r="A32" s="477" t="str">
        <f t="shared" si="0"/>
        <v/>
      </c>
      <c r="B32" s="478" t="str">
        <f t="shared" si="6"/>
        <v/>
      </c>
      <c r="C32" s="478" t="str">
        <f t="shared" si="1"/>
        <v/>
      </c>
      <c r="D32" s="479" t="str">
        <f t="shared" si="2"/>
        <v/>
      </c>
      <c r="E32" s="479" t="str">
        <f t="shared" si="7"/>
        <v/>
      </c>
      <c r="G32" s="469" t="str">
        <f t="shared" si="3"/>
        <v/>
      </c>
      <c r="H32" s="474" t="str">
        <f t="shared" si="4"/>
        <v/>
      </c>
      <c r="I32" s="474" t="str">
        <f t="shared" si="5"/>
        <v/>
      </c>
    </row>
    <row r="33" spans="1:9" x14ac:dyDescent="0.35">
      <c r="A33" s="477" t="str">
        <f t="shared" si="0"/>
        <v/>
      </c>
      <c r="B33" s="478" t="str">
        <f t="shared" si="6"/>
        <v/>
      </c>
      <c r="C33" s="478" t="str">
        <f t="shared" si="1"/>
        <v/>
      </c>
      <c r="D33" s="479" t="str">
        <f t="shared" si="2"/>
        <v/>
      </c>
      <c r="E33" s="479" t="str">
        <f t="shared" si="7"/>
        <v/>
      </c>
      <c r="G33" s="469" t="str">
        <f t="shared" si="3"/>
        <v/>
      </c>
      <c r="H33" s="474" t="str">
        <f t="shared" si="4"/>
        <v/>
      </c>
      <c r="I33" s="474" t="str">
        <f t="shared" si="5"/>
        <v/>
      </c>
    </row>
    <row r="34" spans="1:9" x14ac:dyDescent="0.35">
      <c r="A34" s="477" t="str">
        <f t="shared" si="0"/>
        <v/>
      </c>
      <c r="B34" s="478" t="str">
        <f t="shared" si="6"/>
        <v/>
      </c>
      <c r="C34" s="478" t="str">
        <f t="shared" si="1"/>
        <v/>
      </c>
      <c r="D34" s="479" t="str">
        <f t="shared" si="2"/>
        <v/>
      </c>
      <c r="E34" s="479" t="str">
        <f t="shared" si="7"/>
        <v/>
      </c>
      <c r="G34" s="469" t="str">
        <f t="shared" si="3"/>
        <v/>
      </c>
      <c r="H34" s="474" t="str">
        <f t="shared" si="4"/>
        <v/>
      </c>
      <c r="I34" s="474" t="str">
        <f t="shared" si="5"/>
        <v/>
      </c>
    </row>
    <row r="35" spans="1:9" x14ac:dyDescent="0.35">
      <c r="A35" s="477" t="str">
        <f t="shared" si="0"/>
        <v/>
      </c>
      <c r="B35" s="478" t="str">
        <f t="shared" si="6"/>
        <v/>
      </c>
      <c r="C35" s="478" t="str">
        <f t="shared" si="1"/>
        <v/>
      </c>
      <c r="D35" s="479" t="str">
        <f t="shared" si="2"/>
        <v/>
      </c>
      <c r="E35" s="479" t="str">
        <f t="shared" si="7"/>
        <v/>
      </c>
      <c r="G35" s="469" t="str">
        <f t="shared" si="3"/>
        <v/>
      </c>
      <c r="H35" s="474" t="str">
        <f t="shared" si="4"/>
        <v/>
      </c>
      <c r="I35" s="474" t="str">
        <f t="shared" si="5"/>
        <v/>
      </c>
    </row>
    <row r="36" spans="1:9" x14ac:dyDescent="0.35">
      <c r="A36" s="477" t="str">
        <f t="shared" si="0"/>
        <v/>
      </c>
      <c r="B36" s="478" t="str">
        <f t="shared" si="6"/>
        <v/>
      </c>
      <c r="C36" s="478" t="str">
        <f t="shared" si="1"/>
        <v/>
      </c>
      <c r="D36" s="479" t="str">
        <f t="shared" si="2"/>
        <v/>
      </c>
      <c r="E36" s="479" t="str">
        <f t="shared" si="7"/>
        <v/>
      </c>
      <c r="G36" s="469" t="str">
        <f t="shared" si="3"/>
        <v/>
      </c>
      <c r="H36" s="474" t="str">
        <f t="shared" si="4"/>
        <v/>
      </c>
      <c r="I36" s="474" t="str">
        <f t="shared" si="5"/>
        <v/>
      </c>
    </row>
    <row r="37" spans="1:9" x14ac:dyDescent="0.35">
      <c r="A37" s="477" t="str">
        <f t="shared" si="0"/>
        <v/>
      </c>
      <c r="B37" s="478" t="str">
        <f t="shared" si="6"/>
        <v/>
      </c>
      <c r="C37" s="478" t="str">
        <f t="shared" si="1"/>
        <v/>
      </c>
      <c r="D37" s="479" t="str">
        <f t="shared" si="2"/>
        <v/>
      </c>
      <c r="E37" s="479" t="str">
        <f t="shared" si="7"/>
        <v/>
      </c>
      <c r="G37" s="469" t="str">
        <f t="shared" si="3"/>
        <v/>
      </c>
      <c r="H37" s="474" t="str">
        <f t="shared" si="4"/>
        <v/>
      </c>
      <c r="I37" s="474" t="str">
        <f t="shared" si="5"/>
        <v/>
      </c>
    </row>
    <row r="38" spans="1:9" x14ac:dyDescent="0.35">
      <c r="A38" s="477" t="str">
        <f t="shared" si="0"/>
        <v/>
      </c>
      <c r="B38" s="478" t="str">
        <f t="shared" si="6"/>
        <v/>
      </c>
      <c r="C38" s="478" t="str">
        <f t="shared" si="1"/>
        <v/>
      </c>
      <c r="D38" s="479" t="str">
        <f t="shared" si="2"/>
        <v/>
      </c>
      <c r="E38" s="479" t="str">
        <f t="shared" si="7"/>
        <v/>
      </c>
      <c r="G38" s="469" t="str">
        <f t="shared" si="3"/>
        <v/>
      </c>
      <c r="H38" s="474" t="str">
        <f t="shared" si="4"/>
        <v/>
      </c>
      <c r="I38" s="474" t="str">
        <f t="shared" si="5"/>
        <v/>
      </c>
    </row>
    <row r="39" spans="1:9" x14ac:dyDescent="0.35">
      <c r="A39" s="477" t="str">
        <f t="shared" si="0"/>
        <v/>
      </c>
      <c r="B39" s="478" t="str">
        <f t="shared" si="6"/>
        <v/>
      </c>
      <c r="C39" s="478" t="str">
        <f t="shared" si="1"/>
        <v/>
      </c>
      <c r="D39" s="479" t="str">
        <f t="shared" si="2"/>
        <v/>
      </c>
      <c r="E39" s="479" t="str">
        <f t="shared" si="7"/>
        <v/>
      </c>
      <c r="G39" s="469" t="str">
        <f t="shared" si="3"/>
        <v/>
      </c>
      <c r="H39" s="474" t="str">
        <f t="shared" si="4"/>
        <v/>
      </c>
      <c r="I39" s="474" t="str">
        <f t="shared" si="5"/>
        <v/>
      </c>
    </row>
    <row r="40" spans="1:9" x14ac:dyDescent="0.35">
      <c r="A40" s="477" t="str">
        <f t="shared" si="0"/>
        <v/>
      </c>
      <c r="B40" s="478" t="str">
        <f t="shared" si="6"/>
        <v/>
      </c>
      <c r="C40" s="478" t="str">
        <f t="shared" si="1"/>
        <v/>
      </c>
      <c r="D40" s="479" t="str">
        <f t="shared" si="2"/>
        <v/>
      </c>
      <c r="E40" s="479" t="str">
        <f t="shared" si="7"/>
        <v/>
      </c>
      <c r="G40" s="469" t="str">
        <f t="shared" si="3"/>
        <v/>
      </c>
      <c r="H40" s="474" t="str">
        <f t="shared" si="4"/>
        <v/>
      </c>
      <c r="I40" s="474" t="str">
        <f t="shared" si="5"/>
        <v/>
      </c>
    </row>
    <row r="41" spans="1:9" x14ac:dyDescent="0.35">
      <c r="A41" s="477" t="str">
        <f t="shared" si="0"/>
        <v/>
      </c>
      <c r="B41" s="478" t="str">
        <f t="shared" si="6"/>
        <v/>
      </c>
      <c r="C41" s="478" t="str">
        <f t="shared" si="1"/>
        <v/>
      </c>
      <c r="D41" s="479" t="str">
        <f t="shared" si="2"/>
        <v/>
      </c>
      <c r="E41" s="479" t="str">
        <f t="shared" si="7"/>
        <v/>
      </c>
      <c r="G41" s="469" t="str">
        <f t="shared" si="3"/>
        <v/>
      </c>
      <c r="H41" s="474" t="str">
        <f t="shared" si="4"/>
        <v/>
      </c>
      <c r="I41" s="474" t="str">
        <f t="shared" si="5"/>
        <v/>
      </c>
    </row>
    <row r="42" spans="1:9" x14ac:dyDescent="0.35">
      <c r="A42" s="477" t="str">
        <f t="shared" si="0"/>
        <v/>
      </c>
      <c r="B42" s="478" t="str">
        <f t="shared" si="6"/>
        <v/>
      </c>
      <c r="C42" s="478" t="str">
        <f t="shared" si="1"/>
        <v/>
      </c>
      <c r="D42" s="479" t="str">
        <f t="shared" si="2"/>
        <v/>
      </c>
      <c r="E42" s="479" t="str">
        <f t="shared" si="7"/>
        <v/>
      </c>
      <c r="G42" s="469" t="str">
        <f t="shared" si="3"/>
        <v/>
      </c>
      <c r="H42" s="474" t="str">
        <f t="shared" si="4"/>
        <v/>
      </c>
      <c r="I42" s="474" t="str">
        <f t="shared" si="5"/>
        <v/>
      </c>
    </row>
    <row r="43" spans="1:9" x14ac:dyDescent="0.35">
      <c r="A43" s="477" t="str">
        <f t="shared" si="0"/>
        <v/>
      </c>
      <c r="B43" s="478" t="str">
        <f t="shared" si="6"/>
        <v/>
      </c>
      <c r="C43" s="478" t="str">
        <f t="shared" si="1"/>
        <v/>
      </c>
      <c r="D43" s="479" t="str">
        <f t="shared" si="2"/>
        <v/>
      </c>
      <c r="E43" s="479" t="str">
        <f t="shared" si="7"/>
        <v/>
      </c>
      <c r="G43" s="469" t="str">
        <f t="shared" si="3"/>
        <v/>
      </c>
      <c r="H43" s="474" t="str">
        <f t="shared" si="4"/>
        <v/>
      </c>
      <c r="I43" s="474" t="str">
        <f t="shared" si="5"/>
        <v/>
      </c>
    </row>
    <row r="44" spans="1:9" x14ac:dyDescent="0.35">
      <c r="A44" s="477" t="str">
        <f t="shared" si="0"/>
        <v/>
      </c>
      <c r="B44" s="478" t="str">
        <f t="shared" si="6"/>
        <v/>
      </c>
      <c r="C44" s="478" t="str">
        <f t="shared" si="1"/>
        <v/>
      </c>
      <c r="D44" s="479" t="str">
        <f t="shared" si="2"/>
        <v/>
      </c>
      <c r="E44" s="479" t="str">
        <f t="shared" si="7"/>
        <v/>
      </c>
      <c r="G44" s="469" t="str">
        <f t="shared" si="3"/>
        <v/>
      </c>
      <c r="H44" s="474" t="str">
        <f t="shared" si="4"/>
        <v/>
      </c>
      <c r="I44" s="474" t="str">
        <f t="shared" si="5"/>
        <v/>
      </c>
    </row>
    <row r="45" spans="1:9" x14ac:dyDescent="0.35">
      <c r="A45" s="477" t="str">
        <f t="shared" si="0"/>
        <v/>
      </c>
      <c r="B45" s="478" t="str">
        <f t="shared" si="6"/>
        <v/>
      </c>
      <c r="C45" s="478" t="str">
        <f t="shared" si="1"/>
        <v/>
      </c>
      <c r="D45" s="479" t="str">
        <f t="shared" si="2"/>
        <v/>
      </c>
      <c r="E45" s="479" t="str">
        <f t="shared" si="7"/>
        <v/>
      </c>
      <c r="G45" s="469" t="str">
        <f t="shared" si="3"/>
        <v/>
      </c>
      <c r="H45" s="474" t="str">
        <f t="shared" si="4"/>
        <v/>
      </c>
      <c r="I45" s="474" t="str">
        <f t="shared" si="5"/>
        <v/>
      </c>
    </row>
    <row r="46" spans="1:9" x14ac:dyDescent="0.35">
      <c r="A46" s="477" t="str">
        <f t="shared" si="0"/>
        <v/>
      </c>
      <c r="B46" s="478" t="str">
        <f t="shared" si="6"/>
        <v/>
      </c>
      <c r="C46" s="478" t="str">
        <f t="shared" si="1"/>
        <v/>
      </c>
      <c r="D46" s="479" t="str">
        <f t="shared" si="2"/>
        <v/>
      </c>
      <c r="E46" s="479" t="str">
        <f t="shared" si="7"/>
        <v/>
      </c>
      <c r="G46" s="469" t="str">
        <f t="shared" si="3"/>
        <v/>
      </c>
      <c r="H46" s="474" t="str">
        <f t="shared" si="4"/>
        <v/>
      </c>
      <c r="I46" s="474" t="str">
        <f t="shared" si="5"/>
        <v/>
      </c>
    </row>
    <row r="47" spans="1:9" x14ac:dyDescent="0.35">
      <c r="A47" s="477" t="str">
        <f t="shared" si="0"/>
        <v/>
      </c>
      <c r="B47" s="478" t="str">
        <f t="shared" si="6"/>
        <v/>
      </c>
      <c r="C47" s="478" t="str">
        <f t="shared" si="1"/>
        <v/>
      </c>
      <c r="D47" s="479" t="str">
        <f t="shared" si="2"/>
        <v/>
      </c>
      <c r="E47" s="479" t="str">
        <f t="shared" si="7"/>
        <v/>
      </c>
      <c r="G47" s="469" t="str">
        <f t="shared" si="3"/>
        <v/>
      </c>
      <c r="H47" s="474" t="str">
        <f t="shared" si="4"/>
        <v/>
      </c>
      <c r="I47" s="474" t="str">
        <f t="shared" si="5"/>
        <v/>
      </c>
    </row>
    <row r="48" spans="1:9" x14ac:dyDescent="0.35">
      <c r="A48" s="477" t="str">
        <f t="shared" si="0"/>
        <v/>
      </c>
      <c r="B48" s="478" t="str">
        <f t="shared" si="6"/>
        <v/>
      </c>
      <c r="C48" s="478" t="str">
        <f t="shared" si="1"/>
        <v/>
      </c>
      <c r="D48" s="479" t="str">
        <f t="shared" si="2"/>
        <v/>
      </c>
      <c r="E48" s="479" t="str">
        <f t="shared" si="7"/>
        <v/>
      </c>
      <c r="G48" s="469" t="str">
        <f t="shared" si="3"/>
        <v/>
      </c>
      <c r="H48" s="474" t="str">
        <f t="shared" si="4"/>
        <v/>
      </c>
      <c r="I48" s="474" t="str">
        <f t="shared" si="5"/>
        <v/>
      </c>
    </row>
    <row r="49" spans="1:9" x14ac:dyDescent="0.35">
      <c r="A49" s="477" t="str">
        <f t="shared" si="0"/>
        <v/>
      </c>
      <c r="B49" s="478" t="str">
        <f t="shared" si="6"/>
        <v/>
      </c>
      <c r="C49" s="478" t="str">
        <f t="shared" si="1"/>
        <v/>
      </c>
      <c r="D49" s="479" t="str">
        <f t="shared" si="2"/>
        <v/>
      </c>
      <c r="E49" s="479" t="str">
        <f t="shared" si="7"/>
        <v/>
      </c>
      <c r="G49" s="469" t="str">
        <f t="shared" si="3"/>
        <v/>
      </c>
      <c r="H49" s="474" t="str">
        <f t="shared" si="4"/>
        <v/>
      </c>
      <c r="I49" s="474" t="str">
        <f t="shared" si="5"/>
        <v/>
      </c>
    </row>
    <row r="50" spans="1:9" x14ac:dyDescent="0.35">
      <c r="A50" s="477" t="str">
        <f t="shared" si="0"/>
        <v/>
      </c>
      <c r="B50" s="478" t="str">
        <f t="shared" si="6"/>
        <v/>
      </c>
      <c r="C50" s="478" t="str">
        <f t="shared" si="1"/>
        <v/>
      </c>
      <c r="D50" s="479" t="str">
        <f t="shared" si="2"/>
        <v/>
      </c>
      <c r="E50" s="479" t="str">
        <f t="shared" si="7"/>
        <v/>
      </c>
      <c r="G50" s="469" t="str">
        <f t="shared" si="3"/>
        <v/>
      </c>
      <c r="H50" s="474" t="str">
        <f t="shared" si="4"/>
        <v/>
      </c>
      <c r="I50" s="474" t="str">
        <f t="shared" si="5"/>
        <v/>
      </c>
    </row>
    <row r="51" spans="1:9" x14ac:dyDescent="0.35">
      <c r="A51" s="477" t="str">
        <f t="shared" si="0"/>
        <v/>
      </c>
      <c r="B51" s="478" t="str">
        <f t="shared" si="6"/>
        <v/>
      </c>
      <c r="C51" s="478" t="str">
        <f t="shared" si="1"/>
        <v/>
      </c>
      <c r="D51" s="479" t="str">
        <f t="shared" si="2"/>
        <v/>
      </c>
      <c r="E51" s="479" t="str">
        <f t="shared" si="7"/>
        <v/>
      </c>
      <c r="G51" s="469" t="str">
        <f t="shared" si="3"/>
        <v/>
      </c>
      <c r="H51" s="474" t="str">
        <f t="shared" si="4"/>
        <v/>
      </c>
      <c r="I51" s="474" t="str">
        <f t="shared" si="5"/>
        <v/>
      </c>
    </row>
    <row r="52" spans="1:9" x14ac:dyDescent="0.35">
      <c r="A52" s="477" t="str">
        <f t="shared" si="0"/>
        <v/>
      </c>
      <c r="B52" s="478" t="str">
        <f t="shared" si="6"/>
        <v/>
      </c>
      <c r="C52" s="478" t="str">
        <f t="shared" si="1"/>
        <v/>
      </c>
      <c r="D52" s="479" t="str">
        <f t="shared" si="2"/>
        <v/>
      </c>
      <c r="E52" s="479" t="str">
        <f t="shared" si="7"/>
        <v/>
      </c>
      <c r="G52" s="469" t="str">
        <f t="shared" si="3"/>
        <v/>
      </c>
      <c r="H52" s="474" t="str">
        <f t="shared" si="4"/>
        <v/>
      </c>
      <c r="I52" s="474" t="str">
        <f t="shared" si="5"/>
        <v/>
      </c>
    </row>
    <row r="53" spans="1:9" x14ac:dyDescent="0.35">
      <c r="A53" s="477" t="str">
        <f t="shared" si="0"/>
        <v/>
      </c>
      <c r="B53" s="478" t="str">
        <f t="shared" si="6"/>
        <v/>
      </c>
      <c r="C53" s="478" t="str">
        <f t="shared" si="1"/>
        <v/>
      </c>
      <c r="D53" s="479" t="str">
        <f t="shared" si="2"/>
        <v/>
      </c>
      <c r="E53" s="479" t="str">
        <f t="shared" si="7"/>
        <v/>
      </c>
      <c r="G53" s="469" t="str">
        <f t="shared" si="3"/>
        <v/>
      </c>
      <c r="H53" s="474" t="str">
        <f t="shared" si="4"/>
        <v/>
      </c>
      <c r="I53" s="474" t="str">
        <f t="shared" si="5"/>
        <v/>
      </c>
    </row>
    <row r="54" spans="1:9" x14ac:dyDescent="0.35">
      <c r="A54" s="477" t="str">
        <f t="shared" si="0"/>
        <v/>
      </c>
      <c r="B54" s="478" t="str">
        <f t="shared" si="6"/>
        <v/>
      </c>
      <c r="C54" s="478" t="str">
        <f t="shared" si="1"/>
        <v/>
      </c>
      <c r="D54" s="479" t="str">
        <f t="shared" si="2"/>
        <v/>
      </c>
      <c r="E54" s="479" t="str">
        <f t="shared" si="7"/>
        <v/>
      </c>
      <c r="G54" s="469" t="str">
        <f t="shared" si="3"/>
        <v/>
      </c>
      <c r="H54" s="474" t="str">
        <f t="shared" si="4"/>
        <v/>
      </c>
      <c r="I54" s="474" t="str">
        <f t="shared" si="5"/>
        <v/>
      </c>
    </row>
    <row r="55" spans="1:9" x14ac:dyDescent="0.35">
      <c r="A55" s="477" t="str">
        <f t="shared" si="0"/>
        <v/>
      </c>
      <c r="B55" s="478" t="str">
        <f t="shared" si="6"/>
        <v/>
      </c>
      <c r="C55" s="478" t="str">
        <f t="shared" si="1"/>
        <v/>
      </c>
      <c r="D55" s="479" t="str">
        <f t="shared" si="2"/>
        <v/>
      </c>
      <c r="E55" s="479" t="str">
        <f t="shared" si="7"/>
        <v/>
      </c>
      <c r="G55" s="469" t="str">
        <f t="shared" si="3"/>
        <v/>
      </c>
      <c r="H55" s="474" t="str">
        <f t="shared" si="4"/>
        <v/>
      </c>
      <c r="I55" s="474" t="str">
        <f t="shared" si="5"/>
        <v/>
      </c>
    </row>
    <row r="56" spans="1:9" x14ac:dyDescent="0.35">
      <c r="A56" s="477" t="str">
        <f t="shared" si="0"/>
        <v/>
      </c>
      <c r="B56" s="478" t="str">
        <f t="shared" si="6"/>
        <v/>
      </c>
      <c r="C56" s="478" t="str">
        <f t="shared" si="1"/>
        <v/>
      </c>
      <c r="D56" s="479" t="str">
        <f t="shared" si="2"/>
        <v/>
      </c>
      <c r="E56" s="479" t="str">
        <f t="shared" si="7"/>
        <v/>
      </c>
      <c r="G56" s="469" t="str">
        <f t="shared" si="3"/>
        <v/>
      </c>
      <c r="H56" s="474" t="str">
        <f t="shared" si="4"/>
        <v/>
      </c>
      <c r="I56" s="474" t="str">
        <f t="shared" si="5"/>
        <v/>
      </c>
    </row>
    <row r="57" spans="1:9" x14ac:dyDescent="0.35">
      <c r="A57" s="477" t="str">
        <f t="shared" si="0"/>
        <v/>
      </c>
      <c r="B57" s="478" t="str">
        <f t="shared" si="6"/>
        <v/>
      </c>
      <c r="C57" s="478" t="str">
        <f t="shared" si="1"/>
        <v/>
      </c>
      <c r="D57" s="479" t="str">
        <f t="shared" si="2"/>
        <v/>
      </c>
      <c r="E57" s="479" t="str">
        <f t="shared" si="7"/>
        <v/>
      </c>
      <c r="G57" s="469" t="str">
        <f t="shared" si="3"/>
        <v/>
      </c>
      <c r="H57" s="474" t="str">
        <f t="shared" si="4"/>
        <v/>
      </c>
      <c r="I57" s="474" t="str">
        <f t="shared" si="5"/>
        <v/>
      </c>
    </row>
    <row r="58" spans="1:9" x14ac:dyDescent="0.35">
      <c r="A58" s="477" t="str">
        <f t="shared" si="0"/>
        <v/>
      </c>
      <c r="B58" s="478" t="str">
        <f t="shared" si="6"/>
        <v/>
      </c>
      <c r="C58" s="478" t="str">
        <f t="shared" si="1"/>
        <v/>
      </c>
      <c r="D58" s="479" t="str">
        <f t="shared" si="2"/>
        <v/>
      </c>
      <c r="E58" s="479" t="str">
        <f t="shared" si="7"/>
        <v/>
      </c>
      <c r="G58" s="469" t="str">
        <f t="shared" si="3"/>
        <v/>
      </c>
      <c r="H58" s="474" t="str">
        <f t="shared" si="4"/>
        <v/>
      </c>
      <c r="I58" s="474" t="str">
        <f t="shared" si="5"/>
        <v/>
      </c>
    </row>
    <row r="59" spans="1:9" x14ac:dyDescent="0.35">
      <c r="A59" s="477" t="str">
        <f t="shared" si="0"/>
        <v/>
      </c>
      <c r="B59" s="478" t="str">
        <f t="shared" si="6"/>
        <v/>
      </c>
      <c r="C59" s="478" t="str">
        <f t="shared" si="1"/>
        <v/>
      </c>
      <c r="D59" s="479" t="str">
        <f t="shared" si="2"/>
        <v/>
      </c>
      <c r="E59" s="479" t="str">
        <f t="shared" si="7"/>
        <v/>
      </c>
      <c r="G59" s="469" t="str">
        <f t="shared" si="3"/>
        <v/>
      </c>
      <c r="H59" s="474" t="str">
        <f t="shared" si="4"/>
        <v/>
      </c>
      <c r="I59" s="474" t="str">
        <f t="shared" si="5"/>
        <v/>
      </c>
    </row>
    <row r="60" spans="1:9" x14ac:dyDescent="0.35">
      <c r="A60" s="477" t="str">
        <f t="shared" si="0"/>
        <v/>
      </c>
      <c r="B60" s="478" t="str">
        <f t="shared" si="6"/>
        <v/>
      </c>
      <c r="C60" s="478" t="str">
        <f t="shared" si="1"/>
        <v/>
      </c>
      <c r="D60" s="479" t="str">
        <f t="shared" si="2"/>
        <v/>
      </c>
      <c r="E60" s="479" t="str">
        <f t="shared" si="7"/>
        <v/>
      </c>
      <c r="G60" s="469" t="str">
        <f t="shared" si="3"/>
        <v/>
      </c>
      <c r="H60" s="474" t="str">
        <f t="shared" si="4"/>
        <v/>
      </c>
      <c r="I60" s="474" t="str">
        <f t="shared" si="5"/>
        <v/>
      </c>
    </row>
    <row r="61" spans="1:9" x14ac:dyDescent="0.35">
      <c r="A61" s="477" t="str">
        <f t="shared" si="0"/>
        <v/>
      </c>
      <c r="B61" s="478" t="str">
        <f t="shared" si="6"/>
        <v/>
      </c>
      <c r="C61" s="478" t="str">
        <f t="shared" si="1"/>
        <v/>
      </c>
      <c r="D61" s="479" t="str">
        <f t="shared" si="2"/>
        <v/>
      </c>
      <c r="E61" s="479" t="str">
        <f t="shared" si="7"/>
        <v/>
      </c>
      <c r="G61" s="469" t="str">
        <f t="shared" si="3"/>
        <v/>
      </c>
      <c r="H61" s="474" t="str">
        <f t="shared" si="4"/>
        <v/>
      </c>
      <c r="I61" s="474" t="str">
        <f t="shared" si="5"/>
        <v/>
      </c>
    </row>
    <row r="62" spans="1:9" x14ac:dyDescent="0.35">
      <c r="A62" s="477" t="str">
        <f t="shared" si="0"/>
        <v/>
      </c>
      <c r="B62" s="478" t="str">
        <f t="shared" si="6"/>
        <v/>
      </c>
      <c r="C62" s="478" t="str">
        <f t="shared" si="1"/>
        <v/>
      </c>
      <c r="D62" s="479" t="str">
        <f t="shared" si="2"/>
        <v/>
      </c>
      <c r="E62" s="479" t="str">
        <f t="shared" si="7"/>
        <v/>
      </c>
      <c r="G62" s="469" t="str">
        <f t="shared" si="3"/>
        <v/>
      </c>
      <c r="H62" s="474" t="str">
        <f t="shared" si="4"/>
        <v/>
      </c>
      <c r="I62" s="474" t="str">
        <f t="shared" si="5"/>
        <v/>
      </c>
    </row>
    <row r="63" spans="1:9" x14ac:dyDescent="0.35">
      <c r="A63" s="477" t="str">
        <f t="shared" si="0"/>
        <v/>
      </c>
      <c r="B63" s="478" t="str">
        <f t="shared" si="6"/>
        <v/>
      </c>
      <c r="C63" s="478" t="str">
        <f t="shared" si="1"/>
        <v/>
      </c>
      <c r="D63" s="479" t="str">
        <f t="shared" si="2"/>
        <v/>
      </c>
      <c r="E63" s="479" t="str">
        <f t="shared" si="7"/>
        <v/>
      </c>
      <c r="G63" s="469" t="str">
        <f t="shared" si="3"/>
        <v/>
      </c>
      <c r="H63" s="474" t="str">
        <f t="shared" si="4"/>
        <v/>
      </c>
      <c r="I63" s="474" t="str">
        <f t="shared" si="5"/>
        <v/>
      </c>
    </row>
    <row r="64" spans="1:9" x14ac:dyDescent="0.35">
      <c r="A64" s="477" t="str">
        <f t="shared" si="0"/>
        <v/>
      </c>
      <c r="B64" s="478" t="str">
        <f t="shared" si="6"/>
        <v/>
      </c>
      <c r="C64" s="478" t="str">
        <f t="shared" si="1"/>
        <v/>
      </c>
      <c r="D64" s="479" t="str">
        <f t="shared" si="2"/>
        <v/>
      </c>
      <c r="E64" s="479" t="str">
        <f t="shared" si="7"/>
        <v/>
      </c>
      <c r="G64" s="469" t="str">
        <f t="shared" si="3"/>
        <v/>
      </c>
      <c r="H64" s="474" t="str">
        <f t="shared" si="4"/>
        <v/>
      </c>
      <c r="I64" s="474" t="str">
        <f t="shared" si="5"/>
        <v/>
      </c>
    </row>
    <row r="65" spans="1:9" x14ac:dyDescent="0.35">
      <c r="A65" s="477" t="str">
        <f t="shared" si="0"/>
        <v/>
      </c>
      <c r="B65" s="478" t="str">
        <f t="shared" si="6"/>
        <v/>
      </c>
      <c r="C65" s="478" t="str">
        <f t="shared" si="1"/>
        <v/>
      </c>
      <c r="D65" s="479" t="str">
        <f t="shared" si="2"/>
        <v/>
      </c>
      <c r="E65" s="479" t="str">
        <f t="shared" si="7"/>
        <v/>
      </c>
      <c r="G65" s="469" t="str">
        <f t="shared" si="3"/>
        <v/>
      </c>
      <c r="H65" s="474" t="str">
        <f t="shared" si="4"/>
        <v/>
      </c>
      <c r="I65" s="474" t="str">
        <f t="shared" si="5"/>
        <v/>
      </c>
    </row>
    <row r="66" spans="1:9" x14ac:dyDescent="0.35">
      <c r="A66" s="477" t="str">
        <f t="shared" si="0"/>
        <v/>
      </c>
      <c r="B66" s="478" t="str">
        <f t="shared" si="6"/>
        <v/>
      </c>
      <c r="C66" s="478" t="str">
        <f t="shared" si="1"/>
        <v/>
      </c>
      <c r="D66" s="479" t="str">
        <f t="shared" si="2"/>
        <v/>
      </c>
      <c r="E66" s="479" t="str">
        <f t="shared" si="7"/>
        <v/>
      </c>
      <c r="G66" s="469" t="str">
        <f t="shared" si="3"/>
        <v/>
      </c>
      <c r="H66" s="474" t="str">
        <f t="shared" si="4"/>
        <v/>
      </c>
      <c r="I66" s="474" t="str">
        <f t="shared" si="5"/>
        <v/>
      </c>
    </row>
    <row r="67" spans="1:9" x14ac:dyDescent="0.35">
      <c r="A67" s="477" t="str">
        <f t="shared" si="0"/>
        <v/>
      </c>
      <c r="B67" s="478" t="str">
        <f t="shared" si="6"/>
        <v/>
      </c>
      <c r="C67" s="478" t="str">
        <f t="shared" si="1"/>
        <v/>
      </c>
      <c r="D67" s="479" t="str">
        <f t="shared" si="2"/>
        <v/>
      </c>
      <c r="E67" s="479" t="str">
        <f t="shared" si="7"/>
        <v/>
      </c>
      <c r="G67" s="469" t="str">
        <f t="shared" si="3"/>
        <v/>
      </c>
      <c r="H67" s="474" t="str">
        <f t="shared" si="4"/>
        <v/>
      </c>
      <c r="I67" s="474" t="str">
        <f t="shared" si="5"/>
        <v/>
      </c>
    </row>
    <row r="68" spans="1:9" x14ac:dyDescent="0.35">
      <c r="A68" s="477" t="str">
        <f t="shared" si="0"/>
        <v/>
      </c>
      <c r="B68" s="478" t="str">
        <f t="shared" si="6"/>
        <v/>
      </c>
      <c r="C68" s="478" t="str">
        <f t="shared" si="1"/>
        <v/>
      </c>
      <c r="D68" s="479" t="str">
        <f t="shared" si="2"/>
        <v/>
      </c>
      <c r="E68" s="479" t="str">
        <f t="shared" si="7"/>
        <v/>
      </c>
      <c r="G68" s="469" t="str">
        <f t="shared" si="3"/>
        <v/>
      </c>
      <c r="H68" s="474" t="str">
        <f t="shared" si="4"/>
        <v/>
      </c>
      <c r="I68" s="474" t="str">
        <f t="shared" si="5"/>
        <v/>
      </c>
    </row>
    <row r="69" spans="1:9" x14ac:dyDescent="0.35">
      <c r="A69" s="477" t="str">
        <f t="shared" si="0"/>
        <v/>
      </c>
      <c r="B69" s="478" t="str">
        <f t="shared" si="6"/>
        <v/>
      </c>
      <c r="C69" s="478" t="str">
        <f t="shared" si="1"/>
        <v/>
      </c>
      <c r="D69" s="479" t="str">
        <f t="shared" si="2"/>
        <v/>
      </c>
      <c r="E69" s="479" t="str">
        <f t="shared" si="7"/>
        <v/>
      </c>
      <c r="G69" s="469" t="str">
        <f t="shared" si="3"/>
        <v/>
      </c>
      <c r="H69" s="474" t="str">
        <f t="shared" si="4"/>
        <v/>
      </c>
      <c r="I69" s="474" t="str">
        <f t="shared" si="5"/>
        <v/>
      </c>
    </row>
    <row r="70" spans="1:9" x14ac:dyDescent="0.35">
      <c r="A70" s="477" t="str">
        <f t="shared" si="0"/>
        <v/>
      </c>
      <c r="B70" s="478" t="str">
        <f t="shared" si="6"/>
        <v/>
      </c>
      <c r="C70" s="478" t="str">
        <f t="shared" si="1"/>
        <v/>
      </c>
      <c r="D70" s="479" t="str">
        <f t="shared" si="2"/>
        <v/>
      </c>
      <c r="E70" s="479" t="str">
        <f t="shared" si="7"/>
        <v/>
      </c>
      <c r="G70" s="469" t="str">
        <f t="shared" si="3"/>
        <v/>
      </c>
      <c r="H70" s="474" t="str">
        <f t="shared" si="4"/>
        <v/>
      </c>
      <c r="I70" s="474" t="str">
        <f t="shared" si="5"/>
        <v/>
      </c>
    </row>
    <row r="71" spans="1:9" x14ac:dyDescent="0.35">
      <c r="A71" s="477" t="str">
        <f t="shared" si="0"/>
        <v/>
      </c>
      <c r="B71" s="478" t="str">
        <f t="shared" si="6"/>
        <v/>
      </c>
      <c r="C71" s="478" t="str">
        <f t="shared" si="1"/>
        <v/>
      </c>
      <c r="D71" s="479" t="str">
        <f t="shared" si="2"/>
        <v/>
      </c>
      <c r="E71" s="479" t="str">
        <f t="shared" si="7"/>
        <v/>
      </c>
      <c r="G71" s="469" t="str">
        <f t="shared" si="3"/>
        <v/>
      </c>
      <c r="H71" s="474" t="str">
        <f t="shared" si="4"/>
        <v/>
      </c>
      <c r="I71" s="474" t="str">
        <f t="shared" si="5"/>
        <v/>
      </c>
    </row>
    <row r="72" spans="1:9" x14ac:dyDescent="0.35">
      <c r="A72" s="477" t="str">
        <f t="shared" si="0"/>
        <v/>
      </c>
      <c r="B72" s="478" t="str">
        <f t="shared" si="6"/>
        <v/>
      </c>
      <c r="C72" s="478" t="str">
        <f t="shared" si="1"/>
        <v/>
      </c>
      <c r="D72" s="479" t="str">
        <f t="shared" si="2"/>
        <v/>
      </c>
      <c r="E72" s="479" t="str">
        <f t="shared" si="7"/>
        <v/>
      </c>
      <c r="G72" s="469" t="str">
        <f t="shared" si="3"/>
        <v/>
      </c>
      <c r="H72" s="474" t="str">
        <f t="shared" si="4"/>
        <v/>
      </c>
      <c r="I72" s="474" t="str">
        <f t="shared" si="5"/>
        <v/>
      </c>
    </row>
    <row r="73" spans="1:9" x14ac:dyDescent="0.35">
      <c r="A73" s="477" t="str">
        <f t="shared" ref="A73:A119" si="8">IF(ISTEXT(A72),"",IF((A72+1)&lt;=$B$2,A72+1,IF(ISTEXT(A72),"","RR")))</f>
        <v/>
      </c>
      <c r="B73" s="478" t="str">
        <f t="shared" si="6"/>
        <v/>
      </c>
      <c r="C73" s="478" t="str">
        <f t="shared" ref="C73:C119" si="9">IF(OR(B72=1,B72=""),IF(OR(C72=1,C72=""),"",1),0.5025*(B73^2)+0.4068*(B73))</f>
        <v/>
      </c>
      <c r="D73" s="479" t="str">
        <f t="shared" ref="D73:D119" si="10">IF(C73="","",$B$5*C73)</f>
        <v/>
      </c>
      <c r="E73" s="479" t="str">
        <f t="shared" si="7"/>
        <v/>
      </c>
      <c r="G73" s="469" t="str">
        <f t="shared" ref="G73:G87" si="11">IF(OR(A73&lt;=$B$2,A73="RR"),IF(A73="RR",$B$2,A73),"")</f>
        <v/>
      </c>
      <c r="H73" s="474" t="str">
        <f t="shared" ref="H73:H119" si="12">IF(ISNUMBER(E73),E73,"")</f>
        <v/>
      </c>
      <c r="I73" s="474" t="str">
        <f t="shared" ref="I73:I119" si="13">IF(ISNUMBER(D73),D73,"")</f>
        <v/>
      </c>
    </row>
    <row r="74" spans="1:9" x14ac:dyDescent="0.35">
      <c r="A74" s="477" t="str">
        <f t="shared" si="8"/>
        <v/>
      </c>
      <c r="B74" s="478" t="str">
        <f t="shared" ref="B74:B119" si="14">IF(OR(B73=1,B73=""),"",A74/$B$2)</f>
        <v/>
      </c>
      <c r="C74" s="478" t="str">
        <f t="shared" si="9"/>
        <v/>
      </c>
      <c r="D74" s="479" t="str">
        <f t="shared" si="10"/>
        <v/>
      </c>
      <c r="E74" s="479" t="str">
        <f t="shared" ref="E74:E119" si="15">IF(ISERROR(D74-D73),"",D74-D73)</f>
        <v/>
      </c>
      <c r="G74" s="469" t="str">
        <f t="shared" si="11"/>
        <v/>
      </c>
      <c r="H74" s="474" t="str">
        <f t="shared" si="12"/>
        <v/>
      </c>
      <c r="I74" s="474" t="str">
        <f t="shared" si="13"/>
        <v/>
      </c>
    </row>
    <row r="75" spans="1:9" x14ac:dyDescent="0.35">
      <c r="A75" s="477" t="str">
        <f t="shared" si="8"/>
        <v/>
      </c>
      <c r="B75" s="478" t="str">
        <f t="shared" si="14"/>
        <v/>
      </c>
      <c r="C75" s="478" t="str">
        <f t="shared" si="9"/>
        <v/>
      </c>
      <c r="D75" s="479" t="str">
        <f t="shared" si="10"/>
        <v/>
      </c>
      <c r="E75" s="479" t="str">
        <f t="shared" si="15"/>
        <v/>
      </c>
      <c r="G75" s="469" t="str">
        <f t="shared" si="11"/>
        <v/>
      </c>
      <c r="H75" s="474" t="str">
        <f t="shared" si="12"/>
        <v/>
      </c>
      <c r="I75" s="474" t="str">
        <f t="shared" si="13"/>
        <v/>
      </c>
    </row>
    <row r="76" spans="1:9" x14ac:dyDescent="0.35">
      <c r="A76" s="477" t="str">
        <f t="shared" si="8"/>
        <v/>
      </c>
      <c r="B76" s="478" t="str">
        <f t="shared" si="14"/>
        <v/>
      </c>
      <c r="C76" s="478" t="str">
        <f t="shared" si="9"/>
        <v/>
      </c>
      <c r="D76" s="479" t="str">
        <f t="shared" si="10"/>
        <v/>
      </c>
      <c r="E76" s="479" t="str">
        <f t="shared" si="15"/>
        <v/>
      </c>
      <c r="G76" s="469" t="str">
        <f t="shared" si="11"/>
        <v/>
      </c>
      <c r="H76" s="474" t="str">
        <f t="shared" si="12"/>
        <v/>
      </c>
      <c r="I76" s="474" t="str">
        <f t="shared" si="13"/>
        <v/>
      </c>
    </row>
    <row r="77" spans="1:9" x14ac:dyDescent="0.35">
      <c r="A77" s="477" t="str">
        <f t="shared" si="8"/>
        <v/>
      </c>
      <c r="B77" s="478" t="str">
        <f t="shared" si="14"/>
        <v/>
      </c>
      <c r="C77" s="478" t="str">
        <f t="shared" si="9"/>
        <v/>
      </c>
      <c r="D77" s="479" t="str">
        <f t="shared" si="10"/>
        <v/>
      </c>
      <c r="E77" s="479" t="str">
        <f t="shared" si="15"/>
        <v/>
      </c>
      <c r="G77" s="469" t="str">
        <f t="shared" si="11"/>
        <v/>
      </c>
      <c r="H77" s="474" t="str">
        <f t="shared" si="12"/>
        <v/>
      </c>
      <c r="I77" s="474" t="str">
        <f t="shared" si="13"/>
        <v/>
      </c>
    </row>
    <row r="78" spans="1:9" x14ac:dyDescent="0.35">
      <c r="A78" s="477" t="str">
        <f t="shared" si="8"/>
        <v/>
      </c>
      <c r="B78" s="478" t="str">
        <f t="shared" si="14"/>
        <v/>
      </c>
      <c r="C78" s="478" t="str">
        <f t="shared" si="9"/>
        <v/>
      </c>
      <c r="D78" s="479" t="str">
        <f t="shared" si="10"/>
        <v/>
      </c>
      <c r="E78" s="479" t="str">
        <f t="shared" si="15"/>
        <v/>
      </c>
      <c r="G78" s="469" t="str">
        <f t="shared" si="11"/>
        <v/>
      </c>
      <c r="H78" s="474" t="str">
        <f t="shared" si="12"/>
        <v/>
      </c>
      <c r="I78" s="474" t="str">
        <f t="shared" si="13"/>
        <v/>
      </c>
    </row>
    <row r="79" spans="1:9" x14ac:dyDescent="0.35">
      <c r="A79" s="477" t="str">
        <f t="shared" si="8"/>
        <v/>
      </c>
      <c r="B79" s="478" t="str">
        <f t="shared" si="14"/>
        <v/>
      </c>
      <c r="C79" s="478" t="str">
        <f t="shared" si="9"/>
        <v/>
      </c>
      <c r="D79" s="479" t="str">
        <f t="shared" si="10"/>
        <v/>
      </c>
      <c r="E79" s="479" t="str">
        <f t="shared" si="15"/>
        <v/>
      </c>
      <c r="G79" s="469" t="str">
        <f t="shared" si="11"/>
        <v/>
      </c>
      <c r="H79" s="474" t="str">
        <f t="shared" si="12"/>
        <v/>
      </c>
      <c r="I79" s="474" t="str">
        <f t="shared" si="13"/>
        <v/>
      </c>
    </row>
    <row r="80" spans="1:9" x14ac:dyDescent="0.35">
      <c r="A80" s="477" t="str">
        <f t="shared" si="8"/>
        <v/>
      </c>
      <c r="B80" s="478" t="str">
        <f t="shared" si="14"/>
        <v/>
      </c>
      <c r="C80" s="478" t="str">
        <f t="shared" si="9"/>
        <v/>
      </c>
      <c r="D80" s="479" t="str">
        <f t="shared" si="10"/>
        <v/>
      </c>
      <c r="E80" s="479" t="str">
        <f t="shared" si="15"/>
        <v/>
      </c>
      <c r="G80" s="469" t="str">
        <f t="shared" si="11"/>
        <v/>
      </c>
      <c r="H80" s="474" t="str">
        <f t="shared" si="12"/>
        <v/>
      </c>
      <c r="I80" s="474" t="str">
        <f t="shared" si="13"/>
        <v/>
      </c>
    </row>
    <row r="81" spans="1:9" x14ac:dyDescent="0.35">
      <c r="A81" s="477" t="str">
        <f t="shared" si="8"/>
        <v/>
      </c>
      <c r="B81" s="478" t="str">
        <f t="shared" si="14"/>
        <v/>
      </c>
      <c r="C81" s="478" t="str">
        <f t="shared" si="9"/>
        <v/>
      </c>
      <c r="D81" s="479" t="str">
        <f t="shared" si="10"/>
        <v/>
      </c>
      <c r="E81" s="479" t="str">
        <f t="shared" si="15"/>
        <v/>
      </c>
      <c r="G81" s="469" t="str">
        <f t="shared" si="11"/>
        <v/>
      </c>
      <c r="H81" s="474" t="str">
        <f t="shared" si="12"/>
        <v/>
      </c>
      <c r="I81" s="474" t="str">
        <f t="shared" si="13"/>
        <v/>
      </c>
    </row>
    <row r="82" spans="1:9" x14ac:dyDescent="0.35">
      <c r="A82" s="477" t="str">
        <f t="shared" si="8"/>
        <v/>
      </c>
      <c r="B82" s="478" t="str">
        <f t="shared" si="14"/>
        <v/>
      </c>
      <c r="C82" s="478" t="str">
        <f t="shared" si="9"/>
        <v/>
      </c>
      <c r="D82" s="479" t="str">
        <f t="shared" si="10"/>
        <v/>
      </c>
      <c r="E82" s="479" t="str">
        <f t="shared" si="15"/>
        <v/>
      </c>
      <c r="G82" s="469" t="str">
        <f t="shared" si="11"/>
        <v/>
      </c>
      <c r="H82" s="474" t="str">
        <f t="shared" si="12"/>
        <v/>
      </c>
      <c r="I82" s="474" t="str">
        <f t="shared" si="13"/>
        <v/>
      </c>
    </row>
    <row r="83" spans="1:9" x14ac:dyDescent="0.35">
      <c r="A83" s="477" t="str">
        <f t="shared" si="8"/>
        <v/>
      </c>
      <c r="B83" s="478" t="str">
        <f t="shared" si="14"/>
        <v/>
      </c>
      <c r="C83" s="478" t="str">
        <f t="shared" si="9"/>
        <v/>
      </c>
      <c r="D83" s="479" t="str">
        <f t="shared" si="10"/>
        <v/>
      </c>
      <c r="E83" s="479" t="str">
        <f t="shared" si="15"/>
        <v/>
      </c>
      <c r="G83" s="469" t="str">
        <f t="shared" si="11"/>
        <v/>
      </c>
      <c r="H83" s="474" t="str">
        <f t="shared" si="12"/>
        <v/>
      </c>
      <c r="I83" s="474" t="str">
        <f t="shared" si="13"/>
        <v/>
      </c>
    </row>
    <row r="84" spans="1:9" x14ac:dyDescent="0.35">
      <c r="A84" s="477" t="str">
        <f t="shared" si="8"/>
        <v/>
      </c>
      <c r="B84" s="478" t="str">
        <f t="shared" si="14"/>
        <v/>
      </c>
      <c r="C84" s="478" t="str">
        <f t="shared" si="9"/>
        <v/>
      </c>
      <c r="D84" s="479" t="str">
        <f t="shared" si="10"/>
        <v/>
      </c>
      <c r="E84" s="479" t="str">
        <f t="shared" si="15"/>
        <v/>
      </c>
      <c r="G84" s="469" t="str">
        <f t="shared" si="11"/>
        <v/>
      </c>
      <c r="H84" s="474" t="str">
        <f t="shared" si="12"/>
        <v/>
      </c>
      <c r="I84" s="474" t="str">
        <f t="shared" si="13"/>
        <v/>
      </c>
    </row>
    <row r="85" spans="1:9" x14ac:dyDescent="0.35">
      <c r="A85" s="477" t="str">
        <f t="shared" si="8"/>
        <v/>
      </c>
      <c r="B85" s="478" t="str">
        <f t="shared" si="14"/>
        <v/>
      </c>
      <c r="C85" s="478" t="str">
        <f t="shared" si="9"/>
        <v/>
      </c>
      <c r="D85" s="479" t="str">
        <f t="shared" si="10"/>
        <v/>
      </c>
      <c r="E85" s="479" t="str">
        <f t="shared" si="15"/>
        <v/>
      </c>
      <c r="G85" s="469" t="str">
        <f t="shared" si="11"/>
        <v/>
      </c>
      <c r="H85" s="474" t="str">
        <f t="shared" si="12"/>
        <v/>
      </c>
      <c r="I85" s="474" t="str">
        <f t="shared" si="13"/>
        <v/>
      </c>
    </row>
    <row r="86" spans="1:9" x14ac:dyDescent="0.35">
      <c r="A86" s="477" t="str">
        <f t="shared" si="8"/>
        <v/>
      </c>
      <c r="B86" s="478" t="str">
        <f t="shared" si="14"/>
        <v/>
      </c>
      <c r="C86" s="478" t="str">
        <f t="shared" si="9"/>
        <v/>
      </c>
      <c r="D86" s="479" t="str">
        <f t="shared" si="10"/>
        <v/>
      </c>
      <c r="E86" s="479" t="str">
        <f t="shared" si="15"/>
        <v/>
      </c>
      <c r="G86" s="469" t="str">
        <f t="shared" si="11"/>
        <v/>
      </c>
      <c r="H86" s="474" t="str">
        <f t="shared" si="12"/>
        <v/>
      </c>
      <c r="I86" s="474" t="str">
        <f t="shared" si="13"/>
        <v/>
      </c>
    </row>
    <row r="87" spans="1:9" x14ac:dyDescent="0.35">
      <c r="A87" s="477" t="str">
        <f t="shared" si="8"/>
        <v/>
      </c>
      <c r="B87" s="478" t="str">
        <f t="shared" si="14"/>
        <v/>
      </c>
      <c r="C87" s="478" t="str">
        <f t="shared" si="9"/>
        <v/>
      </c>
      <c r="D87" s="479" t="str">
        <f t="shared" si="10"/>
        <v/>
      </c>
      <c r="E87" s="479" t="str">
        <f t="shared" si="15"/>
        <v/>
      </c>
      <c r="G87" s="469" t="str">
        <f t="shared" si="11"/>
        <v/>
      </c>
      <c r="H87" s="474" t="str">
        <f t="shared" si="12"/>
        <v/>
      </c>
      <c r="I87" s="474" t="str">
        <f t="shared" si="13"/>
        <v/>
      </c>
    </row>
    <row r="88" spans="1:9" x14ac:dyDescent="0.35">
      <c r="A88" s="477" t="str">
        <f t="shared" si="8"/>
        <v/>
      </c>
      <c r="B88" s="478" t="str">
        <f t="shared" si="14"/>
        <v/>
      </c>
      <c r="C88" s="478" t="str">
        <f t="shared" si="9"/>
        <v/>
      </c>
      <c r="D88" s="479" t="str">
        <f t="shared" si="10"/>
        <v/>
      </c>
      <c r="E88" s="479" t="str">
        <f t="shared" si="15"/>
        <v/>
      </c>
      <c r="G88" s="469" t="str">
        <f t="shared" ref="G88:G119" si="16">IF(A88&lt;=$B$2,IF(A88="RR",$B$2,A88),"")</f>
        <v/>
      </c>
      <c r="H88" s="474" t="str">
        <f t="shared" si="12"/>
        <v/>
      </c>
      <c r="I88" s="474" t="str">
        <f t="shared" si="13"/>
        <v/>
      </c>
    </row>
    <row r="89" spans="1:9" x14ac:dyDescent="0.35">
      <c r="A89" s="477" t="str">
        <f t="shared" si="8"/>
        <v/>
      </c>
      <c r="B89" s="478" t="str">
        <f t="shared" si="14"/>
        <v/>
      </c>
      <c r="C89" s="478" t="str">
        <f t="shared" si="9"/>
        <v/>
      </c>
      <c r="D89" s="479" t="str">
        <f t="shared" si="10"/>
        <v/>
      </c>
      <c r="E89" s="479" t="str">
        <f t="shared" si="15"/>
        <v/>
      </c>
      <c r="G89" s="469" t="str">
        <f t="shared" si="16"/>
        <v/>
      </c>
      <c r="H89" s="474" t="str">
        <f t="shared" si="12"/>
        <v/>
      </c>
      <c r="I89" s="474" t="str">
        <f t="shared" si="13"/>
        <v/>
      </c>
    </row>
    <row r="90" spans="1:9" x14ac:dyDescent="0.35">
      <c r="A90" s="477" t="str">
        <f t="shared" si="8"/>
        <v/>
      </c>
      <c r="B90" s="478" t="str">
        <f t="shared" si="14"/>
        <v/>
      </c>
      <c r="C90" s="478" t="str">
        <f t="shared" si="9"/>
        <v/>
      </c>
      <c r="D90" s="479" t="str">
        <f t="shared" si="10"/>
        <v/>
      </c>
      <c r="E90" s="479" t="str">
        <f t="shared" si="15"/>
        <v/>
      </c>
      <c r="G90" s="469" t="str">
        <f t="shared" si="16"/>
        <v/>
      </c>
      <c r="H90" s="474" t="str">
        <f t="shared" si="12"/>
        <v/>
      </c>
      <c r="I90" s="474" t="str">
        <f t="shared" si="13"/>
        <v/>
      </c>
    </row>
    <row r="91" spans="1:9" x14ac:dyDescent="0.35">
      <c r="A91" s="477" t="str">
        <f t="shared" si="8"/>
        <v/>
      </c>
      <c r="B91" s="478" t="str">
        <f t="shared" si="14"/>
        <v/>
      </c>
      <c r="C91" s="478" t="str">
        <f t="shared" si="9"/>
        <v/>
      </c>
      <c r="D91" s="479" t="str">
        <f t="shared" si="10"/>
        <v/>
      </c>
      <c r="E91" s="479" t="str">
        <f t="shared" si="15"/>
        <v/>
      </c>
      <c r="G91" s="469" t="str">
        <f t="shared" si="16"/>
        <v/>
      </c>
      <c r="H91" s="474" t="str">
        <f t="shared" si="12"/>
        <v/>
      </c>
      <c r="I91" s="474" t="str">
        <f t="shared" si="13"/>
        <v/>
      </c>
    </row>
    <row r="92" spans="1:9" x14ac:dyDescent="0.35">
      <c r="A92" s="477" t="str">
        <f t="shared" si="8"/>
        <v/>
      </c>
      <c r="B92" s="478" t="str">
        <f t="shared" si="14"/>
        <v/>
      </c>
      <c r="C92" s="478" t="str">
        <f t="shared" si="9"/>
        <v/>
      </c>
      <c r="D92" s="479" t="str">
        <f t="shared" si="10"/>
        <v/>
      </c>
      <c r="E92" s="479" t="str">
        <f t="shared" si="15"/>
        <v/>
      </c>
      <c r="G92" s="469" t="str">
        <f t="shared" si="16"/>
        <v/>
      </c>
      <c r="H92" s="474" t="str">
        <f t="shared" si="12"/>
        <v/>
      </c>
      <c r="I92" s="474" t="str">
        <f t="shared" si="13"/>
        <v/>
      </c>
    </row>
    <row r="93" spans="1:9" x14ac:dyDescent="0.35">
      <c r="A93" s="477" t="str">
        <f t="shared" si="8"/>
        <v/>
      </c>
      <c r="B93" s="478" t="str">
        <f t="shared" si="14"/>
        <v/>
      </c>
      <c r="C93" s="478" t="str">
        <f t="shared" si="9"/>
        <v/>
      </c>
      <c r="D93" s="479" t="str">
        <f t="shared" si="10"/>
        <v/>
      </c>
      <c r="E93" s="479" t="str">
        <f t="shared" si="15"/>
        <v/>
      </c>
      <c r="G93" s="469" t="str">
        <f t="shared" si="16"/>
        <v/>
      </c>
      <c r="H93" s="474" t="str">
        <f t="shared" si="12"/>
        <v/>
      </c>
      <c r="I93" s="474" t="str">
        <f t="shared" si="13"/>
        <v/>
      </c>
    </row>
    <row r="94" spans="1:9" x14ac:dyDescent="0.35">
      <c r="A94" s="477" t="str">
        <f t="shared" si="8"/>
        <v/>
      </c>
      <c r="B94" s="478" t="str">
        <f t="shared" si="14"/>
        <v/>
      </c>
      <c r="C94" s="478" t="str">
        <f t="shared" si="9"/>
        <v/>
      </c>
      <c r="D94" s="479" t="str">
        <f t="shared" si="10"/>
        <v/>
      </c>
      <c r="E94" s="479" t="str">
        <f t="shared" si="15"/>
        <v/>
      </c>
      <c r="G94" s="469" t="str">
        <f t="shared" si="16"/>
        <v/>
      </c>
      <c r="H94" s="474" t="str">
        <f t="shared" si="12"/>
        <v/>
      </c>
      <c r="I94" s="474" t="str">
        <f t="shared" si="13"/>
        <v/>
      </c>
    </row>
    <row r="95" spans="1:9" x14ac:dyDescent="0.35">
      <c r="A95" s="477" t="str">
        <f t="shared" si="8"/>
        <v/>
      </c>
      <c r="B95" s="478" t="str">
        <f t="shared" si="14"/>
        <v/>
      </c>
      <c r="C95" s="478" t="str">
        <f t="shared" si="9"/>
        <v/>
      </c>
      <c r="D95" s="479" t="str">
        <f t="shared" si="10"/>
        <v/>
      </c>
      <c r="E95" s="479" t="str">
        <f t="shared" si="15"/>
        <v/>
      </c>
      <c r="G95" s="469" t="str">
        <f t="shared" si="16"/>
        <v/>
      </c>
      <c r="H95" s="474" t="str">
        <f t="shared" si="12"/>
        <v/>
      </c>
      <c r="I95" s="474" t="str">
        <f t="shared" si="13"/>
        <v/>
      </c>
    </row>
    <row r="96" spans="1:9" x14ac:dyDescent="0.35">
      <c r="A96" s="477" t="str">
        <f t="shared" si="8"/>
        <v/>
      </c>
      <c r="B96" s="478" t="str">
        <f t="shared" si="14"/>
        <v/>
      </c>
      <c r="C96" s="478" t="str">
        <f t="shared" si="9"/>
        <v/>
      </c>
      <c r="D96" s="479" t="str">
        <f t="shared" si="10"/>
        <v/>
      </c>
      <c r="E96" s="479" t="str">
        <f t="shared" si="15"/>
        <v/>
      </c>
      <c r="G96" s="469" t="str">
        <f t="shared" si="16"/>
        <v/>
      </c>
      <c r="H96" s="474" t="str">
        <f t="shared" si="12"/>
        <v/>
      </c>
      <c r="I96" s="474" t="str">
        <f t="shared" si="13"/>
        <v/>
      </c>
    </row>
    <row r="97" spans="1:9" x14ac:dyDescent="0.35">
      <c r="A97" s="477" t="str">
        <f t="shared" si="8"/>
        <v/>
      </c>
      <c r="B97" s="478" t="str">
        <f t="shared" si="14"/>
        <v/>
      </c>
      <c r="C97" s="478" t="str">
        <f t="shared" si="9"/>
        <v/>
      </c>
      <c r="D97" s="479" t="str">
        <f t="shared" si="10"/>
        <v/>
      </c>
      <c r="E97" s="479" t="str">
        <f t="shared" si="15"/>
        <v/>
      </c>
      <c r="G97" s="469" t="str">
        <f t="shared" si="16"/>
        <v/>
      </c>
      <c r="H97" s="474" t="str">
        <f t="shared" si="12"/>
        <v/>
      </c>
      <c r="I97" s="474" t="str">
        <f t="shared" si="13"/>
        <v/>
      </c>
    </row>
    <row r="98" spans="1:9" x14ac:dyDescent="0.35">
      <c r="A98" s="477" t="str">
        <f t="shared" si="8"/>
        <v/>
      </c>
      <c r="B98" s="478" t="str">
        <f t="shared" si="14"/>
        <v/>
      </c>
      <c r="C98" s="478" t="str">
        <f t="shared" si="9"/>
        <v/>
      </c>
      <c r="D98" s="479" t="str">
        <f t="shared" si="10"/>
        <v/>
      </c>
      <c r="E98" s="479" t="str">
        <f t="shared" si="15"/>
        <v/>
      </c>
      <c r="G98" s="469" t="str">
        <f t="shared" si="16"/>
        <v/>
      </c>
      <c r="H98" s="474" t="str">
        <f t="shared" si="12"/>
        <v/>
      </c>
      <c r="I98" s="474" t="str">
        <f t="shared" si="13"/>
        <v/>
      </c>
    </row>
    <row r="99" spans="1:9" x14ac:dyDescent="0.35">
      <c r="A99" s="477" t="str">
        <f t="shared" si="8"/>
        <v/>
      </c>
      <c r="B99" s="478" t="str">
        <f t="shared" si="14"/>
        <v/>
      </c>
      <c r="C99" s="478" t="str">
        <f t="shared" si="9"/>
        <v/>
      </c>
      <c r="D99" s="479" t="str">
        <f t="shared" si="10"/>
        <v/>
      </c>
      <c r="E99" s="479" t="str">
        <f t="shared" si="15"/>
        <v/>
      </c>
      <c r="G99" s="469" t="str">
        <f t="shared" si="16"/>
        <v/>
      </c>
      <c r="H99" s="474" t="str">
        <f t="shared" si="12"/>
        <v/>
      </c>
      <c r="I99" s="474" t="str">
        <f t="shared" si="13"/>
        <v/>
      </c>
    </row>
    <row r="100" spans="1:9" x14ac:dyDescent="0.35">
      <c r="A100" s="477" t="str">
        <f t="shared" si="8"/>
        <v/>
      </c>
      <c r="B100" s="478" t="str">
        <f t="shared" si="14"/>
        <v/>
      </c>
      <c r="C100" s="478" t="str">
        <f t="shared" si="9"/>
        <v/>
      </c>
      <c r="D100" s="479" t="str">
        <f t="shared" si="10"/>
        <v/>
      </c>
      <c r="E100" s="479" t="str">
        <f t="shared" si="15"/>
        <v/>
      </c>
      <c r="G100" s="469" t="str">
        <f t="shared" si="16"/>
        <v/>
      </c>
      <c r="H100" s="474" t="str">
        <f t="shared" si="12"/>
        <v/>
      </c>
      <c r="I100" s="474" t="str">
        <f t="shared" si="13"/>
        <v/>
      </c>
    </row>
    <row r="101" spans="1:9" x14ac:dyDescent="0.35">
      <c r="A101" s="477" t="str">
        <f t="shared" si="8"/>
        <v/>
      </c>
      <c r="B101" s="478" t="str">
        <f t="shared" si="14"/>
        <v/>
      </c>
      <c r="C101" s="478" t="str">
        <f t="shared" si="9"/>
        <v/>
      </c>
      <c r="D101" s="479" t="str">
        <f t="shared" si="10"/>
        <v/>
      </c>
      <c r="E101" s="479" t="str">
        <f t="shared" si="15"/>
        <v/>
      </c>
      <c r="G101" s="469" t="str">
        <f t="shared" si="16"/>
        <v/>
      </c>
      <c r="H101" s="474" t="str">
        <f t="shared" si="12"/>
        <v/>
      </c>
      <c r="I101" s="474" t="str">
        <f t="shared" si="13"/>
        <v/>
      </c>
    </row>
    <row r="102" spans="1:9" x14ac:dyDescent="0.35">
      <c r="A102" s="477" t="str">
        <f t="shared" si="8"/>
        <v/>
      </c>
      <c r="B102" s="478" t="str">
        <f t="shared" si="14"/>
        <v/>
      </c>
      <c r="C102" s="478" t="str">
        <f t="shared" si="9"/>
        <v/>
      </c>
      <c r="D102" s="479" t="str">
        <f t="shared" si="10"/>
        <v/>
      </c>
      <c r="E102" s="479" t="str">
        <f t="shared" si="15"/>
        <v/>
      </c>
      <c r="G102" s="469" t="str">
        <f t="shared" si="16"/>
        <v/>
      </c>
      <c r="H102" s="474" t="str">
        <f t="shared" si="12"/>
        <v/>
      </c>
      <c r="I102" s="474" t="str">
        <f t="shared" si="13"/>
        <v/>
      </c>
    </row>
    <row r="103" spans="1:9" x14ac:dyDescent="0.35">
      <c r="A103" s="477" t="str">
        <f t="shared" si="8"/>
        <v/>
      </c>
      <c r="B103" s="478" t="str">
        <f t="shared" si="14"/>
        <v/>
      </c>
      <c r="C103" s="478" t="str">
        <f t="shared" si="9"/>
        <v/>
      </c>
      <c r="D103" s="479" t="str">
        <f t="shared" si="10"/>
        <v/>
      </c>
      <c r="E103" s="479" t="str">
        <f t="shared" si="15"/>
        <v/>
      </c>
      <c r="G103" s="469" t="str">
        <f t="shared" si="16"/>
        <v/>
      </c>
      <c r="H103" s="474" t="str">
        <f t="shared" si="12"/>
        <v/>
      </c>
      <c r="I103" s="474" t="str">
        <f t="shared" si="13"/>
        <v/>
      </c>
    </row>
    <row r="104" spans="1:9" x14ac:dyDescent="0.35">
      <c r="A104" s="477" t="str">
        <f t="shared" si="8"/>
        <v/>
      </c>
      <c r="B104" s="478" t="str">
        <f t="shared" si="14"/>
        <v/>
      </c>
      <c r="C104" s="478" t="str">
        <f t="shared" si="9"/>
        <v/>
      </c>
      <c r="D104" s="479" t="str">
        <f t="shared" si="10"/>
        <v/>
      </c>
      <c r="E104" s="479" t="str">
        <f t="shared" si="15"/>
        <v/>
      </c>
      <c r="G104" s="469" t="str">
        <f t="shared" si="16"/>
        <v/>
      </c>
      <c r="H104" s="474" t="str">
        <f t="shared" si="12"/>
        <v/>
      </c>
      <c r="I104" s="474" t="str">
        <f t="shared" si="13"/>
        <v/>
      </c>
    </row>
    <row r="105" spans="1:9" x14ac:dyDescent="0.35">
      <c r="A105" s="477" t="str">
        <f t="shared" si="8"/>
        <v/>
      </c>
      <c r="B105" s="478" t="str">
        <f t="shared" si="14"/>
        <v/>
      </c>
      <c r="C105" s="478" t="str">
        <f t="shared" si="9"/>
        <v/>
      </c>
      <c r="D105" s="479" t="str">
        <f t="shared" si="10"/>
        <v/>
      </c>
      <c r="E105" s="479" t="str">
        <f t="shared" si="15"/>
        <v/>
      </c>
      <c r="G105" s="469" t="str">
        <f t="shared" si="16"/>
        <v/>
      </c>
      <c r="H105" s="474" t="str">
        <f t="shared" si="12"/>
        <v/>
      </c>
      <c r="I105" s="474" t="str">
        <f t="shared" si="13"/>
        <v/>
      </c>
    </row>
    <row r="106" spans="1:9" x14ac:dyDescent="0.35">
      <c r="A106" s="477" t="str">
        <f t="shared" si="8"/>
        <v/>
      </c>
      <c r="B106" s="478" t="str">
        <f t="shared" si="14"/>
        <v/>
      </c>
      <c r="C106" s="478" t="str">
        <f t="shared" si="9"/>
        <v/>
      </c>
      <c r="D106" s="479" t="str">
        <f t="shared" si="10"/>
        <v/>
      </c>
      <c r="E106" s="479" t="str">
        <f t="shared" si="15"/>
        <v/>
      </c>
      <c r="G106" s="469" t="str">
        <f t="shared" si="16"/>
        <v/>
      </c>
      <c r="H106" s="474" t="str">
        <f t="shared" si="12"/>
        <v/>
      </c>
      <c r="I106" s="474" t="str">
        <f t="shared" si="13"/>
        <v/>
      </c>
    </row>
    <row r="107" spans="1:9" x14ac:dyDescent="0.35">
      <c r="A107" s="477" t="str">
        <f t="shared" si="8"/>
        <v/>
      </c>
      <c r="B107" s="478" t="str">
        <f t="shared" si="14"/>
        <v/>
      </c>
      <c r="C107" s="478" t="str">
        <f t="shared" si="9"/>
        <v/>
      </c>
      <c r="D107" s="479" t="str">
        <f t="shared" si="10"/>
        <v/>
      </c>
      <c r="E107" s="479" t="str">
        <f t="shared" si="15"/>
        <v/>
      </c>
      <c r="G107" s="469" t="str">
        <f t="shared" si="16"/>
        <v/>
      </c>
      <c r="H107" s="474" t="str">
        <f t="shared" si="12"/>
        <v/>
      </c>
      <c r="I107" s="474" t="str">
        <f t="shared" si="13"/>
        <v/>
      </c>
    </row>
    <row r="108" spans="1:9" x14ac:dyDescent="0.35">
      <c r="A108" s="477" t="str">
        <f t="shared" si="8"/>
        <v/>
      </c>
      <c r="B108" s="478" t="str">
        <f t="shared" si="14"/>
        <v/>
      </c>
      <c r="C108" s="478" t="str">
        <f t="shared" si="9"/>
        <v/>
      </c>
      <c r="D108" s="479" t="str">
        <f t="shared" si="10"/>
        <v/>
      </c>
      <c r="E108" s="479" t="str">
        <f t="shared" si="15"/>
        <v/>
      </c>
      <c r="G108" s="469" t="str">
        <f t="shared" si="16"/>
        <v/>
      </c>
      <c r="H108" s="474" t="str">
        <f t="shared" si="12"/>
        <v/>
      </c>
      <c r="I108" s="474" t="str">
        <f t="shared" si="13"/>
        <v/>
      </c>
    </row>
    <row r="109" spans="1:9" x14ac:dyDescent="0.35">
      <c r="A109" s="477" t="str">
        <f t="shared" si="8"/>
        <v/>
      </c>
      <c r="B109" s="478" t="str">
        <f t="shared" si="14"/>
        <v/>
      </c>
      <c r="C109" s="478" t="str">
        <f t="shared" si="9"/>
        <v/>
      </c>
      <c r="D109" s="479" t="str">
        <f t="shared" si="10"/>
        <v/>
      </c>
      <c r="E109" s="479" t="str">
        <f t="shared" si="15"/>
        <v/>
      </c>
      <c r="G109" s="469" t="str">
        <f t="shared" si="16"/>
        <v/>
      </c>
      <c r="H109" s="474" t="str">
        <f t="shared" si="12"/>
        <v/>
      </c>
      <c r="I109" s="474" t="str">
        <f t="shared" si="13"/>
        <v/>
      </c>
    </row>
    <row r="110" spans="1:9" x14ac:dyDescent="0.35">
      <c r="A110" s="477" t="str">
        <f t="shared" si="8"/>
        <v/>
      </c>
      <c r="B110" s="478" t="str">
        <f t="shared" si="14"/>
        <v/>
      </c>
      <c r="C110" s="478" t="str">
        <f t="shared" si="9"/>
        <v/>
      </c>
      <c r="D110" s="479" t="str">
        <f t="shared" si="10"/>
        <v/>
      </c>
      <c r="E110" s="479" t="str">
        <f t="shared" si="15"/>
        <v/>
      </c>
      <c r="G110" s="469" t="str">
        <f t="shared" si="16"/>
        <v/>
      </c>
      <c r="H110" s="474" t="str">
        <f t="shared" si="12"/>
        <v/>
      </c>
      <c r="I110" s="474" t="str">
        <f t="shared" si="13"/>
        <v/>
      </c>
    </row>
    <row r="111" spans="1:9" x14ac:dyDescent="0.35">
      <c r="A111" s="477" t="str">
        <f t="shared" si="8"/>
        <v/>
      </c>
      <c r="B111" s="478" t="str">
        <f t="shared" si="14"/>
        <v/>
      </c>
      <c r="C111" s="478" t="str">
        <f t="shared" si="9"/>
        <v/>
      </c>
      <c r="D111" s="479" t="str">
        <f t="shared" si="10"/>
        <v/>
      </c>
      <c r="E111" s="479" t="str">
        <f t="shared" si="15"/>
        <v/>
      </c>
      <c r="G111" s="469" t="str">
        <f t="shared" si="16"/>
        <v/>
      </c>
      <c r="H111" s="474" t="str">
        <f t="shared" si="12"/>
        <v/>
      </c>
      <c r="I111" s="474" t="str">
        <f t="shared" si="13"/>
        <v/>
      </c>
    </row>
    <row r="112" spans="1:9" x14ac:dyDescent="0.35">
      <c r="A112" s="477" t="str">
        <f t="shared" si="8"/>
        <v/>
      </c>
      <c r="B112" s="478" t="str">
        <f t="shared" si="14"/>
        <v/>
      </c>
      <c r="C112" s="478" t="str">
        <f t="shared" si="9"/>
        <v/>
      </c>
      <c r="D112" s="479" t="str">
        <f t="shared" si="10"/>
        <v/>
      </c>
      <c r="E112" s="479" t="str">
        <f t="shared" si="15"/>
        <v/>
      </c>
      <c r="G112" s="469" t="str">
        <f t="shared" si="16"/>
        <v/>
      </c>
      <c r="H112" s="474" t="str">
        <f t="shared" si="12"/>
        <v/>
      </c>
      <c r="I112" s="474" t="str">
        <f t="shared" si="13"/>
        <v/>
      </c>
    </row>
    <row r="113" spans="1:9" x14ac:dyDescent="0.35">
      <c r="A113" s="477" t="str">
        <f t="shared" si="8"/>
        <v/>
      </c>
      <c r="B113" s="478" t="str">
        <f t="shared" si="14"/>
        <v/>
      </c>
      <c r="C113" s="478" t="str">
        <f t="shared" si="9"/>
        <v/>
      </c>
      <c r="D113" s="479" t="str">
        <f t="shared" si="10"/>
        <v/>
      </c>
      <c r="E113" s="479" t="str">
        <f t="shared" si="15"/>
        <v/>
      </c>
      <c r="G113" s="469" t="str">
        <f t="shared" si="16"/>
        <v/>
      </c>
      <c r="H113" s="474" t="str">
        <f t="shared" si="12"/>
        <v/>
      </c>
      <c r="I113" s="474" t="str">
        <f t="shared" si="13"/>
        <v/>
      </c>
    </row>
    <row r="114" spans="1:9" x14ac:dyDescent="0.35">
      <c r="A114" s="477" t="str">
        <f t="shared" si="8"/>
        <v/>
      </c>
      <c r="B114" s="478" t="str">
        <f t="shared" si="14"/>
        <v/>
      </c>
      <c r="C114" s="478" t="str">
        <f t="shared" si="9"/>
        <v/>
      </c>
      <c r="D114" s="479" t="str">
        <f t="shared" si="10"/>
        <v/>
      </c>
      <c r="E114" s="479" t="str">
        <f t="shared" si="15"/>
        <v/>
      </c>
      <c r="G114" s="469" t="str">
        <f t="shared" si="16"/>
        <v/>
      </c>
      <c r="H114" s="474" t="str">
        <f t="shared" si="12"/>
        <v/>
      </c>
      <c r="I114" s="474" t="str">
        <f t="shared" si="13"/>
        <v/>
      </c>
    </row>
    <row r="115" spans="1:9" x14ac:dyDescent="0.35">
      <c r="A115" s="477" t="str">
        <f t="shared" si="8"/>
        <v/>
      </c>
      <c r="B115" s="478" t="str">
        <f t="shared" si="14"/>
        <v/>
      </c>
      <c r="C115" s="478" t="str">
        <f t="shared" si="9"/>
        <v/>
      </c>
      <c r="D115" s="479" t="str">
        <f t="shared" si="10"/>
        <v/>
      </c>
      <c r="E115" s="479" t="str">
        <f t="shared" si="15"/>
        <v/>
      </c>
      <c r="G115" s="469" t="str">
        <f t="shared" si="16"/>
        <v/>
      </c>
      <c r="H115" s="474" t="str">
        <f t="shared" si="12"/>
        <v/>
      </c>
      <c r="I115" s="474" t="str">
        <f t="shared" si="13"/>
        <v/>
      </c>
    </row>
    <row r="116" spans="1:9" x14ac:dyDescent="0.35">
      <c r="A116" s="477" t="str">
        <f t="shared" si="8"/>
        <v/>
      </c>
      <c r="B116" s="478" t="str">
        <f t="shared" si="14"/>
        <v/>
      </c>
      <c r="C116" s="478" t="str">
        <f t="shared" si="9"/>
        <v/>
      </c>
      <c r="D116" s="479" t="str">
        <f t="shared" si="10"/>
        <v/>
      </c>
      <c r="E116" s="479" t="str">
        <f t="shared" si="15"/>
        <v/>
      </c>
      <c r="G116" s="469" t="str">
        <f t="shared" si="16"/>
        <v/>
      </c>
      <c r="H116" s="474" t="str">
        <f t="shared" si="12"/>
        <v/>
      </c>
      <c r="I116" s="474" t="str">
        <f t="shared" si="13"/>
        <v/>
      </c>
    </row>
    <row r="117" spans="1:9" x14ac:dyDescent="0.35">
      <c r="A117" s="477" t="str">
        <f t="shared" si="8"/>
        <v/>
      </c>
      <c r="B117" s="478" t="str">
        <f t="shared" si="14"/>
        <v/>
      </c>
      <c r="C117" s="478" t="str">
        <f t="shared" si="9"/>
        <v/>
      </c>
      <c r="D117" s="479" t="str">
        <f t="shared" si="10"/>
        <v/>
      </c>
      <c r="E117" s="479" t="str">
        <f t="shared" si="15"/>
        <v/>
      </c>
      <c r="G117" s="469" t="str">
        <f t="shared" si="16"/>
        <v/>
      </c>
      <c r="H117" s="474" t="str">
        <f t="shared" si="12"/>
        <v/>
      </c>
      <c r="I117" s="474" t="str">
        <f t="shared" si="13"/>
        <v/>
      </c>
    </row>
    <row r="118" spans="1:9" x14ac:dyDescent="0.35">
      <c r="A118" s="477" t="str">
        <f t="shared" si="8"/>
        <v/>
      </c>
      <c r="B118" s="478" t="str">
        <f t="shared" si="14"/>
        <v/>
      </c>
      <c r="C118" s="478" t="str">
        <f t="shared" si="9"/>
        <v/>
      </c>
      <c r="D118" s="479" t="str">
        <f t="shared" si="10"/>
        <v/>
      </c>
      <c r="E118" s="479" t="str">
        <f t="shared" si="15"/>
        <v/>
      </c>
      <c r="G118" s="469" t="str">
        <f t="shared" si="16"/>
        <v/>
      </c>
      <c r="H118" s="474" t="str">
        <f t="shared" si="12"/>
        <v/>
      </c>
      <c r="I118" s="474" t="str">
        <f t="shared" si="13"/>
        <v/>
      </c>
    </row>
    <row r="119" spans="1:9" x14ac:dyDescent="0.35">
      <c r="A119" s="477" t="str">
        <f t="shared" si="8"/>
        <v/>
      </c>
      <c r="B119" s="478" t="str">
        <f t="shared" si="14"/>
        <v/>
      </c>
      <c r="C119" s="478" t="str">
        <f t="shared" si="9"/>
        <v/>
      </c>
      <c r="D119" s="479" t="str">
        <f t="shared" si="10"/>
        <v/>
      </c>
      <c r="E119" s="479" t="str">
        <f t="shared" si="15"/>
        <v/>
      </c>
      <c r="G119" s="469" t="str">
        <f t="shared" si="16"/>
        <v/>
      </c>
      <c r="H119" s="474" t="str">
        <f t="shared" si="12"/>
        <v/>
      </c>
      <c r="I119" s="474" t="str">
        <f t="shared" si="13"/>
        <v/>
      </c>
    </row>
  </sheetData>
  <mergeCells count="1">
    <mergeCell ref="D6:E6"/>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6" tint="0.59999389629810485"/>
  </sheetPr>
  <dimension ref="A2:E5"/>
  <sheetViews>
    <sheetView workbookViewId="0">
      <selection activeCell="E19" sqref="E19"/>
    </sheetView>
  </sheetViews>
  <sheetFormatPr defaultRowHeight="12.5" x14ac:dyDescent="0.25"/>
  <cols>
    <col min="4" max="4" width="8.81640625" style="357"/>
  </cols>
  <sheetData>
    <row r="2" spans="1:5" x14ac:dyDescent="0.25">
      <c r="A2" s="104" t="s">
        <v>273</v>
      </c>
      <c r="D2" s="357">
        <v>100000</v>
      </c>
      <c r="E2" s="104" t="s">
        <v>44</v>
      </c>
    </row>
    <row r="4" spans="1:5" x14ac:dyDescent="0.25">
      <c r="A4" s="104" t="s">
        <v>274</v>
      </c>
      <c r="B4" s="104" t="s">
        <v>272</v>
      </c>
      <c r="D4" s="357">
        <v>450</v>
      </c>
      <c r="E4" s="104" t="s">
        <v>275</v>
      </c>
    </row>
    <row r="5" spans="1:5" x14ac:dyDescent="0.25">
      <c r="A5" s="104"/>
      <c r="B5" s="104"/>
      <c r="D5" s="357">
        <f>+D2*D4/1000</f>
        <v>45000</v>
      </c>
      <c r="E5" s="104" t="s">
        <v>45</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G23"/>
  <sheetViews>
    <sheetView showGridLines="0" view="pageBreakPreview" topLeftCell="B1" zoomScale="60" zoomScaleNormal="100" zoomScalePageLayoutView="85" workbookViewId="0">
      <selection activeCell="C9" sqref="C9"/>
    </sheetView>
  </sheetViews>
  <sheetFormatPr defaultRowHeight="12.5" x14ac:dyDescent="0.25"/>
  <cols>
    <col min="1" max="1" width="16.08984375" customWidth="1"/>
    <col min="3" max="3" width="54.1796875" customWidth="1"/>
    <col min="4" max="4" width="11.453125" customWidth="1"/>
    <col min="5" max="5" width="24.6328125" customWidth="1"/>
    <col min="6" max="6" width="5.6328125" customWidth="1"/>
    <col min="7" max="7" width="14.6328125" customWidth="1"/>
    <col min="8" max="8" width="13.453125" customWidth="1"/>
    <col min="9" max="9" width="12.54296875" customWidth="1"/>
    <col min="10" max="10" width="7.90625" customWidth="1"/>
    <col min="11" max="11" width="14.36328125" customWidth="1"/>
    <col min="12" max="12" width="14.453125" customWidth="1"/>
  </cols>
  <sheetData>
    <row r="1" spans="2:5" ht="24.9" customHeight="1" x14ac:dyDescent="0.25">
      <c r="B1" s="806" t="s">
        <v>198</v>
      </c>
      <c r="C1" s="806"/>
      <c r="D1" s="806"/>
      <c r="E1" s="806"/>
    </row>
    <row r="2" spans="2:5" ht="26.4" customHeight="1" x14ac:dyDescent="0.25">
      <c r="B2" s="790" t="s">
        <v>405</v>
      </c>
      <c r="C2" s="790"/>
      <c r="D2" s="790"/>
      <c r="E2" s="790"/>
    </row>
    <row r="3" spans="2:5" ht="30.9" customHeight="1" x14ac:dyDescent="0.25">
      <c r="B3" s="816" t="s">
        <v>404</v>
      </c>
      <c r="C3" s="790"/>
      <c r="D3" s="790"/>
      <c r="E3" s="790"/>
    </row>
    <row r="4" spans="2:5" ht="32.15" customHeight="1" x14ac:dyDescent="0.25">
      <c r="B4" s="817" t="s">
        <v>152</v>
      </c>
      <c r="C4" s="817"/>
      <c r="D4" s="817"/>
      <c r="E4" s="817"/>
    </row>
    <row r="5" spans="2:5" s="262" customFormat="1" ht="20" customHeight="1" thickBot="1" x14ac:dyDescent="0.4">
      <c r="B5" s="241"/>
      <c r="C5" s="241"/>
      <c r="D5" s="241"/>
      <c r="E5" s="241"/>
    </row>
    <row r="6" spans="2:5" ht="27.9" customHeight="1" thickBot="1" x14ac:dyDescent="0.3">
      <c r="B6" s="266" t="s">
        <v>200</v>
      </c>
      <c r="C6" s="263" t="s">
        <v>201</v>
      </c>
      <c r="D6" s="264"/>
      <c r="E6" s="265" t="s">
        <v>202</v>
      </c>
    </row>
    <row r="7" spans="2:5" ht="27.75" customHeight="1" thickTop="1" x14ac:dyDescent="0.25">
      <c r="B7" s="337">
        <v>1</v>
      </c>
      <c r="C7" s="338" t="str">
        <f>+' Sec.1 Fixed Charge'!C7</f>
        <v>SCHEDULED FIXED CHARGE &amp; VALUE RELATED ITEMS</v>
      </c>
      <c r="D7" s="339"/>
      <c r="E7" s="271"/>
    </row>
    <row r="8" spans="2:5" ht="27.75" customHeight="1" x14ac:dyDescent="0.25">
      <c r="B8" s="340">
        <v>1</v>
      </c>
      <c r="C8" s="341" t="str">
        <f>+' Sec.1Time Related 1.15 - 1.28'!C5</f>
        <v>SCHEDULED TIME-RELATED ITEMS</v>
      </c>
      <c r="D8" s="342"/>
      <c r="E8" s="272"/>
    </row>
    <row r="9" spans="2:5" ht="27.75" customHeight="1" x14ac:dyDescent="0.25">
      <c r="B9" s="340">
        <v>1</v>
      </c>
      <c r="C9" s="341" t="str">
        <f>+'Sec.1 Prov.1.29 - 1.42'!C5</f>
        <v>SUMS STATED PROVISIONALLY BY ENGINEER</v>
      </c>
      <c r="D9" s="343"/>
      <c r="E9" s="273"/>
    </row>
    <row r="10" spans="2:5" ht="27.75" customHeight="1" x14ac:dyDescent="0.25">
      <c r="B10" s="340">
        <v>2</v>
      </c>
      <c r="C10" s="341" t="s">
        <v>126</v>
      </c>
      <c r="D10" s="343"/>
      <c r="E10" s="273"/>
    </row>
    <row r="11" spans="2:5" ht="27.75" customHeight="1" x14ac:dyDescent="0.25">
      <c r="B11" s="340">
        <v>3</v>
      </c>
      <c r="C11" s="341" t="s">
        <v>127</v>
      </c>
      <c r="D11" s="343"/>
      <c r="E11" s="273"/>
    </row>
    <row r="12" spans="2:5" ht="27.75" customHeight="1" x14ac:dyDescent="0.25">
      <c r="B12" s="340">
        <v>4</v>
      </c>
      <c r="C12" s="341" t="s">
        <v>204</v>
      </c>
      <c r="D12" s="343"/>
      <c r="E12" s="273"/>
    </row>
    <row r="13" spans="2:5" ht="27.75" customHeight="1" x14ac:dyDescent="0.25">
      <c r="B13" s="340">
        <f>+B12+1</f>
        <v>5</v>
      </c>
      <c r="C13" s="341" t="s">
        <v>215</v>
      </c>
      <c r="D13" s="343"/>
      <c r="E13" s="273"/>
    </row>
    <row r="14" spans="2:5" ht="27.75" hidden="1" customHeight="1" x14ac:dyDescent="0.25">
      <c r="B14" s="340">
        <f>+B13+1</f>
        <v>6</v>
      </c>
      <c r="C14" s="341" t="s">
        <v>203</v>
      </c>
      <c r="D14" s="343"/>
      <c r="E14" s="273"/>
    </row>
    <row r="15" spans="2:5" ht="27.75" customHeight="1" x14ac:dyDescent="0.25">
      <c r="B15" s="340">
        <v>6</v>
      </c>
      <c r="C15" s="341" t="s">
        <v>216</v>
      </c>
      <c r="D15" s="343"/>
      <c r="E15" s="273"/>
    </row>
    <row r="16" spans="2:5" ht="27.75" hidden="1" customHeight="1" x14ac:dyDescent="0.25">
      <c r="B16" s="340">
        <f t="shared" ref="B16:B19" si="0">+B15+1</f>
        <v>7</v>
      </c>
      <c r="C16" s="341" t="s">
        <v>131</v>
      </c>
      <c r="D16" s="343"/>
      <c r="E16" s="273"/>
    </row>
    <row r="17" spans="2:7" ht="27.75" customHeight="1" x14ac:dyDescent="0.25">
      <c r="B17" s="340">
        <v>7</v>
      </c>
      <c r="C17" s="341" t="s">
        <v>205</v>
      </c>
      <c r="D17" s="343"/>
      <c r="E17" s="273"/>
    </row>
    <row r="18" spans="2:7" ht="27.75" customHeight="1" x14ac:dyDescent="0.25">
      <c r="B18" s="340">
        <f t="shared" si="0"/>
        <v>8</v>
      </c>
      <c r="C18" s="341" t="s">
        <v>133</v>
      </c>
      <c r="D18" s="343"/>
      <c r="E18" s="273"/>
    </row>
    <row r="19" spans="2:7" ht="27.75" customHeight="1" x14ac:dyDescent="0.25">
      <c r="B19" s="340">
        <f t="shared" si="0"/>
        <v>9</v>
      </c>
      <c r="C19" s="341" t="s">
        <v>217</v>
      </c>
      <c r="D19" s="343"/>
      <c r="E19" s="273"/>
    </row>
    <row r="20" spans="2:7" ht="27.75" customHeight="1" thickBot="1" x14ac:dyDescent="0.3">
      <c r="B20" s="344">
        <v>10</v>
      </c>
      <c r="C20" s="345" t="s">
        <v>135</v>
      </c>
      <c r="D20" s="346"/>
      <c r="E20" s="274"/>
    </row>
    <row r="21" spans="2:7" ht="35.15" customHeight="1" x14ac:dyDescent="0.25">
      <c r="B21" s="813" t="s">
        <v>177</v>
      </c>
      <c r="C21" s="814"/>
      <c r="D21" s="815"/>
      <c r="E21" s="267"/>
    </row>
    <row r="22" spans="2:7" ht="35.15" customHeight="1" thickBot="1" x14ac:dyDescent="0.3">
      <c r="B22" s="808" t="s">
        <v>206</v>
      </c>
      <c r="C22" s="809"/>
      <c r="D22" s="268">
        <v>0.15</v>
      </c>
      <c r="E22" s="269"/>
    </row>
    <row r="23" spans="2:7" ht="35.15" customHeight="1" thickBot="1" x14ac:dyDescent="0.3">
      <c r="B23" s="810" t="s">
        <v>141</v>
      </c>
      <c r="C23" s="811"/>
      <c r="D23" s="812"/>
      <c r="E23" s="270"/>
      <c r="G23" s="217"/>
    </row>
  </sheetData>
  <mergeCells count="7">
    <mergeCell ref="B22:C22"/>
    <mergeCell ref="B23:D23"/>
    <mergeCell ref="B21:D21"/>
    <mergeCell ref="B1:E1"/>
    <mergeCell ref="B2:E2"/>
    <mergeCell ref="B3:E3"/>
    <mergeCell ref="B4:E4"/>
  </mergeCells>
  <pageMargins left="0.70866141732283472" right="0.70866141732283472" top="0.74803149606299213" bottom="0.74803149606299213" header="0.31496062992125984" footer="0.31496062992125984"/>
  <pageSetup paperSize="8" scale="89" orientation="portrait" r:id="rId1"/>
  <headerFooter>
    <oddFooter>&amp;LWilson &amp; Pass Inc&amp;R&amp;D</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18"/>
  <sheetViews>
    <sheetView workbookViewId="0">
      <selection activeCell="K13" sqref="K13"/>
    </sheetView>
  </sheetViews>
  <sheetFormatPr defaultColWidth="8.90625" defaultRowHeight="12.5" x14ac:dyDescent="0.25"/>
  <cols>
    <col min="1" max="1" width="11.1796875" style="434" customWidth="1"/>
    <col min="2" max="2" width="41.90625" style="434" customWidth="1"/>
    <col min="3" max="3" width="8.90625" style="434"/>
    <col min="4" max="4" width="16.90625" style="434" customWidth="1"/>
    <col min="5" max="16384" width="8.90625" style="434"/>
  </cols>
  <sheetData>
    <row r="1" spans="1:10" ht="29" customHeight="1" x14ac:dyDescent="0.25">
      <c r="A1" s="819" t="s">
        <v>248</v>
      </c>
      <c r="B1" s="819"/>
      <c r="C1" s="819"/>
      <c r="D1" s="819"/>
    </row>
    <row r="2" spans="1:10" ht="31.5" customHeight="1" x14ac:dyDescent="0.25">
      <c r="A2" s="820" t="s">
        <v>308</v>
      </c>
      <c r="B2" s="820"/>
      <c r="C2" s="820"/>
      <c r="D2" s="820"/>
      <c r="G2" s="435"/>
      <c r="H2" s="436"/>
      <c r="I2" s="436"/>
      <c r="J2" s="436"/>
    </row>
    <row r="3" spans="1:10" ht="31.5" customHeight="1" thickBot="1" x14ac:dyDescent="0.3">
      <c r="A3" s="821" t="s">
        <v>309</v>
      </c>
      <c r="B3" s="821"/>
      <c r="C3" s="437" t="s">
        <v>310</v>
      </c>
      <c r="D3" s="438">
        <v>45454</v>
      </c>
      <c r="G3" s="439"/>
      <c r="H3" s="436"/>
      <c r="I3" s="436"/>
      <c r="J3" s="436"/>
    </row>
    <row r="4" spans="1:10" ht="25" customHeight="1" thickBot="1" x14ac:dyDescent="0.3">
      <c r="A4" s="440" t="s">
        <v>136</v>
      </c>
      <c r="B4" s="822" t="s">
        <v>3</v>
      </c>
      <c r="C4" s="823"/>
      <c r="D4" s="441" t="s">
        <v>311</v>
      </c>
      <c r="G4" s="442"/>
      <c r="H4" s="443"/>
      <c r="I4" s="443"/>
      <c r="J4" s="443"/>
    </row>
    <row r="5" spans="1:10" ht="35" customHeight="1" thickTop="1" x14ac:dyDescent="0.25">
      <c r="A5" s="444" t="s">
        <v>37</v>
      </c>
      <c r="B5" s="824" t="s">
        <v>267</v>
      </c>
      <c r="C5" s="824"/>
      <c r="D5" s="464">
        <v>980000</v>
      </c>
      <c r="G5" s="445"/>
      <c r="H5" s="446"/>
      <c r="I5" s="446"/>
      <c r="J5" s="447"/>
    </row>
    <row r="6" spans="1:10" ht="35" customHeight="1" x14ac:dyDescent="0.25">
      <c r="A6" s="448" t="s">
        <v>37</v>
      </c>
      <c r="B6" s="818" t="s">
        <v>312</v>
      </c>
      <c r="C6" s="818"/>
      <c r="D6" s="465">
        <v>290000</v>
      </c>
      <c r="G6" s="449"/>
      <c r="H6" s="446"/>
      <c r="I6" s="446"/>
      <c r="J6" s="450"/>
    </row>
    <row r="7" spans="1:10" ht="35" customHeight="1" x14ac:dyDescent="0.25">
      <c r="A7" s="451" t="s">
        <v>37</v>
      </c>
      <c r="B7" s="825" t="s">
        <v>313</v>
      </c>
      <c r="C7" s="825"/>
      <c r="D7" s="465">
        <v>700000</v>
      </c>
      <c r="G7" s="449"/>
      <c r="H7" s="446"/>
      <c r="I7" s="446"/>
      <c r="J7" s="450"/>
    </row>
    <row r="8" spans="1:10" ht="27" customHeight="1" x14ac:dyDescent="0.25">
      <c r="A8" s="448" t="s">
        <v>314</v>
      </c>
      <c r="B8" s="826" t="s">
        <v>315</v>
      </c>
      <c r="C8" s="826"/>
      <c r="D8" s="465">
        <v>1200000</v>
      </c>
      <c r="G8" s="452"/>
      <c r="H8" s="827"/>
      <c r="I8" s="827"/>
      <c r="J8" s="827"/>
    </row>
    <row r="9" spans="1:10" ht="27" customHeight="1" x14ac:dyDescent="0.25">
      <c r="A9" s="448" t="s">
        <v>314</v>
      </c>
      <c r="B9" s="828" t="s">
        <v>316</v>
      </c>
      <c r="C9" s="828"/>
      <c r="D9" s="465">
        <v>40000</v>
      </c>
      <c r="G9" s="453"/>
      <c r="H9" s="446"/>
      <c r="I9" s="446"/>
      <c r="J9" s="454"/>
    </row>
    <row r="10" spans="1:10" ht="27" customHeight="1" x14ac:dyDescent="0.25">
      <c r="A10" s="448" t="s">
        <v>314</v>
      </c>
      <c r="B10" s="828" t="s">
        <v>317</v>
      </c>
      <c r="C10" s="828"/>
      <c r="D10" s="466">
        <v>150000</v>
      </c>
      <c r="F10" s="434" t="s">
        <v>326</v>
      </c>
      <c r="G10" s="829"/>
      <c r="H10" s="829"/>
      <c r="I10" s="829"/>
      <c r="J10" s="829"/>
    </row>
    <row r="11" spans="1:10" ht="27" customHeight="1" x14ac:dyDescent="0.25">
      <c r="A11" s="448" t="s">
        <v>314</v>
      </c>
      <c r="B11" s="831" t="s">
        <v>318</v>
      </c>
      <c r="C11" s="832"/>
      <c r="D11" s="466">
        <v>160000</v>
      </c>
      <c r="G11" s="455"/>
      <c r="H11" s="455"/>
      <c r="I11" s="455"/>
      <c r="J11" s="455"/>
    </row>
    <row r="12" spans="1:10" ht="27" customHeight="1" x14ac:dyDescent="0.25">
      <c r="A12" s="448" t="s">
        <v>314</v>
      </c>
      <c r="B12" s="828" t="s">
        <v>319</v>
      </c>
      <c r="C12" s="828"/>
      <c r="D12" s="465">
        <v>400000</v>
      </c>
      <c r="G12" s="833"/>
      <c r="H12" s="833"/>
      <c r="I12" s="833"/>
      <c r="J12" s="833"/>
    </row>
    <row r="13" spans="1:10" ht="27" customHeight="1" x14ac:dyDescent="0.25">
      <c r="A13" s="448" t="s">
        <v>1</v>
      </c>
      <c r="B13" s="828" t="s">
        <v>320</v>
      </c>
      <c r="C13" s="828"/>
      <c r="D13" s="465">
        <v>250000</v>
      </c>
      <c r="F13" s="434" t="s">
        <v>326</v>
      </c>
      <c r="G13" s="436"/>
      <c r="H13" s="436"/>
      <c r="I13" s="436"/>
      <c r="J13" s="436"/>
    </row>
    <row r="14" spans="1:10" ht="27" customHeight="1" x14ac:dyDescent="0.25">
      <c r="A14" s="448" t="s">
        <v>314</v>
      </c>
      <c r="B14" s="834" t="s">
        <v>321</v>
      </c>
      <c r="C14" s="835"/>
      <c r="D14" s="465">
        <f>122000+88000</f>
        <v>210000</v>
      </c>
    </row>
    <row r="15" spans="1:10" ht="27" customHeight="1" x14ac:dyDescent="0.25">
      <c r="A15" s="448" t="s">
        <v>314</v>
      </c>
      <c r="B15" s="834" t="s">
        <v>322</v>
      </c>
      <c r="C15" s="835"/>
      <c r="D15" s="467">
        <v>300000</v>
      </c>
    </row>
    <row r="16" spans="1:10" ht="27" customHeight="1" x14ac:dyDescent="0.25">
      <c r="A16" s="448" t="s">
        <v>314</v>
      </c>
      <c r="B16" s="456" t="s">
        <v>323</v>
      </c>
      <c r="C16" s="457"/>
      <c r="D16" s="467">
        <v>300000</v>
      </c>
    </row>
    <row r="17" spans="1:5" ht="27" customHeight="1" thickBot="1" x14ac:dyDescent="0.3">
      <c r="A17" s="458" t="s">
        <v>314</v>
      </c>
      <c r="B17" s="830" t="s">
        <v>324</v>
      </c>
      <c r="C17" s="830"/>
      <c r="D17" s="468">
        <v>850000</v>
      </c>
      <c r="E17" s="434" t="s">
        <v>327</v>
      </c>
    </row>
    <row r="18" spans="1:5" s="463" customFormat="1" ht="30" customHeight="1" thickBot="1" x14ac:dyDescent="0.35">
      <c r="A18" s="459" t="s">
        <v>165</v>
      </c>
      <c r="B18" s="460"/>
      <c r="C18" s="461"/>
      <c r="D18" s="462">
        <f>SUM(D5:D17)</f>
        <v>5830000</v>
      </c>
    </row>
  </sheetData>
  <mergeCells count="19">
    <mergeCell ref="B17:C17"/>
    <mergeCell ref="B11:C11"/>
    <mergeCell ref="B12:C12"/>
    <mergeCell ref="G12:J12"/>
    <mergeCell ref="B13:C13"/>
    <mergeCell ref="B14:C14"/>
    <mergeCell ref="B15:C15"/>
    <mergeCell ref="B7:C7"/>
    <mergeCell ref="B8:C8"/>
    <mergeCell ref="H8:J8"/>
    <mergeCell ref="B9:C9"/>
    <mergeCell ref="B10:C10"/>
    <mergeCell ref="G10:J10"/>
    <mergeCell ref="B6:C6"/>
    <mergeCell ref="A1:D1"/>
    <mergeCell ref="A2:D2"/>
    <mergeCell ref="A3:B3"/>
    <mergeCell ref="B4:C4"/>
    <mergeCell ref="B5:C5"/>
  </mergeCells>
  <pageMargins left="0.7" right="0.7" top="0.75" bottom="0.75" header="0.3" footer="0.3"/>
  <pageSetup orientation="portrait" horizontalDpi="1200" verticalDpi="1200"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G27"/>
  <sheetViews>
    <sheetView showGridLines="0" showZeros="0" tabSelected="1" view="pageBreakPreview" zoomScaleNormal="70" zoomScaleSheetLayoutView="100" zoomScalePageLayoutView="85" workbookViewId="0">
      <selection activeCell="E8" sqref="E8"/>
    </sheetView>
  </sheetViews>
  <sheetFormatPr defaultRowHeight="21.75" customHeight="1" x14ac:dyDescent="0.25"/>
  <cols>
    <col min="1" max="1" width="6.6328125" customWidth="1"/>
    <col min="2" max="2" width="12.6328125" customWidth="1"/>
    <col min="3" max="3" width="43.453125" customWidth="1"/>
    <col min="4" max="4" width="5.6328125" customWidth="1"/>
    <col min="5" max="5" width="9.6328125" customWidth="1"/>
    <col min="6" max="6" width="11.6328125" customWidth="1"/>
    <col min="7" max="7" width="16.36328125" style="131" customWidth="1"/>
  </cols>
  <sheetData>
    <row r="1" spans="1:7" ht="24.9" customHeight="1" thickTop="1" thickBot="1" x14ac:dyDescent="0.4">
      <c r="A1" s="1" t="s">
        <v>0</v>
      </c>
      <c r="B1" s="2"/>
      <c r="C1" s="2"/>
      <c r="D1" s="2"/>
      <c r="E1" s="110"/>
      <c r="F1" s="836">
        <f>+'SUMMARY EST'!D3</f>
        <v>0</v>
      </c>
      <c r="G1" s="837"/>
    </row>
    <row r="2" spans="1:7" ht="12" customHeight="1" thickTop="1" x14ac:dyDescent="0.25">
      <c r="A2" s="844" t="s">
        <v>1</v>
      </c>
      <c r="B2" s="850" t="s">
        <v>2</v>
      </c>
      <c r="C2" s="846" t="s">
        <v>3</v>
      </c>
      <c r="D2" s="848" t="s">
        <v>4</v>
      </c>
      <c r="E2" s="838" t="s">
        <v>5</v>
      </c>
      <c r="F2" s="838" t="s">
        <v>6</v>
      </c>
      <c r="G2" s="840" t="s">
        <v>7</v>
      </c>
    </row>
    <row r="3" spans="1:7" ht="12" customHeight="1" x14ac:dyDescent="0.25">
      <c r="A3" s="845"/>
      <c r="B3" s="851"/>
      <c r="C3" s="847"/>
      <c r="D3" s="849"/>
      <c r="E3" s="839"/>
      <c r="F3" s="839"/>
      <c r="G3" s="841"/>
    </row>
    <row r="4" spans="1:7" ht="8.15" customHeight="1" x14ac:dyDescent="0.25">
      <c r="A4" s="4"/>
      <c r="B4" s="5"/>
      <c r="C4" s="6"/>
      <c r="D4" s="5"/>
      <c r="E4" s="119"/>
      <c r="F4" s="115"/>
      <c r="G4" s="127"/>
    </row>
    <row r="5" spans="1:7" ht="21.75" customHeight="1" x14ac:dyDescent="0.25">
      <c r="A5" s="9"/>
      <c r="B5" s="842" t="s">
        <v>8</v>
      </c>
      <c r="C5" s="843"/>
      <c r="D5" s="10"/>
      <c r="E5" s="116"/>
      <c r="F5" s="116"/>
      <c r="G5" s="128"/>
    </row>
    <row r="6" spans="1:7" ht="8.15" customHeight="1" x14ac:dyDescent="0.25">
      <c r="A6" s="9"/>
      <c r="B6" s="10"/>
      <c r="C6" s="326"/>
      <c r="D6" s="10"/>
      <c r="E6" s="116"/>
      <c r="F6" s="116"/>
      <c r="G6" s="128"/>
    </row>
    <row r="7" spans="1:7" ht="21.75" customHeight="1" x14ac:dyDescent="0.25">
      <c r="A7" s="9"/>
      <c r="B7" s="13"/>
      <c r="C7" s="327" t="s">
        <v>9</v>
      </c>
      <c r="D7" s="10"/>
      <c r="E7" s="116"/>
      <c r="F7" s="116"/>
      <c r="G7" s="128"/>
    </row>
    <row r="8" spans="1:7" ht="26" customHeight="1" x14ac:dyDescent="0.25">
      <c r="A8" s="14">
        <v>1.1000000000000001</v>
      </c>
      <c r="B8" s="162" t="s">
        <v>280</v>
      </c>
      <c r="C8" s="328" t="s">
        <v>10</v>
      </c>
      <c r="D8" s="10" t="s">
        <v>11</v>
      </c>
      <c r="E8" s="767">
        <v>1</v>
      </c>
      <c r="F8" s="116"/>
      <c r="G8" s="149">
        <f>SUM('Tdr Summary'!E9:E20)*0.16</f>
        <v>0</v>
      </c>
    </row>
    <row r="9" spans="1:7" ht="21.75" customHeight="1" x14ac:dyDescent="0.25">
      <c r="A9" s="14"/>
      <c r="B9" s="13" t="s">
        <v>12</v>
      </c>
      <c r="C9" s="326" t="s">
        <v>13</v>
      </c>
      <c r="D9" s="10"/>
      <c r="E9" s="767"/>
      <c r="F9" s="167"/>
      <c r="G9" s="168"/>
    </row>
    <row r="10" spans="1:7" ht="21" customHeight="1" x14ac:dyDescent="0.25">
      <c r="A10" s="14">
        <f>A8+0.1</f>
        <v>1.2000000000000002</v>
      </c>
      <c r="B10" s="560" t="s">
        <v>371</v>
      </c>
      <c r="C10" s="326" t="s">
        <v>370</v>
      </c>
      <c r="D10" s="10" t="s">
        <v>11</v>
      </c>
      <c r="E10" s="767">
        <v>1</v>
      </c>
      <c r="F10" s="116"/>
      <c r="G10" s="149"/>
    </row>
    <row r="11" spans="1:7" ht="21.75" customHeight="1" x14ac:dyDescent="0.25">
      <c r="A11" s="14"/>
      <c r="B11" s="13" t="s">
        <v>14</v>
      </c>
      <c r="C11" s="326" t="s">
        <v>15</v>
      </c>
      <c r="D11" s="10"/>
      <c r="E11" s="767"/>
      <c r="F11" s="167"/>
      <c r="G11" s="168"/>
    </row>
    <row r="12" spans="1:7" ht="21.75" customHeight="1" x14ac:dyDescent="0.25">
      <c r="A12" s="14">
        <f>A10+0.1</f>
        <v>1.3000000000000003</v>
      </c>
      <c r="B12" s="13"/>
      <c r="C12" s="326" t="s">
        <v>16</v>
      </c>
      <c r="D12" s="10" t="s">
        <v>11</v>
      </c>
      <c r="E12" s="767">
        <v>1</v>
      </c>
      <c r="F12" s="116"/>
      <c r="G12" s="149"/>
    </row>
    <row r="13" spans="1:7" ht="21.75" customHeight="1" x14ac:dyDescent="0.25">
      <c r="A13" s="14">
        <f t="shared" ref="A13:A18" si="0">A12+0.1</f>
        <v>1.4000000000000004</v>
      </c>
      <c r="B13" s="13"/>
      <c r="C13" s="326" t="s">
        <v>17</v>
      </c>
      <c r="D13" s="10" t="s">
        <v>11</v>
      </c>
      <c r="E13" s="767">
        <v>1</v>
      </c>
      <c r="F13" s="116"/>
      <c r="G13" s="149"/>
    </row>
    <row r="14" spans="1:7" ht="21.75" customHeight="1" x14ac:dyDescent="0.25">
      <c r="A14" s="14">
        <f t="shared" si="0"/>
        <v>1.5000000000000004</v>
      </c>
      <c r="B14" s="13"/>
      <c r="C14" s="326" t="s">
        <v>18</v>
      </c>
      <c r="D14" s="10" t="s">
        <v>11</v>
      </c>
      <c r="E14" s="767">
        <v>1</v>
      </c>
      <c r="F14" s="116"/>
      <c r="G14" s="149"/>
    </row>
    <row r="15" spans="1:7" ht="21.75" customHeight="1" x14ac:dyDescent="0.25">
      <c r="A15" s="14">
        <f t="shared" si="0"/>
        <v>1.6000000000000005</v>
      </c>
      <c r="B15" s="13"/>
      <c r="C15" s="326" t="s">
        <v>19</v>
      </c>
      <c r="D15" s="10" t="s">
        <v>11</v>
      </c>
      <c r="E15" s="767">
        <v>1</v>
      </c>
      <c r="F15" s="116"/>
      <c r="G15" s="149"/>
    </row>
    <row r="16" spans="1:7" ht="39" customHeight="1" x14ac:dyDescent="0.25">
      <c r="A16" s="14">
        <f t="shared" si="0"/>
        <v>1.7000000000000006</v>
      </c>
      <c r="B16" s="13"/>
      <c r="C16" s="328" t="s">
        <v>20</v>
      </c>
      <c r="D16" s="10" t="s">
        <v>11</v>
      </c>
      <c r="E16" s="767">
        <v>1</v>
      </c>
      <c r="F16" s="116"/>
      <c r="G16" s="149"/>
    </row>
    <row r="17" spans="1:7" ht="21.75" customHeight="1" x14ac:dyDescent="0.25">
      <c r="A17" s="14">
        <f t="shared" si="0"/>
        <v>1.8000000000000007</v>
      </c>
      <c r="B17" s="13"/>
      <c r="C17" s="326" t="s">
        <v>139</v>
      </c>
      <c r="D17" s="10" t="s">
        <v>11</v>
      </c>
      <c r="E17" s="767">
        <v>1</v>
      </c>
      <c r="F17" s="116"/>
      <c r="G17" s="149"/>
    </row>
    <row r="18" spans="1:7" ht="21.75" customHeight="1" x14ac:dyDescent="0.25">
      <c r="A18" s="14">
        <f t="shared" si="0"/>
        <v>1.9000000000000008</v>
      </c>
      <c r="B18" s="13"/>
      <c r="C18" s="326" t="s">
        <v>21</v>
      </c>
      <c r="D18" s="10" t="s">
        <v>11</v>
      </c>
      <c r="E18" s="767">
        <v>1</v>
      </c>
      <c r="F18" s="116"/>
      <c r="G18" s="149"/>
    </row>
    <row r="19" spans="1:7" ht="21.75" customHeight="1" x14ac:dyDescent="0.25">
      <c r="A19" s="16">
        <v>1.1000000000000001</v>
      </c>
      <c r="B19" s="13"/>
      <c r="C19" s="326" t="s">
        <v>22</v>
      </c>
      <c r="D19" s="10" t="s">
        <v>11</v>
      </c>
      <c r="E19" s="767">
        <v>1</v>
      </c>
      <c r="F19" s="116"/>
      <c r="G19" s="149"/>
    </row>
    <row r="20" spans="1:7" ht="36.75" customHeight="1" x14ac:dyDescent="0.25">
      <c r="A20" s="16">
        <f>A19+0.01</f>
        <v>1.1100000000000001</v>
      </c>
      <c r="B20" s="560" t="s">
        <v>173</v>
      </c>
      <c r="C20" s="331" t="s">
        <v>114</v>
      </c>
      <c r="D20" s="10" t="s">
        <v>11</v>
      </c>
      <c r="E20" s="767">
        <v>1</v>
      </c>
      <c r="F20" s="116"/>
      <c r="G20" s="149"/>
    </row>
    <row r="21" spans="1:7" ht="21.75" customHeight="1" x14ac:dyDescent="0.25">
      <c r="A21" s="16">
        <f>A20+0.01</f>
        <v>1.1200000000000001</v>
      </c>
      <c r="B21" s="13" t="s">
        <v>23</v>
      </c>
      <c r="C21" s="326" t="s">
        <v>24</v>
      </c>
      <c r="D21" s="10" t="s">
        <v>11</v>
      </c>
      <c r="E21" s="767">
        <v>1</v>
      </c>
      <c r="F21" s="116"/>
      <c r="G21" s="149"/>
    </row>
    <row r="22" spans="1:7" ht="63.65" customHeight="1" x14ac:dyDescent="0.25">
      <c r="A22" s="16">
        <f>A21+0.01</f>
        <v>1.1300000000000001</v>
      </c>
      <c r="B22" s="162" t="s">
        <v>175</v>
      </c>
      <c r="C22" s="328" t="s">
        <v>166</v>
      </c>
      <c r="D22" s="10" t="s">
        <v>11</v>
      </c>
      <c r="E22" s="767">
        <v>1</v>
      </c>
      <c r="F22" s="116"/>
      <c r="G22" s="149"/>
    </row>
    <row r="23" spans="1:7" ht="21.75" customHeight="1" x14ac:dyDescent="0.25">
      <c r="A23" s="16">
        <f>A22+0.01</f>
        <v>1.1400000000000001</v>
      </c>
      <c r="B23" s="162" t="s">
        <v>281</v>
      </c>
      <c r="C23" s="326" t="s">
        <v>25</v>
      </c>
      <c r="D23" s="10" t="s">
        <v>11</v>
      </c>
      <c r="E23" s="767">
        <v>1</v>
      </c>
      <c r="F23" s="126"/>
      <c r="G23" s="149"/>
    </row>
    <row r="24" spans="1:7" ht="53.15" customHeight="1" x14ac:dyDescent="0.25">
      <c r="A24" s="16"/>
      <c r="B24" s="13"/>
      <c r="C24" s="12"/>
      <c r="D24" s="10"/>
      <c r="E24" s="768"/>
      <c r="F24" s="117"/>
      <c r="G24" s="129"/>
    </row>
    <row r="25" spans="1:7" ht="82.5" customHeight="1" thickBot="1" x14ac:dyDescent="0.3">
      <c r="A25" s="19"/>
      <c r="B25" s="20"/>
      <c r="C25" s="21"/>
      <c r="D25" s="20"/>
      <c r="E25" s="769"/>
      <c r="F25" s="118"/>
      <c r="G25" s="130"/>
    </row>
    <row r="26" spans="1:7" ht="24.9" customHeight="1" thickBot="1" x14ac:dyDescent="0.35">
      <c r="A26" s="22"/>
      <c r="B26" s="23"/>
      <c r="C26" s="185"/>
      <c r="D26" s="283"/>
      <c r="E26" s="185" t="s">
        <v>144</v>
      </c>
      <c r="F26" s="291" t="s">
        <v>26</v>
      </c>
      <c r="G26" s="292">
        <f>SUM(G8:G25)</f>
        <v>0</v>
      </c>
    </row>
    <row r="27" spans="1:7" ht="21.75" customHeight="1" thickTop="1" x14ac:dyDescent="0.25">
      <c r="F27" s="105"/>
    </row>
  </sheetData>
  <mergeCells count="9">
    <mergeCell ref="F1:G1"/>
    <mergeCell ref="F2:F3"/>
    <mergeCell ref="G2:G3"/>
    <mergeCell ref="B5:C5"/>
    <mergeCell ref="A2:A3"/>
    <mergeCell ref="C2:C3"/>
    <mergeCell ref="D2:D3"/>
    <mergeCell ref="B2:B3"/>
    <mergeCell ref="E2:E3"/>
  </mergeCells>
  <phoneticPr fontId="0" type="noConversion"/>
  <printOptions horizontalCentered="1"/>
  <pageMargins left="0.74803149606299213" right="0.74803149606299213" top="0.98425196850393704" bottom="1.1811023622047245" header="0.51181102362204722" footer="0.51181102362204722"/>
  <pageSetup paperSize="9" scale="83" orientation="portrait" horizontalDpi="4294967293" r:id="rId1"/>
  <headerFooter alignWithMargins="0">
    <oddHeader>&amp;LBisasar Road Landfill Site: Capping Phase 3
&amp;RContract No: 32818-6W</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53"/>
  <sheetViews>
    <sheetView showGridLines="0" showZeros="0" view="pageBreakPreview" topLeftCell="A6" zoomScaleNormal="85" zoomScaleSheetLayoutView="100" zoomScalePageLayoutView="85" workbookViewId="0">
      <selection activeCell="E11" sqref="E11"/>
    </sheetView>
  </sheetViews>
  <sheetFormatPr defaultRowHeight="12.5" x14ac:dyDescent="0.25"/>
  <cols>
    <col min="1" max="1" width="7.453125" customWidth="1"/>
    <col min="2" max="2" width="12.6328125" customWidth="1"/>
    <col min="3" max="3" width="43.453125" customWidth="1"/>
    <col min="4" max="4" width="6.54296875" customWidth="1"/>
    <col min="5" max="5" width="9.6328125" customWidth="1"/>
    <col min="6" max="6" width="8.6328125" customWidth="1"/>
    <col min="7" max="7" width="16.36328125" style="131" customWidth="1"/>
  </cols>
  <sheetData>
    <row r="1" spans="1:7" s="3" customFormat="1" ht="24.9" customHeight="1" thickTop="1" thickBot="1" x14ac:dyDescent="0.4">
      <c r="A1" s="1" t="s">
        <v>27</v>
      </c>
      <c r="B1" s="2"/>
      <c r="C1" s="2"/>
      <c r="D1" s="2"/>
      <c r="E1" s="110"/>
      <c r="F1" s="852"/>
      <c r="G1" s="853"/>
    </row>
    <row r="2" spans="1:7" s="3" customFormat="1" ht="13" thickTop="1" x14ac:dyDescent="0.25">
      <c r="A2" s="856" t="s">
        <v>1</v>
      </c>
      <c r="B2" s="850" t="s">
        <v>2</v>
      </c>
      <c r="C2" s="858" t="s">
        <v>3</v>
      </c>
      <c r="D2" s="858" t="s">
        <v>4</v>
      </c>
      <c r="E2" s="860" t="s">
        <v>5</v>
      </c>
      <c r="F2" s="854" t="s">
        <v>6</v>
      </c>
      <c r="G2" s="840" t="s">
        <v>7</v>
      </c>
    </row>
    <row r="3" spans="1:7" s="3" customFormat="1" x14ac:dyDescent="0.25">
      <c r="A3" s="857"/>
      <c r="B3" s="851"/>
      <c r="C3" s="859"/>
      <c r="D3" s="859"/>
      <c r="E3" s="861"/>
      <c r="F3" s="855"/>
      <c r="G3" s="841"/>
    </row>
    <row r="4" spans="1:7" s="3" customFormat="1" ht="8.15" customHeight="1" x14ac:dyDescent="0.25">
      <c r="A4" s="24"/>
      <c r="B4" s="25"/>
      <c r="C4" s="6"/>
      <c r="D4" s="5"/>
      <c r="E4" s="7"/>
      <c r="F4" s="105"/>
      <c r="G4" s="127"/>
    </row>
    <row r="5" spans="1:7" s="3" customFormat="1" ht="23.15" customHeight="1" x14ac:dyDescent="0.25">
      <c r="A5" s="9"/>
      <c r="B5" s="13"/>
      <c r="C5" s="327" t="s">
        <v>28</v>
      </c>
      <c r="D5" s="10"/>
      <c r="E5" s="11"/>
      <c r="F5" s="106"/>
      <c r="G5" s="128"/>
    </row>
    <row r="6" spans="1:7" s="3" customFormat="1" ht="35.15" customHeight="1" x14ac:dyDescent="0.25">
      <c r="A6" s="26">
        <v>1.1499999999999999</v>
      </c>
      <c r="B6" s="560" t="s">
        <v>282</v>
      </c>
      <c r="C6" s="328" t="s">
        <v>10</v>
      </c>
      <c r="D6" s="10" t="s">
        <v>335</v>
      </c>
      <c r="E6" s="111">
        <v>10</v>
      </c>
      <c r="F6" s="107"/>
      <c r="G6" s="163"/>
    </row>
    <row r="7" spans="1:7" s="3" customFormat="1" ht="35.15" customHeight="1" x14ac:dyDescent="0.25">
      <c r="A7" s="26">
        <f>A6+0.01</f>
        <v>1.1599999999999999</v>
      </c>
      <c r="B7" s="560" t="s">
        <v>283</v>
      </c>
      <c r="C7" s="328" t="s">
        <v>29</v>
      </c>
      <c r="D7" s="10" t="s">
        <v>335</v>
      </c>
      <c r="E7" s="111">
        <v>10</v>
      </c>
      <c r="F7" s="107"/>
      <c r="G7" s="163"/>
    </row>
    <row r="8" spans="1:7" s="3" customFormat="1" ht="25" x14ac:dyDescent="0.25">
      <c r="A8" s="26">
        <f>A7+0.01</f>
        <v>1.17</v>
      </c>
      <c r="B8" s="561" t="s">
        <v>287</v>
      </c>
      <c r="C8" s="326" t="s">
        <v>112</v>
      </c>
      <c r="D8" s="10" t="s">
        <v>335</v>
      </c>
      <c r="E8" s="111">
        <v>10</v>
      </c>
      <c r="F8" s="107"/>
      <c r="G8" s="163"/>
    </row>
    <row r="9" spans="1:7" s="3" customFormat="1" ht="35.15" customHeight="1" x14ac:dyDescent="0.25">
      <c r="A9" s="29"/>
      <c r="B9" s="30" t="s">
        <v>30</v>
      </c>
      <c r="C9" s="328" t="s">
        <v>31</v>
      </c>
      <c r="D9" s="10" t="s">
        <v>335</v>
      </c>
      <c r="E9" s="111">
        <v>10</v>
      </c>
      <c r="F9" s="106"/>
      <c r="G9" s="164"/>
    </row>
    <row r="10" spans="1:7" s="3" customFormat="1" ht="21.9" customHeight="1" x14ac:dyDescent="0.25">
      <c r="A10" s="26">
        <f>A8+0.01</f>
        <v>1.18</v>
      </c>
      <c r="B10" s="30"/>
      <c r="C10" s="326" t="s">
        <v>16</v>
      </c>
      <c r="D10" s="10" t="s">
        <v>335</v>
      </c>
      <c r="E10" s="111">
        <v>10</v>
      </c>
      <c r="F10" s="106"/>
      <c r="G10" s="164"/>
    </row>
    <row r="11" spans="1:7" s="3" customFormat="1" ht="21.9" customHeight="1" x14ac:dyDescent="0.25">
      <c r="A11" s="26">
        <f>A10+0.01</f>
        <v>1.19</v>
      </c>
      <c r="B11" s="30"/>
      <c r="C11" s="326" t="s">
        <v>17</v>
      </c>
      <c r="D11" s="10" t="s">
        <v>335</v>
      </c>
      <c r="E11" s="111">
        <v>10</v>
      </c>
      <c r="F11" s="106"/>
      <c r="G11" s="164"/>
    </row>
    <row r="12" spans="1:7" s="3" customFormat="1" ht="21.9" customHeight="1" x14ac:dyDescent="0.25">
      <c r="A12" s="26">
        <f t="shared" ref="A12:A20" si="0">A11+0.01</f>
        <v>1.2</v>
      </c>
      <c r="B12" s="30"/>
      <c r="C12" s="326" t="s">
        <v>18</v>
      </c>
      <c r="D12" s="10" t="s">
        <v>335</v>
      </c>
      <c r="E12" s="111">
        <v>10</v>
      </c>
      <c r="F12" s="106"/>
      <c r="G12" s="164"/>
    </row>
    <row r="13" spans="1:7" s="3" customFormat="1" ht="21.9" customHeight="1" x14ac:dyDescent="0.25">
      <c r="A13" s="26">
        <f t="shared" si="0"/>
        <v>1.21</v>
      </c>
      <c r="B13" s="30"/>
      <c r="C13" s="326" t="s">
        <v>19</v>
      </c>
      <c r="D13" s="10" t="s">
        <v>335</v>
      </c>
      <c r="E13" s="111">
        <v>10</v>
      </c>
      <c r="F13" s="106"/>
      <c r="G13" s="164"/>
    </row>
    <row r="14" spans="1:7" s="3" customFormat="1" ht="35.15" customHeight="1" x14ac:dyDescent="0.25">
      <c r="A14" s="26">
        <f t="shared" si="0"/>
        <v>1.22</v>
      </c>
      <c r="B14" s="30"/>
      <c r="C14" s="328" t="s">
        <v>20</v>
      </c>
      <c r="D14" s="10" t="s">
        <v>335</v>
      </c>
      <c r="E14" s="111">
        <v>10</v>
      </c>
      <c r="F14" s="106"/>
      <c r="G14" s="164"/>
    </row>
    <row r="15" spans="1:7" s="3" customFormat="1" ht="21.9" customHeight="1" x14ac:dyDescent="0.25">
      <c r="A15" s="26">
        <f t="shared" si="0"/>
        <v>1.23</v>
      </c>
      <c r="B15" s="13"/>
      <c r="C15" s="326" t="s">
        <v>138</v>
      </c>
      <c r="D15" s="10" t="s">
        <v>335</v>
      </c>
      <c r="E15" s="111">
        <v>10</v>
      </c>
      <c r="F15" s="106"/>
      <c r="G15" s="164"/>
    </row>
    <row r="16" spans="1:7" s="3" customFormat="1" ht="21.9" customHeight="1" x14ac:dyDescent="0.25">
      <c r="A16" s="26">
        <f t="shared" si="0"/>
        <v>1.24</v>
      </c>
      <c r="B16" s="30"/>
      <c r="C16" s="326" t="s">
        <v>21</v>
      </c>
      <c r="D16" s="10" t="s">
        <v>335</v>
      </c>
      <c r="E16" s="111">
        <v>10</v>
      </c>
      <c r="F16" s="106"/>
      <c r="G16" s="164"/>
    </row>
    <row r="17" spans="1:7" s="3" customFormat="1" ht="21.9" customHeight="1" x14ac:dyDescent="0.25">
      <c r="A17" s="26">
        <f t="shared" si="0"/>
        <v>1.25</v>
      </c>
      <c r="B17" s="30"/>
      <c r="C17" s="326" t="s">
        <v>22</v>
      </c>
      <c r="D17" s="10" t="s">
        <v>335</v>
      </c>
      <c r="E17" s="111">
        <v>10</v>
      </c>
      <c r="F17" s="106"/>
      <c r="G17" s="164"/>
    </row>
    <row r="18" spans="1:7" s="3" customFormat="1" ht="21.9" customHeight="1" x14ac:dyDescent="0.25">
      <c r="A18" s="26">
        <f t="shared" si="0"/>
        <v>1.26</v>
      </c>
      <c r="B18" s="562" t="s">
        <v>284</v>
      </c>
      <c r="C18" s="329" t="s">
        <v>32</v>
      </c>
      <c r="D18" s="10" t="s">
        <v>335</v>
      </c>
      <c r="E18" s="111">
        <v>10</v>
      </c>
      <c r="F18" s="121"/>
      <c r="G18" s="165">
        <v>0</v>
      </c>
    </row>
    <row r="19" spans="1:7" s="3" customFormat="1" ht="35.15" customHeight="1" x14ac:dyDescent="0.25">
      <c r="A19" s="26">
        <f t="shared" si="0"/>
        <v>1.27</v>
      </c>
      <c r="B19" s="562" t="s">
        <v>285</v>
      </c>
      <c r="C19" s="325" t="s">
        <v>33</v>
      </c>
      <c r="D19" s="10" t="s">
        <v>335</v>
      </c>
      <c r="E19" s="111">
        <v>10</v>
      </c>
      <c r="F19" s="121"/>
      <c r="G19" s="165"/>
    </row>
    <row r="20" spans="1:7" s="3" customFormat="1" ht="50.15" customHeight="1" x14ac:dyDescent="0.25">
      <c r="A20" s="26">
        <f t="shared" si="0"/>
        <v>1.28</v>
      </c>
      <c r="B20" s="563" t="s">
        <v>174</v>
      </c>
      <c r="C20" s="330" t="s">
        <v>113</v>
      </c>
      <c r="D20" s="10" t="s">
        <v>335</v>
      </c>
      <c r="E20" s="111">
        <v>10</v>
      </c>
      <c r="F20" s="121"/>
      <c r="G20" s="165"/>
    </row>
    <row r="21" spans="1:7" s="3" customFormat="1" ht="45" customHeight="1" x14ac:dyDescent="0.25">
      <c r="A21" s="26"/>
      <c r="B21" s="30"/>
      <c r="C21" s="325"/>
      <c r="D21" s="136"/>
      <c r="E21" s="112"/>
      <c r="F21" s="106"/>
      <c r="G21" s="128"/>
    </row>
    <row r="22" spans="1:7" s="3" customFormat="1" ht="45" customHeight="1" x14ac:dyDescent="0.25">
      <c r="A22" s="16"/>
      <c r="B22" s="13"/>
      <c r="C22" s="12"/>
      <c r="D22" s="10"/>
      <c r="E22" s="765"/>
      <c r="F22" s="117"/>
      <c r="G22" s="129"/>
    </row>
    <row r="23" spans="1:7" s="3" customFormat="1" ht="45" customHeight="1" x14ac:dyDescent="0.25">
      <c r="A23" s="26"/>
      <c r="B23" s="30"/>
      <c r="C23" s="31"/>
      <c r="D23" s="136"/>
      <c r="E23" s="112"/>
      <c r="F23" s="106"/>
      <c r="G23" s="128"/>
    </row>
    <row r="24" spans="1:7" s="3" customFormat="1" ht="45" customHeight="1" x14ac:dyDescent="0.25">
      <c r="A24" s="26"/>
      <c r="B24" s="30"/>
      <c r="C24" s="113"/>
      <c r="D24" s="100"/>
      <c r="E24" s="766"/>
      <c r="F24" s="124"/>
      <c r="G24" s="128"/>
    </row>
    <row r="25" spans="1:7" s="3" customFormat="1" ht="15" customHeight="1" x14ac:dyDescent="0.25">
      <c r="A25" s="26"/>
      <c r="B25" s="30"/>
      <c r="C25" s="31"/>
      <c r="D25" s="136"/>
      <c r="E25" s="112"/>
      <c r="F25" s="106"/>
      <c r="G25" s="128"/>
    </row>
    <row r="26" spans="1:7" s="3" customFormat="1" ht="8.15" customHeight="1" x14ac:dyDescent="0.25">
      <c r="A26" s="24"/>
      <c r="B26" s="25"/>
      <c r="C26" s="6"/>
      <c r="D26" s="5"/>
      <c r="E26" s="7"/>
      <c r="F26" s="105"/>
      <c r="G26" s="127"/>
    </row>
    <row r="27" spans="1:7" s="3" customFormat="1" ht="8.15" customHeight="1" thickBot="1" x14ac:dyDescent="0.3">
      <c r="A27" s="9"/>
      <c r="B27" s="10"/>
      <c r="C27" s="32"/>
      <c r="D27" s="10"/>
      <c r="E27" s="11"/>
      <c r="F27" s="106"/>
      <c r="G27" s="128"/>
    </row>
    <row r="28" spans="1:7" s="3" customFormat="1" ht="24.9" customHeight="1" thickBot="1" x14ac:dyDescent="0.35">
      <c r="A28" s="33"/>
      <c r="B28" s="34"/>
      <c r="C28" s="293"/>
      <c r="D28" s="283"/>
      <c r="E28" s="185" t="s">
        <v>34</v>
      </c>
      <c r="F28" s="291" t="s">
        <v>26</v>
      </c>
      <c r="G28" s="285">
        <f>SUM(G5:G27)+F1</f>
        <v>0</v>
      </c>
    </row>
    <row r="29" spans="1:7" ht="21.75" customHeight="1" thickTop="1" x14ac:dyDescent="0.25"/>
    <row r="30" spans="1:7" ht="21.75" customHeight="1" x14ac:dyDescent="0.25"/>
    <row r="31" spans="1:7" ht="21.75" customHeight="1" x14ac:dyDescent="0.25"/>
    <row r="32" spans="1:7" ht="21.75" customHeight="1" x14ac:dyDescent="0.25"/>
    <row r="33" ht="21.75" customHeight="1" x14ac:dyDescent="0.25"/>
    <row r="34" ht="21.75" customHeight="1" x14ac:dyDescent="0.25"/>
    <row r="35" ht="21.75" customHeight="1" x14ac:dyDescent="0.25"/>
    <row r="36" ht="21.75" customHeight="1" x14ac:dyDescent="0.25"/>
    <row r="37" ht="21.75" customHeight="1" x14ac:dyDescent="0.25"/>
    <row r="38" ht="21.75" customHeight="1" x14ac:dyDescent="0.25"/>
    <row r="39" ht="21.75" customHeight="1" x14ac:dyDescent="0.25"/>
    <row r="40" ht="21.75" customHeight="1" x14ac:dyDescent="0.25"/>
    <row r="41" ht="21.75" customHeight="1" x14ac:dyDescent="0.25"/>
    <row r="42" ht="21.75" customHeight="1" x14ac:dyDescent="0.25"/>
    <row r="43" ht="21.75" customHeight="1" x14ac:dyDescent="0.25"/>
    <row r="44" ht="21.75" customHeight="1" x14ac:dyDescent="0.25"/>
    <row r="45" ht="21.75" customHeight="1" x14ac:dyDescent="0.25"/>
    <row r="46" ht="21.75" customHeight="1" x14ac:dyDescent="0.25"/>
    <row r="47" ht="21.75" customHeight="1" x14ac:dyDescent="0.25"/>
    <row r="48" ht="21.75" customHeight="1" x14ac:dyDescent="0.25"/>
    <row r="49" ht="21.75" customHeight="1" x14ac:dyDescent="0.25"/>
    <row r="50" ht="21.75" customHeight="1" x14ac:dyDescent="0.25"/>
    <row r="51" ht="21.75" customHeight="1" x14ac:dyDescent="0.25"/>
    <row r="52" ht="21.75" customHeight="1" x14ac:dyDescent="0.25"/>
    <row r="53" ht="21.75" customHeight="1" x14ac:dyDescent="0.25"/>
  </sheetData>
  <mergeCells count="8">
    <mergeCell ref="F1:G1"/>
    <mergeCell ref="F2:F3"/>
    <mergeCell ref="G2:G3"/>
    <mergeCell ref="A2:A3"/>
    <mergeCell ref="B2:B3"/>
    <mergeCell ref="C2:C3"/>
    <mergeCell ref="D2:D3"/>
    <mergeCell ref="E2:E3"/>
  </mergeCells>
  <phoneticPr fontId="0" type="noConversion"/>
  <printOptions horizontalCentered="1"/>
  <pageMargins left="0.74803149606299213" right="0.74803149606299213" top="0.98425196850393704" bottom="1.1811023622047245" header="0.51181102362204722" footer="0.51181102362204722"/>
  <pageSetup paperSize="9" scale="84" orientation="portrait" horizontalDpi="4294967295" r:id="rId1"/>
  <headerFooter alignWithMargins="0">
    <oddHeader>&amp;LBisasar Road Landfill Site: Capping Phase 3
&amp;C
&amp;RContract No: 32818-6W</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G35"/>
  <sheetViews>
    <sheetView showGridLines="0" showZeros="0" view="pageBreakPreview" zoomScaleNormal="130" zoomScaleSheetLayoutView="100" workbookViewId="0">
      <selection activeCell="C22" sqref="C22"/>
    </sheetView>
  </sheetViews>
  <sheetFormatPr defaultRowHeight="21.75" customHeight="1" x14ac:dyDescent="0.25"/>
  <cols>
    <col min="1" max="1" width="5.54296875" customWidth="1"/>
    <col min="2" max="2" width="12.6328125" customWidth="1"/>
    <col min="3" max="3" width="46.453125" customWidth="1"/>
    <col min="4" max="4" width="5.6328125" customWidth="1"/>
    <col min="5" max="5" width="14.81640625" style="104" customWidth="1"/>
    <col min="6" max="6" width="11.6328125" customWidth="1"/>
    <col min="7" max="7" width="16.36328125" style="131" customWidth="1"/>
  </cols>
  <sheetData>
    <row r="1" spans="1:7" s="3" customFormat="1" ht="24.9" customHeight="1" thickTop="1" thickBot="1" x14ac:dyDescent="0.4">
      <c r="A1" s="1" t="s">
        <v>27</v>
      </c>
      <c r="B1" s="2"/>
      <c r="C1" s="2"/>
      <c r="D1" s="2"/>
      <c r="E1" s="110">
        <f>' Sec.1 Fixed Charge'!E1</f>
        <v>0</v>
      </c>
      <c r="F1" s="836">
        <f>+'SUMMARY EST'!D3</f>
        <v>0</v>
      </c>
      <c r="G1" s="837"/>
    </row>
    <row r="2" spans="1:7" s="3" customFormat="1" ht="12" customHeight="1" thickTop="1" x14ac:dyDescent="0.25">
      <c r="A2" s="856" t="s">
        <v>1</v>
      </c>
      <c r="B2" s="850" t="s">
        <v>2</v>
      </c>
      <c r="C2" s="858" t="s">
        <v>3</v>
      </c>
      <c r="D2" s="862" t="s">
        <v>4</v>
      </c>
      <c r="E2" s="864" t="s">
        <v>5</v>
      </c>
      <c r="F2" s="838" t="s">
        <v>6</v>
      </c>
      <c r="G2" s="840" t="s">
        <v>7</v>
      </c>
    </row>
    <row r="3" spans="1:7" s="3" customFormat="1" ht="12" customHeight="1" x14ac:dyDescent="0.25">
      <c r="A3" s="857"/>
      <c r="B3" s="851"/>
      <c r="C3" s="859"/>
      <c r="D3" s="863"/>
      <c r="E3" s="865"/>
      <c r="F3" s="839"/>
      <c r="G3" s="841"/>
    </row>
    <row r="4" spans="1:7" s="3" customFormat="1" ht="8.15" customHeight="1" x14ac:dyDescent="0.3">
      <c r="A4" s="749"/>
      <c r="B4" s="25"/>
      <c r="C4" s="6"/>
      <c r="D4"/>
      <c r="E4" s="750"/>
      <c r="F4" s="115"/>
      <c r="G4" s="127"/>
    </row>
    <row r="5" spans="1:7" s="3" customFormat="1" ht="24.9" customHeight="1" x14ac:dyDescent="0.25">
      <c r="A5" s="751"/>
      <c r="B5" s="13"/>
      <c r="C5" s="752" t="s">
        <v>35</v>
      </c>
      <c r="D5" s="36"/>
      <c r="E5" s="113"/>
      <c r="F5" s="116"/>
      <c r="G5" s="149"/>
    </row>
    <row r="6" spans="1:7" s="3" customFormat="1" ht="20" customHeight="1" x14ac:dyDescent="0.25">
      <c r="A6" s="753">
        <v>1.29</v>
      </c>
      <c r="B6" s="754" t="s">
        <v>36</v>
      </c>
      <c r="C6" s="325" t="s">
        <v>148</v>
      </c>
      <c r="D6" s="79"/>
      <c r="E6" s="755" t="s">
        <v>37</v>
      </c>
      <c r="F6" s="756"/>
      <c r="G6" s="149">
        <v>75000</v>
      </c>
    </row>
    <row r="7" spans="1:7" s="3" customFormat="1" ht="20" customHeight="1" x14ac:dyDescent="0.25">
      <c r="A7" s="322">
        <f>A6+0.01</f>
        <v>1.3</v>
      </c>
      <c r="B7" s="565" t="s">
        <v>286</v>
      </c>
      <c r="C7" s="171" t="s">
        <v>140</v>
      </c>
      <c r="D7" s="10" t="s">
        <v>38</v>
      </c>
      <c r="E7" s="757">
        <f>+G6</f>
        <v>75000</v>
      </c>
      <c r="F7" s="758"/>
      <c r="G7" s="149"/>
    </row>
    <row r="8" spans="1:7" s="3" customFormat="1" ht="20" customHeight="1" x14ac:dyDescent="0.25">
      <c r="A8" s="322">
        <f t="shared" ref="A8:A19" si="0">A7+0.01</f>
        <v>1.31</v>
      </c>
      <c r="B8" s="754" t="s">
        <v>36</v>
      </c>
      <c r="C8" s="326" t="s">
        <v>158</v>
      </c>
      <c r="D8" s="28"/>
      <c r="E8" s="755" t="s">
        <v>37</v>
      </c>
      <c r="F8" s="759"/>
      <c r="G8" s="149">
        <v>50000</v>
      </c>
    </row>
    <row r="9" spans="1:7" s="3" customFormat="1" ht="20" customHeight="1" x14ac:dyDescent="0.25">
      <c r="A9" s="322">
        <f t="shared" si="0"/>
        <v>1.32</v>
      </c>
      <c r="B9" s="565" t="s">
        <v>286</v>
      </c>
      <c r="C9" s="171" t="s">
        <v>140</v>
      </c>
      <c r="D9" s="10" t="s">
        <v>38</v>
      </c>
      <c r="E9" s="757">
        <f>+G8</f>
        <v>50000</v>
      </c>
      <c r="F9" s="758"/>
      <c r="G9" s="149"/>
    </row>
    <row r="10" spans="1:7" s="3" customFormat="1" ht="20" customHeight="1" x14ac:dyDescent="0.25">
      <c r="A10" s="322">
        <f t="shared" si="0"/>
        <v>1.33</v>
      </c>
      <c r="B10" s="754" t="s">
        <v>36</v>
      </c>
      <c r="C10" s="171" t="s">
        <v>101</v>
      </c>
      <c r="D10" s="100"/>
      <c r="E10" s="757" t="s">
        <v>37</v>
      </c>
      <c r="F10" s="758"/>
      <c r="G10" s="149">
        <f>25000*10</f>
        <v>250000</v>
      </c>
    </row>
    <row r="11" spans="1:7" s="3" customFormat="1" ht="20" customHeight="1" x14ac:dyDescent="0.25">
      <c r="A11" s="322">
        <f t="shared" si="0"/>
        <v>1.34</v>
      </c>
      <c r="B11" s="565" t="s">
        <v>286</v>
      </c>
      <c r="C11" s="171" t="s">
        <v>140</v>
      </c>
      <c r="D11" s="100" t="s">
        <v>38</v>
      </c>
      <c r="E11" s="757">
        <f>+G10</f>
        <v>250000</v>
      </c>
      <c r="F11" s="758"/>
      <c r="G11" s="149"/>
    </row>
    <row r="12" spans="1:7" s="3" customFormat="1" ht="22.25" customHeight="1" x14ac:dyDescent="0.25">
      <c r="A12" s="322">
        <f t="shared" si="0"/>
        <v>1.35</v>
      </c>
      <c r="B12" s="754" t="s">
        <v>36</v>
      </c>
      <c r="C12" s="171" t="s">
        <v>153</v>
      </c>
      <c r="D12" s="144"/>
      <c r="E12" s="757" t="s">
        <v>37</v>
      </c>
      <c r="F12" s="758"/>
      <c r="G12" s="760">
        <f>15000*10</f>
        <v>150000</v>
      </c>
    </row>
    <row r="13" spans="1:7" s="3" customFormat="1" ht="20" customHeight="1" x14ac:dyDescent="0.25">
      <c r="A13" s="322">
        <f t="shared" si="0"/>
        <v>1.36</v>
      </c>
      <c r="B13" s="565" t="s">
        <v>286</v>
      </c>
      <c r="C13" s="171" t="s">
        <v>140</v>
      </c>
      <c r="D13" s="144" t="s">
        <v>38</v>
      </c>
      <c r="E13" s="757">
        <f>+G12</f>
        <v>150000</v>
      </c>
      <c r="F13" s="758"/>
      <c r="G13" s="149"/>
    </row>
    <row r="14" spans="1:7" s="3" customFormat="1" ht="20" customHeight="1" x14ac:dyDescent="0.25">
      <c r="A14" s="322">
        <f t="shared" si="0"/>
        <v>1.37</v>
      </c>
      <c r="B14" s="754" t="s">
        <v>36</v>
      </c>
      <c r="C14" s="171" t="s">
        <v>211</v>
      </c>
      <c r="D14" s="144"/>
      <c r="E14" s="757" t="s">
        <v>37</v>
      </c>
      <c r="F14" s="758"/>
      <c r="G14" s="760">
        <f>10*10000</f>
        <v>100000</v>
      </c>
    </row>
    <row r="15" spans="1:7" s="94" customFormat="1" ht="20" customHeight="1" x14ac:dyDescent="0.3">
      <c r="A15" s="322">
        <f t="shared" si="0"/>
        <v>1.3800000000000001</v>
      </c>
      <c r="B15" s="565" t="s">
        <v>286</v>
      </c>
      <c r="C15" s="171" t="s">
        <v>140</v>
      </c>
      <c r="D15" s="144" t="s">
        <v>38</v>
      </c>
      <c r="E15" s="757">
        <f>+G14</f>
        <v>100000</v>
      </c>
      <c r="F15" s="758"/>
      <c r="G15" s="149"/>
    </row>
    <row r="16" spans="1:7" s="94" customFormat="1" ht="31.75" customHeight="1" x14ac:dyDescent="0.3">
      <c r="A16" s="322">
        <f t="shared" si="0"/>
        <v>1.3900000000000001</v>
      </c>
      <c r="B16" s="564" t="s">
        <v>36</v>
      </c>
      <c r="C16" s="171" t="s">
        <v>269</v>
      </c>
      <c r="D16" s="144"/>
      <c r="E16" s="755" t="s">
        <v>37</v>
      </c>
      <c r="F16" s="759"/>
      <c r="G16" s="760">
        <v>75000</v>
      </c>
    </row>
    <row r="17" spans="1:7" s="94" customFormat="1" ht="20" customHeight="1" x14ac:dyDescent="0.3">
      <c r="A17" s="322">
        <f t="shared" si="0"/>
        <v>1.4000000000000001</v>
      </c>
      <c r="B17" s="565" t="s">
        <v>286</v>
      </c>
      <c r="C17" s="171" t="s">
        <v>140</v>
      </c>
      <c r="D17" s="144" t="s">
        <v>38</v>
      </c>
      <c r="E17" s="757">
        <f>+G16</f>
        <v>75000</v>
      </c>
      <c r="F17" s="758"/>
      <c r="G17" s="149"/>
    </row>
    <row r="18" spans="1:7" s="94" customFormat="1" ht="32.4" customHeight="1" x14ac:dyDescent="0.3">
      <c r="A18" s="322">
        <f t="shared" si="0"/>
        <v>1.4100000000000001</v>
      </c>
      <c r="B18" s="564" t="s">
        <v>36</v>
      </c>
      <c r="C18" s="171" t="s">
        <v>397</v>
      </c>
      <c r="D18" s="144"/>
      <c r="E18" s="755" t="s">
        <v>37</v>
      </c>
      <c r="F18" s="759"/>
      <c r="G18" s="760">
        <v>250000</v>
      </c>
    </row>
    <row r="19" spans="1:7" s="94" customFormat="1" ht="20" customHeight="1" x14ac:dyDescent="0.3">
      <c r="A19" s="322">
        <f t="shared" si="0"/>
        <v>1.4200000000000002</v>
      </c>
      <c r="B19" s="565" t="s">
        <v>286</v>
      </c>
      <c r="C19" s="171" t="s">
        <v>140</v>
      </c>
      <c r="D19" s="144" t="s">
        <v>38</v>
      </c>
      <c r="E19" s="757">
        <f>+G18</f>
        <v>250000</v>
      </c>
      <c r="F19" s="758"/>
      <c r="G19" s="149"/>
    </row>
    <row r="20" spans="1:7" s="94" customFormat="1" ht="36" customHeight="1" x14ac:dyDescent="0.3">
      <c r="A20" s="761"/>
      <c r="B20" s="407"/>
      <c r="C20" s="408"/>
      <c r="D20" s="762"/>
      <c r="E20" s="763"/>
      <c r="F20" s="764"/>
      <c r="G20" s="605"/>
    </row>
    <row r="21" spans="1:7" s="94" customFormat="1" ht="20" customHeight="1" x14ac:dyDescent="0.3">
      <c r="A21" s="595"/>
      <c r="B21" s="602"/>
      <c r="C21" s="597"/>
      <c r="D21" s="598"/>
      <c r="E21" s="603"/>
      <c r="F21" s="604"/>
      <c r="G21" s="601"/>
    </row>
    <row r="22" spans="1:7" s="3" customFormat="1" ht="36" customHeight="1" x14ac:dyDescent="0.25">
      <c r="A22" s="322"/>
      <c r="B22" s="564"/>
      <c r="C22" s="312"/>
      <c r="D22" s="303"/>
      <c r="E22" s="310"/>
      <c r="F22" s="569"/>
      <c r="G22" s="311"/>
    </row>
    <row r="23" spans="1:7" s="3" customFormat="1" ht="24.9" customHeight="1" x14ac:dyDescent="0.25">
      <c r="A23" s="323"/>
      <c r="B23" s="565"/>
      <c r="C23" s="312"/>
      <c r="D23" s="303"/>
      <c r="E23" s="308"/>
      <c r="F23" s="568"/>
      <c r="G23" s="309"/>
    </row>
    <row r="24" spans="1:7" s="3" customFormat="1" ht="13.5" x14ac:dyDescent="0.25">
      <c r="A24" s="595"/>
      <c r="B24" s="596"/>
      <c r="C24" s="597"/>
      <c r="D24" s="598"/>
      <c r="E24" s="599"/>
      <c r="F24" s="600"/>
      <c r="G24" s="601"/>
    </row>
    <row r="25" spans="1:7" s="3" customFormat="1" ht="24.9" customHeight="1" x14ac:dyDescent="0.25">
      <c r="A25" s="595"/>
      <c r="B25" s="602"/>
      <c r="C25" s="597"/>
      <c r="D25" s="598"/>
      <c r="E25" s="603"/>
      <c r="F25" s="604"/>
      <c r="G25" s="601"/>
    </row>
    <row r="26" spans="1:7" s="3" customFormat="1" ht="24.9" customHeight="1" x14ac:dyDescent="0.25">
      <c r="A26" s="595"/>
      <c r="B26" s="596"/>
      <c r="C26" s="597"/>
      <c r="D26" s="598"/>
      <c r="E26" s="599"/>
      <c r="F26" s="600"/>
      <c r="G26" s="601"/>
    </row>
    <row r="27" spans="1:7" s="3" customFormat="1" ht="24.9" customHeight="1" x14ac:dyDescent="0.25">
      <c r="A27" s="595"/>
      <c r="B27" s="602"/>
      <c r="C27" s="597"/>
      <c r="D27" s="598"/>
      <c r="E27" s="603"/>
      <c r="F27" s="604"/>
      <c r="G27" s="601"/>
    </row>
    <row r="28" spans="1:7" s="3" customFormat="1" ht="24.9" customHeight="1" x14ac:dyDescent="0.25">
      <c r="A28" s="595"/>
      <c r="B28" s="596"/>
      <c r="C28" s="597"/>
      <c r="D28" s="598"/>
      <c r="E28" s="599"/>
      <c r="F28" s="604"/>
      <c r="G28" s="605"/>
    </row>
    <row r="29" spans="1:7" s="3" customFormat="1" ht="24.9" customHeight="1" x14ac:dyDescent="0.25">
      <c r="A29" s="595"/>
      <c r="B29" s="602"/>
      <c r="C29" s="597"/>
      <c r="D29" s="598"/>
      <c r="E29" s="603"/>
      <c r="F29" s="604"/>
      <c r="G29" s="601"/>
    </row>
    <row r="30" spans="1:7" s="3" customFormat="1" ht="22.5" customHeight="1" thickBot="1" x14ac:dyDescent="0.3">
      <c r="A30" s="324"/>
      <c r="B30" s="138"/>
      <c r="C30" s="139"/>
      <c r="D30" s="140"/>
      <c r="E30" s="141"/>
      <c r="F30" s="142"/>
      <c r="G30" s="128"/>
    </row>
    <row r="31" spans="1:7" s="3" customFormat="1" ht="24.9" customHeight="1" thickBot="1" x14ac:dyDescent="0.35">
      <c r="A31" s="33"/>
      <c r="B31" s="34"/>
      <c r="C31" s="185"/>
      <c r="D31" s="240"/>
      <c r="E31" s="185" t="s">
        <v>39</v>
      </c>
      <c r="F31" s="187" t="s">
        <v>26</v>
      </c>
      <c r="G31" s="294"/>
    </row>
    <row r="32" spans="1:7" ht="21.75" customHeight="1" thickTop="1" x14ac:dyDescent="0.25"/>
    <row r="35" spans="6:6" ht="21.75" customHeight="1" x14ac:dyDescent="0.25">
      <c r="F35" s="88"/>
    </row>
  </sheetData>
  <mergeCells count="8">
    <mergeCell ref="F1:G1"/>
    <mergeCell ref="F2:F3"/>
    <mergeCell ref="G2:G3"/>
    <mergeCell ref="A2:A3"/>
    <mergeCell ref="C2:C3"/>
    <mergeCell ref="D2:D3"/>
    <mergeCell ref="E2:E3"/>
    <mergeCell ref="B2:B3"/>
  </mergeCells>
  <phoneticPr fontId="0" type="noConversion"/>
  <printOptions horizontalCentered="1"/>
  <pageMargins left="0.78740157480314965" right="0.70866141732283472" top="0.78740157480314965" bottom="0.78740157480314965" header="0.51181102362204722" footer="0.51181102362204722"/>
  <pageSetup paperSize="9" scale="77" orientation="portrait" horizontalDpi="4294967295" r:id="rId1"/>
  <headerFooter alignWithMargins="0">
    <oddHeader>&amp;LBisasar Road Landfill Site: Capping Phase 3
&amp;C
&amp;RContract No: 32818-6W</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J11"/>
  <sheetViews>
    <sheetView showGridLines="0" showZeros="0" view="pageBreakPreview" zoomScaleNormal="100" zoomScaleSheetLayoutView="100" zoomScalePageLayoutView="115" workbookViewId="0">
      <selection activeCell="E5" sqref="E5"/>
    </sheetView>
  </sheetViews>
  <sheetFormatPr defaultRowHeight="21.75" customHeight="1" x14ac:dyDescent="0.25"/>
  <cols>
    <col min="1" max="1" width="5.90625" customWidth="1"/>
    <col min="2" max="2" width="12.6328125" customWidth="1"/>
    <col min="3" max="3" width="44" customWidth="1"/>
    <col min="4" max="4" width="5.6328125" customWidth="1"/>
    <col min="5" max="5" width="11.36328125" customWidth="1"/>
    <col min="6" max="6" width="11.6328125" customWidth="1"/>
    <col min="7" max="7" width="16.36328125" style="131" customWidth="1"/>
  </cols>
  <sheetData>
    <row r="1" spans="1:10" ht="24.9" customHeight="1" thickTop="1" thickBot="1" x14ac:dyDescent="0.4">
      <c r="A1" s="35" t="s">
        <v>40</v>
      </c>
      <c r="B1" s="2"/>
      <c r="C1" s="2"/>
      <c r="D1" s="2"/>
      <c r="E1" s="110">
        <f>' Sec.1 Fixed Charge'!E1</f>
        <v>0</v>
      </c>
      <c r="F1" s="837">
        <f>+'SUMMARY EST'!D3</f>
        <v>0</v>
      </c>
      <c r="G1" s="866"/>
    </row>
    <row r="2" spans="1:10" s="88" customFormat="1" ht="12" customHeight="1" thickTop="1" x14ac:dyDescent="0.25">
      <c r="A2" s="867" t="s">
        <v>1</v>
      </c>
      <c r="B2" s="869" t="s">
        <v>2</v>
      </c>
      <c r="C2" s="858" t="s">
        <v>3</v>
      </c>
      <c r="D2" s="858" t="s">
        <v>4</v>
      </c>
      <c r="E2" s="838" t="s">
        <v>5</v>
      </c>
      <c r="F2" s="838" t="s">
        <v>6</v>
      </c>
      <c r="G2" s="840" t="s">
        <v>7</v>
      </c>
    </row>
    <row r="3" spans="1:10" s="88" customFormat="1" ht="12" customHeight="1" x14ac:dyDescent="0.25">
      <c r="A3" s="868"/>
      <c r="B3" s="851"/>
      <c r="C3" s="859"/>
      <c r="D3" s="859"/>
      <c r="E3" s="839"/>
      <c r="F3" s="839"/>
      <c r="G3" s="841"/>
    </row>
    <row r="4" spans="1:10" ht="12" customHeight="1" x14ac:dyDescent="0.25">
      <c r="A4" s="37"/>
      <c r="B4" s="108"/>
      <c r="C4" s="6"/>
      <c r="D4" s="38"/>
      <c r="E4" s="193"/>
      <c r="F4" s="193"/>
      <c r="G4" s="134"/>
    </row>
    <row r="5" spans="1:10" ht="17.149999999999999" customHeight="1" x14ac:dyDescent="0.3">
      <c r="A5" s="37"/>
      <c r="B5" s="39" t="s">
        <v>41</v>
      </c>
      <c r="C5" s="3"/>
      <c r="D5" s="209"/>
      <c r="E5" s="194"/>
      <c r="F5" s="194"/>
      <c r="G5" s="190"/>
    </row>
    <row r="6" spans="1:10" ht="8.15" customHeight="1" x14ac:dyDescent="0.25">
      <c r="A6" s="37"/>
      <c r="B6" s="109"/>
      <c r="C6" s="6"/>
      <c r="D6" s="40"/>
      <c r="E6" s="195"/>
      <c r="F6" s="195"/>
      <c r="G6" s="190"/>
    </row>
    <row r="7" spans="1:10" ht="104.5" customHeight="1" x14ac:dyDescent="0.25">
      <c r="A7" s="14" t="s">
        <v>42</v>
      </c>
      <c r="B7" s="173" t="s">
        <v>43</v>
      </c>
      <c r="C7" s="114" t="s">
        <v>383</v>
      </c>
      <c r="D7" s="144" t="s">
        <v>44</v>
      </c>
      <c r="E7" s="748">
        <v>37000</v>
      </c>
      <c r="F7" s="191"/>
      <c r="G7" s="145">
        <f t="shared" ref="G7:G8" si="0">+F7*$E7</f>
        <v>0</v>
      </c>
    </row>
    <row r="8" spans="1:10" s="95" customFormat="1" ht="48" customHeight="1" x14ac:dyDescent="0.25">
      <c r="A8" s="14">
        <f>+A7+0.1</f>
        <v>2.2000000000000002</v>
      </c>
      <c r="B8" s="173" t="s">
        <v>150</v>
      </c>
      <c r="C8" s="114" t="s">
        <v>356</v>
      </c>
      <c r="D8" s="144" t="s">
        <v>45</v>
      </c>
      <c r="E8" s="745">
        <v>1000</v>
      </c>
      <c r="F8" s="192"/>
      <c r="G8" s="145">
        <f t="shared" si="0"/>
        <v>0</v>
      </c>
      <c r="J8" s="483"/>
    </row>
    <row r="9" spans="1:10" s="95" customFormat="1" ht="42" customHeight="1" thickBot="1" x14ac:dyDescent="0.3">
      <c r="A9" s="150"/>
      <c r="B9" s="139"/>
      <c r="C9" s="746"/>
      <c r="D9" s="141"/>
      <c r="E9" s="747"/>
      <c r="F9" s="206"/>
      <c r="G9" s="151"/>
    </row>
    <row r="10" spans="1:10" ht="24.9" customHeight="1" thickBot="1" x14ac:dyDescent="0.35">
      <c r="A10" s="41"/>
      <c r="B10" s="42"/>
      <c r="C10" s="185" t="s">
        <v>47</v>
      </c>
      <c r="D10" s="280"/>
      <c r="E10" s="281"/>
      <c r="F10" s="295" t="s">
        <v>26</v>
      </c>
      <c r="G10" s="285">
        <f>SUM(G6:G9)</f>
        <v>0</v>
      </c>
    </row>
    <row r="11" spans="1:10" ht="21.75" customHeight="1" thickTop="1" x14ac:dyDescent="0.25"/>
  </sheetData>
  <mergeCells count="8">
    <mergeCell ref="F1:G1"/>
    <mergeCell ref="F2:F3"/>
    <mergeCell ref="G2:G3"/>
    <mergeCell ref="A2:A3"/>
    <mergeCell ref="C2:C3"/>
    <mergeCell ref="D2:D3"/>
    <mergeCell ref="E2:E3"/>
    <mergeCell ref="B2:B3"/>
  </mergeCells>
  <phoneticPr fontId="0" type="noConversion"/>
  <printOptions horizontalCentered="1"/>
  <pageMargins left="0.74803149606299213" right="0.74803149606299213" top="0.98425196850393704" bottom="0.98425196850393704" header="0.51181102362204722" footer="0.51181102362204722"/>
  <pageSetup paperSize="9" scale="81" orientation="portrait" horizontalDpi="4294967295" r:id="rId1"/>
  <headerFooter alignWithMargins="0">
    <oddHeader>&amp;LBisasar Road Landfill Site: Capping Phase 3
&amp;RContract No: 32818-6W</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G16"/>
  <sheetViews>
    <sheetView showGridLines="0" showZeros="0" view="pageBreakPreview" zoomScaleNormal="115" zoomScaleSheetLayoutView="100" workbookViewId="0">
      <selection activeCell="E2" sqref="E2:E3"/>
    </sheetView>
  </sheetViews>
  <sheetFormatPr defaultRowHeight="21.75" customHeight="1" x14ac:dyDescent="0.25"/>
  <cols>
    <col min="1" max="1" width="5.90625" customWidth="1"/>
    <col min="2" max="2" width="12.6328125" customWidth="1"/>
    <col min="3" max="3" width="43.453125" customWidth="1"/>
    <col min="4" max="4" width="5.6328125" customWidth="1"/>
    <col min="5" max="5" width="11.36328125" customWidth="1"/>
    <col min="6" max="6" width="11.6328125" customWidth="1"/>
    <col min="7" max="7" width="16.36328125" style="131" customWidth="1"/>
  </cols>
  <sheetData>
    <row r="1" spans="1:7" ht="24.9" customHeight="1" thickTop="1" thickBot="1" x14ac:dyDescent="0.4">
      <c r="A1" s="739" t="s">
        <v>104</v>
      </c>
      <c r="B1" s="742"/>
      <c r="C1" s="742"/>
      <c r="D1" s="742"/>
      <c r="E1" s="110">
        <f>' Sec.1Time Related 1.15 - 1.28'!E1</f>
        <v>0</v>
      </c>
      <c r="F1" s="837">
        <f>+'SUMMARY EST'!D3</f>
        <v>0</v>
      </c>
      <c r="G1" s="866"/>
    </row>
    <row r="2" spans="1:7" s="88" customFormat="1" ht="12" customHeight="1" thickTop="1" x14ac:dyDescent="0.25">
      <c r="A2" s="844" t="s">
        <v>1</v>
      </c>
      <c r="B2" s="850" t="s">
        <v>2</v>
      </c>
      <c r="C2" s="846" t="s">
        <v>3</v>
      </c>
      <c r="D2" s="846" t="s">
        <v>4</v>
      </c>
      <c r="E2" s="854" t="s">
        <v>5</v>
      </c>
      <c r="F2" s="838" t="s">
        <v>6</v>
      </c>
      <c r="G2" s="840" t="s">
        <v>7</v>
      </c>
    </row>
    <row r="3" spans="1:7" s="88" customFormat="1" ht="12" customHeight="1" x14ac:dyDescent="0.25">
      <c r="A3" s="845"/>
      <c r="B3" s="872"/>
      <c r="C3" s="847"/>
      <c r="D3" s="847"/>
      <c r="E3" s="855"/>
      <c r="F3" s="839"/>
      <c r="G3" s="841"/>
    </row>
    <row r="4" spans="1:7" ht="24.9" customHeight="1" x14ac:dyDescent="0.25">
      <c r="A4" s="14"/>
      <c r="B4" s="870" t="s">
        <v>105</v>
      </c>
      <c r="C4" s="871"/>
      <c r="D4" s="144"/>
      <c r="E4" s="743"/>
      <c r="F4" s="744"/>
      <c r="G4" s="712"/>
    </row>
    <row r="5" spans="1:7" ht="63.5" customHeight="1" x14ac:dyDescent="0.25">
      <c r="A5" s="64">
        <v>3.1</v>
      </c>
      <c r="B5" s="173" t="s">
        <v>56</v>
      </c>
      <c r="C5" s="114" t="s">
        <v>406</v>
      </c>
      <c r="D5" s="144" t="s">
        <v>44</v>
      </c>
      <c r="E5" s="716">
        <f>' Sec.2 Site Clearance'!E7</f>
        <v>37000</v>
      </c>
      <c r="F5" s="711"/>
      <c r="G5" s="713">
        <f>F5*$E5</f>
        <v>0</v>
      </c>
    </row>
    <row r="6" spans="1:7" ht="13.75" customHeight="1" x14ac:dyDescent="0.25">
      <c r="A6" s="64"/>
      <c r="B6" s="173"/>
      <c r="C6" s="374" t="s">
        <v>390</v>
      </c>
      <c r="D6" s="144"/>
      <c r="E6" s="716"/>
      <c r="F6" s="711"/>
      <c r="G6" s="713"/>
    </row>
    <row r="7" spans="1:7" ht="36.5" customHeight="1" x14ac:dyDescent="0.25">
      <c r="A7" s="64">
        <v>3.2</v>
      </c>
      <c r="B7" s="173" t="s">
        <v>249</v>
      </c>
      <c r="C7" s="114" t="s">
        <v>250</v>
      </c>
      <c r="D7" s="144" t="s">
        <v>45</v>
      </c>
      <c r="E7" s="740">
        <v>400</v>
      </c>
      <c r="F7" s="711"/>
      <c r="G7" s="674">
        <f t="shared" ref="G7:G10" si="0">F7*E7</f>
        <v>0</v>
      </c>
    </row>
    <row r="8" spans="1:7" ht="35" customHeight="1" x14ac:dyDescent="0.25">
      <c r="A8" s="64">
        <v>3.3</v>
      </c>
      <c r="B8" s="173" t="s">
        <v>154</v>
      </c>
      <c r="C8" s="114" t="s">
        <v>254</v>
      </c>
      <c r="D8" s="144" t="s">
        <v>45</v>
      </c>
      <c r="E8" s="706">
        <v>50</v>
      </c>
      <c r="F8" s="711"/>
      <c r="G8" s="674">
        <f t="shared" si="0"/>
        <v>0</v>
      </c>
    </row>
    <row r="9" spans="1:7" ht="25.75" customHeight="1" x14ac:dyDescent="0.25">
      <c r="A9" s="64">
        <v>3.4</v>
      </c>
      <c r="B9" s="741" t="s">
        <v>288</v>
      </c>
      <c r="C9" s="114" t="s">
        <v>375</v>
      </c>
      <c r="D9" s="144" t="s">
        <v>44</v>
      </c>
      <c r="E9" s="706">
        <f>E5*0.3</f>
        <v>11100</v>
      </c>
      <c r="F9" s="711"/>
      <c r="G9" s="674">
        <f t="shared" si="0"/>
        <v>0</v>
      </c>
    </row>
    <row r="10" spans="1:7" ht="23.5" customHeight="1" x14ac:dyDescent="0.25">
      <c r="A10" s="64">
        <v>3.5</v>
      </c>
      <c r="B10" s="741" t="s">
        <v>107</v>
      </c>
      <c r="C10" s="114" t="s">
        <v>251</v>
      </c>
      <c r="D10" s="144" t="s">
        <v>44</v>
      </c>
      <c r="E10" s="706">
        <f>E5</f>
        <v>37000</v>
      </c>
      <c r="F10" s="711"/>
      <c r="G10" s="674">
        <f t="shared" si="0"/>
        <v>0</v>
      </c>
    </row>
    <row r="11" spans="1:7" ht="57.75" customHeight="1" x14ac:dyDescent="0.25">
      <c r="A11" s="64"/>
      <c r="B11" s="741"/>
      <c r="C11" s="114"/>
      <c r="D11" s="144"/>
      <c r="E11" s="579"/>
      <c r="F11" s="188"/>
      <c r="G11" s="713"/>
    </row>
    <row r="12" spans="1:7" ht="57.75" customHeight="1" x14ac:dyDescent="0.25">
      <c r="A12" s="64"/>
      <c r="B12" s="741"/>
      <c r="C12" s="114"/>
      <c r="D12" s="144"/>
      <c r="E12" s="579"/>
      <c r="F12" s="188"/>
      <c r="G12" s="713"/>
    </row>
    <row r="13" spans="1:7" ht="57.75" customHeight="1" x14ac:dyDescent="0.25">
      <c r="A13" s="64"/>
      <c r="B13" s="67"/>
      <c r="C13" s="65"/>
      <c r="D13" s="10"/>
      <c r="E13" s="122"/>
      <c r="F13" s="188"/>
      <c r="G13" s="145"/>
    </row>
    <row r="14" spans="1:7" ht="24.9" customHeight="1" thickBot="1" x14ac:dyDescent="0.3">
      <c r="A14" s="24"/>
      <c r="C14" s="6"/>
      <c r="D14" s="5"/>
      <c r="E14" s="92"/>
      <c r="F14" s="189"/>
      <c r="G14" s="146"/>
    </row>
    <row r="15" spans="1:7" ht="21.75" customHeight="1" thickBot="1" x14ac:dyDescent="0.35">
      <c r="A15" s="69"/>
      <c r="B15" s="43"/>
      <c r="C15" s="185" t="s">
        <v>54</v>
      </c>
      <c r="D15" s="280"/>
      <c r="E15" s="281"/>
      <c r="F15" s="284" t="s">
        <v>26</v>
      </c>
      <c r="G15" s="285">
        <f>SUM(G5:G14)</f>
        <v>0</v>
      </c>
    </row>
    <row r="16" spans="1:7" ht="21.75" customHeight="1" thickTop="1" x14ac:dyDescent="0.25"/>
  </sheetData>
  <mergeCells count="9">
    <mergeCell ref="B4:C4"/>
    <mergeCell ref="F1:G1"/>
    <mergeCell ref="F2:F3"/>
    <mergeCell ref="G2:G3"/>
    <mergeCell ref="A2:A3"/>
    <mergeCell ref="C2:C3"/>
    <mergeCell ref="D2:D3"/>
    <mergeCell ref="B2:B3"/>
    <mergeCell ref="E2:E3"/>
  </mergeCells>
  <phoneticPr fontId="0" type="noConversion"/>
  <printOptions horizontalCentered="1"/>
  <pageMargins left="0.74803149606299213" right="0.74803149606299213" top="0.78740157480314965" bottom="0.98425196850393704" header="0.39370078740157483" footer="0.51181102362204722"/>
  <pageSetup paperSize="9" scale="82" orientation="portrait" horizontalDpi="4294967295" r:id="rId1"/>
  <headerFooter alignWithMargins="0">
    <oddHeader>&amp;LBisasar Road Landfill Site: Capping Phase 3
&amp;RContract No: 32818-6W</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24"/>
  <sheetViews>
    <sheetView showGridLines="0" showZeros="0" view="pageBreakPreview" zoomScaleNormal="100" zoomScaleSheetLayoutView="100" workbookViewId="0">
      <selection activeCell="C21" sqref="C21"/>
    </sheetView>
  </sheetViews>
  <sheetFormatPr defaultRowHeight="21.75" customHeight="1" x14ac:dyDescent="0.25"/>
  <cols>
    <col min="1" max="1" width="5.90625" customWidth="1"/>
    <col min="2" max="2" width="13.08984375" customWidth="1"/>
    <col min="3" max="3" width="43.453125" customWidth="1"/>
    <col min="4" max="4" width="5.6328125" customWidth="1"/>
    <col min="5" max="5" width="9.6328125" customWidth="1"/>
    <col min="6" max="6" width="11.6328125" customWidth="1"/>
    <col min="7" max="7" width="16.36328125" style="131" customWidth="1"/>
  </cols>
  <sheetData>
    <row r="1" spans="1:7" s="45" customFormat="1" ht="24.9" customHeight="1" thickTop="1" thickBot="1" x14ac:dyDescent="0.4">
      <c r="A1" s="44" t="s">
        <v>115</v>
      </c>
      <c r="B1" s="722"/>
      <c r="C1" s="722"/>
      <c r="D1" s="722"/>
      <c r="E1" s="717"/>
      <c r="F1" s="836">
        <f>+'SUMMARY EST'!D3</f>
        <v>0</v>
      </c>
      <c r="G1" s="837"/>
    </row>
    <row r="2" spans="1:7" s="45" customFormat="1" ht="12" customHeight="1" thickTop="1" x14ac:dyDescent="0.25">
      <c r="A2" s="881" t="s">
        <v>1</v>
      </c>
      <c r="B2" s="883" t="s">
        <v>2</v>
      </c>
      <c r="C2" s="873" t="s">
        <v>3</v>
      </c>
      <c r="D2" s="873" t="s">
        <v>4</v>
      </c>
      <c r="E2" s="875" t="s">
        <v>5</v>
      </c>
      <c r="F2" s="838" t="s">
        <v>6</v>
      </c>
      <c r="G2" s="840" t="s">
        <v>7</v>
      </c>
    </row>
    <row r="3" spans="1:7" s="45" customFormat="1" ht="12" customHeight="1" x14ac:dyDescent="0.25">
      <c r="A3" s="882"/>
      <c r="B3" s="884"/>
      <c r="C3" s="874"/>
      <c r="D3" s="874"/>
      <c r="E3" s="876"/>
      <c r="F3" s="839"/>
      <c r="G3" s="841"/>
    </row>
    <row r="4" spans="1:7" s="45" customFormat="1" ht="8.15" customHeight="1" x14ac:dyDescent="0.25">
      <c r="A4" s="46"/>
      <c r="C4" s="723"/>
      <c r="D4" s="724"/>
      <c r="E4" s="725"/>
      <c r="F4" s="725"/>
      <c r="G4" s="726"/>
    </row>
    <row r="5" spans="1:7" s="45" customFormat="1" ht="17.149999999999999" customHeight="1" x14ac:dyDescent="0.25">
      <c r="A5" s="47"/>
      <c r="B5" s="879" t="s">
        <v>48</v>
      </c>
      <c r="C5" s="880"/>
      <c r="D5" s="48"/>
      <c r="E5" s="727"/>
      <c r="F5" s="727"/>
      <c r="G5" s="133"/>
    </row>
    <row r="6" spans="1:7" s="45" customFormat="1" ht="8.15" customHeight="1" x14ac:dyDescent="0.25">
      <c r="A6" s="47"/>
      <c r="B6" s="728"/>
      <c r="C6" s="729"/>
      <c r="D6" s="48"/>
      <c r="E6" s="727"/>
      <c r="F6" s="727"/>
      <c r="G6" s="133"/>
    </row>
    <row r="7" spans="1:7" s="45" customFormat="1" ht="13" x14ac:dyDescent="0.25">
      <c r="A7" s="49"/>
      <c r="B7" s="718" t="s">
        <v>49</v>
      </c>
      <c r="C7" s="719" t="s">
        <v>108</v>
      </c>
      <c r="D7" s="48"/>
      <c r="E7" s="727"/>
      <c r="F7" s="727"/>
      <c r="G7" s="133"/>
    </row>
    <row r="8" spans="1:7" s="45" customFormat="1" ht="9.9" customHeight="1" x14ac:dyDescent="0.25">
      <c r="A8" s="49"/>
      <c r="B8" s="114"/>
      <c r="C8" s="729"/>
      <c r="D8" s="48"/>
      <c r="E8" s="727"/>
      <c r="F8" s="727"/>
      <c r="G8" s="133"/>
    </row>
    <row r="9" spans="1:7" s="45" customFormat="1" ht="32.25" customHeight="1" x14ac:dyDescent="0.25">
      <c r="A9" s="51">
        <v>4.0999999999999996</v>
      </c>
      <c r="B9" s="114"/>
      <c r="C9" s="175" t="s">
        <v>125</v>
      </c>
      <c r="D9" s="730" t="s">
        <v>45</v>
      </c>
      <c r="E9" s="579">
        <f>500+350</f>
        <v>850</v>
      </c>
      <c r="F9" s="731"/>
      <c r="G9" s="713">
        <f t="shared" ref="G9:G13" si="0">+F9*$E9</f>
        <v>0</v>
      </c>
    </row>
    <row r="10" spans="1:7" s="45" customFormat="1" ht="34.5" customHeight="1" x14ac:dyDescent="0.25">
      <c r="A10" s="53">
        <v>4.1999999999999993</v>
      </c>
      <c r="B10" s="199"/>
      <c r="C10" s="175" t="s">
        <v>124</v>
      </c>
      <c r="D10" s="730" t="s">
        <v>45</v>
      </c>
      <c r="E10" s="579">
        <v>550</v>
      </c>
      <c r="F10" s="731"/>
      <c r="G10" s="713">
        <f t="shared" si="0"/>
        <v>0</v>
      </c>
    </row>
    <row r="11" spans="1:7" s="45" customFormat="1" ht="35.15" customHeight="1" x14ac:dyDescent="0.25">
      <c r="A11" s="53">
        <v>4.2999999999999989</v>
      </c>
      <c r="B11" s="728"/>
      <c r="C11" s="175" t="s">
        <v>213</v>
      </c>
      <c r="D11" s="730" t="s">
        <v>45</v>
      </c>
      <c r="E11" s="579">
        <v>150</v>
      </c>
      <c r="F11" s="731"/>
      <c r="G11" s="713">
        <f t="shared" si="0"/>
        <v>0</v>
      </c>
    </row>
    <row r="12" spans="1:7" s="45" customFormat="1" ht="35.15" customHeight="1" x14ac:dyDescent="0.25">
      <c r="A12" s="53">
        <v>4.3999999999999986</v>
      </c>
      <c r="B12" s="728"/>
      <c r="C12" s="175" t="s">
        <v>214</v>
      </c>
      <c r="D12" s="730" t="s">
        <v>45</v>
      </c>
      <c r="E12" s="579">
        <v>100</v>
      </c>
      <c r="F12" s="732"/>
      <c r="G12" s="713">
        <f t="shared" si="0"/>
        <v>0</v>
      </c>
    </row>
    <row r="13" spans="1:7" s="45" customFormat="1" ht="25" x14ac:dyDescent="0.25">
      <c r="A13" s="53">
        <v>4.4999999999999982</v>
      </c>
      <c r="B13" s="720" t="s">
        <v>289</v>
      </c>
      <c r="C13" s="175" t="s">
        <v>50</v>
      </c>
      <c r="D13" s="48" t="s">
        <v>45</v>
      </c>
      <c r="E13" s="579">
        <v>50</v>
      </c>
      <c r="F13" s="732"/>
      <c r="G13" s="713">
        <f t="shared" si="0"/>
        <v>0</v>
      </c>
    </row>
    <row r="14" spans="1:7" s="45" customFormat="1" ht="12.65" customHeight="1" x14ac:dyDescent="0.25">
      <c r="A14" s="53"/>
      <c r="B14" s="733"/>
      <c r="C14" s="175"/>
      <c r="D14" s="48"/>
      <c r="E14" s="579"/>
      <c r="F14" s="732"/>
      <c r="G14" s="713"/>
    </row>
    <row r="15" spans="1:7" s="45" customFormat="1" ht="26" x14ac:dyDescent="0.25">
      <c r="A15" s="54"/>
      <c r="B15" s="877" t="s">
        <v>51</v>
      </c>
      <c r="C15" s="719" t="s">
        <v>52</v>
      </c>
      <c r="D15" s="48"/>
      <c r="E15" s="579"/>
      <c r="F15" s="734"/>
      <c r="G15" s="713"/>
    </row>
    <row r="16" spans="1:7" s="45" customFormat="1" ht="16.5" customHeight="1" x14ac:dyDescent="0.25">
      <c r="A16" s="54"/>
      <c r="B16" s="878"/>
      <c r="C16" s="729"/>
      <c r="D16" s="48"/>
      <c r="E16" s="579"/>
      <c r="F16" s="734"/>
      <c r="G16" s="713"/>
    </row>
    <row r="17" spans="1:7" s="45" customFormat="1" ht="21.9" customHeight="1" x14ac:dyDescent="0.25">
      <c r="A17" s="54">
        <v>4.5999999999999979</v>
      </c>
      <c r="B17" s="878"/>
      <c r="C17" s="735" t="s">
        <v>53</v>
      </c>
      <c r="D17" s="48" t="s">
        <v>45</v>
      </c>
      <c r="E17" s="579">
        <v>50</v>
      </c>
      <c r="F17" s="732"/>
      <c r="G17" s="713">
        <f>+F17*$E17</f>
        <v>0</v>
      </c>
    </row>
    <row r="18" spans="1:7" s="45" customFormat="1" ht="21.9" customHeight="1" x14ac:dyDescent="0.25">
      <c r="A18" s="54">
        <v>4.7</v>
      </c>
      <c r="B18" s="736"/>
      <c r="C18" s="737" t="s">
        <v>391</v>
      </c>
      <c r="D18" s="48" t="s">
        <v>45</v>
      </c>
      <c r="E18" s="579">
        <v>250</v>
      </c>
      <c r="F18" s="732"/>
      <c r="G18" s="713">
        <f>+F18*$E18</f>
        <v>0</v>
      </c>
    </row>
    <row r="19" spans="1:7" s="45" customFormat="1" ht="21.9" customHeight="1" x14ac:dyDescent="0.25">
      <c r="A19" s="54">
        <v>4.8</v>
      </c>
      <c r="B19" s="736"/>
      <c r="C19" s="737" t="s">
        <v>392</v>
      </c>
      <c r="D19" s="48" t="s">
        <v>45</v>
      </c>
      <c r="E19" s="579">
        <v>700</v>
      </c>
      <c r="F19" s="732"/>
      <c r="G19" s="713">
        <f>+F19*$E19</f>
        <v>0</v>
      </c>
    </row>
    <row r="20" spans="1:7" s="45" customFormat="1" ht="93.5" customHeight="1" x14ac:dyDescent="0.25">
      <c r="A20" s="667">
        <v>4.9000000000000004</v>
      </c>
      <c r="B20" s="571" t="s">
        <v>151</v>
      </c>
      <c r="C20" s="738" t="s">
        <v>413</v>
      </c>
      <c r="D20" s="144" t="s">
        <v>45</v>
      </c>
      <c r="E20" s="579">
        <v>200</v>
      </c>
      <c r="F20" s="732"/>
      <c r="G20" s="713">
        <f>+F20*$E20</f>
        <v>0</v>
      </c>
    </row>
    <row r="21" spans="1:7" s="45" customFormat="1" ht="39" customHeight="1" x14ac:dyDescent="0.25">
      <c r="A21" s="56"/>
      <c r="B21" s="571"/>
      <c r="C21" s="721"/>
      <c r="D21" s="144"/>
      <c r="E21" s="732"/>
      <c r="F21" s="732"/>
      <c r="G21" s="712"/>
    </row>
    <row r="22" spans="1:7" s="45" customFormat="1" ht="8.15" customHeight="1" thickBot="1" x14ac:dyDescent="0.3">
      <c r="A22" s="58"/>
      <c r="B22" s="55"/>
      <c r="C22" s="59"/>
      <c r="D22" s="50"/>
      <c r="E22" s="93"/>
      <c r="F22" s="93"/>
      <c r="G22" s="133"/>
    </row>
    <row r="23" spans="1:7" s="45" customFormat="1" ht="24.9" customHeight="1" thickBot="1" x14ac:dyDescent="0.35">
      <c r="A23" s="60"/>
      <c r="B23" s="61"/>
      <c r="C23" s="185" t="s">
        <v>60</v>
      </c>
      <c r="D23" s="283"/>
      <c r="E23" s="186"/>
      <c r="F23" s="284" t="s">
        <v>26</v>
      </c>
      <c r="G23" s="285">
        <f>SUM(G7:G22)</f>
        <v>0</v>
      </c>
    </row>
    <row r="24" spans="1:7" ht="21.75" customHeight="1" thickTop="1" x14ac:dyDescent="0.25"/>
  </sheetData>
  <mergeCells count="10">
    <mergeCell ref="B15:B17"/>
    <mergeCell ref="C2:C3"/>
    <mergeCell ref="B5:C5"/>
    <mergeCell ref="A2:A3"/>
    <mergeCell ref="B2:B3"/>
    <mergeCell ref="D2:D3"/>
    <mergeCell ref="E2:E3"/>
    <mergeCell ref="F1:G1"/>
    <mergeCell ref="F2:F3"/>
    <mergeCell ref="G2:G3"/>
  </mergeCells>
  <phoneticPr fontId="0" type="noConversion"/>
  <printOptions horizontalCentered="1"/>
  <pageMargins left="0.74803149606299213" right="0.74803149606299213" top="0.98425196850393704" bottom="0.98425196850393704" header="0.51181102362204722" footer="0.51181102362204722"/>
  <pageSetup paperSize="9" scale="83" orientation="portrait" horizontalDpi="4294967295" r:id="rId1"/>
  <headerFooter alignWithMargins="0">
    <oddHeader>&amp;LBisasar Road Landfill Site: Capping Phase 3
&amp;RContract No: 32818-6W</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8"/>
  <sheetViews>
    <sheetView showGridLines="0" showZeros="0" view="pageBreakPreview" zoomScaleNormal="100" zoomScaleSheetLayoutView="100" zoomScalePageLayoutView="85" workbookViewId="0">
      <selection activeCell="C16" sqref="C16"/>
    </sheetView>
  </sheetViews>
  <sheetFormatPr defaultRowHeight="21.75" customHeight="1" x14ac:dyDescent="0.25"/>
  <cols>
    <col min="1" max="1" width="5.90625" customWidth="1"/>
    <col min="2" max="2" width="12.6328125" customWidth="1"/>
    <col min="3" max="3" width="43.453125" customWidth="1"/>
    <col min="4" max="4" width="5.6328125" customWidth="1"/>
    <col min="5" max="5" width="9.6328125" customWidth="1"/>
    <col min="6" max="6" width="11.6328125" customWidth="1"/>
    <col min="7" max="7" width="16.453125" style="131" customWidth="1"/>
  </cols>
  <sheetData>
    <row r="1" spans="1:7" ht="21.9" customHeight="1" thickTop="1" thickBot="1" x14ac:dyDescent="0.3">
      <c r="A1" s="703" t="s">
        <v>122</v>
      </c>
      <c r="B1" s="707"/>
      <c r="C1" s="707"/>
      <c r="D1" s="707"/>
      <c r="E1" s="704">
        <f>'Sec.1 Prov.1.29 - 1.42'!E1</f>
        <v>0</v>
      </c>
      <c r="F1" s="837">
        <f>+'SUMMARY EST'!D3</f>
        <v>0</v>
      </c>
      <c r="G1" s="866"/>
    </row>
    <row r="2" spans="1:7" s="88" customFormat="1" ht="12" customHeight="1" thickTop="1" x14ac:dyDescent="0.25">
      <c r="A2" s="844" t="s">
        <v>1</v>
      </c>
      <c r="B2" s="850" t="s">
        <v>2</v>
      </c>
      <c r="C2" s="846" t="s">
        <v>3</v>
      </c>
      <c r="D2" s="846" t="s">
        <v>4</v>
      </c>
      <c r="E2" s="887" t="s">
        <v>5</v>
      </c>
      <c r="F2" s="838" t="s">
        <v>6</v>
      </c>
      <c r="G2" s="840" t="s">
        <v>7</v>
      </c>
    </row>
    <row r="3" spans="1:7" s="88" customFormat="1" ht="12" customHeight="1" x14ac:dyDescent="0.25">
      <c r="A3" s="845"/>
      <c r="B3" s="872"/>
      <c r="C3" s="847"/>
      <c r="D3" s="847"/>
      <c r="E3" s="888"/>
      <c r="F3" s="839"/>
      <c r="G3" s="841"/>
    </row>
    <row r="4" spans="1:7" s="88" customFormat="1" ht="20.149999999999999" customHeight="1" x14ac:dyDescent="0.25">
      <c r="A4" s="152"/>
      <c r="B4" s="885" t="s">
        <v>55</v>
      </c>
      <c r="C4" s="886"/>
      <c r="D4" s="672"/>
      <c r="E4" s="708"/>
      <c r="F4" s="709"/>
      <c r="G4" s="710"/>
    </row>
    <row r="5" spans="1:7" ht="18.75" customHeight="1" x14ac:dyDescent="0.25">
      <c r="A5" s="14"/>
      <c r="B5" s="173"/>
      <c r="C5" s="705" t="s">
        <v>102</v>
      </c>
      <c r="D5" s="144"/>
      <c r="E5" s="711"/>
      <c r="F5" s="673"/>
      <c r="G5" s="712"/>
    </row>
    <row r="6" spans="1:7" ht="28.5" customHeight="1" x14ac:dyDescent="0.25">
      <c r="A6" s="64">
        <v>5.0999999999999996</v>
      </c>
      <c r="B6" s="173" t="s">
        <v>56</v>
      </c>
      <c r="C6" s="114" t="s">
        <v>116</v>
      </c>
      <c r="D6" s="144" t="s">
        <v>44</v>
      </c>
      <c r="E6" s="575">
        <v>1000</v>
      </c>
      <c r="F6" s="673"/>
      <c r="G6" s="713">
        <f>F6*$E6</f>
        <v>0</v>
      </c>
    </row>
    <row r="7" spans="1:7" s="88" customFormat="1" ht="21" customHeight="1" x14ac:dyDescent="0.25">
      <c r="A7" s="152"/>
      <c r="B7" s="714" t="s">
        <v>57</v>
      </c>
      <c r="C7" s="705" t="s">
        <v>58</v>
      </c>
      <c r="D7" s="672"/>
      <c r="E7" s="574"/>
      <c r="F7" s="715"/>
      <c r="G7" s="710"/>
    </row>
    <row r="8" spans="1:7" ht="57.75" customHeight="1" x14ac:dyDescent="0.25">
      <c r="A8" s="64">
        <v>5.1999999999999993</v>
      </c>
      <c r="B8" s="173" t="s">
        <v>57</v>
      </c>
      <c r="C8" s="114" t="s">
        <v>393</v>
      </c>
      <c r="D8" s="144" t="s">
        <v>45</v>
      </c>
      <c r="E8" s="575">
        <v>250</v>
      </c>
      <c r="F8" s="673"/>
      <c r="G8" s="713">
        <f t="shared" ref="G8" si="0">F8*$E8</f>
        <v>0</v>
      </c>
    </row>
    <row r="9" spans="1:7" ht="18.649999999999999" customHeight="1" x14ac:dyDescent="0.25">
      <c r="A9" s="64">
        <v>5.2999999999999989</v>
      </c>
      <c r="B9" s="173" t="s">
        <v>386</v>
      </c>
      <c r="C9" s="374" t="s">
        <v>387</v>
      </c>
      <c r="D9" s="135"/>
      <c r="E9" s="575"/>
      <c r="F9" s="673"/>
      <c r="G9" s="713"/>
    </row>
    <row r="10" spans="1:7" ht="60.75" customHeight="1" x14ac:dyDescent="0.25">
      <c r="A10" s="64">
        <v>5.3999999999999986</v>
      </c>
      <c r="B10" s="173" t="s">
        <v>386</v>
      </c>
      <c r="C10" s="114" t="s">
        <v>394</v>
      </c>
      <c r="D10" s="135" t="s">
        <v>45</v>
      </c>
      <c r="E10" s="575">
        <v>100</v>
      </c>
      <c r="F10" s="673"/>
      <c r="G10" s="713">
        <f t="shared" ref="G10:G16" si="1">F10*$E10</f>
        <v>0</v>
      </c>
    </row>
    <row r="11" spans="1:7" ht="70.5" customHeight="1" x14ac:dyDescent="0.25">
      <c r="A11" s="64">
        <v>5.4999999999999982</v>
      </c>
      <c r="B11" s="173" t="s">
        <v>386</v>
      </c>
      <c r="C11" s="114" t="s">
        <v>412</v>
      </c>
      <c r="D11" s="135" t="s">
        <v>45</v>
      </c>
      <c r="E11" s="575">
        <v>100</v>
      </c>
      <c r="F11" s="673"/>
      <c r="G11" s="713">
        <f t="shared" si="1"/>
        <v>0</v>
      </c>
    </row>
    <row r="12" spans="1:7" ht="41.25" customHeight="1" x14ac:dyDescent="0.25">
      <c r="A12" s="64">
        <v>5.5999999999999979</v>
      </c>
      <c r="B12" s="173" t="s">
        <v>386</v>
      </c>
      <c r="C12" s="114" t="s">
        <v>395</v>
      </c>
      <c r="D12" s="144" t="s">
        <v>45</v>
      </c>
      <c r="E12" s="575">
        <v>100</v>
      </c>
      <c r="F12" s="673"/>
      <c r="G12" s="713">
        <f t="shared" si="1"/>
        <v>0</v>
      </c>
    </row>
    <row r="13" spans="1:7" ht="62.5" x14ac:dyDescent="0.25">
      <c r="A13" s="64">
        <v>5.7</v>
      </c>
      <c r="B13" s="173" t="s">
        <v>386</v>
      </c>
      <c r="C13" s="114" t="s">
        <v>385</v>
      </c>
      <c r="D13" s="144" t="s">
        <v>45</v>
      </c>
      <c r="E13" s="706">
        <f>' Sec.2 Site Clearance'!E7*0.3</f>
        <v>11100</v>
      </c>
      <c r="F13" s="711"/>
      <c r="G13" s="674">
        <f t="shared" ref="G13" si="2">F13*E13</f>
        <v>0</v>
      </c>
    </row>
    <row r="14" spans="1:7" ht="55.5" customHeight="1" x14ac:dyDescent="0.25">
      <c r="A14" s="64">
        <v>5.7999999999999972</v>
      </c>
      <c r="B14" s="173" t="s">
        <v>386</v>
      </c>
      <c r="C14" s="114" t="s">
        <v>396</v>
      </c>
      <c r="D14" s="144" t="s">
        <v>372</v>
      </c>
      <c r="E14" s="716">
        <f>100*8*0.3</f>
        <v>240</v>
      </c>
      <c r="F14" s="673"/>
      <c r="G14" s="713">
        <f t="shared" ref="G14" si="3">F14*$E14</f>
        <v>0</v>
      </c>
    </row>
    <row r="15" spans="1:7" ht="41.25" customHeight="1" x14ac:dyDescent="0.25">
      <c r="A15" s="566">
        <v>5.8999999999999968</v>
      </c>
      <c r="B15" s="304" t="s">
        <v>103</v>
      </c>
      <c r="C15" s="296" t="s">
        <v>268</v>
      </c>
      <c r="D15" s="301" t="s">
        <v>45</v>
      </c>
      <c r="E15" s="576">
        <v>1000</v>
      </c>
      <c r="F15" s="243"/>
      <c r="G15" s="299">
        <f t="shared" si="1"/>
        <v>0</v>
      </c>
    </row>
    <row r="16" spans="1:7" ht="64.5" customHeight="1" thickBot="1" x14ac:dyDescent="0.3">
      <c r="A16" s="668"/>
      <c r="B16" s="305"/>
      <c r="C16" s="373"/>
      <c r="D16" s="301"/>
      <c r="E16" s="300">
        <v>0</v>
      </c>
      <c r="F16" s="243"/>
      <c r="G16" s="299">
        <f t="shared" si="1"/>
        <v>0</v>
      </c>
    </row>
    <row r="17" spans="1:7" ht="24" customHeight="1" thickBot="1" x14ac:dyDescent="0.35">
      <c r="A17" s="69"/>
      <c r="B17" s="43"/>
      <c r="C17" s="185" t="s">
        <v>65</v>
      </c>
      <c r="D17" s="280"/>
      <c r="E17" s="281"/>
      <c r="F17" s="187" t="s">
        <v>26</v>
      </c>
      <c r="G17" s="285">
        <f>SUM(G5:G16)</f>
        <v>0</v>
      </c>
    </row>
    <row r="18" spans="1:7" ht="21.75" customHeight="1" thickTop="1" x14ac:dyDescent="0.25">
      <c r="E18" s="215"/>
      <c r="F18" s="170"/>
    </row>
  </sheetData>
  <mergeCells count="9">
    <mergeCell ref="F1:G1"/>
    <mergeCell ref="F2:F3"/>
    <mergeCell ref="G2:G3"/>
    <mergeCell ref="B4:C4"/>
    <mergeCell ref="A2:A3"/>
    <mergeCell ref="C2:C3"/>
    <mergeCell ref="D2:D3"/>
    <mergeCell ref="E2:E3"/>
    <mergeCell ref="B2:B3"/>
  </mergeCells>
  <phoneticPr fontId="0" type="noConversion"/>
  <printOptions horizontalCentered="1"/>
  <pageMargins left="0.74803149606299213" right="0.74803149606299213" top="0.78740157480314965" bottom="0.98425196850393704" header="0.39370078740157483" footer="0.51181102362204722"/>
  <pageSetup paperSize="9" scale="83" orientation="portrait" horizontalDpi="4294967295" r:id="rId1"/>
  <headerFooter alignWithMargins="0">
    <oddHeader>&amp;LBisasar Road Landfill Site: Capping Phase 3
&amp;RContract No: 32818-6W</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pageSetUpPr fitToPage="1"/>
  </sheetPr>
  <dimension ref="A1:J23"/>
  <sheetViews>
    <sheetView showGridLines="0" showZeros="0" view="pageLayout" zoomScale="85" zoomScaleNormal="85" zoomScaleSheetLayoutView="115" zoomScalePageLayoutView="85" workbookViewId="0">
      <selection activeCell="C10" sqref="C10"/>
    </sheetView>
  </sheetViews>
  <sheetFormatPr defaultColWidth="8.6328125" defaultRowHeight="21.75" customHeight="1" x14ac:dyDescent="0.25"/>
  <cols>
    <col min="1" max="1" width="5.90625" style="257" customWidth="1"/>
    <col min="2" max="2" width="12.6328125" style="257" customWidth="1"/>
    <col min="3" max="3" width="43.453125" style="257" customWidth="1"/>
    <col min="4" max="4" width="5.6328125" style="257" customWidth="1"/>
    <col min="5" max="5" width="11.36328125" style="257" customWidth="1"/>
    <col min="6" max="6" width="12.36328125" style="257" customWidth="1"/>
    <col min="7" max="7" width="16.36328125" style="260" customWidth="1"/>
    <col min="8" max="16384" width="8.6328125" style="257"/>
  </cols>
  <sheetData>
    <row r="1" spans="1:10" ht="24.9" customHeight="1" thickTop="1" thickBot="1" x14ac:dyDescent="0.35">
      <c r="A1" s="484" t="s">
        <v>218</v>
      </c>
      <c r="B1" s="485"/>
      <c r="C1" s="485"/>
      <c r="D1" s="485"/>
      <c r="E1" s="486"/>
      <c r="F1" s="891"/>
      <c r="G1" s="892"/>
    </row>
    <row r="2" spans="1:10" s="258" customFormat="1" ht="12" customHeight="1" thickTop="1" x14ac:dyDescent="0.25">
      <c r="A2" s="893" t="s">
        <v>1</v>
      </c>
      <c r="B2" s="895" t="s">
        <v>2</v>
      </c>
      <c r="C2" s="897" t="s">
        <v>3</v>
      </c>
      <c r="D2" s="897" t="s">
        <v>4</v>
      </c>
      <c r="E2" s="899" t="s">
        <v>5</v>
      </c>
      <c r="F2" s="901" t="s">
        <v>6</v>
      </c>
      <c r="G2" s="889" t="s">
        <v>7</v>
      </c>
    </row>
    <row r="3" spans="1:10" s="258" customFormat="1" ht="12" customHeight="1" x14ac:dyDescent="0.25">
      <c r="A3" s="894"/>
      <c r="B3" s="896"/>
      <c r="C3" s="898"/>
      <c r="D3" s="898"/>
      <c r="E3" s="900"/>
      <c r="F3" s="902"/>
      <c r="G3" s="890"/>
    </row>
    <row r="4" spans="1:10" s="258" customFormat="1" ht="21" customHeight="1" x14ac:dyDescent="0.25">
      <c r="A4" s="487"/>
      <c r="B4" s="488" t="s">
        <v>190</v>
      </c>
      <c r="C4" s="489"/>
      <c r="D4" s="490"/>
      <c r="E4" s="491"/>
      <c r="F4" s="492"/>
      <c r="G4" s="493"/>
    </row>
    <row r="5" spans="1:10" ht="20.149999999999999" customHeight="1" x14ac:dyDescent="0.25">
      <c r="A5" s="494"/>
      <c r="B5" s="495"/>
      <c r="C5" s="496" t="s">
        <v>191</v>
      </c>
      <c r="D5" s="497"/>
      <c r="E5" s="498"/>
      <c r="F5" s="499"/>
      <c r="G5" s="500"/>
    </row>
    <row r="6" spans="1:10" ht="48" customHeight="1" x14ac:dyDescent="0.25">
      <c r="A6" s="501">
        <v>6.1</v>
      </c>
      <c r="B6" s="495" t="s">
        <v>192</v>
      </c>
      <c r="C6" s="502" t="s">
        <v>208</v>
      </c>
      <c r="D6" s="497" t="s">
        <v>45</v>
      </c>
      <c r="E6" s="577"/>
      <c r="F6" s="499">
        <f>1.05*682</f>
        <v>716.1</v>
      </c>
      <c r="G6" s="503">
        <f>+F6*$E6</f>
        <v>0</v>
      </c>
      <c r="I6" s="257">
        <f>E6/0.15</f>
        <v>0</v>
      </c>
      <c r="J6" s="257">
        <v>100</v>
      </c>
    </row>
    <row r="7" spans="1:10" ht="21.9" customHeight="1" x14ac:dyDescent="0.25">
      <c r="A7" s="501"/>
      <c r="B7" s="495"/>
      <c r="C7" s="504" t="s">
        <v>209</v>
      </c>
      <c r="D7" s="497"/>
      <c r="E7" s="577"/>
      <c r="F7" s="499"/>
      <c r="G7" s="500"/>
      <c r="I7" s="257">
        <f>I6/7</f>
        <v>0</v>
      </c>
    </row>
    <row r="8" spans="1:10" ht="21.9" customHeight="1" x14ac:dyDescent="0.25">
      <c r="A8" s="501">
        <f>A6+0.1</f>
        <v>6.1999999999999993</v>
      </c>
      <c r="B8" s="495" t="s">
        <v>193</v>
      </c>
      <c r="C8" s="502" t="s">
        <v>194</v>
      </c>
      <c r="D8" s="497" t="s">
        <v>44</v>
      </c>
      <c r="E8" s="577"/>
      <c r="F8" s="499">
        <f>1.05*20</f>
        <v>21</v>
      </c>
      <c r="G8" s="503">
        <f t="shared" ref="G8:G10" si="0">+F8*$E8</f>
        <v>0</v>
      </c>
      <c r="I8" s="257">
        <f>100*7*0.025</f>
        <v>17.5</v>
      </c>
      <c r="J8" s="257">
        <v>750</v>
      </c>
    </row>
    <row r="9" spans="1:10" ht="21.9" customHeight="1" x14ac:dyDescent="0.25">
      <c r="A9" s="501">
        <f>A8+0.1</f>
        <v>6.2999999999999989</v>
      </c>
      <c r="B9" s="495" t="s">
        <v>195</v>
      </c>
      <c r="C9" s="502" t="s">
        <v>196</v>
      </c>
      <c r="D9" s="497" t="s">
        <v>44</v>
      </c>
      <c r="E9" s="577"/>
      <c r="F9" s="499">
        <f>1.05*8</f>
        <v>8.4</v>
      </c>
      <c r="G9" s="503">
        <f t="shared" si="0"/>
        <v>0</v>
      </c>
      <c r="I9" s="257">
        <f>I8*2.4</f>
        <v>42</v>
      </c>
      <c r="J9" s="257">
        <v>750</v>
      </c>
    </row>
    <row r="10" spans="1:10" ht="41.15" customHeight="1" x14ac:dyDescent="0.25">
      <c r="A10" s="501">
        <f>A9+0.1</f>
        <v>6.3999999999999986</v>
      </c>
      <c r="B10" s="495" t="s">
        <v>197</v>
      </c>
      <c r="C10" s="502" t="s">
        <v>220</v>
      </c>
      <c r="D10" s="497" t="s">
        <v>59</v>
      </c>
      <c r="E10" s="577"/>
      <c r="F10" s="499">
        <f>1.05*1500</f>
        <v>1575</v>
      </c>
      <c r="G10" s="503">
        <f t="shared" si="0"/>
        <v>0</v>
      </c>
      <c r="J10" s="257">
        <v>50</v>
      </c>
    </row>
    <row r="11" spans="1:10" ht="41.15" customHeight="1" x14ac:dyDescent="0.25">
      <c r="A11" s="501">
        <f>A10+0.1</f>
        <v>6.4999999999999982</v>
      </c>
      <c r="B11" s="495" t="s">
        <v>197</v>
      </c>
      <c r="C11" s="502" t="s">
        <v>221</v>
      </c>
      <c r="D11" s="497" t="s">
        <v>59</v>
      </c>
      <c r="E11" s="577"/>
      <c r="F11" s="499">
        <f>1.05*1600</f>
        <v>1680</v>
      </c>
      <c r="G11" s="503">
        <f t="shared" ref="G11" si="1">+F11*$E11</f>
        <v>0</v>
      </c>
      <c r="J11" s="257">
        <v>20</v>
      </c>
    </row>
    <row r="12" spans="1:10" ht="11" customHeight="1" x14ac:dyDescent="0.25">
      <c r="A12" s="501"/>
      <c r="B12" s="495"/>
      <c r="C12" s="505"/>
      <c r="D12" s="506"/>
      <c r="E12" s="577"/>
      <c r="F12" s="499"/>
      <c r="G12" s="503"/>
    </row>
    <row r="13" spans="1:10" ht="21.9" customHeight="1" x14ac:dyDescent="0.25">
      <c r="A13" s="507"/>
      <c r="B13" s="508" t="s">
        <v>266</v>
      </c>
      <c r="C13" s="509" t="s">
        <v>210</v>
      </c>
      <c r="D13" s="496"/>
      <c r="E13" s="578"/>
      <c r="F13" s="499"/>
      <c r="G13" s="500"/>
    </row>
    <row r="14" spans="1:10" ht="105" customHeight="1" x14ac:dyDescent="0.25">
      <c r="A14" s="507">
        <f>+A11+0.1</f>
        <v>6.5999999999999979</v>
      </c>
      <c r="B14" s="510" t="s">
        <v>236</v>
      </c>
      <c r="C14" s="502" t="s">
        <v>357</v>
      </c>
      <c r="D14" s="497" t="s">
        <v>46</v>
      </c>
      <c r="E14" s="577"/>
      <c r="F14" s="499">
        <f>1.05*70</f>
        <v>73.5</v>
      </c>
      <c r="G14" s="503">
        <f>+F14*$E14</f>
        <v>0</v>
      </c>
      <c r="J14" s="257">
        <v>1000</v>
      </c>
    </row>
    <row r="15" spans="1:10" ht="109.5" customHeight="1" x14ac:dyDescent="0.25">
      <c r="A15" s="507"/>
      <c r="B15" s="510" t="s">
        <v>237</v>
      </c>
      <c r="C15" s="502" t="s">
        <v>358</v>
      </c>
      <c r="D15" s="497"/>
      <c r="E15" s="577"/>
      <c r="F15" s="499"/>
      <c r="G15" s="503"/>
    </row>
    <row r="16" spans="1:10" ht="30.5" customHeight="1" x14ac:dyDescent="0.25">
      <c r="A16" s="507">
        <f>+A14+0.1</f>
        <v>6.6999999999999975</v>
      </c>
      <c r="B16" s="510" t="s">
        <v>238</v>
      </c>
      <c r="C16" s="502" t="s">
        <v>232</v>
      </c>
      <c r="D16" s="497" t="s">
        <v>46</v>
      </c>
      <c r="E16" s="577"/>
      <c r="F16" s="499">
        <f>1.05*100</f>
        <v>105</v>
      </c>
      <c r="G16" s="503">
        <f t="shared" ref="G16" si="2">+F16*$E16</f>
        <v>0</v>
      </c>
      <c r="J16" s="257">
        <v>500</v>
      </c>
    </row>
    <row r="17" spans="1:10" ht="29" customHeight="1" x14ac:dyDescent="0.25">
      <c r="A17" s="507">
        <f>+A16+0.1</f>
        <v>6.7999999999999972</v>
      </c>
      <c r="B17" s="510" t="s">
        <v>239</v>
      </c>
      <c r="C17" s="502" t="s">
        <v>233</v>
      </c>
      <c r="D17" s="497" t="s">
        <v>44</v>
      </c>
      <c r="E17" s="577"/>
      <c r="F17" s="499">
        <f>1.05*200</f>
        <v>210</v>
      </c>
      <c r="G17" s="503">
        <f t="shared" ref="G17:G18" si="3">+F17*$E17</f>
        <v>0</v>
      </c>
      <c r="J17" s="257">
        <v>100</v>
      </c>
    </row>
    <row r="18" spans="1:10" ht="64.5" customHeight="1" x14ac:dyDescent="0.25">
      <c r="A18" s="507">
        <f>+A17+0.1</f>
        <v>6.8999999999999968</v>
      </c>
      <c r="B18" s="495" t="s">
        <v>240</v>
      </c>
      <c r="C18" s="502" t="s">
        <v>241</v>
      </c>
      <c r="D18" s="497" t="s">
        <v>45</v>
      </c>
      <c r="E18" s="577"/>
      <c r="F18" s="499">
        <f>1.05*300</f>
        <v>315</v>
      </c>
      <c r="G18" s="503">
        <f t="shared" si="3"/>
        <v>0</v>
      </c>
      <c r="J18" s="257">
        <v>25</v>
      </c>
    </row>
    <row r="19" spans="1:10" ht="33" customHeight="1" x14ac:dyDescent="0.25">
      <c r="A19" s="501"/>
      <c r="B19" s="495"/>
      <c r="C19" s="502"/>
      <c r="D19" s="497"/>
      <c r="E19" s="498"/>
      <c r="F19" s="499"/>
      <c r="G19" s="511"/>
    </row>
    <row r="20" spans="1:10" ht="8.15" customHeight="1" thickBot="1" x14ac:dyDescent="0.3">
      <c r="A20" s="512"/>
      <c r="B20" s="513"/>
      <c r="C20" s="514"/>
      <c r="D20" s="515"/>
      <c r="E20" s="516"/>
      <c r="F20" s="517"/>
      <c r="G20" s="518"/>
    </row>
    <row r="21" spans="1:10" ht="24.9" customHeight="1" thickBot="1" x14ac:dyDescent="0.3">
      <c r="A21" s="519"/>
      <c r="B21" s="520"/>
      <c r="C21" s="521" t="s">
        <v>72</v>
      </c>
      <c r="D21" s="520"/>
      <c r="E21" s="522"/>
      <c r="F21" s="523" t="s">
        <v>26</v>
      </c>
      <c r="G21" s="524">
        <f>SUM(G4:G20)</f>
        <v>0</v>
      </c>
    </row>
    <row r="22" spans="1:10" ht="21.75" customHeight="1" thickTop="1" x14ac:dyDescent="0.25"/>
    <row r="23" spans="1:10" ht="21.75" customHeight="1" x14ac:dyDescent="0.35">
      <c r="C23" s="261"/>
    </row>
  </sheetData>
  <mergeCells count="8">
    <mergeCell ref="G2:G3"/>
    <mergeCell ref="F1:G1"/>
    <mergeCell ref="A2:A3"/>
    <mergeCell ref="B2:B3"/>
    <mergeCell ref="C2:C3"/>
    <mergeCell ref="D2:D3"/>
    <mergeCell ref="E2:E3"/>
    <mergeCell ref="F2:F3"/>
  </mergeCells>
  <printOptions horizontalCentered="1"/>
  <pageMargins left="0.74803149606299213" right="0.74803149606299213" top="0.98425196850393704" bottom="0.98425196850393704" header="0.51181102362204722" footer="0.51181102362204722"/>
  <pageSetup paperSize="9" scale="65" orientation="portrait" horizontalDpi="4294967295" r:id="rId1"/>
  <headerFooter alignWithMargins="0">
    <oddHeader>&amp;LBisasar Road Landfill Site: Capping Phase 3
&amp;RContract No: 32818-6W</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22"/>
  <sheetViews>
    <sheetView showGridLines="0" showZeros="0" view="pageBreakPreview" topLeftCell="A7" zoomScaleNormal="85" zoomScaleSheetLayoutView="100" workbookViewId="0">
      <selection activeCell="C21" sqref="C21"/>
    </sheetView>
  </sheetViews>
  <sheetFormatPr defaultRowHeight="21.75" customHeight="1" x14ac:dyDescent="0.25"/>
  <cols>
    <col min="1" max="1" width="5.90625" customWidth="1"/>
    <col min="2" max="2" width="12.6328125" customWidth="1"/>
    <col min="3" max="3" width="43.453125" customWidth="1"/>
    <col min="4" max="4" width="5.6328125" customWidth="1"/>
    <col min="5" max="5" width="11.36328125" customWidth="1"/>
    <col min="6" max="6" width="11.6328125" customWidth="1"/>
    <col min="7" max="7" width="16.36328125" customWidth="1"/>
  </cols>
  <sheetData>
    <row r="1" spans="1:8" ht="24.9" customHeight="1" thickTop="1" thickBot="1" x14ac:dyDescent="0.4">
      <c r="A1" s="1" t="s">
        <v>400</v>
      </c>
      <c r="B1" s="2"/>
      <c r="C1" s="2"/>
      <c r="D1" s="2"/>
      <c r="E1" s="110">
        <f>' Sec.1 Fixed Charge'!E1</f>
        <v>0</v>
      </c>
      <c r="F1" s="837">
        <f>+'SUMMARY EST'!D3</f>
        <v>0</v>
      </c>
      <c r="G1" s="866"/>
    </row>
    <row r="2" spans="1:8" s="88" customFormat="1" ht="12" customHeight="1" thickTop="1" x14ac:dyDescent="0.25">
      <c r="A2" s="844" t="s">
        <v>1</v>
      </c>
      <c r="B2" s="850" t="s">
        <v>2</v>
      </c>
      <c r="C2" s="846" t="s">
        <v>3</v>
      </c>
      <c r="D2" s="846" t="s">
        <v>4</v>
      </c>
      <c r="E2" s="905" t="s">
        <v>5</v>
      </c>
      <c r="F2" s="838" t="s">
        <v>6</v>
      </c>
      <c r="G2" s="903" t="s">
        <v>7</v>
      </c>
    </row>
    <row r="3" spans="1:8" s="88" customFormat="1" ht="12" customHeight="1" x14ac:dyDescent="0.25">
      <c r="A3" s="845"/>
      <c r="B3" s="851"/>
      <c r="C3" s="847"/>
      <c r="D3" s="847"/>
      <c r="E3" s="906"/>
      <c r="F3" s="839"/>
      <c r="G3" s="904"/>
    </row>
    <row r="4" spans="1:8" s="88" customFormat="1" ht="21" customHeight="1" x14ac:dyDescent="0.25">
      <c r="A4" s="153"/>
      <c r="B4" s="154" t="s">
        <v>61</v>
      </c>
      <c r="C4" s="155"/>
      <c r="D4" s="156"/>
      <c r="E4" s="157"/>
      <c r="F4" s="157"/>
      <c r="G4" s="158"/>
    </row>
    <row r="5" spans="1:8" ht="20.149999999999999" customHeight="1" x14ac:dyDescent="0.25">
      <c r="A5" s="14"/>
      <c r="B5" s="36" t="s">
        <v>62</v>
      </c>
      <c r="C5" s="72" t="s">
        <v>63</v>
      </c>
      <c r="D5" s="10"/>
      <c r="E5" s="68"/>
      <c r="F5" s="68"/>
      <c r="G5" s="18"/>
    </row>
    <row r="6" spans="1:8" ht="59.25" customHeight="1" x14ac:dyDescent="0.25">
      <c r="A6" s="566">
        <v>6.1</v>
      </c>
      <c r="B6" s="36"/>
      <c r="C6" s="114" t="s">
        <v>207</v>
      </c>
      <c r="D6" s="10" t="s">
        <v>45</v>
      </c>
      <c r="E6" s="579">
        <v>15</v>
      </c>
      <c r="F6" s="52"/>
      <c r="G6" s="98">
        <f t="shared" ref="G6:G9" si="0">+F6*$E6</f>
        <v>0</v>
      </c>
    </row>
    <row r="7" spans="1:8" ht="61" customHeight="1" x14ac:dyDescent="0.25">
      <c r="A7" s="566">
        <v>6.2</v>
      </c>
      <c r="B7" s="36"/>
      <c r="C7" s="114" t="s">
        <v>119</v>
      </c>
      <c r="D7" s="10" t="s">
        <v>45</v>
      </c>
      <c r="E7" s="579">
        <v>10</v>
      </c>
      <c r="F7" s="52"/>
      <c r="G7" s="98">
        <f t="shared" si="0"/>
        <v>0</v>
      </c>
    </row>
    <row r="8" spans="1:8" ht="51.5" customHeight="1" x14ac:dyDescent="0.25">
      <c r="A8" s="566">
        <v>6.3</v>
      </c>
      <c r="B8" s="73" t="s">
        <v>64</v>
      </c>
      <c r="C8" s="114" t="s">
        <v>253</v>
      </c>
      <c r="D8" s="28" t="s">
        <v>44</v>
      </c>
      <c r="E8" s="579">
        <v>1500</v>
      </c>
      <c r="F8" s="52"/>
      <c r="G8" s="98">
        <f t="shared" si="0"/>
        <v>0</v>
      </c>
    </row>
    <row r="9" spans="1:8" ht="63" customHeight="1" x14ac:dyDescent="0.25">
      <c r="A9" s="566">
        <v>6.4</v>
      </c>
      <c r="B9" s="73" t="s">
        <v>64</v>
      </c>
      <c r="C9" s="114" t="s">
        <v>252</v>
      </c>
      <c r="D9" s="28" t="s">
        <v>44</v>
      </c>
      <c r="E9" s="579">
        <f>' Sec.2 Site Clearance'!E7*1.05*2+1000</f>
        <v>78700</v>
      </c>
      <c r="F9" s="52"/>
      <c r="G9" s="98">
        <f t="shared" si="0"/>
        <v>0</v>
      </c>
      <c r="H9" s="104" t="s">
        <v>409</v>
      </c>
    </row>
    <row r="10" spans="1:8" ht="42" customHeight="1" x14ac:dyDescent="0.25">
      <c r="A10" s="566">
        <v>6.5</v>
      </c>
      <c r="B10" s="73" t="s">
        <v>64</v>
      </c>
      <c r="C10" s="114" t="s">
        <v>407</v>
      </c>
      <c r="D10" s="28" t="s">
        <v>44</v>
      </c>
      <c r="E10" s="580">
        <f>' Sec.2 Site Clearance'!E7*1.05</f>
        <v>38850</v>
      </c>
      <c r="F10" s="52"/>
      <c r="G10" s="98">
        <f t="shared" ref="G10" si="1">F10*E10</f>
        <v>0</v>
      </c>
      <c r="H10" s="104" t="s">
        <v>410</v>
      </c>
    </row>
    <row r="11" spans="1:8" ht="36" customHeight="1" x14ac:dyDescent="0.25">
      <c r="A11" s="566">
        <v>6.6</v>
      </c>
      <c r="B11" s="73" t="s">
        <v>64</v>
      </c>
      <c r="C11" s="114" t="s">
        <v>408</v>
      </c>
      <c r="D11" s="28" t="s">
        <v>44</v>
      </c>
      <c r="E11" s="580">
        <v>1000</v>
      </c>
      <c r="F11" s="52"/>
      <c r="G11" s="98">
        <f t="shared" ref="G11" si="2">F11*E11</f>
        <v>0</v>
      </c>
    </row>
    <row r="12" spans="1:8" ht="36" customHeight="1" x14ac:dyDescent="0.25">
      <c r="A12" s="566">
        <v>6.7</v>
      </c>
      <c r="B12" s="571" t="s">
        <v>389</v>
      </c>
      <c r="C12" s="114" t="s">
        <v>388</v>
      </c>
      <c r="D12" s="28" t="s">
        <v>44</v>
      </c>
      <c r="E12" s="580">
        <v>2000</v>
      </c>
      <c r="F12" s="52"/>
      <c r="G12" s="98">
        <f t="shared" ref="G12" si="3">F12*E12</f>
        <v>0</v>
      </c>
    </row>
    <row r="13" spans="1:8" ht="43.5" customHeight="1" x14ac:dyDescent="0.25">
      <c r="A13" s="566">
        <v>6.8</v>
      </c>
      <c r="B13" s="702" t="s">
        <v>212</v>
      </c>
      <c r="C13" s="114" t="s">
        <v>256</v>
      </c>
      <c r="D13" s="27" t="s">
        <v>44</v>
      </c>
      <c r="E13" s="581">
        <v>120</v>
      </c>
      <c r="F13" s="103"/>
      <c r="G13" s="98">
        <f t="shared" ref="G13" si="4">+F13*$E13</f>
        <v>0</v>
      </c>
    </row>
    <row r="14" spans="1:8" ht="44" customHeight="1" x14ac:dyDescent="0.25">
      <c r="A14" s="566">
        <v>6.9</v>
      </c>
      <c r="B14" s="570" t="s">
        <v>290</v>
      </c>
      <c r="C14" s="114" t="s">
        <v>382</v>
      </c>
      <c r="D14" s="27" t="s">
        <v>44</v>
      </c>
      <c r="E14" s="581">
        <v>150</v>
      </c>
      <c r="F14" s="103"/>
      <c r="G14" s="98">
        <f t="shared" ref="G14" si="5">+F14*$E14</f>
        <v>0</v>
      </c>
    </row>
    <row r="15" spans="1:8" ht="29.25" customHeight="1" x14ac:dyDescent="0.25">
      <c r="A15" s="671">
        <v>6.1</v>
      </c>
      <c r="B15" s="571" t="s">
        <v>291</v>
      </c>
      <c r="C15" s="114" t="s">
        <v>265</v>
      </c>
      <c r="D15" s="136" t="s">
        <v>44</v>
      </c>
      <c r="E15" s="580">
        <v>20</v>
      </c>
      <c r="F15" s="52"/>
      <c r="G15" s="145">
        <f>+F15*$E15</f>
        <v>0</v>
      </c>
    </row>
    <row r="16" spans="1:8" ht="29.25" customHeight="1" x14ac:dyDescent="0.25">
      <c r="A16" s="606"/>
      <c r="B16" s="610"/>
      <c r="C16" s="611"/>
      <c r="D16" s="612"/>
      <c r="E16" s="613"/>
      <c r="F16" s="607"/>
      <c r="G16" s="609"/>
    </row>
    <row r="17" spans="1:7" ht="29.25" customHeight="1" x14ac:dyDescent="0.25">
      <c r="A17" s="606"/>
      <c r="B17" s="610"/>
      <c r="C17" s="372"/>
      <c r="D17" s="612"/>
      <c r="E17" s="613"/>
      <c r="F17" s="607"/>
      <c r="G17" s="609"/>
    </row>
    <row r="18" spans="1:7" ht="29.25" customHeight="1" x14ac:dyDescent="0.25">
      <c r="A18" s="606"/>
      <c r="B18" s="610"/>
      <c r="C18" s="372"/>
      <c r="D18" s="612"/>
      <c r="E18" s="613"/>
      <c r="F18" s="607"/>
      <c r="G18" s="609"/>
    </row>
    <row r="19" spans="1:7" ht="29.25" customHeight="1" x14ac:dyDescent="0.25">
      <c r="A19" s="64"/>
      <c r="B19" s="571"/>
      <c r="C19" s="114"/>
      <c r="D19" s="136"/>
      <c r="E19" s="347"/>
      <c r="F19" s="52"/>
      <c r="G19" s="145"/>
    </row>
    <row r="20" spans="1:7" ht="29.25" customHeight="1" thickBot="1" x14ac:dyDescent="0.3">
      <c r="A20" s="352"/>
      <c r="B20" s="353"/>
      <c r="C20" s="203"/>
      <c r="D20" s="354"/>
      <c r="E20" s="355"/>
      <c r="F20" s="204"/>
      <c r="G20" s="356"/>
    </row>
    <row r="21" spans="1:7" ht="24.9" customHeight="1" thickBot="1" x14ac:dyDescent="0.35">
      <c r="A21" s="74"/>
      <c r="B21" s="43"/>
      <c r="C21" s="185" t="s">
        <v>72</v>
      </c>
      <c r="D21" s="280"/>
      <c r="E21" s="281"/>
      <c r="F21" s="187" t="s">
        <v>26</v>
      </c>
      <c r="G21" s="282">
        <f>SUM(G6:G18)</f>
        <v>0</v>
      </c>
    </row>
    <row r="22" spans="1:7" ht="21.75" customHeight="1" thickTop="1" x14ac:dyDescent="0.25"/>
  </sheetData>
  <mergeCells count="8">
    <mergeCell ref="F1:G1"/>
    <mergeCell ref="F2:F3"/>
    <mergeCell ref="G2:G3"/>
    <mergeCell ref="A2:A3"/>
    <mergeCell ref="C2:C3"/>
    <mergeCell ref="D2:D3"/>
    <mergeCell ref="E2:E3"/>
    <mergeCell ref="B2:B3"/>
  </mergeCells>
  <phoneticPr fontId="0" type="noConversion"/>
  <printOptions horizontalCentered="1"/>
  <pageMargins left="0.74803149606299213" right="0.74803149606299213" top="0.98425196850393704" bottom="0.98425196850393704" header="0.51181102362204722" footer="0.51181102362204722"/>
  <pageSetup paperSize="9" scale="82" orientation="portrait" horizontalDpi="4294967295" r:id="rId1"/>
  <headerFooter alignWithMargins="0">
    <oddHeader>&amp;LBisasar Road Landfill Site: Capping Phase 3
&amp;RContract No: 32818-6W</oddHead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J19"/>
  <sheetViews>
    <sheetView showGridLines="0" showZeros="0" view="pageLayout" zoomScale="70" zoomScaleNormal="85" zoomScaleSheetLayoutView="85" zoomScalePageLayoutView="70" workbookViewId="0">
      <selection activeCell="D6" sqref="D6"/>
    </sheetView>
  </sheetViews>
  <sheetFormatPr defaultRowHeight="21.75" customHeight="1" x14ac:dyDescent="0.25"/>
  <cols>
    <col min="1" max="1" width="5.90625" customWidth="1"/>
    <col min="2" max="2" width="12.6328125" customWidth="1"/>
    <col min="3" max="3" width="43.453125" customWidth="1"/>
    <col min="4" max="4" width="5.6328125" customWidth="1"/>
    <col min="5" max="5" width="11.36328125" customWidth="1"/>
    <col min="6" max="6" width="11.6328125" customWidth="1"/>
    <col min="7" max="7" width="16.08984375" customWidth="1"/>
  </cols>
  <sheetData>
    <row r="1" spans="1:10" ht="24.9" customHeight="1" thickTop="1" thickBot="1" x14ac:dyDescent="0.4">
      <c r="A1" s="1" t="s">
        <v>219</v>
      </c>
      <c r="B1" s="2"/>
      <c r="C1" s="75"/>
      <c r="D1" s="2"/>
      <c r="E1" s="166">
        <f>' Sec.1 Fixed Charge'!E1</f>
        <v>0</v>
      </c>
      <c r="F1" s="836">
        <f>+'SUMMARY EST'!D3</f>
        <v>0</v>
      </c>
      <c r="G1" s="837"/>
    </row>
    <row r="2" spans="1:10" s="88" customFormat="1" ht="12" customHeight="1" thickTop="1" x14ac:dyDescent="0.25">
      <c r="A2" s="844" t="s">
        <v>1</v>
      </c>
      <c r="B2" s="850" t="s">
        <v>2</v>
      </c>
      <c r="C2" s="846" t="s">
        <v>3</v>
      </c>
      <c r="D2" s="846" t="s">
        <v>4</v>
      </c>
      <c r="E2" s="905" t="s">
        <v>5</v>
      </c>
      <c r="F2" s="838" t="s">
        <v>6</v>
      </c>
      <c r="G2" s="903" t="s">
        <v>7</v>
      </c>
    </row>
    <row r="3" spans="1:10" s="88" customFormat="1" ht="12" customHeight="1" x14ac:dyDescent="0.25">
      <c r="A3" s="845"/>
      <c r="B3" s="851"/>
      <c r="C3" s="847"/>
      <c r="D3" s="847"/>
      <c r="E3" s="906"/>
      <c r="F3" s="839"/>
      <c r="G3" s="904"/>
    </row>
    <row r="4" spans="1:10" ht="24.9" customHeight="1" x14ac:dyDescent="0.25">
      <c r="A4" s="9"/>
      <c r="B4" s="71" t="s">
        <v>66</v>
      </c>
      <c r="C4" s="72"/>
      <c r="D4" s="10"/>
      <c r="E4" s="17"/>
      <c r="F4" s="17"/>
      <c r="G4" s="76"/>
    </row>
    <row r="5" spans="1:10" ht="18.75" customHeight="1" x14ac:dyDescent="0.25">
      <c r="A5" s="14"/>
      <c r="B5" s="77"/>
      <c r="C5" s="66" t="s">
        <v>67</v>
      </c>
      <c r="D5" s="10"/>
      <c r="E5" s="89"/>
      <c r="F5" s="89"/>
      <c r="G5" s="90"/>
    </row>
    <row r="6" spans="1:10" ht="17.25" customHeight="1" x14ac:dyDescent="0.25">
      <c r="A6" s="14">
        <f>8.1</f>
        <v>8.1</v>
      </c>
      <c r="B6" s="137" t="s">
        <v>68</v>
      </c>
      <c r="C6" s="159" t="s">
        <v>145</v>
      </c>
      <c r="D6" s="10" t="s">
        <v>59</v>
      </c>
      <c r="E6" s="143">
        <v>0</v>
      </c>
      <c r="F6" s="52">
        <f>1.05*35000</f>
        <v>36750</v>
      </c>
      <c r="G6" s="98">
        <f>+F6*$E6</f>
        <v>0</v>
      </c>
    </row>
    <row r="7" spans="1:10" ht="24.75" customHeight="1" x14ac:dyDescent="0.25">
      <c r="A7" s="152"/>
      <c r="B7" s="315" t="s">
        <v>69</v>
      </c>
      <c r="C7" s="316" t="s">
        <v>70</v>
      </c>
      <c r="D7" s="301"/>
      <c r="E7" s="298"/>
      <c r="F7" s="317">
        <v>0</v>
      </c>
      <c r="G7" s="244"/>
    </row>
    <row r="8" spans="1:10" ht="18.75" customHeight="1" x14ac:dyDescent="0.25">
      <c r="A8" s="14">
        <f>A6+0.1</f>
        <v>8.1999999999999993</v>
      </c>
      <c r="B8" s="313" t="s">
        <v>292</v>
      </c>
      <c r="C8" s="318" t="s">
        <v>117</v>
      </c>
      <c r="D8" s="301" t="s">
        <v>45</v>
      </c>
      <c r="E8" s="298">
        <v>0</v>
      </c>
      <c r="F8" s="319">
        <f>1.05*2300</f>
        <v>2415</v>
      </c>
      <c r="G8" s="244">
        <f t="shared" ref="G8:G13" si="0">+F8*$E8</f>
        <v>0</v>
      </c>
    </row>
    <row r="9" spans="1:10" ht="18.75" customHeight="1" x14ac:dyDescent="0.25">
      <c r="A9" s="14">
        <f t="shared" ref="A9:A14" si="1">A8+0.1</f>
        <v>8.2999999999999989</v>
      </c>
      <c r="B9" s="313" t="s">
        <v>293</v>
      </c>
      <c r="C9" s="318" t="s">
        <v>71</v>
      </c>
      <c r="D9" s="301" t="s">
        <v>45</v>
      </c>
      <c r="E9" s="298">
        <v>0</v>
      </c>
      <c r="F9" s="319">
        <f>1.05*2875</f>
        <v>3018.75</v>
      </c>
      <c r="G9" s="244">
        <f t="shared" si="0"/>
        <v>0</v>
      </c>
    </row>
    <row r="10" spans="1:10" s="95" customFormat="1" ht="37.5" x14ac:dyDescent="0.25">
      <c r="A10" s="14">
        <f t="shared" si="1"/>
        <v>8.3999999999999986</v>
      </c>
      <c r="B10" s="313" t="s">
        <v>109</v>
      </c>
      <c r="C10" s="320" t="s">
        <v>362</v>
      </c>
      <c r="D10" s="297" t="s">
        <v>45</v>
      </c>
      <c r="E10" s="298">
        <v>0</v>
      </c>
      <c r="F10" s="321">
        <f>1.05*2500</f>
        <v>2625</v>
      </c>
      <c r="G10" s="244">
        <f t="shared" si="0"/>
        <v>0</v>
      </c>
    </row>
    <row r="11" spans="1:10" s="95" customFormat="1" ht="62" customHeight="1" x14ac:dyDescent="0.25">
      <c r="A11" s="14">
        <f t="shared" si="1"/>
        <v>8.4999999999999982</v>
      </c>
      <c r="B11" s="350" t="s">
        <v>110</v>
      </c>
      <c r="C11" s="572" t="s">
        <v>264</v>
      </c>
      <c r="D11" s="351" t="s">
        <v>45</v>
      </c>
      <c r="E11" s="242">
        <v>0</v>
      </c>
      <c r="F11" s="188">
        <f>1.05*3250</f>
        <v>3412.5</v>
      </c>
      <c r="G11" s="145">
        <f t="shared" si="0"/>
        <v>0</v>
      </c>
    </row>
    <row r="12" spans="1:10" ht="61" customHeight="1" x14ac:dyDescent="0.25">
      <c r="A12" s="14">
        <f t="shared" si="1"/>
        <v>8.5999999999999979</v>
      </c>
      <c r="B12" s="173" t="s">
        <v>118</v>
      </c>
      <c r="C12" s="374" t="s">
        <v>255</v>
      </c>
      <c r="D12" s="301" t="s">
        <v>45</v>
      </c>
      <c r="E12" s="122">
        <v>0</v>
      </c>
      <c r="F12" s="99">
        <f>1.05*2500</f>
        <v>2625</v>
      </c>
      <c r="G12" s="98">
        <f t="shared" si="0"/>
        <v>0</v>
      </c>
      <c r="H12" s="104" t="s">
        <v>325</v>
      </c>
    </row>
    <row r="13" spans="1:10" ht="61" customHeight="1" x14ac:dyDescent="0.25">
      <c r="A13" s="14">
        <f t="shared" si="1"/>
        <v>8.6999999999999975</v>
      </c>
      <c r="B13" s="173" t="s">
        <v>361</v>
      </c>
      <c r="C13" s="374" t="s">
        <v>368</v>
      </c>
      <c r="D13" s="301" t="s">
        <v>45</v>
      </c>
      <c r="E13" s="594">
        <v>0</v>
      </c>
      <c r="F13" s="99">
        <v>2850</v>
      </c>
      <c r="G13" s="98">
        <f t="shared" si="0"/>
        <v>0</v>
      </c>
      <c r="J13" s="104" t="s">
        <v>366</v>
      </c>
    </row>
    <row r="14" spans="1:10" ht="61" customHeight="1" x14ac:dyDescent="0.25">
      <c r="A14" s="14">
        <f t="shared" si="1"/>
        <v>8.7999999999999972</v>
      </c>
      <c r="B14" s="173" t="s">
        <v>369</v>
      </c>
      <c r="C14" s="374" t="s">
        <v>367</v>
      </c>
      <c r="D14" s="301" t="s">
        <v>45</v>
      </c>
      <c r="E14" s="122">
        <v>0</v>
      </c>
      <c r="F14" s="99">
        <f>2850*1.1</f>
        <v>3135.0000000000005</v>
      </c>
      <c r="G14" s="98">
        <f t="shared" ref="G14" si="2">+F14*$E14</f>
        <v>0</v>
      </c>
      <c r="J14" s="104"/>
    </row>
    <row r="15" spans="1:10" ht="61" customHeight="1" x14ac:dyDescent="0.25">
      <c r="A15" s="14"/>
      <c r="B15" s="302" t="s">
        <v>359</v>
      </c>
      <c r="C15" s="306" t="s">
        <v>360</v>
      </c>
      <c r="D15" s="303" t="s">
        <v>44</v>
      </c>
      <c r="E15" s="594">
        <v>0</v>
      </c>
      <c r="F15" s="99">
        <f>16.8*9*1.1</f>
        <v>166.32000000000002</v>
      </c>
      <c r="G15" s="98">
        <f>E15*F15</f>
        <v>0</v>
      </c>
    </row>
    <row r="16" spans="1:10" ht="29.25" customHeight="1" x14ac:dyDescent="0.25">
      <c r="A16" s="16"/>
      <c r="B16" s="36"/>
      <c r="C16" s="114"/>
      <c r="D16" s="57"/>
      <c r="E16" s="122"/>
      <c r="F16" s="99"/>
      <c r="G16" s="98"/>
    </row>
    <row r="17" spans="1:7" ht="19.5" customHeight="1" thickBot="1" x14ac:dyDescent="0.3">
      <c r="A17" s="16"/>
      <c r="B17" s="36"/>
      <c r="C17" s="15"/>
      <c r="D17" s="57"/>
      <c r="E17" s="63"/>
      <c r="F17" s="99"/>
      <c r="G17" s="98"/>
    </row>
    <row r="18" spans="1:7" ht="24.9" customHeight="1" thickBot="1" x14ac:dyDescent="0.35">
      <c r="A18" s="96"/>
      <c r="B18" s="97"/>
      <c r="C18" s="185" t="s">
        <v>123</v>
      </c>
      <c r="D18" s="286"/>
      <c r="E18" s="287"/>
      <c r="F18" s="288" t="s">
        <v>26</v>
      </c>
      <c r="G18" s="289">
        <f>SUM(G4:G17)</f>
        <v>0</v>
      </c>
    </row>
    <row r="19" spans="1:7" ht="21.75" customHeight="1" thickTop="1" x14ac:dyDescent="0.25"/>
  </sheetData>
  <mergeCells count="8">
    <mergeCell ref="F1:G1"/>
    <mergeCell ref="F2:F3"/>
    <mergeCell ref="G2:G3"/>
    <mergeCell ref="A2:A3"/>
    <mergeCell ref="C2:C3"/>
    <mergeCell ref="D2:D3"/>
    <mergeCell ref="E2:E3"/>
    <mergeCell ref="B2:B3"/>
  </mergeCells>
  <phoneticPr fontId="0" type="noConversion"/>
  <printOptions horizontalCentered="1"/>
  <pageMargins left="0.74803149606299213" right="0.74803149606299213" top="0.98425196850393704" bottom="0.98425196850393704" header="0.51181102362204722" footer="0.51181102362204722"/>
  <pageSetup paperSize="9" scale="82" orientation="portrait" horizontalDpi="4294967295" r:id="rId1"/>
  <headerFooter alignWithMargins="0">
    <oddHeader>&amp;LBisasar Road Landfill Site: Capping Phase 3
&amp;RContract No: 32818-6W</oddHead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G23"/>
  <sheetViews>
    <sheetView showGridLines="0" showZeros="0" view="pageBreakPreview" zoomScale="85" zoomScaleNormal="85" zoomScaleSheetLayoutView="85" zoomScalePageLayoutView="85" workbookViewId="0">
      <selection activeCell="C17" sqref="C17"/>
    </sheetView>
  </sheetViews>
  <sheetFormatPr defaultRowHeight="21.75" customHeight="1" x14ac:dyDescent="0.25"/>
  <cols>
    <col min="1" max="1" width="5.90625" customWidth="1"/>
    <col min="2" max="2" width="12.6328125" customWidth="1"/>
    <col min="3" max="3" width="43.453125" customWidth="1"/>
    <col min="4" max="4" width="5.6328125" customWidth="1"/>
    <col min="5" max="5" width="9.6328125" customWidth="1"/>
    <col min="6" max="6" width="11.6328125" customWidth="1"/>
    <col min="7" max="7" width="16.36328125" customWidth="1"/>
  </cols>
  <sheetData>
    <row r="1" spans="1:7" ht="24.9" customHeight="1" thickTop="1" thickBot="1" x14ac:dyDescent="0.4">
      <c r="A1" s="1" t="s">
        <v>401</v>
      </c>
      <c r="B1" s="2"/>
      <c r="C1" s="2"/>
      <c r="D1" s="2"/>
      <c r="E1" s="110"/>
      <c r="F1" s="837">
        <f>+'SUMMARY EST'!D3</f>
        <v>0</v>
      </c>
      <c r="G1" s="866"/>
    </row>
    <row r="2" spans="1:7" s="88" customFormat="1" ht="12" customHeight="1" thickTop="1" x14ac:dyDescent="0.25">
      <c r="A2" s="844" t="s">
        <v>1</v>
      </c>
      <c r="B2" s="850" t="s">
        <v>2</v>
      </c>
      <c r="C2" s="846" t="s">
        <v>3</v>
      </c>
      <c r="D2" s="846" t="s">
        <v>4</v>
      </c>
      <c r="E2" s="887" t="s">
        <v>5</v>
      </c>
      <c r="F2" s="838" t="s">
        <v>6</v>
      </c>
      <c r="G2" s="903" t="s">
        <v>7</v>
      </c>
    </row>
    <row r="3" spans="1:7" s="88" customFormat="1" ht="12" customHeight="1" x14ac:dyDescent="0.25">
      <c r="A3" s="845"/>
      <c r="B3" s="851"/>
      <c r="C3" s="847"/>
      <c r="D3" s="847"/>
      <c r="E3" s="888"/>
      <c r="F3" s="839"/>
      <c r="G3" s="904"/>
    </row>
    <row r="4" spans="1:7" ht="8.15" customHeight="1" x14ac:dyDescent="0.25">
      <c r="A4" s="24"/>
      <c r="C4" s="6"/>
      <c r="D4" s="5"/>
      <c r="E4" s="196"/>
      <c r="F4" s="197"/>
      <c r="G4" s="62"/>
    </row>
    <row r="5" spans="1:7" ht="23.15" customHeight="1" x14ac:dyDescent="0.25">
      <c r="A5" s="14"/>
      <c r="B5" s="71" t="s">
        <v>73</v>
      </c>
      <c r="C5" s="198"/>
      <c r="D5" s="5"/>
      <c r="E5" s="196"/>
      <c r="F5" s="197"/>
      <c r="G5" s="62"/>
    </row>
    <row r="6" spans="1:7" ht="50.5" x14ac:dyDescent="0.25">
      <c r="A6" s="80"/>
      <c r="B6" s="79" t="s">
        <v>74</v>
      </c>
      <c r="C6" s="175" t="s">
        <v>262</v>
      </c>
      <c r="D6" s="28"/>
      <c r="E6" s="582"/>
      <c r="F6" s="200"/>
      <c r="G6" s="98"/>
    </row>
    <row r="7" spans="1:7" ht="24.9" customHeight="1" x14ac:dyDescent="0.25">
      <c r="A7" s="80">
        <v>7.1</v>
      </c>
      <c r="B7" s="79"/>
      <c r="C7" s="175" t="s">
        <v>260</v>
      </c>
      <c r="D7" s="48" t="s">
        <v>46</v>
      </c>
      <c r="E7" s="582">
        <v>100</v>
      </c>
      <c r="F7" s="103"/>
      <c r="G7" s="98">
        <f t="shared" ref="G7:G12" si="0">F7*$E7</f>
        <v>0</v>
      </c>
    </row>
    <row r="8" spans="1:7" ht="24.9" customHeight="1" x14ac:dyDescent="0.25">
      <c r="A8" s="80">
        <v>7.2</v>
      </c>
      <c r="B8" s="79"/>
      <c r="C8" s="175" t="s">
        <v>257</v>
      </c>
      <c r="D8" s="48" t="s">
        <v>46</v>
      </c>
      <c r="E8" s="582">
        <v>100</v>
      </c>
      <c r="F8" s="103"/>
      <c r="G8" s="98">
        <f t="shared" si="0"/>
        <v>0</v>
      </c>
    </row>
    <row r="9" spans="1:7" s="174" customFormat="1" ht="21.9" customHeight="1" x14ac:dyDescent="0.25">
      <c r="A9" s="80">
        <v>7.3</v>
      </c>
      <c r="B9" s="201"/>
      <c r="C9" s="175" t="s">
        <v>259</v>
      </c>
      <c r="D9" s="48" t="s">
        <v>46</v>
      </c>
      <c r="E9" s="582">
        <v>250</v>
      </c>
      <c r="F9" s="103"/>
      <c r="G9" s="98">
        <f t="shared" si="0"/>
        <v>0</v>
      </c>
    </row>
    <row r="10" spans="1:7" s="174" customFormat="1" ht="21.9" customHeight="1" x14ac:dyDescent="0.25">
      <c r="A10" s="80">
        <v>7.4</v>
      </c>
      <c r="B10" s="201"/>
      <c r="C10" s="175" t="s">
        <v>261</v>
      </c>
      <c r="D10" s="48" t="s">
        <v>46</v>
      </c>
      <c r="E10" s="582">
        <v>500</v>
      </c>
      <c r="F10" s="103"/>
      <c r="G10" s="98">
        <f t="shared" si="0"/>
        <v>0</v>
      </c>
    </row>
    <row r="11" spans="1:7" s="174" customFormat="1" ht="21.9" customHeight="1" x14ac:dyDescent="0.25">
      <c r="A11" s="80">
        <v>7.5</v>
      </c>
      <c r="B11" s="201"/>
      <c r="C11" s="175" t="s">
        <v>258</v>
      </c>
      <c r="D11" s="48" t="s">
        <v>46</v>
      </c>
      <c r="E11" s="582">
        <v>100</v>
      </c>
      <c r="F11" s="673"/>
      <c r="G11" s="674">
        <f t="shared" si="0"/>
        <v>0</v>
      </c>
    </row>
    <row r="12" spans="1:7" s="174" customFormat="1" ht="21.9" customHeight="1" x14ac:dyDescent="0.25">
      <c r="A12" s="80">
        <v>7.6</v>
      </c>
      <c r="B12" s="201"/>
      <c r="C12" s="175" t="s">
        <v>384</v>
      </c>
      <c r="D12" s="48" t="s">
        <v>46</v>
      </c>
      <c r="E12" s="582">
        <v>900</v>
      </c>
      <c r="F12" s="673"/>
      <c r="G12" s="674">
        <f t="shared" si="0"/>
        <v>0</v>
      </c>
    </row>
    <row r="13" spans="1:7" s="3" customFormat="1" ht="32" customHeight="1" x14ac:dyDescent="0.25">
      <c r="A13" s="80">
        <v>7.7</v>
      </c>
      <c r="B13" s="199" t="s">
        <v>111</v>
      </c>
      <c r="C13" s="114" t="s">
        <v>270</v>
      </c>
      <c r="D13" s="48" t="s">
        <v>75</v>
      </c>
      <c r="E13" s="582">
        <v>1</v>
      </c>
      <c r="F13" s="673"/>
      <c r="G13" s="674">
        <f t="shared" ref="G13" si="1">F13*$E13</f>
        <v>0</v>
      </c>
    </row>
    <row r="14" spans="1:7" ht="47.5" customHeight="1" x14ac:dyDescent="0.25">
      <c r="A14" s="80">
        <v>7.8</v>
      </c>
      <c r="B14" s="199" t="s">
        <v>294</v>
      </c>
      <c r="C14" s="114" t="s">
        <v>225</v>
      </c>
      <c r="D14" s="573" t="s">
        <v>46</v>
      </c>
      <c r="E14" s="582">
        <v>200</v>
      </c>
      <c r="F14" s="103"/>
      <c r="G14" s="98">
        <f t="shared" ref="G14" si="2">F14*$E14</f>
        <v>0</v>
      </c>
    </row>
    <row r="15" spans="1:7" ht="14" x14ac:dyDescent="0.25">
      <c r="A15" s="669"/>
      <c r="B15" s="199"/>
      <c r="C15" s="114"/>
      <c r="D15" s="50"/>
      <c r="E15" s="583"/>
      <c r="F15" s="216"/>
      <c r="G15" s="98"/>
    </row>
    <row r="16" spans="1:7" ht="41.25" customHeight="1" thickBot="1" x14ac:dyDescent="0.3">
      <c r="A16" s="202"/>
      <c r="B16" s="199"/>
      <c r="C16" s="203"/>
      <c r="D16" s="50"/>
      <c r="E16" s="160"/>
      <c r="F16" s="216"/>
      <c r="G16" s="98"/>
    </row>
    <row r="17" spans="1:7" s="88" customFormat="1" ht="24.9" customHeight="1" thickBot="1" x14ac:dyDescent="0.3">
      <c r="A17" s="279"/>
      <c r="B17" s="280"/>
      <c r="C17" s="259" t="s">
        <v>414</v>
      </c>
      <c r="D17" s="280"/>
      <c r="E17" s="281"/>
      <c r="F17" s="187" t="s">
        <v>26</v>
      </c>
      <c r="G17" s="282">
        <f>SUM(G5:G16)</f>
        <v>0</v>
      </c>
    </row>
    <row r="18" spans="1:7" s="3" customFormat="1" ht="24.9" customHeight="1" thickTop="1" x14ac:dyDescent="0.25">
      <c r="A18"/>
      <c r="B18"/>
      <c r="C18"/>
      <c r="D18"/>
      <c r="E18"/>
      <c r="F18"/>
      <c r="G18"/>
    </row>
    <row r="19" spans="1:7" s="3" customFormat="1" ht="24.9" customHeight="1" x14ac:dyDescent="0.25">
      <c r="A19"/>
      <c r="B19"/>
      <c r="C19"/>
      <c r="D19"/>
      <c r="E19"/>
      <c r="F19"/>
      <c r="G19"/>
    </row>
    <row r="20" spans="1:7" s="3" customFormat="1" ht="24.9" customHeight="1" x14ac:dyDescent="0.25">
      <c r="A20"/>
      <c r="B20"/>
      <c r="C20"/>
      <c r="D20"/>
      <c r="E20"/>
      <c r="F20"/>
      <c r="G20"/>
    </row>
    <row r="21" spans="1:7" ht="48.75" customHeight="1" x14ac:dyDescent="0.25"/>
    <row r="22" spans="1:7" ht="41.25" customHeight="1" x14ac:dyDescent="0.25"/>
    <row r="23" spans="1:7" ht="24.9" customHeight="1" x14ac:dyDescent="0.25"/>
  </sheetData>
  <mergeCells count="8">
    <mergeCell ref="F1:G1"/>
    <mergeCell ref="F2:F3"/>
    <mergeCell ref="G2:G3"/>
    <mergeCell ref="A2:A3"/>
    <mergeCell ref="C2:C3"/>
    <mergeCell ref="D2:D3"/>
    <mergeCell ref="E2:E3"/>
    <mergeCell ref="B2:B3"/>
  </mergeCells>
  <phoneticPr fontId="0" type="noConversion"/>
  <printOptions horizontalCentered="1"/>
  <pageMargins left="0.74803149606299213" right="0.74803149606299213" top="0.98425196850393704" bottom="0.98425196850393704" header="0.51181102362204722" footer="0.51181102362204722"/>
  <pageSetup paperSize="9" scale="83" orientation="portrait" horizontalDpi="4294967295" r:id="rId1"/>
  <headerFooter alignWithMargins="0">
    <oddHeader>&amp;LBisasar Road Landfill Site: Capping Phase 3
&amp;RContract No: 32818-6W</oddHead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I19"/>
  <sheetViews>
    <sheetView showGridLines="0" showZeros="0" view="pageLayout" topLeftCell="A4" zoomScaleNormal="85" zoomScaleSheetLayoutView="85" workbookViewId="0">
      <selection activeCell="C12" sqref="C12"/>
    </sheetView>
  </sheetViews>
  <sheetFormatPr defaultRowHeight="21.75" customHeight="1" x14ac:dyDescent="0.25"/>
  <cols>
    <col min="1" max="1" width="5.90625" customWidth="1"/>
    <col min="2" max="2" width="12.6328125" customWidth="1"/>
    <col min="3" max="3" width="43.453125" customWidth="1"/>
    <col min="4" max="4" width="5.6328125" customWidth="1"/>
    <col min="5" max="5" width="9.6328125" customWidth="1"/>
    <col min="6" max="6" width="11.6328125" customWidth="1"/>
    <col min="7" max="7" width="16.36328125" customWidth="1"/>
  </cols>
  <sheetData>
    <row r="1" spans="1:9" ht="24.9" customHeight="1" thickTop="1" thickBot="1" x14ac:dyDescent="0.4">
      <c r="A1" s="525" t="s">
        <v>222</v>
      </c>
      <c r="B1" s="526"/>
      <c r="C1" s="526"/>
      <c r="D1" s="526"/>
      <c r="E1" s="527"/>
      <c r="F1" s="907">
        <f>+'SUMMARY EST'!D3</f>
        <v>0</v>
      </c>
      <c r="G1" s="908"/>
    </row>
    <row r="2" spans="1:9" s="88" customFormat="1" ht="12" customHeight="1" thickTop="1" x14ac:dyDescent="0.25">
      <c r="A2" s="909" t="s">
        <v>1</v>
      </c>
      <c r="B2" s="911" t="s">
        <v>2</v>
      </c>
      <c r="C2" s="913" t="s">
        <v>3</v>
      </c>
      <c r="D2" s="913" t="s">
        <v>4</v>
      </c>
      <c r="E2" s="915" t="s">
        <v>5</v>
      </c>
      <c r="F2" s="917" t="s">
        <v>6</v>
      </c>
      <c r="G2" s="919" t="s">
        <v>7</v>
      </c>
    </row>
    <row r="3" spans="1:9" s="88" customFormat="1" ht="12" customHeight="1" x14ac:dyDescent="0.25">
      <c r="A3" s="910"/>
      <c r="B3" s="912"/>
      <c r="C3" s="914"/>
      <c r="D3" s="914"/>
      <c r="E3" s="916"/>
      <c r="F3" s="918"/>
      <c r="G3" s="920"/>
    </row>
    <row r="4" spans="1:9" ht="8.15" customHeight="1" x14ac:dyDescent="0.25">
      <c r="A4" s="528"/>
      <c r="B4" s="529"/>
      <c r="C4" s="530"/>
      <c r="D4" s="531"/>
      <c r="E4" s="532"/>
      <c r="F4" s="533"/>
      <c r="G4" s="534"/>
    </row>
    <row r="5" spans="1:9" ht="23" customHeight="1" thickBot="1" x14ac:dyDescent="0.3">
      <c r="A5" s="535"/>
      <c r="B5" s="536" t="s">
        <v>73</v>
      </c>
      <c r="C5" s="537"/>
      <c r="D5" s="531"/>
      <c r="E5" s="532"/>
      <c r="F5" s="533"/>
      <c r="G5" s="534"/>
    </row>
    <row r="6" spans="1:9" ht="23" customHeight="1" thickBot="1" x14ac:dyDescent="0.3">
      <c r="A6" s="538"/>
      <c r="B6" s="539"/>
      <c r="C6" s="540" t="s">
        <v>230</v>
      </c>
      <c r="D6" s="539"/>
      <c r="E6" s="541"/>
      <c r="F6" s="542"/>
      <c r="G6" s="543">
        <f>+'Sec.7 Sewers (1)'!G17</f>
        <v>0</v>
      </c>
    </row>
    <row r="7" spans="1:9" s="3" customFormat="1" ht="27" customHeight="1" thickTop="1" x14ac:dyDescent="0.25">
      <c r="A7" s="615"/>
      <c r="B7" s="616"/>
      <c r="C7" s="617" t="s">
        <v>189</v>
      </c>
      <c r="D7" s="608"/>
      <c r="E7" s="618"/>
      <c r="F7" s="619"/>
      <c r="G7" s="620"/>
    </row>
    <row r="8" spans="1:9" s="3" customFormat="1" ht="216" customHeight="1" x14ac:dyDescent="0.25">
      <c r="A8" s="615">
        <f>+'Sec.7 Sewers (1)'!A15+0.01</f>
        <v>0.01</v>
      </c>
      <c r="B8" s="616" t="s">
        <v>226</v>
      </c>
      <c r="C8" s="621" t="s">
        <v>376</v>
      </c>
      <c r="D8" s="608" t="s">
        <v>75</v>
      </c>
      <c r="E8" s="618"/>
      <c r="F8" s="619">
        <v>350000</v>
      </c>
      <c r="G8" s="620">
        <f>+F8*E8</f>
        <v>0</v>
      </c>
      <c r="I8" s="3">
        <v>1</v>
      </c>
    </row>
    <row r="9" spans="1:9" s="3" customFormat="1" ht="110" customHeight="1" x14ac:dyDescent="0.25">
      <c r="A9" s="615">
        <f t="shared" ref="A9:A11" si="0">+A8+0.01</f>
        <v>0.02</v>
      </c>
      <c r="B9" s="616" t="s">
        <v>227</v>
      </c>
      <c r="C9" s="621" t="s">
        <v>377</v>
      </c>
      <c r="D9" s="608" t="s">
        <v>75</v>
      </c>
      <c r="E9" s="618"/>
      <c r="F9" s="619">
        <f>1.1*2500</f>
        <v>2750</v>
      </c>
      <c r="G9" s="620">
        <f t="shared" ref="G9:G11" si="1">+F9*E9</f>
        <v>0</v>
      </c>
      <c r="I9" s="3">
        <v>5</v>
      </c>
    </row>
    <row r="10" spans="1:9" s="3" customFormat="1" ht="73.5" customHeight="1" x14ac:dyDescent="0.25">
      <c r="A10" s="615">
        <f t="shared" si="0"/>
        <v>0.03</v>
      </c>
      <c r="B10" s="616" t="s">
        <v>228</v>
      </c>
      <c r="C10" s="621" t="s">
        <v>378</v>
      </c>
      <c r="D10" s="608" t="s">
        <v>46</v>
      </c>
      <c r="E10" s="618"/>
      <c r="F10" s="619">
        <v>500</v>
      </c>
      <c r="G10" s="620">
        <f t="shared" si="1"/>
        <v>0</v>
      </c>
      <c r="I10" s="3">
        <v>50</v>
      </c>
    </row>
    <row r="11" spans="1:9" s="3" customFormat="1" ht="71.400000000000006" customHeight="1" x14ac:dyDescent="0.25">
      <c r="A11" s="615">
        <f t="shared" si="0"/>
        <v>0.04</v>
      </c>
      <c r="B11" s="616" t="s">
        <v>229</v>
      </c>
      <c r="C11" s="621" t="s">
        <v>379</v>
      </c>
      <c r="D11" s="608" t="s">
        <v>75</v>
      </c>
      <c r="E11" s="618"/>
      <c r="F11" s="619">
        <v>7500</v>
      </c>
      <c r="G11" s="620">
        <f t="shared" si="1"/>
        <v>0</v>
      </c>
      <c r="I11" s="3">
        <v>4</v>
      </c>
    </row>
    <row r="12" spans="1:9" ht="41.25" customHeight="1" thickBot="1" x14ac:dyDescent="0.3">
      <c r="A12" s="622"/>
      <c r="B12" s="614"/>
      <c r="C12" s="623"/>
      <c r="D12" s="624"/>
      <c r="E12" s="625"/>
      <c r="F12" s="626"/>
      <c r="G12" s="627"/>
    </row>
    <row r="13" spans="1:9" s="88" customFormat="1" ht="24.9" customHeight="1" thickBot="1" x14ac:dyDescent="0.3">
      <c r="A13" s="544"/>
      <c r="B13" s="545"/>
      <c r="C13" s="546" t="s">
        <v>80</v>
      </c>
      <c r="D13" s="545"/>
      <c r="E13" s="547"/>
      <c r="F13" s="548" t="s">
        <v>26</v>
      </c>
      <c r="G13" s="549">
        <f>SUM(G6:G12)</f>
        <v>0</v>
      </c>
    </row>
    <row r="14" spans="1:9" s="3" customFormat="1" ht="24.9" customHeight="1" thickTop="1" x14ac:dyDescent="0.25">
      <c r="A14"/>
      <c r="B14"/>
      <c r="C14"/>
      <c r="D14"/>
      <c r="E14"/>
      <c r="F14"/>
      <c r="G14"/>
    </row>
    <row r="15" spans="1:9" s="3" customFormat="1" ht="24.9" customHeight="1" x14ac:dyDescent="0.25">
      <c r="A15"/>
      <c r="B15"/>
      <c r="C15"/>
      <c r="D15"/>
      <c r="E15"/>
      <c r="F15"/>
      <c r="G15"/>
    </row>
    <row r="16" spans="1:9" s="3" customFormat="1" ht="24.9" customHeight="1" x14ac:dyDescent="0.25">
      <c r="A16"/>
      <c r="B16"/>
      <c r="C16"/>
      <c r="D16"/>
      <c r="E16"/>
      <c r="F16"/>
      <c r="G16"/>
    </row>
    <row r="17" ht="48.75" customHeight="1" x14ac:dyDescent="0.25"/>
    <row r="18" ht="41.25" customHeight="1" x14ac:dyDescent="0.25"/>
    <row r="19" ht="24.9" customHeight="1" x14ac:dyDescent="0.25"/>
  </sheetData>
  <mergeCells count="8">
    <mergeCell ref="F1:G1"/>
    <mergeCell ref="A2:A3"/>
    <mergeCell ref="B2:B3"/>
    <mergeCell ref="C2:C3"/>
    <mergeCell ref="D2:D3"/>
    <mergeCell ref="E2:E3"/>
    <mergeCell ref="F2:F3"/>
    <mergeCell ref="G2:G3"/>
  </mergeCells>
  <printOptions horizontalCentered="1"/>
  <pageMargins left="0.74803149606299213" right="0.74803149606299213" top="0.98425196850393704" bottom="0.98425196850393704" header="0.51181102362204722" footer="0.51181102362204722"/>
  <pageSetup paperSize="9" scale="71" orientation="portrait" horizontalDpi="4294967295" r:id="rId1"/>
  <headerFooter alignWithMargins="0">
    <oddHeader>&amp;LBisasar Road Landfill Site: Capping Phase 3
&amp;RContract No: 32818-6W</oddHead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18"/>
  <sheetViews>
    <sheetView showGridLines="0" showZeros="0" view="pageBreakPreview" zoomScaleNormal="85" zoomScaleSheetLayoutView="100" zoomScalePageLayoutView="85" workbookViewId="0">
      <selection activeCell="C17" sqref="C17"/>
    </sheetView>
  </sheetViews>
  <sheetFormatPr defaultRowHeight="21.75" customHeight="1" x14ac:dyDescent="0.25"/>
  <cols>
    <col min="1" max="1" width="7.36328125" customWidth="1"/>
    <col min="2" max="2" width="12.6328125" customWidth="1"/>
    <col min="3" max="3" width="43.453125" customWidth="1"/>
    <col min="4" max="4" width="5.6328125" customWidth="1"/>
    <col min="5" max="5" width="9.6328125" customWidth="1"/>
    <col min="6" max="6" width="11.6328125" customWidth="1"/>
    <col min="7" max="7" width="16.36328125" customWidth="1"/>
  </cols>
  <sheetData>
    <row r="1" spans="1:7" ht="24.9" customHeight="1" thickTop="1" thickBot="1" x14ac:dyDescent="0.4">
      <c r="A1" s="1" t="s">
        <v>402</v>
      </c>
      <c r="B1" s="2"/>
      <c r="C1" s="2"/>
      <c r="D1" s="2"/>
      <c r="E1" s="120">
        <f>' Sec.1 Fixed Charge'!E1</f>
        <v>0</v>
      </c>
      <c r="F1" s="836">
        <f>+'SUMMARY EST'!D3</f>
        <v>0</v>
      </c>
      <c r="G1" s="837"/>
    </row>
    <row r="2" spans="1:7" ht="12" customHeight="1" thickTop="1" x14ac:dyDescent="0.25">
      <c r="A2" s="844" t="s">
        <v>1</v>
      </c>
      <c r="B2" s="850" t="s">
        <v>2</v>
      </c>
      <c r="C2" s="846" t="s">
        <v>3</v>
      </c>
      <c r="D2" s="846" t="s">
        <v>4</v>
      </c>
      <c r="E2" s="887" t="s">
        <v>5</v>
      </c>
      <c r="F2" s="838" t="s">
        <v>6</v>
      </c>
      <c r="G2" s="903" t="s">
        <v>7</v>
      </c>
    </row>
    <row r="3" spans="1:7" ht="12" customHeight="1" x14ac:dyDescent="0.25">
      <c r="A3" s="845"/>
      <c r="B3" s="872"/>
      <c r="C3" s="847"/>
      <c r="D3" s="847"/>
      <c r="E3" s="888"/>
      <c r="F3" s="839"/>
      <c r="G3" s="904"/>
    </row>
    <row r="4" spans="1:7" ht="23.25" customHeight="1" x14ac:dyDescent="0.25">
      <c r="A4" s="14"/>
      <c r="B4" s="154" t="s">
        <v>76</v>
      </c>
      <c r="C4" s="161"/>
      <c r="D4" s="680"/>
      <c r="E4" s="681"/>
      <c r="F4" s="682"/>
      <c r="G4" s="683"/>
    </row>
    <row r="5" spans="1:7" ht="24" customHeight="1" x14ac:dyDescent="0.25">
      <c r="A5" s="684"/>
      <c r="B5" s="685" t="s">
        <v>295</v>
      </c>
      <c r="C5" s="686" t="s">
        <v>263</v>
      </c>
      <c r="D5" s="136"/>
      <c r="E5" s="687"/>
      <c r="F5" s="676"/>
      <c r="G5" s="688"/>
    </row>
    <row r="6" spans="1:7" ht="20.149999999999999" customHeight="1" x14ac:dyDescent="0.25">
      <c r="A6" s="80">
        <v>8.1</v>
      </c>
      <c r="B6" s="199"/>
      <c r="C6" s="113" t="s">
        <v>168</v>
      </c>
      <c r="D6" s="136" t="s">
        <v>46</v>
      </c>
      <c r="E6" s="583">
        <v>12</v>
      </c>
      <c r="F6" s="676"/>
      <c r="G6" s="674">
        <f>F6*$E6</f>
        <v>0</v>
      </c>
    </row>
    <row r="7" spans="1:7" ht="20.149999999999999" customHeight="1" x14ac:dyDescent="0.25">
      <c r="A7" s="80">
        <v>8.1999999999999993</v>
      </c>
      <c r="B7" s="199"/>
      <c r="C7" s="113" t="s">
        <v>106</v>
      </c>
      <c r="D7" s="136" t="s">
        <v>46</v>
      </c>
      <c r="E7" s="583">
        <v>48</v>
      </c>
      <c r="F7" s="676"/>
      <c r="G7" s="674">
        <f>F7*$E7</f>
        <v>0</v>
      </c>
    </row>
    <row r="8" spans="1:7" ht="20.149999999999999" customHeight="1" x14ac:dyDescent="0.25">
      <c r="A8" s="80"/>
      <c r="B8" s="199"/>
      <c r="C8" s="113"/>
      <c r="D8" s="136"/>
      <c r="E8" s="583"/>
      <c r="F8" s="676"/>
      <c r="G8" s="674"/>
    </row>
    <row r="9" spans="1:7" ht="20.149999999999999" customHeight="1" x14ac:dyDescent="0.25">
      <c r="A9" s="64"/>
      <c r="B9" s="199" t="s">
        <v>296</v>
      </c>
      <c r="C9" s="91" t="s">
        <v>77</v>
      </c>
      <c r="D9" s="144"/>
      <c r="E9" s="583"/>
      <c r="F9" s="675"/>
      <c r="G9" s="674"/>
    </row>
    <row r="10" spans="1:7" ht="30.5" customHeight="1" x14ac:dyDescent="0.25">
      <c r="A10" s="64"/>
      <c r="B10" s="571"/>
      <c r="C10" s="114" t="s">
        <v>234</v>
      </c>
      <c r="D10" s="144"/>
      <c r="E10" s="583"/>
      <c r="F10" s="675"/>
      <c r="G10" s="674"/>
    </row>
    <row r="11" spans="1:7" ht="20.149999999999999" customHeight="1" x14ac:dyDescent="0.25">
      <c r="A11" s="64">
        <v>8.3000000000000007</v>
      </c>
      <c r="B11" s="571"/>
      <c r="C11" s="113" t="s">
        <v>78</v>
      </c>
      <c r="D11" s="144" t="s">
        <v>46</v>
      </c>
      <c r="E11" s="583">
        <v>500</v>
      </c>
      <c r="F11" s="676"/>
      <c r="G11" s="674">
        <f t="shared" ref="G11:G13" si="0">F11*$E11</f>
        <v>0</v>
      </c>
    </row>
    <row r="12" spans="1:7" ht="62.25" customHeight="1" x14ac:dyDescent="0.25">
      <c r="A12" s="205">
        <v>8.4</v>
      </c>
      <c r="B12" s="302" t="s">
        <v>297</v>
      </c>
      <c r="C12" s="677" t="s">
        <v>298</v>
      </c>
      <c r="D12" s="144" t="s">
        <v>75</v>
      </c>
      <c r="E12" s="583">
        <v>2</v>
      </c>
      <c r="F12" s="676"/>
      <c r="G12" s="674">
        <f t="shared" si="0"/>
        <v>0</v>
      </c>
    </row>
    <row r="13" spans="1:7" s="3" customFormat="1" ht="85" customHeight="1" x14ac:dyDescent="0.25">
      <c r="A13" s="205">
        <v>8.5</v>
      </c>
      <c r="B13" s="678" t="s">
        <v>79</v>
      </c>
      <c r="C13" s="114" t="s">
        <v>224</v>
      </c>
      <c r="D13" s="48" t="s">
        <v>46</v>
      </c>
      <c r="E13" s="583">
        <v>50</v>
      </c>
      <c r="F13" s="676"/>
      <c r="G13" s="674">
        <f t="shared" si="0"/>
        <v>0</v>
      </c>
    </row>
    <row r="14" spans="1:7" s="3" customFormat="1" ht="37.5" x14ac:dyDescent="0.25">
      <c r="A14" s="80">
        <v>8.6</v>
      </c>
      <c r="B14" s="199" t="s">
        <v>235</v>
      </c>
      <c r="C14" s="114" t="s">
        <v>354</v>
      </c>
      <c r="D14" s="48" t="s">
        <v>45</v>
      </c>
      <c r="E14" s="583">
        <v>60</v>
      </c>
      <c r="F14" s="679"/>
      <c r="G14" s="674">
        <f>F14*E14</f>
        <v>0</v>
      </c>
    </row>
    <row r="15" spans="1:7" s="3" customFormat="1" ht="20.149999999999999" customHeight="1" x14ac:dyDescent="0.25">
      <c r="A15" s="80"/>
      <c r="B15" s="81"/>
      <c r="C15" s="78"/>
      <c r="D15" s="50"/>
      <c r="E15" s="160"/>
      <c r="F15" s="68"/>
      <c r="G15" s="98"/>
    </row>
    <row r="16" spans="1:7" ht="9" customHeight="1" thickBot="1" x14ac:dyDescent="0.3">
      <c r="A16" s="70"/>
      <c r="C16" s="6"/>
      <c r="D16" s="5"/>
      <c r="E16" s="196"/>
      <c r="F16" s="584"/>
      <c r="G16" s="585"/>
    </row>
    <row r="17" spans="1:7" ht="24.9" customHeight="1" thickBot="1" x14ac:dyDescent="0.35">
      <c r="A17" s="74"/>
      <c r="B17" s="43"/>
      <c r="C17" s="185" t="s">
        <v>123</v>
      </c>
      <c r="D17" s="280"/>
      <c r="E17" s="281"/>
      <c r="F17" s="295" t="s">
        <v>26</v>
      </c>
      <c r="G17" s="282">
        <f>SUM(G5:G16)</f>
        <v>0</v>
      </c>
    </row>
    <row r="18" spans="1:7" ht="21.75" customHeight="1" thickTop="1" x14ac:dyDescent="0.25"/>
  </sheetData>
  <mergeCells count="8">
    <mergeCell ref="F1:G1"/>
    <mergeCell ref="F2:F3"/>
    <mergeCell ref="G2:G3"/>
    <mergeCell ref="A2:A3"/>
    <mergeCell ref="C2:C3"/>
    <mergeCell ref="D2:D3"/>
    <mergeCell ref="E2:E3"/>
    <mergeCell ref="B2:B3"/>
  </mergeCells>
  <phoneticPr fontId="0" type="noConversion"/>
  <printOptions horizontalCentered="1"/>
  <pageMargins left="0.74803149606299213" right="0.74803149606299213" top="0.98425196850393704" bottom="0.98425196850393704" header="0.51181102362204722" footer="0.51181102362204722"/>
  <pageSetup paperSize="9" scale="77" orientation="portrait" horizontalDpi="4294967295" r:id="rId1"/>
  <headerFooter alignWithMargins="0">
    <oddHeader>&amp;LBisasar Road Landfill Site: Capping Phase 3
&amp;RContract No: 32818-6W</oddHead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G17"/>
  <sheetViews>
    <sheetView showGridLines="0" showZeros="0" view="pageBreakPreview" topLeftCell="A4" zoomScaleNormal="100" zoomScaleSheetLayoutView="100" zoomScalePageLayoutView="85" workbookViewId="0">
      <selection activeCell="C16" sqref="C16"/>
    </sheetView>
  </sheetViews>
  <sheetFormatPr defaultRowHeight="21.75" customHeight="1" x14ac:dyDescent="0.25"/>
  <cols>
    <col min="1" max="1" width="5.90625" customWidth="1"/>
    <col min="2" max="2" width="12.6328125" customWidth="1"/>
    <col min="3" max="3" width="43.453125" customWidth="1"/>
    <col min="4" max="4" width="5.6328125" customWidth="1"/>
    <col min="5" max="5" width="10.26953125" customWidth="1"/>
    <col min="6" max="6" width="12.36328125" customWidth="1"/>
    <col min="7" max="7" width="15.453125" customWidth="1"/>
  </cols>
  <sheetData>
    <row r="1" spans="1:7" s="3" customFormat="1" ht="24.9" customHeight="1" thickTop="1" thickBot="1" x14ac:dyDescent="0.4">
      <c r="A1" s="921" t="s">
        <v>398</v>
      </c>
      <c r="B1" s="922"/>
      <c r="C1" s="922"/>
      <c r="D1" s="922"/>
      <c r="E1" s="922"/>
      <c r="F1" s="923"/>
      <c r="G1" s="907"/>
    </row>
    <row r="2" spans="1:7" s="3" customFormat="1" ht="24.9" customHeight="1" thickTop="1" x14ac:dyDescent="0.25">
      <c r="A2" s="628" t="s">
        <v>1</v>
      </c>
      <c r="B2" s="629" t="s">
        <v>81</v>
      </c>
      <c r="C2" s="630" t="s">
        <v>3</v>
      </c>
      <c r="D2" s="630" t="s">
        <v>4</v>
      </c>
      <c r="E2" s="631" t="s">
        <v>5</v>
      </c>
      <c r="F2" s="592" t="s">
        <v>6</v>
      </c>
      <c r="G2" s="593" t="s">
        <v>7</v>
      </c>
    </row>
    <row r="3" spans="1:7" s="3" customFormat="1" ht="8.15" customHeight="1" x14ac:dyDescent="0.3">
      <c r="A3" s="632"/>
      <c r="B3" s="633"/>
      <c r="C3" s="634"/>
      <c r="D3" s="633"/>
      <c r="E3" s="635"/>
      <c r="F3" s="636"/>
      <c r="G3" s="637"/>
    </row>
    <row r="4" spans="1:7" s="3" customFormat="1" ht="18" customHeight="1" x14ac:dyDescent="0.25">
      <c r="A4" s="632"/>
      <c r="B4" s="924" t="s">
        <v>82</v>
      </c>
      <c r="C4" s="925"/>
      <c r="D4" s="567"/>
      <c r="E4" s="638"/>
      <c r="F4" s="639"/>
      <c r="G4" s="640"/>
    </row>
    <row r="5" spans="1:7" s="3" customFormat="1" ht="136.5" customHeight="1" x14ac:dyDescent="0.25">
      <c r="A5" s="641">
        <v>9.1</v>
      </c>
      <c r="B5" s="642" t="s">
        <v>120</v>
      </c>
      <c r="C5" s="643" t="s">
        <v>380</v>
      </c>
      <c r="D5" s="644" t="s">
        <v>44</v>
      </c>
      <c r="E5" s="645">
        <f>' Sec.2 Site Clearance'!E7*1.05</f>
        <v>38850</v>
      </c>
      <c r="F5" s="646"/>
      <c r="G5" s="647">
        <f t="shared" ref="G5:G10" si="0">+F5*$E5</f>
        <v>0</v>
      </c>
    </row>
    <row r="6" spans="1:7" s="3" customFormat="1" ht="150" customHeight="1" x14ac:dyDescent="0.25">
      <c r="A6" s="641">
        <v>9.1999999999999993</v>
      </c>
      <c r="B6" s="642" t="s">
        <v>246</v>
      </c>
      <c r="C6" s="643" t="s">
        <v>399</v>
      </c>
      <c r="D6" s="644" t="s">
        <v>44</v>
      </c>
      <c r="E6" s="645">
        <f>E5</f>
        <v>38850</v>
      </c>
      <c r="F6" s="646"/>
      <c r="G6" s="647">
        <f t="shared" si="0"/>
        <v>0</v>
      </c>
    </row>
    <row r="7" spans="1:7" s="3" customFormat="1" ht="93.75" customHeight="1" x14ac:dyDescent="0.25">
      <c r="A7" s="641">
        <v>9.2999999999999989</v>
      </c>
      <c r="B7" s="642" t="s">
        <v>121</v>
      </c>
      <c r="C7" s="643" t="s">
        <v>381</v>
      </c>
      <c r="D7" s="644" t="s">
        <v>44</v>
      </c>
      <c r="E7" s="645">
        <v>1000</v>
      </c>
      <c r="F7" s="646"/>
      <c r="G7" s="647">
        <f t="shared" si="0"/>
        <v>0</v>
      </c>
    </row>
    <row r="8" spans="1:7" s="3" customFormat="1" ht="100" customHeight="1" x14ac:dyDescent="0.25">
      <c r="A8" s="689">
        <v>9.3999999999999986</v>
      </c>
      <c r="B8" s="690" t="s">
        <v>247</v>
      </c>
      <c r="C8" s="172" t="s">
        <v>411</v>
      </c>
      <c r="D8" s="691" t="s">
        <v>44</v>
      </c>
      <c r="E8" s="692">
        <v>1000</v>
      </c>
      <c r="F8" s="693"/>
      <c r="G8" s="694">
        <f t="shared" si="0"/>
        <v>0</v>
      </c>
    </row>
    <row r="9" spans="1:7" s="3" customFormat="1" ht="37.5" customHeight="1" x14ac:dyDescent="0.25">
      <c r="A9" s="689">
        <v>9.4999999999999982</v>
      </c>
      <c r="B9" s="690" t="s">
        <v>156</v>
      </c>
      <c r="C9" s="171" t="s">
        <v>242</v>
      </c>
      <c r="D9" s="691" t="s">
        <v>75</v>
      </c>
      <c r="E9" s="692">
        <v>1</v>
      </c>
      <c r="F9" s="693"/>
      <c r="G9" s="694">
        <f t="shared" si="0"/>
        <v>0</v>
      </c>
    </row>
    <row r="10" spans="1:7" s="3" customFormat="1" ht="34.5" customHeight="1" x14ac:dyDescent="0.25">
      <c r="A10" s="689">
        <v>9.5999999999999979</v>
      </c>
      <c r="B10" s="690" t="s">
        <v>157</v>
      </c>
      <c r="C10" s="171" t="s">
        <v>155</v>
      </c>
      <c r="D10" s="691" t="s">
        <v>44</v>
      </c>
      <c r="E10" s="692">
        <f>+E6</f>
        <v>38850</v>
      </c>
      <c r="F10" s="693"/>
      <c r="G10" s="694">
        <f t="shared" si="0"/>
        <v>0</v>
      </c>
    </row>
    <row r="11" spans="1:7" s="3" customFormat="1" ht="39" customHeight="1" x14ac:dyDescent="0.25">
      <c r="A11" s="689">
        <v>9.6999999999999975</v>
      </c>
      <c r="B11" s="695" t="s">
        <v>245</v>
      </c>
      <c r="C11" s="171" t="s">
        <v>149</v>
      </c>
      <c r="D11" s="691"/>
      <c r="E11" s="696" t="s">
        <v>37</v>
      </c>
      <c r="F11" s="697"/>
      <c r="G11" s="698">
        <v>50000</v>
      </c>
    </row>
    <row r="12" spans="1:7" s="3" customFormat="1" ht="32.15" customHeight="1" x14ac:dyDescent="0.25">
      <c r="A12" s="689">
        <v>9.7999999999999972</v>
      </c>
      <c r="B12" s="162"/>
      <c r="C12" s="171" t="s">
        <v>140</v>
      </c>
      <c r="D12" s="699" t="s">
        <v>38</v>
      </c>
      <c r="E12" s="700">
        <f>+G11</f>
        <v>50000</v>
      </c>
      <c r="F12" s="701"/>
      <c r="G12" s="698">
        <f>+F12*E12</f>
        <v>0</v>
      </c>
    </row>
    <row r="13" spans="1:7" s="3" customFormat="1" ht="31.5" customHeight="1" x14ac:dyDescent="0.25">
      <c r="A13" s="689"/>
      <c r="B13" s="162"/>
      <c r="C13" s="171"/>
      <c r="D13" s="699"/>
      <c r="E13" s="700"/>
      <c r="F13" s="701"/>
      <c r="G13" s="698"/>
    </row>
    <row r="14" spans="1:7" s="3" customFormat="1" ht="31.5" customHeight="1" x14ac:dyDescent="0.25">
      <c r="A14" s="648"/>
      <c r="B14" s="651"/>
      <c r="C14" s="649"/>
      <c r="D14" s="652"/>
      <c r="E14" s="653"/>
      <c r="F14" s="654"/>
      <c r="G14" s="650"/>
    </row>
    <row r="15" spans="1:7" s="3" customFormat="1" ht="25.5" customHeight="1" thickBot="1" x14ac:dyDescent="0.3">
      <c r="A15" s="655"/>
      <c r="B15" s="656"/>
      <c r="C15" s="657"/>
      <c r="D15" s="658"/>
      <c r="E15" s="659"/>
      <c r="F15" s="660"/>
      <c r="G15" s="661"/>
    </row>
    <row r="16" spans="1:7" s="177" customFormat="1" ht="24.9" customHeight="1" thickBot="1" x14ac:dyDescent="0.3">
      <c r="A16" s="662"/>
      <c r="B16" s="663"/>
      <c r="C16" s="546" t="s">
        <v>80</v>
      </c>
      <c r="D16" s="664"/>
      <c r="E16" s="665"/>
      <c r="F16" s="548"/>
      <c r="G16" s="666"/>
    </row>
    <row r="17" spans="7:7" ht="21.75" customHeight="1" thickTop="1" x14ac:dyDescent="0.25">
      <c r="G17" s="183"/>
    </row>
  </sheetData>
  <mergeCells count="3">
    <mergeCell ref="A1:E1"/>
    <mergeCell ref="F1:G1"/>
    <mergeCell ref="B4:C4"/>
  </mergeCells>
  <printOptions horizontalCentered="1"/>
  <pageMargins left="0.74803149606299213" right="0.74803149606299213" top="0.98425196850393704" bottom="0.98425196850393704" header="0.51181102362204722" footer="0.51181102362204722"/>
  <pageSetup paperSize="9" scale="83" orientation="portrait" horizontalDpi="4294967295" r:id="rId1"/>
  <headerFooter alignWithMargins="0">
    <oddHeader>&amp;LBisasar Road Landfill Site: Capping Phase 3
&amp;RContract No: 32818-6W</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J37"/>
  <sheetViews>
    <sheetView showGridLines="0" showZeros="0" view="pageBreakPreview" zoomScaleNormal="85" zoomScaleSheetLayoutView="100" workbookViewId="0">
      <selection activeCell="C36" sqref="C36"/>
    </sheetView>
  </sheetViews>
  <sheetFormatPr defaultRowHeight="21.75" customHeight="1" x14ac:dyDescent="0.25"/>
  <cols>
    <col min="1" max="1" width="5.90625" customWidth="1"/>
    <col min="2" max="2" width="12.6328125" customWidth="1"/>
    <col min="3" max="3" width="43.453125" customWidth="1"/>
    <col min="4" max="4" width="5.6328125" customWidth="1"/>
    <col min="5" max="5" width="9.6328125" customWidth="1"/>
    <col min="6" max="6" width="11.6328125" customWidth="1"/>
    <col min="7" max="7" width="16.36328125" customWidth="1"/>
    <col min="10" max="10" width="10.36328125" bestFit="1" customWidth="1"/>
  </cols>
  <sheetData>
    <row r="1" spans="1:10" s="3" customFormat="1" ht="24.9" customHeight="1" thickTop="1" thickBot="1" x14ac:dyDescent="0.4">
      <c r="A1" s="1" t="s">
        <v>403</v>
      </c>
      <c r="B1" s="2"/>
      <c r="C1" s="2"/>
      <c r="D1" s="2"/>
      <c r="E1" s="110">
        <f>' Sec.1 Fixed Charge'!E1</f>
        <v>0</v>
      </c>
      <c r="F1" s="837">
        <f>+' Sec.1 Fixed Charge'!F1:G1</f>
        <v>0</v>
      </c>
      <c r="G1" s="866"/>
    </row>
    <row r="2" spans="1:10" s="3" customFormat="1" ht="12" customHeight="1" thickTop="1" x14ac:dyDescent="0.25">
      <c r="A2" s="856" t="s">
        <v>1</v>
      </c>
      <c r="B2" s="850" t="s">
        <v>2</v>
      </c>
      <c r="C2" s="858" t="s">
        <v>3</v>
      </c>
      <c r="D2" s="858" t="s">
        <v>4</v>
      </c>
      <c r="E2" s="927" t="s">
        <v>5</v>
      </c>
      <c r="F2" s="838" t="s">
        <v>6</v>
      </c>
      <c r="G2" s="903" t="s">
        <v>7</v>
      </c>
    </row>
    <row r="3" spans="1:10" s="3" customFormat="1" ht="12" customHeight="1" x14ac:dyDescent="0.25">
      <c r="A3" s="857"/>
      <c r="B3" s="926"/>
      <c r="C3" s="859"/>
      <c r="D3" s="859"/>
      <c r="E3" s="928"/>
      <c r="F3" s="839"/>
      <c r="G3" s="904"/>
    </row>
    <row r="4" spans="1:10" s="3" customFormat="1" ht="8.15" customHeight="1" x14ac:dyDescent="0.25">
      <c r="A4" s="24"/>
      <c r="B4" s="25"/>
      <c r="C4" s="6"/>
      <c r="D4" s="5"/>
      <c r="E4" s="7"/>
      <c r="F4" s="115"/>
      <c r="G4" s="8"/>
    </row>
    <row r="5" spans="1:10" s="3" customFormat="1" ht="13.5" x14ac:dyDescent="0.3">
      <c r="A5" s="24"/>
      <c r="B5" s="25"/>
      <c r="C5" s="332" t="s">
        <v>84</v>
      </c>
      <c r="D5" s="5"/>
      <c r="E5" s="7"/>
      <c r="F5" s="119"/>
      <c r="G5" s="8"/>
    </row>
    <row r="6" spans="1:10" s="3" customFormat="1" ht="13.5" x14ac:dyDescent="0.3">
      <c r="A6" s="24"/>
      <c r="B6" s="25"/>
      <c r="C6" s="333"/>
      <c r="D6" s="5"/>
      <c r="E6" s="7"/>
      <c r="F6" s="119"/>
      <c r="G6" s="8"/>
    </row>
    <row r="7" spans="1:10" s="3" customFormat="1" ht="17.149999999999999" customHeight="1" x14ac:dyDescent="0.25">
      <c r="A7" s="84"/>
      <c r="B7" s="25"/>
      <c r="C7" s="172" t="s">
        <v>85</v>
      </c>
      <c r="D7" s="5"/>
      <c r="E7" s="7"/>
      <c r="F7" s="119"/>
      <c r="G7" s="8"/>
    </row>
    <row r="8" spans="1:10" s="3" customFormat="1" ht="24.9" customHeight="1" x14ac:dyDescent="0.25">
      <c r="A8" s="670">
        <v>10.1</v>
      </c>
      <c r="B8" s="162" t="s">
        <v>146</v>
      </c>
      <c r="C8" s="328" t="s">
        <v>86</v>
      </c>
      <c r="D8" s="28" t="s">
        <v>87</v>
      </c>
      <c r="E8" s="210">
        <v>90</v>
      </c>
      <c r="F8" s="103"/>
      <c r="G8" s="18">
        <f>+F8*$E8</f>
        <v>0</v>
      </c>
      <c r="J8" s="550"/>
    </row>
    <row r="9" spans="1:10" s="3" customFormat="1" ht="24.9" customHeight="1" x14ac:dyDescent="0.25">
      <c r="A9" s="670">
        <f>A8+0.1</f>
        <v>10.199999999999999</v>
      </c>
      <c r="B9" s="162" t="s">
        <v>146</v>
      </c>
      <c r="C9" s="171" t="s">
        <v>88</v>
      </c>
      <c r="D9" s="28" t="s">
        <v>87</v>
      </c>
      <c r="E9" s="210">
        <v>90</v>
      </c>
      <c r="F9" s="103"/>
      <c r="G9" s="18">
        <f>+F9*$E9</f>
        <v>0</v>
      </c>
      <c r="J9" s="550"/>
    </row>
    <row r="10" spans="1:10" s="3" customFormat="1" ht="24.9" customHeight="1" x14ac:dyDescent="0.25">
      <c r="A10" s="670">
        <f>A9+0.1</f>
        <v>10.299999999999999</v>
      </c>
      <c r="B10" s="162" t="s">
        <v>146</v>
      </c>
      <c r="C10" s="171" t="s">
        <v>89</v>
      </c>
      <c r="D10" s="28" t="s">
        <v>87</v>
      </c>
      <c r="E10" s="211">
        <v>81</v>
      </c>
      <c r="F10" s="103"/>
      <c r="G10" s="18">
        <f>+F10*$E10</f>
        <v>0</v>
      </c>
      <c r="J10" s="550"/>
    </row>
    <row r="11" spans="1:10" s="3" customFormat="1" ht="24.9" customHeight="1" x14ac:dyDescent="0.25">
      <c r="A11" s="670">
        <f>A10+0.1</f>
        <v>10.399999999999999</v>
      </c>
      <c r="B11" s="162" t="s">
        <v>146</v>
      </c>
      <c r="C11" s="171" t="s">
        <v>90</v>
      </c>
      <c r="D11" s="28" t="s">
        <v>87</v>
      </c>
      <c r="E11" s="211">
        <v>72</v>
      </c>
      <c r="F11" s="103"/>
      <c r="G11" s="18">
        <f>+F11*$E11</f>
        <v>0</v>
      </c>
      <c r="J11" s="550"/>
    </row>
    <row r="12" spans="1:10" s="3" customFormat="1" ht="24.9" customHeight="1" x14ac:dyDescent="0.25">
      <c r="A12" s="670">
        <f>A11+0.1</f>
        <v>10.499999999999998</v>
      </c>
      <c r="B12" s="162" t="s">
        <v>146</v>
      </c>
      <c r="C12" s="328" t="s">
        <v>91</v>
      </c>
      <c r="D12" s="28" t="s">
        <v>87</v>
      </c>
      <c r="E12" s="211">
        <v>72</v>
      </c>
      <c r="F12" s="103"/>
      <c r="G12" s="18">
        <f>+F12*$E12</f>
        <v>0</v>
      </c>
    </row>
    <row r="13" spans="1:10" s="3" customFormat="1" ht="24.9" customHeight="1" x14ac:dyDescent="0.25">
      <c r="A13" s="670"/>
      <c r="B13" s="30"/>
      <c r="C13" s="334"/>
      <c r="D13" s="28"/>
      <c r="E13" s="82"/>
      <c r="F13" s="116"/>
      <c r="G13" s="18"/>
    </row>
    <row r="14" spans="1:10" s="3" customFormat="1" ht="24.9" customHeight="1" x14ac:dyDescent="0.25">
      <c r="A14" s="670"/>
      <c r="B14" s="30"/>
      <c r="C14" s="335" t="s">
        <v>92</v>
      </c>
      <c r="D14" s="28"/>
      <c r="E14" s="83"/>
      <c r="F14" s="116"/>
      <c r="G14" s="18"/>
    </row>
    <row r="15" spans="1:10" s="3" customFormat="1" ht="24.9" customHeight="1" x14ac:dyDescent="0.25">
      <c r="A15" s="670">
        <f>A12+0.1</f>
        <v>10.599999999999998</v>
      </c>
      <c r="B15" s="162" t="s">
        <v>147</v>
      </c>
      <c r="C15" s="171" t="s">
        <v>169</v>
      </c>
      <c r="D15" s="20" t="s">
        <v>93</v>
      </c>
      <c r="E15" s="123" t="s">
        <v>271</v>
      </c>
      <c r="F15" s="103"/>
      <c r="G15" s="18">
        <f t="shared" ref="G15:G31" si="0">+F15*$E15</f>
        <v>0</v>
      </c>
    </row>
    <row r="16" spans="1:10" s="3" customFormat="1" ht="24.9" customHeight="1" x14ac:dyDescent="0.25">
      <c r="A16" s="670">
        <f>A15+0.1</f>
        <v>10.699999999999998</v>
      </c>
      <c r="B16" s="162" t="s">
        <v>147</v>
      </c>
      <c r="C16" s="329" t="s">
        <v>163</v>
      </c>
      <c r="D16" s="28" t="s">
        <v>87</v>
      </c>
      <c r="E16" s="212">
        <v>45</v>
      </c>
      <c r="F16" s="103"/>
      <c r="G16" s="18">
        <f t="shared" si="0"/>
        <v>0</v>
      </c>
    </row>
    <row r="17" spans="1:7" s="3" customFormat="1" ht="24.9" customHeight="1" x14ac:dyDescent="0.25">
      <c r="A17" s="670">
        <f>A16+0.1</f>
        <v>10.799999999999997</v>
      </c>
      <c r="B17" s="162" t="s">
        <v>147</v>
      </c>
      <c r="C17" s="328" t="s">
        <v>94</v>
      </c>
      <c r="D17" s="28" t="s">
        <v>87</v>
      </c>
      <c r="E17" s="213">
        <v>27</v>
      </c>
      <c r="F17" s="103"/>
      <c r="G17" s="18">
        <f t="shared" si="0"/>
        <v>0</v>
      </c>
    </row>
    <row r="18" spans="1:7" s="3" customFormat="1" ht="24.9" customHeight="1" x14ac:dyDescent="0.25">
      <c r="A18" s="670">
        <f>A17+0.1</f>
        <v>10.899999999999997</v>
      </c>
      <c r="B18" s="162" t="s">
        <v>147</v>
      </c>
      <c r="C18" s="328" t="s">
        <v>167</v>
      </c>
      <c r="D18" s="28" t="s">
        <v>87</v>
      </c>
      <c r="E18" s="213">
        <v>45</v>
      </c>
      <c r="F18" s="103"/>
      <c r="G18" s="18">
        <f t="shared" si="0"/>
        <v>0</v>
      </c>
    </row>
    <row r="19" spans="1:7" s="3" customFormat="1" ht="24.9" customHeight="1" x14ac:dyDescent="0.25">
      <c r="A19" s="84">
        <v>10.1</v>
      </c>
      <c r="B19" s="162" t="s">
        <v>147</v>
      </c>
      <c r="C19" s="328" t="s">
        <v>170</v>
      </c>
      <c r="D19" s="28" t="s">
        <v>87</v>
      </c>
      <c r="E19" s="213">
        <v>45</v>
      </c>
      <c r="F19" s="103"/>
      <c r="G19" s="18">
        <f t="shared" ref="G19" si="1">+F19*$E19</f>
        <v>0</v>
      </c>
    </row>
    <row r="20" spans="1:7" s="3" customFormat="1" ht="24.9" customHeight="1" x14ac:dyDescent="0.25">
      <c r="A20" s="84">
        <f>A19+0.01</f>
        <v>10.11</v>
      </c>
      <c r="B20" s="162" t="s">
        <v>147</v>
      </c>
      <c r="C20" s="329" t="s">
        <v>160</v>
      </c>
      <c r="D20" s="28" t="s">
        <v>87</v>
      </c>
      <c r="E20" s="212">
        <v>36</v>
      </c>
      <c r="F20" s="103"/>
      <c r="G20" s="18">
        <f t="shared" si="0"/>
        <v>0</v>
      </c>
    </row>
    <row r="21" spans="1:7" s="3" customFormat="1" ht="24.9" customHeight="1" x14ac:dyDescent="0.25">
      <c r="A21" s="84">
        <f>+A20+0.01</f>
        <v>10.119999999999999</v>
      </c>
      <c r="B21" s="162" t="s">
        <v>147</v>
      </c>
      <c r="C21" s="329" t="s">
        <v>171</v>
      </c>
      <c r="D21" s="28" t="s">
        <v>87</v>
      </c>
      <c r="E21" s="212">
        <v>27</v>
      </c>
      <c r="F21" s="103"/>
      <c r="G21" s="18">
        <f t="shared" ref="G21" si="2">+F21*$E21</f>
        <v>0</v>
      </c>
    </row>
    <row r="22" spans="1:7" s="3" customFormat="1" ht="24.9" customHeight="1" x14ac:dyDescent="0.25">
      <c r="A22" s="84">
        <f>+A21+0.01</f>
        <v>10.129999999999999</v>
      </c>
      <c r="B22" s="162" t="s">
        <v>147</v>
      </c>
      <c r="C22" s="329" t="s">
        <v>95</v>
      </c>
      <c r="D22" s="28" t="s">
        <v>87</v>
      </c>
      <c r="E22" s="212">
        <v>45</v>
      </c>
      <c r="F22" s="103"/>
      <c r="G22" s="18">
        <f t="shared" si="0"/>
        <v>0</v>
      </c>
    </row>
    <row r="23" spans="1:7" s="3" customFormat="1" ht="24.9" customHeight="1" x14ac:dyDescent="0.25">
      <c r="A23" s="84">
        <f t="shared" ref="A23:A32" si="3">A22+0.01</f>
        <v>10.139999999999999</v>
      </c>
      <c r="B23" s="162" t="s">
        <v>147</v>
      </c>
      <c r="C23" s="171" t="s">
        <v>96</v>
      </c>
      <c r="D23" s="28" t="s">
        <v>87</v>
      </c>
      <c r="E23" s="212">
        <v>45</v>
      </c>
      <c r="F23" s="103"/>
      <c r="G23" s="18">
        <f t="shared" si="0"/>
        <v>0</v>
      </c>
    </row>
    <row r="24" spans="1:7" s="3" customFormat="1" ht="24.9" customHeight="1" x14ac:dyDescent="0.25">
      <c r="A24" s="84">
        <f t="shared" si="3"/>
        <v>10.149999999999999</v>
      </c>
      <c r="B24" s="162" t="s">
        <v>147</v>
      </c>
      <c r="C24" s="326" t="s">
        <v>161</v>
      </c>
      <c r="D24" s="28" t="s">
        <v>87</v>
      </c>
      <c r="E24" s="212">
        <v>45</v>
      </c>
      <c r="F24" s="103"/>
      <c r="G24" s="18">
        <f t="shared" si="0"/>
        <v>0</v>
      </c>
    </row>
    <row r="25" spans="1:7" s="3" customFormat="1" ht="24.9" customHeight="1" x14ac:dyDescent="0.25">
      <c r="A25" s="84">
        <f t="shared" si="3"/>
        <v>10.159999999999998</v>
      </c>
      <c r="B25" s="162" t="s">
        <v>147</v>
      </c>
      <c r="C25" s="171" t="s">
        <v>97</v>
      </c>
      <c r="D25" s="28" t="s">
        <v>87</v>
      </c>
      <c r="E25" s="86">
        <v>45</v>
      </c>
      <c r="F25" s="103"/>
      <c r="G25" s="18">
        <f t="shared" si="0"/>
        <v>0</v>
      </c>
    </row>
    <row r="26" spans="1:7" s="3" customFormat="1" ht="24.9" customHeight="1" x14ac:dyDescent="0.25">
      <c r="A26" s="84">
        <f t="shared" si="3"/>
        <v>10.169999999999998</v>
      </c>
      <c r="B26" s="162" t="s">
        <v>147</v>
      </c>
      <c r="C26" s="171" t="s">
        <v>243</v>
      </c>
      <c r="D26" s="28" t="s">
        <v>87</v>
      </c>
      <c r="E26" s="214">
        <v>180</v>
      </c>
      <c r="F26" s="103"/>
      <c r="G26" s="18">
        <f t="shared" si="0"/>
        <v>0</v>
      </c>
    </row>
    <row r="27" spans="1:7" s="3" customFormat="1" ht="24.9" customHeight="1" x14ac:dyDescent="0.25">
      <c r="A27" s="84">
        <f t="shared" si="3"/>
        <v>10.179999999999998</v>
      </c>
      <c r="B27" s="162" t="s">
        <v>147</v>
      </c>
      <c r="C27" s="171" t="s">
        <v>244</v>
      </c>
      <c r="D27" s="28" t="s">
        <v>87</v>
      </c>
      <c r="E27" s="214">
        <v>180</v>
      </c>
      <c r="F27" s="103"/>
      <c r="G27" s="18">
        <f t="shared" si="0"/>
        <v>0</v>
      </c>
    </row>
    <row r="28" spans="1:7" s="3" customFormat="1" ht="24.9" customHeight="1" x14ac:dyDescent="0.25">
      <c r="A28" s="84">
        <f>+A27+0.01</f>
        <v>10.189999999999998</v>
      </c>
      <c r="B28" s="162" t="s">
        <v>147</v>
      </c>
      <c r="C28" s="171" t="s">
        <v>172</v>
      </c>
      <c r="D28" s="28" t="s">
        <v>87</v>
      </c>
      <c r="E28" s="214">
        <v>90</v>
      </c>
      <c r="F28" s="103"/>
      <c r="G28" s="18">
        <f t="shared" ref="G28" si="4">+F28*$E28</f>
        <v>0</v>
      </c>
    </row>
    <row r="29" spans="1:7" s="177" customFormat="1" ht="24.9" customHeight="1" x14ac:dyDescent="0.25">
      <c r="A29" s="84">
        <f>+A28+0.01</f>
        <v>10.199999999999998</v>
      </c>
      <c r="B29" s="162" t="s">
        <v>147</v>
      </c>
      <c r="C29" s="171" t="s">
        <v>164</v>
      </c>
      <c r="D29" s="20" t="s">
        <v>87</v>
      </c>
      <c r="E29" s="207">
        <v>18</v>
      </c>
      <c r="F29" s="208"/>
      <c r="G29" s="18">
        <f t="shared" si="0"/>
        <v>0</v>
      </c>
    </row>
    <row r="30" spans="1:7" s="3" customFormat="1" ht="24.9" customHeight="1" x14ac:dyDescent="0.25">
      <c r="A30" s="84">
        <f>+A29+0.01</f>
        <v>10.209999999999997</v>
      </c>
      <c r="B30" s="162" t="s">
        <v>147</v>
      </c>
      <c r="C30" s="336" t="s">
        <v>98</v>
      </c>
      <c r="D30" s="85" t="s">
        <v>93</v>
      </c>
      <c r="E30" s="21">
        <v>1200</v>
      </c>
      <c r="F30" s="103"/>
      <c r="G30" s="18">
        <f t="shared" si="0"/>
        <v>0</v>
      </c>
    </row>
    <row r="31" spans="1:7" s="3" customFormat="1" ht="24.9" customHeight="1" x14ac:dyDescent="0.25">
      <c r="A31" s="84">
        <f t="shared" si="3"/>
        <v>10.219999999999997</v>
      </c>
      <c r="B31" s="162" t="s">
        <v>147</v>
      </c>
      <c r="C31" s="336" t="s">
        <v>162</v>
      </c>
      <c r="D31" s="28" t="s">
        <v>87</v>
      </c>
      <c r="E31" s="214">
        <v>90</v>
      </c>
      <c r="F31" s="103"/>
      <c r="G31" s="18">
        <f t="shared" si="0"/>
        <v>0</v>
      </c>
    </row>
    <row r="32" spans="1:7" s="3" customFormat="1" ht="24.9" customHeight="1" x14ac:dyDescent="0.25">
      <c r="A32" s="84">
        <f t="shared" si="3"/>
        <v>10.229999999999997</v>
      </c>
      <c r="B32" s="162" t="s">
        <v>147</v>
      </c>
      <c r="C32" s="171" t="s">
        <v>99</v>
      </c>
      <c r="D32" s="20"/>
      <c r="E32" s="86"/>
      <c r="F32" s="176"/>
      <c r="G32" s="18"/>
    </row>
    <row r="33" spans="1:7" s="3" customFormat="1" ht="22.5" customHeight="1" x14ac:dyDescent="0.25">
      <c r="A33" s="29"/>
      <c r="B33" s="30"/>
      <c r="C33" s="178"/>
      <c r="D33" s="179"/>
      <c r="E33" s="180"/>
      <c r="F33" s="181"/>
      <c r="G33" s="169"/>
    </row>
    <row r="34" spans="1:7" s="3" customFormat="1" ht="14" x14ac:dyDescent="0.3">
      <c r="A34" s="87"/>
      <c r="B34" s="25"/>
      <c r="C34" s="182"/>
      <c r="D34" s="5"/>
      <c r="E34" s="7"/>
      <c r="F34" s="119"/>
      <c r="G34" s="8"/>
    </row>
    <row r="35" spans="1:7" s="3" customFormat="1" ht="13" thickBot="1" x14ac:dyDescent="0.3">
      <c r="A35" s="101"/>
      <c r="B35" s="102"/>
      <c r="C35" s="6"/>
      <c r="D35" s="5"/>
      <c r="E35" s="7"/>
      <c r="F35" s="125"/>
      <c r="G35" s="8"/>
    </row>
    <row r="36" spans="1:7" s="3" customFormat="1" ht="24.9" customHeight="1" thickBot="1" x14ac:dyDescent="0.35">
      <c r="A36" s="33"/>
      <c r="B36" s="34"/>
      <c r="C36" s="185" t="s">
        <v>83</v>
      </c>
      <c r="D36" s="240"/>
      <c r="E36" s="280"/>
      <c r="F36" s="187" t="s">
        <v>26</v>
      </c>
      <c r="G36" s="290">
        <f>SUM(G6:G35)</f>
        <v>0</v>
      </c>
    </row>
    <row r="37" spans="1:7" ht="21.75" customHeight="1" thickTop="1" x14ac:dyDescent="0.25"/>
  </sheetData>
  <mergeCells count="8">
    <mergeCell ref="F1:G1"/>
    <mergeCell ref="F2:F3"/>
    <mergeCell ref="G2:G3"/>
    <mergeCell ref="A2:A3"/>
    <mergeCell ref="B2:B3"/>
    <mergeCell ref="C2:C3"/>
    <mergeCell ref="D2:D3"/>
    <mergeCell ref="E2:E3"/>
  </mergeCells>
  <phoneticPr fontId="0" type="noConversion"/>
  <printOptions gridLines="1"/>
  <pageMargins left="0.74803149606299213" right="0.74803149606299213" top="0.98425196850393704" bottom="0.98425196850393704" header="0.51181102362204722" footer="0.51181102362204722"/>
  <pageSetup paperSize="9" scale="83" orientation="portrait" horizontalDpi="4294967295" r:id="rId1"/>
  <headerFooter alignWithMargins="0">
    <oddHeader>&amp;LBisasar Road Landfill Site: Capping Phase 3
&amp;RContract No: 32818-6W</oddHead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pageSetUpPr fitToPage="1"/>
  </sheetPr>
  <dimension ref="A1:G17"/>
  <sheetViews>
    <sheetView showGridLines="0" showZeros="0" zoomScaleNormal="100" workbookViewId="0">
      <pane ySplit="2" topLeftCell="A6" activePane="bottomLeft" state="frozen"/>
      <selection pane="bottomLeft" activeCell="C6" sqref="C6"/>
    </sheetView>
  </sheetViews>
  <sheetFormatPr defaultRowHeight="21.75" customHeight="1" x14ac:dyDescent="0.25"/>
  <cols>
    <col min="1" max="1" width="5.90625" customWidth="1"/>
    <col min="2" max="2" width="12.6328125" customWidth="1"/>
    <col min="3" max="3" width="43.453125" customWidth="1"/>
    <col min="4" max="4" width="5.6328125" customWidth="1"/>
    <col min="5" max="5" width="11" customWidth="1"/>
    <col min="6" max="6" width="11.6328125" customWidth="1"/>
    <col min="7" max="7" width="15.453125" customWidth="1"/>
  </cols>
  <sheetData>
    <row r="1" spans="1:7" s="3" customFormat="1" ht="24.9" customHeight="1" thickTop="1" thickBot="1" x14ac:dyDescent="0.4">
      <c r="A1" s="933" t="s">
        <v>307</v>
      </c>
      <c r="B1" s="934"/>
      <c r="C1" s="934"/>
      <c r="D1" s="934"/>
      <c r="E1" s="934"/>
      <c r="F1" s="931">
        <f>+'SUMMARY EST'!D3</f>
        <v>0</v>
      </c>
      <c r="G1" s="932"/>
    </row>
    <row r="2" spans="1:7" s="3" customFormat="1" ht="24.9" customHeight="1" thickTop="1" x14ac:dyDescent="0.25">
      <c r="A2" s="377" t="s">
        <v>1</v>
      </c>
      <c r="B2" s="378" t="s">
        <v>81</v>
      </c>
      <c r="C2" s="379" t="s">
        <v>3</v>
      </c>
      <c r="D2" s="379" t="s">
        <v>4</v>
      </c>
      <c r="E2" s="380" t="s">
        <v>5</v>
      </c>
      <c r="F2" s="381" t="s">
        <v>6</v>
      </c>
      <c r="G2" s="382" t="s">
        <v>7</v>
      </c>
    </row>
    <row r="3" spans="1:7" s="3" customFormat="1" ht="8.15" customHeight="1" x14ac:dyDescent="0.3">
      <c r="A3" s="383"/>
      <c r="B3" s="384"/>
      <c r="C3" s="385"/>
      <c r="D3" s="384"/>
      <c r="E3" s="386"/>
      <c r="F3" s="387"/>
      <c r="G3" s="388"/>
    </row>
    <row r="4" spans="1:7" s="3" customFormat="1" ht="18" customHeight="1" x14ac:dyDescent="0.25">
      <c r="A4" s="383"/>
      <c r="B4" s="929" t="s">
        <v>82</v>
      </c>
      <c r="C4" s="930"/>
      <c r="D4" s="372"/>
      <c r="E4" s="389"/>
      <c r="F4" s="390"/>
      <c r="G4" s="391"/>
    </row>
    <row r="5" spans="1:7" s="3" customFormat="1" ht="136.5" customHeight="1" x14ac:dyDescent="0.25">
      <c r="A5" s="392">
        <f>11.1</f>
        <v>11.1</v>
      </c>
      <c r="B5" s="393" t="s">
        <v>120</v>
      </c>
      <c r="C5" s="394" t="s">
        <v>299</v>
      </c>
      <c r="D5" s="395" t="s">
        <v>44</v>
      </c>
      <c r="E5" s="396">
        <v>0</v>
      </c>
      <c r="F5" s="397">
        <v>70</v>
      </c>
      <c r="G5" s="398">
        <f t="shared" ref="G5:G10" si="0">+F5*$E5</f>
        <v>0</v>
      </c>
    </row>
    <row r="6" spans="1:7" s="3" customFormat="1" ht="150" customHeight="1" x14ac:dyDescent="0.25">
      <c r="A6" s="392">
        <f t="shared" ref="A6:A8" si="1">+A5+0.1</f>
        <v>11.2</v>
      </c>
      <c r="B6" s="393" t="s">
        <v>246</v>
      </c>
      <c r="C6" s="394" t="s">
        <v>300</v>
      </c>
      <c r="D6" s="395" t="s">
        <v>44</v>
      </c>
      <c r="E6" s="396">
        <v>0</v>
      </c>
      <c r="F6" s="397">
        <v>8</v>
      </c>
      <c r="G6" s="398">
        <f t="shared" si="0"/>
        <v>0</v>
      </c>
    </row>
    <row r="7" spans="1:7" s="3" customFormat="1" ht="93.75" customHeight="1" x14ac:dyDescent="0.25">
      <c r="A7" s="392">
        <f>+A6+0.1</f>
        <v>11.299999999999999</v>
      </c>
      <c r="B7" s="393" t="s">
        <v>121</v>
      </c>
      <c r="C7" s="394" t="s">
        <v>301</v>
      </c>
      <c r="D7" s="395" t="s">
        <v>44</v>
      </c>
      <c r="E7" s="396">
        <v>0</v>
      </c>
      <c r="F7" s="397">
        <v>100</v>
      </c>
      <c r="G7" s="398">
        <f t="shared" si="0"/>
        <v>0</v>
      </c>
    </row>
    <row r="8" spans="1:7" s="3" customFormat="1" ht="100" customHeight="1" x14ac:dyDescent="0.25">
      <c r="A8" s="392">
        <f t="shared" si="1"/>
        <v>11.399999999999999</v>
      </c>
      <c r="B8" s="393" t="s">
        <v>247</v>
      </c>
      <c r="C8" s="394" t="s">
        <v>302</v>
      </c>
      <c r="D8" s="395" t="s">
        <v>44</v>
      </c>
      <c r="E8" s="396">
        <v>0</v>
      </c>
      <c r="F8" s="397">
        <v>20</v>
      </c>
      <c r="G8" s="398">
        <f t="shared" si="0"/>
        <v>0</v>
      </c>
    </row>
    <row r="9" spans="1:7" s="3" customFormat="1" ht="37.5" customHeight="1" x14ac:dyDescent="0.25">
      <c r="A9" s="399">
        <f>+A8+0.1</f>
        <v>11.499999999999998</v>
      </c>
      <c r="B9" s="400" t="s">
        <v>156</v>
      </c>
      <c r="C9" s="401" t="s">
        <v>242</v>
      </c>
      <c r="D9" s="402" t="s">
        <v>75</v>
      </c>
      <c r="E9" s="403">
        <v>0</v>
      </c>
      <c r="F9" s="404">
        <v>0</v>
      </c>
      <c r="G9" s="405">
        <f t="shared" si="0"/>
        <v>0</v>
      </c>
    </row>
    <row r="10" spans="1:7" s="3" customFormat="1" ht="34.5" customHeight="1" x14ac:dyDescent="0.25">
      <c r="A10" s="399">
        <f t="shared" ref="A10" si="2">+A9+0.1</f>
        <v>11.599999999999998</v>
      </c>
      <c r="B10" s="400" t="s">
        <v>157</v>
      </c>
      <c r="C10" s="401" t="s">
        <v>155</v>
      </c>
      <c r="D10" s="402" t="s">
        <v>44</v>
      </c>
      <c r="E10" s="403">
        <f>+E6</f>
        <v>0</v>
      </c>
      <c r="F10" s="404">
        <v>0</v>
      </c>
      <c r="G10" s="405">
        <f t="shared" si="0"/>
        <v>0</v>
      </c>
    </row>
    <row r="11" spans="1:7" s="3" customFormat="1" ht="39" customHeight="1" x14ac:dyDescent="0.25">
      <c r="A11" s="406">
        <f>+A10+0.1</f>
        <v>11.699999999999998</v>
      </c>
      <c r="B11" s="407" t="s">
        <v>245</v>
      </c>
      <c r="C11" s="408" t="s">
        <v>149</v>
      </c>
      <c r="D11" s="409"/>
      <c r="E11" s="410" t="s">
        <v>37</v>
      </c>
      <c r="F11" s="411">
        <v>0</v>
      </c>
      <c r="G11" s="412">
        <v>0</v>
      </c>
    </row>
    <row r="12" spans="1:7" s="3" customFormat="1" ht="32.15" customHeight="1" x14ac:dyDescent="0.25">
      <c r="A12" s="406">
        <f t="shared" ref="A12" si="3">+A11+0.1</f>
        <v>11.799999999999997</v>
      </c>
      <c r="B12" s="413"/>
      <c r="C12" s="408" t="s">
        <v>140</v>
      </c>
      <c r="D12" s="414" t="s">
        <v>38</v>
      </c>
      <c r="E12" s="415">
        <f>+G11</f>
        <v>0</v>
      </c>
      <c r="F12" s="416">
        <v>0</v>
      </c>
      <c r="G12" s="412">
        <f>+F12*E12</f>
        <v>0</v>
      </c>
    </row>
    <row r="13" spans="1:7" s="3" customFormat="1" ht="31.5" customHeight="1" x14ac:dyDescent="0.25">
      <c r="A13" s="406"/>
      <c r="B13" s="413"/>
      <c r="C13" s="408"/>
      <c r="D13" s="414"/>
      <c r="E13" s="415"/>
      <c r="F13" s="416"/>
      <c r="G13" s="412"/>
    </row>
    <row r="14" spans="1:7" s="3" customFormat="1" ht="31.5" customHeight="1" x14ac:dyDescent="0.25">
      <c r="A14" s="406"/>
      <c r="B14" s="413"/>
      <c r="C14" s="408"/>
      <c r="D14" s="414"/>
      <c r="E14" s="415"/>
      <c r="F14" s="416"/>
      <c r="G14" s="412"/>
    </row>
    <row r="15" spans="1:7" s="3" customFormat="1" ht="25.5" customHeight="1" thickBot="1" x14ac:dyDescent="0.3">
      <c r="A15" s="417"/>
      <c r="B15" s="418"/>
      <c r="C15" s="419"/>
      <c r="D15" s="420"/>
      <c r="E15" s="421"/>
      <c r="F15" s="422"/>
      <c r="G15" s="423"/>
    </row>
    <row r="16" spans="1:7" s="177" customFormat="1" ht="24.9" customHeight="1" thickBot="1" x14ac:dyDescent="0.3">
      <c r="A16" s="424"/>
      <c r="B16" s="425"/>
      <c r="C16" s="375" t="s">
        <v>100</v>
      </c>
      <c r="D16" s="426"/>
      <c r="E16" s="427"/>
      <c r="F16" s="376" t="s">
        <v>26</v>
      </c>
      <c r="G16" s="428">
        <f>SUM(G5:G15)</f>
        <v>0</v>
      </c>
    </row>
    <row r="17" spans="7:7" ht="21.75" customHeight="1" thickTop="1" x14ac:dyDescent="0.25">
      <c r="G17" s="183"/>
    </row>
  </sheetData>
  <mergeCells count="3">
    <mergeCell ref="B4:C4"/>
    <mergeCell ref="F1:G1"/>
    <mergeCell ref="A1:E1"/>
  </mergeCells>
  <phoneticPr fontId="0" type="noConversion"/>
  <printOptions horizontalCentered="1"/>
  <pageMargins left="0.74803149606299213" right="0.74803149606299213" top="0.98425196850393704" bottom="0.98425196850393704" header="0.51181102362204722" footer="0.51181102362204722"/>
  <pageSetup paperSize="9" scale="83" orientation="portrait" horizontalDpi="4294967295" r:id="rId1"/>
  <headerFooter alignWithMargins="0">
    <oddHeader>&amp;LWS 6094 LOVU LANDFILL : DEVELOPMENT OF INFRASTRUCTURE &amp; CELL 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18</vt:i4>
      </vt:variant>
    </vt:vector>
  </HeadingPairs>
  <TitlesOfParts>
    <vt:vector size="40" baseType="lpstr">
      <vt:lpstr>SUMMARY EST</vt:lpstr>
      <vt:lpstr>Cashflow</vt:lpstr>
      <vt:lpstr>Calculator</vt:lpstr>
      <vt:lpstr>Quantities</vt:lpstr>
      <vt:lpstr>Tdr Summary</vt:lpstr>
      <vt:lpstr>Ancillary works summary</vt:lpstr>
      <vt:lpstr> Sec.1 Fixed Charge</vt:lpstr>
      <vt:lpstr> Sec.1Time Related 1.15 - 1.28</vt:lpstr>
      <vt:lpstr>Sec.1 Prov.1.29 - 1.42</vt:lpstr>
      <vt:lpstr> Sec.2 Site Clearance</vt:lpstr>
      <vt:lpstr>Sec.3 Earth Wks</vt:lpstr>
      <vt:lpstr>Sec.4 Earth Wks Pipes</vt:lpstr>
      <vt:lpstr>Sec.5 Earth Wks. Roads</vt:lpstr>
      <vt:lpstr>  Sec 6 Roads</vt:lpstr>
      <vt:lpstr>Sec.6 Gabions &amp; Pitching</vt:lpstr>
      <vt:lpstr>Sec.8 Conc.</vt:lpstr>
      <vt:lpstr>Sec.7 Sewers (1)</vt:lpstr>
      <vt:lpstr>Sec.9 Sewers (2)</vt:lpstr>
      <vt:lpstr>Sec.8 SWD</vt:lpstr>
      <vt:lpstr>Sec.9 Linings</vt:lpstr>
      <vt:lpstr>Sec.10 Dayworks</vt:lpstr>
      <vt:lpstr>Sec.11 Linings</vt:lpstr>
      <vt:lpstr>'  Sec 6 Roads'!Print_Area</vt:lpstr>
      <vt:lpstr>' Sec.1 Fixed Charge'!Print_Area</vt:lpstr>
      <vt:lpstr>' Sec.1Time Related 1.15 - 1.28'!Print_Area</vt:lpstr>
      <vt:lpstr>' Sec.2 Site Clearance'!Print_Area</vt:lpstr>
      <vt:lpstr>'Sec.1 Prov.1.29 - 1.42'!Print_Area</vt:lpstr>
      <vt:lpstr>'Sec.10 Dayworks'!Print_Area</vt:lpstr>
      <vt:lpstr>'Sec.11 Linings'!Print_Area</vt:lpstr>
      <vt:lpstr>'Sec.3 Earth Wks'!Print_Area</vt:lpstr>
      <vt:lpstr>'Sec.4 Earth Wks Pipes'!Print_Area</vt:lpstr>
      <vt:lpstr>'Sec.5 Earth Wks. Roads'!Print_Area</vt:lpstr>
      <vt:lpstr>'Sec.6 Gabions &amp; Pitching'!Print_Area</vt:lpstr>
      <vt:lpstr>'Sec.7 Sewers (1)'!Print_Area</vt:lpstr>
      <vt:lpstr>'Sec.8 Conc.'!Print_Area</vt:lpstr>
      <vt:lpstr>'Sec.8 SWD'!Print_Area</vt:lpstr>
      <vt:lpstr>'Sec.9 Linings'!Print_Area</vt:lpstr>
      <vt:lpstr>'Sec.9 Sewers (2)'!Print_Area</vt:lpstr>
      <vt:lpstr>'SUMMARY EST'!Print_Area</vt:lpstr>
      <vt:lpstr>'Tdr 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Pass</dc:creator>
  <cp:lastModifiedBy>Xolani Cele</cp:lastModifiedBy>
  <cp:lastPrinted>2025-09-23T11:37:03Z</cp:lastPrinted>
  <dcterms:created xsi:type="dcterms:W3CDTF">2008-10-06T05:39:56Z</dcterms:created>
  <dcterms:modified xsi:type="dcterms:W3CDTF">2025-09-25T09:16:31Z</dcterms:modified>
</cp:coreProperties>
</file>