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Users\veedenpp\Documents\Projects\Sub-Transmission\Melkspruit - Rouxville\Procurement Process\Third Round Submission\"/>
    </mc:Choice>
  </mc:AlternateContent>
  <xr:revisionPtr revIDLastSave="0" documentId="13_ncr:1_{7DF330C6-9CB0-42BB-8B8E-A300AC12551A}" xr6:coauthVersionLast="47" xr6:coauthVersionMax="47" xr10:uidLastSave="{00000000-0000-0000-0000-000000000000}"/>
  <bookViews>
    <workbookView xWindow="-120" yWindow="-120" windowWidth="20730" windowHeight="11160" tabRatio="883" xr2:uid="{00000000-000D-0000-FFFF-FFFF00000000}"/>
  </bookViews>
  <sheets>
    <sheet name="PART C5.1" sheetId="1" r:id="rId1"/>
    <sheet name="Summary-PART C5.2" sheetId="2" r:id="rId2"/>
  </sheets>
  <definedNames>
    <definedName name="_xlnm.Print_Area" localSheetId="0">'PART C5.1'!$A$1:$F$685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62" i="1" l="1"/>
  <c r="D596" i="1"/>
  <c r="D595" i="1"/>
  <c r="D592" i="1"/>
  <c r="D551" i="1"/>
  <c r="D513" i="1"/>
  <c r="D503" i="1"/>
  <c r="D502" i="1"/>
  <c r="D481" i="1"/>
  <c r="D460" i="1"/>
  <c r="D455" i="1"/>
  <c r="D452" i="1"/>
  <c r="D449" i="1"/>
  <c r="D420" i="1"/>
  <c r="D419" i="1"/>
  <c r="D406" i="1"/>
  <c r="D405" i="1"/>
  <c r="D404" i="1"/>
  <c r="D395" i="1"/>
  <c r="D385" i="1"/>
  <c r="D386" i="1"/>
  <c r="D381" i="1"/>
  <c r="D373" i="1"/>
  <c r="D372" i="1"/>
  <c r="D369" i="1"/>
  <c r="D359" i="1"/>
  <c r="D295" i="1"/>
  <c r="D283" i="1"/>
  <c r="D274" i="1"/>
  <c r="D253" i="1"/>
  <c r="D238" i="1"/>
  <c r="D236" i="1"/>
  <c r="D237" i="1"/>
  <c r="D228" i="1" l="1"/>
  <c r="D227" i="1"/>
  <c r="F227" i="1" s="1"/>
  <c r="D222" i="1"/>
  <c r="D211" i="1"/>
  <c r="D119" i="1"/>
  <c r="A12" i="2"/>
  <c r="F584" i="1"/>
  <c r="F583" i="1"/>
  <c r="F582" i="1"/>
  <c r="F585" i="1" s="1"/>
  <c r="F579" i="1"/>
  <c r="F580" i="1" s="1"/>
  <c r="F502" i="1"/>
  <c r="F386" i="1"/>
  <c r="F385" i="1"/>
  <c r="F387" i="1" s="1"/>
  <c r="F111" i="1"/>
  <c r="F94" i="1"/>
  <c r="F93" i="1"/>
  <c r="F92" i="1"/>
  <c r="F91" i="1"/>
  <c r="F90" i="1"/>
  <c r="F89" i="1"/>
  <c r="F88" i="1"/>
  <c r="F87" i="1"/>
  <c r="F86" i="1"/>
  <c r="F85" i="1"/>
  <c r="F84" i="1"/>
  <c r="F83" i="1"/>
  <c r="F82" i="1"/>
  <c r="F81" i="1"/>
  <c r="F80" i="1"/>
  <c r="F62" i="1"/>
  <c r="F38" i="1"/>
  <c r="F37" i="1"/>
  <c r="F36" i="1"/>
  <c r="F35" i="1"/>
  <c r="F33" i="1"/>
  <c r="F31" i="1"/>
  <c r="F30" i="1"/>
  <c r="F29" i="1"/>
  <c r="F28" i="1"/>
  <c r="F25" i="1"/>
  <c r="F24" i="1"/>
  <c r="F23" i="1"/>
  <c r="F22" i="1"/>
  <c r="F21" i="1"/>
  <c r="F19" i="1"/>
  <c r="F18" i="1"/>
  <c r="F17" i="1"/>
  <c r="F51" i="1"/>
  <c r="F52" i="1" s="1"/>
  <c r="F586" i="1" l="1"/>
  <c r="B12" i="2" s="1"/>
  <c r="F95" i="1"/>
  <c r="E585" i="1"/>
  <c r="D229" i="1" l="1"/>
  <c r="D192" i="1" l="1"/>
  <c r="D191" i="1"/>
  <c r="D187" i="1"/>
  <c r="D172" i="1"/>
  <c r="D169" i="1"/>
  <c r="D167" i="1"/>
  <c r="D231" i="1" l="1"/>
  <c r="D196" i="1" l="1"/>
  <c r="F196" i="1" s="1"/>
  <c r="D177" i="1"/>
  <c r="D180" i="1" s="1"/>
  <c r="D174" i="1"/>
  <c r="D170" i="1"/>
  <c r="D166" i="1"/>
  <c r="F208" i="1" l="1"/>
  <c r="F207" i="1"/>
  <c r="F209" i="1"/>
  <c r="F206" i="1"/>
  <c r="F205" i="1"/>
  <c r="F210" i="1" s="1"/>
  <c r="E210" i="1"/>
  <c r="F231" i="1" l="1"/>
  <c r="E348" i="1" l="1"/>
  <c r="D325" i="1" l="1"/>
  <c r="D324" i="1"/>
  <c r="F324" i="1" s="1"/>
  <c r="D322" i="1"/>
  <c r="F322" i="1" s="1"/>
  <c r="D307" i="1"/>
  <c r="F307" i="1" s="1"/>
  <c r="D305" i="1"/>
  <c r="F305" i="1" s="1"/>
  <c r="D303" i="1"/>
  <c r="F303" i="1" s="1"/>
  <c r="D301" i="1"/>
  <c r="F301" i="1" s="1"/>
  <c r="F306" i="1"/>
  <c r="F304" i="1"/>
  <c r="F302" i="1"/>
  <c r="D299" i="1"/>
  <c r="F299" i="1" s="1"/>
  <c r="D297" i="1"/>
  <c r="F297" i="1" s="1"/>
  <c r="F295" i="1"/>
  <c r="F309" i="1"/>
  <c r="F308" i="1"/>
  <c r="F300" i="1"/>
  <c r="F298" i="1"/>
  <c r="F296" i="1"/>
  <c r="F294" i="1"/>
  <c r="D293" i="1"/>
  <c r="F293" i="1" s="1"/>
  <c r="D290" i="1"/>
  <c r="F290" i="1" s="1"/>
  <c r="D288" i="1"/>
  <c r="D320" i="1"/>
  <c r="F292" i="1"/>
  <c r="F291" i="1"/>
  <c r="F289" i="1"/>
  <c r="F287" i="1"/>
  <c r="D312" i="1"/>
  <c r="D314" i="1" s="1"/>
  <c r="D482" i="1" l="1"/>
  <c r="D321" i="1"/>
  <c r="D323" i="1"/>
  <c r="D330" i="1"/>
  <c r="F330" i="1" s="1"/>
  <c r="D332" i="1"/>
  <c r="F369" i="1" l="1"/>
  <c r="F370" i="1" s="1"/>
  <c r="E370" i="1"/>
  <c r="E580" i="1" l="1"/>
  <c r="E77" i="1" l="1"/>
  <c r="D224" i="1" l="1"/>
  <c r="F217" i="1"/>
  <c r="F216" i="1"/>
  <c r="F215" i="1"/>
  <c r="D221" i="1"/>
  <c r="F218" i="1"/>
  <c r="D214" i="1"/>
  <c r="F214" i="1" s="1"/>
  <c r="D213" i="1"/>
  <c r="F213" i="1" s="1"/>
  <c r="D631" i="1" l="1"/>
  <c r="F631" i="1" s="1"/>
  <c r="D630" i="1"/>
  <c r="F630" i="1" s="1"/>
  <c r="E638" i="1"/>
  <c r="E633" i="1"/>
  <c r="D634" i="1"/>
  <c r="D640" i="1" s="1"/>
  <c r="F640" i="1" s="1"/>
  <c r="F636" i="1"/>
  <c r="D626" i="1"/>
  <c r="F626" i="1" s="1"/>
  <c r="D624" i="1"/>
  <c r="F624" i="1" s="1"/>
  <c r="D625" i="1"/>
  <c r="D648" i="1" s="1"/>
  <c r="F648" i="1" s="1"/>
  <c r="D622" i="1"/>
  <c r="F622" i="1" s="1"/>
  <c r="D623" i="1"/>
  <c r="D646" i="1" s="1"/>
  <c r="F646" i="1" s="1"/>
  <c r="D620" i="1"/>
  <c r="F620" i="1" s="1"/>
  <c r="D619" i="1"/>
  <c r="E656" i="1"/>
  <c r="E650" i="1"/>
  <c r="D641" i="1"/>
  <c r="F641" i="1" s="1"/>
  <c r="F637" i="1"/>
  <c r="F635" i="1"/>
  <c r="E627" i="1"/>
  <c r="E617" i="1"/>
  <c r="F616" i="1"/>
  <c r="F615" i="1"/>
  <c r="F617" i="1" s="1"/>
  <c r="F634" i="1" l="1"/>
  <c r="D655" i="1"/>
  <c r="F655" i="1" s="1"/>
  <c r="D645" i="1"/>
  <c r="F645" i="1" s="1"/>
  <c r="D652" i="1"/>
  <c r="D653" i="1" s="1"/>
  <c r="D647" i="1"/>
  <c r="F647" i="1" s="1"/>
  <c r="D642" i="1"/>
  <c r="F642" i="1" s="1"/>
  <c r="D632" i="1"/>
  <c r="D643" i="1"/>
  <c r="F643" i="1" s="1"/>
  <c r="D649" i="1"/>
  <c r="F649" i="1" s="1"/>
  <c r="D621" i="1"/>
  <c r="D644" i="1" s="1"/>
  <c r="F644" i="1" s="1"/>
  <c r="F619" i="1"/>
  <c r="F623" i="1"/>
  <c r="F625" i="1"/>
  <c r="E396" i="1"/>
  <c r="F366" i="1"/>
  <c r="E367" i="1"/>
  <c r="F365" i="1"/>
  <c r="F367" i="1" s="1"/>
  <c r="F570" i="1"/>
  <c r="F571" i="1"/>
  <c r="F569" i="1"/>
  <c r="F535" i="1"/>
  <c r="D565" i="1"/>
  <c r="F512" i="1"/>
  <c r="D561" i="1"/>
  <c r="D668" i="1"/>
  <c r="F553" i="1"/>
  <c r="F560" i="1"/>
  <c r="D556" i="1"/>
  <c r="F556" i="1" s="1"/>
  <c r="F548" i="1"/>
  <c r="F541" i="1"/>
  <c r="F533" i="1"/>
  <c r="D523" i="1"/>
  <c r="D522" i="1"/>
  <c r="D521" i="1"/>
  <c r="F521" i="1" s="1"/>
  <c r="D520" i="1"/>
  <c r="D519" i="1"/>
  <c r="D518" i="1"/>
  <c r="F505" i="1"/>
  <c r="F485" i="1"/>
  <c r="D471" i="1"/>
  <c r="F471" i="1" s="1"/>
  <c r="D470" i="1"/>
  <c r="F470" i="1" s="1"/>
  <c r="D468" i="1"/>
  <c r="F468" i="1" s="1"/>
  <c r="D467" i="1"/>
  <c r="F467" i="1" s="1"/>
  <c r="D466" i="1"/>
  <c r="F466" i="1" s="1"/>
  <c r="D465" i="1"/>
  <c r="F460" i="1"/>
  <c r="F454" i="1"/>
  <c r="D453" i="1"/>
  <c r="F453" i="1" s="1"/>
  <c r="F422" i="1"/>
  <c r="D439" i="1"/>
  <c r="D414" i="1"/>
  <c r="D407" i="1"/>
  <c r="F407" i="1" s="1"/>
  <c r="F406" i="1"/>
  <c r="D435" i="1"/>
  <c r="D434" i="1"/>
  <c r="D436" i="1" s="1"/>
  <c r="F436" i="1" s="1"/>
  <c r="D433" i="1"/>
  <c r="D429" i="1"/>
  <c r="D421" i="1"/>
  <c r="D425" i="1"/>
  <c r="F425" i="1" s="1"/>
  <c r="D424" i="1"/>
  <c r="F195" i="1"/>
  <c r="F197" i="1"/>
  <c r="F192" i="1"/>
  <c r="F194" i="1"/>
  <c r="F191" i="1"/>
  <c r="F190" i="1"/>
  <c r="F189" i="1"/>
  <c r="F187" i="1"/>
  <c r="F186" i="1"/>
  <c r="F183" i="1"/>
  <c r="F185" i="1"/>
  <c r="F184" i="1"/>
  <c r="F181" i="1"/>
  <c r="F166" i="1"/>
  <c r="F165" i="1"/>
  <c r="E152" i="1"/>
  <c r="E198" i="1"/>
  <c r="F180" i="1"/>
  <c r="F178" i="1"/>
  <c r="F177" i="1"/>
  <c r="F175" i="1"/>
  <c r="F174" i="1"/>
  <c r="F172" i="1"/>
  <c r="F170" i="1"/>
  <c r="F169" i="1"/>
  <c r="F167" i="1"/>
  <c r="D149" i="1"/>
  <c r="F149" i="1" s="1"/>
  <c r="D162" i="1"/>
  <c r="D161" i="1"/>
  <c r="F150" i="1"/>
  <c r="D151" i="1"/>
  <c r="F650" i="1" l="1"/>
  <c r="D654" i="1"/>
  <c r="F632" i="1"/>
  <c r="F633" i="1" s="1"/>
  <c r="F638" i="1" s="1"/>
  <c r="F621" i="1"/>
  <c r="F627" i="1" s="1"/>
  <c r="F652" i="1"/>
  <c r="D469" i="1"/>
  <c r="F469" i="1" s="1"/>
  <c r="D440" i="1"/>
  <c r="D438" i="1"/>
  <c r="D415" i="1"/>
  <c r="F415" i="1" s="1"/>
  <c r="D437" i="1"/>
  <c r="D426" i="1"/>
  <c r="F376" i="1"/>
  <c r="E379" i="1"/>
  <c r="F378" i="1"/>
  <c r="F377" i="1"/>
  <c r="D328" i="1"/>
  <c r="F328" i="1" s="1"/>
  <c r="F379" i="1" l="1"/>
  <c r="D333" i="1"/>
  <c r="F333" i="1" s="1"/>
  <c r="F395" i="1"/>
  <c r="F396" i="1" s="1"/>
  <c r="F323" i="1"/>
  <c r="D331" i="1"/>
  <c r="F331" i="1" s="1"/>
  <c r="D329" i="1"/>
  <c r="F329" i="1" s="1"/>
  <c r="F654" i="1"/>
  <c r="F653" i="1"/>
  <c r="D389" i="1"/>
  <c r="F389" i="1" s="1"/>
  <c r="D391" i="1"/>
  <c r="F391" i="1" s="1"/>
  <c r="F332" i="1"/>
  <c r="F656" i="1" l="1"/>
  <c r="F657" i="1" s="1"/>
  <c r="B14" i="2" s="1"/>
  <c r="F334" i="1"/>
  <c r="D344" i="1"/>
  <c r="E345" i="1"/>
  <c r="D270" i="1"/>
  <c r="F270" i="1" s="1"/>
  <c r="D271" i="1"/>
  <c r="F271" i="1" s="1"/>
  <c r="D341" i="1"/>
  <c r="F341" i="1" s="1"/>
  <c r="D340" i="1"/>
  <c r="F340" i="1" s="1"/>
  <c r="D339" i="1"/>
  <c r="F339" i="1" s="1"/>
  <c r="E317" i="1"/>
  <c r="E275" i="1"/>
  <c r="E279" i="1"/>
  <c r="F278" i="1"/>
  <c r="F277" i="1"/>
  <c r="F254" i="1"/>
  <c r="F255" i="1"/>
  <c r="F256" i="1"/>
  <c r="D269" i="1" l="1"/>
  <c r="D272" i="1" s="1"/>
  <c r="D193" i="1"/>
  <c r="F193" i="1" s="1"/>
  <c r="F198" i="1" s="1"/>
  <c r="D261" i="1"/>
  <c r="F253" i="1"/>
  <c r="F257" i="1" s="1"/>
  <c r="F258" i="1" s="1"/>
  <c r="D351" i="1"/>
  <c r="D347" i="1"/>
  <c r="F347" i="1" s="1"/>
  <c r="F348" i="1" s="1"/>
  <c r="F344" i="1"/>
  <c r="F345" i="1" s="1"/>
  <c r="D358" i="1"/>
  <c r="D338" i="1"/>
  <c r="F279" i="1"/>
  <c r="F248" i="1"/>
  <c r="F338" i="1" l="1"/>
  <c r="F342" i="1" s="1"/>
  <c r="D350" i="1"/>
  <c r="E239" i="1"/>
  <c r="F230" i="1"/>
  <c r="F220" i="1" l="1"/>
  <c r="F221" i="1"/>
  <c r="D160" i="1"/>
  <c r="F222" i="1" l="1"/>
  <c r="F223" i="1" l="1"/>
  <c r="F224" i="1"/>
  <c r="D138" i="1"/>
  <c r="D139" i="1" s="1"/>
  <c r="D132" i="1"/>
  <c r="D121" i="1"/>
  <c r="F120" i="1" l="1"/>
  <c r="F465" i="1"/>
  <c r="F472" i="1" s="1"/>
  <c r="F662" i="1"/>
  <c r="F595" i="1"/>
  <c r="D559" i="1"/>
  <c r="F559" i="1" s="1"/>
  <c r="F561" i="1"/>
  <c r="F534" i="1"/>
  <c r="D527" i="1"/>
  <c r="F527" i="1" s="1"/>
  <c r="F503" i="1"/>
  <c r="F523" i="1"/>
  <c r="F492" i="1"/>
  <c r="F481" i="1"/>
  <c r="F455" i="1"/>
  <c r="F429" i="1"/>
  <c r="F392" i="1"/>
  <c r="F482" i="1"/>
  <c r="F358" i="1"/>
  <c r="F325" i="1"/>
  <c r="F288" i="1"/>
  <c r="F286" i="1"/>
  <c r="F285" i="1"/>
  <c r="F238" i="1"/>
  <c r="F237" i="1"/>
  <c r="F236" i="1"/>
  <c r="F518" i="1"/>
  <c r="F459" i="1"/>
  <c r="E387" i="1"/>
  <c r="F274" i="1"/>
  <c r="F232" i="1"/>
  <c r="D143" i="1"/>
  <c r="F143" i="1" s="1"/>
  <c r="F484" i="1"/>
  <c r="F458" i="1"/>
  <c r="F461" i="1" s="1"/>
  <c r="F668" i="1"/>
  <c r="E153" i="1"/>
  <c r="D602" i="1"/>
  <c r="D608" i="1" s="1"/>
  <c r="F608" i="1" s="1"/>
  <c r="D476" i="1"/>
  <c r="F476" i="1" s="1"/>
  <c r="F504" i="1"/>
  <c r="F532" i="1"/>
  <c r="F510" i="1"/>
  <c r="F493" i="1"/>
  <c r="D315" i="1"/>
  <c r="F315" i="1" s="1"/>
  <c r="F381" i="1"/>
  <c r="D55" i="1"/>
  <c r="D46" i="1"/>
  <c r="F46" i="1" s="1"/>
  <c r="D45" i="1"/>
  <c r="F45" i="1" s="1"/>
  <c r="D44" i="1"/>
  <c r="F44" i="1" s="1"/>
  <c r="D43" i="1"/>
  <c r="F43" i="1" s="1"/>
  <c r="F47" i="1" s="1"/>
  <c r="F48" i="1" s="1"/>
  <c r="D32" i="1"/>
  <c r="F247" i="1"/>
  <c r="F249" i="1" s="1"/>
  <c r="F250" i="1" s="1"/>
  <c r="A6" i="2"/>
  <c r="A5" i="2"/>
  <c r="F664" i="1"/>
  <c r="D601" i="1"/>
  <c r="D607" i="1" s="1"/>
  <c r="F607" i="1" s="1"/>
  <c r="D600" i="1"/>
  <c r="D606" i="1" s="1"/>
  <c r="F606" i="1" s="1"/>
  <c r="D558" i="1"/>
  <c r="F558" i="1" s="1"/>
  <c r="F543" i="1"/>
  <c r="D557" i="1"/>
  <c r="F557" i="1" s="1"/>
  <c r="F486" i="1"/>
  <c r="F483" i="1"/>
  <c r="F430" i="1"/>
  <c r="E431" i="1"/>
  <c r="F382" i="1"/>
  <c r="F320" i="1"/>
  <c r="F312" i="1"/>
  <c r="F284" i="1"/>
  <c r="F242" i="1"/>
  <c r="F241" i="1"/>
  <c r="E249" i="1"/>
  <c r="F124" i="1"/>
  <c r="F144" i="1"/>
  <c r="F133" i="1"/>
  <c r="F490" i="1"/>
  <c r="F373" i="1"/>
  <c r="E361" i="1"/>
  <c r="E362" i="1"/>
  <c r="E335" i="1"/>
  <c r="F121" i="1"/>
  <c r="D599" i="1"/>
  <c r="F599" i="1" s="1"/>
  <c r="E603" i="1"/>
  <c r="F594" i="1"/>
  <c r="D555" i="1"/>
  <c r="F555" i="1" s="1"/>
  <c r="D554" i="1"/>
  <c r="F554" i="1" s="1"/>
  <c r="F552" i="1"/>
  <c r="F540" i="1"/>
  <c r="F539" i="1"/>
  <c r="F513" i="1"/>
  <c r="F491" i="1"/>
  <c r="F489" i="1"/>
  <c r="E442" i="1"/>
  <c r="E383" i="1"/>
  <c r="F283" i="1"/>
  <c r="F282" i="1"/>
  <c r="E243" i="1"/>
  <c r="F137" i="1"/>
  <c r="F138" i="1"/>
  <c r="E95" i="1"/>
  <c r="E112" i="1"/>
  <c r="F156" i="1"/>
  <c r="F151" i="1"/>
  <c r="F152" i="1" s="1"/>
  <c r="F153" i="1" s="1"/>
  <c r="F673" i="1"/>
  <c r="F669" i="1"/>
  <c r="F665" i="1"/>
  <c r="F663" i="1"/>
  <c r="E244" i="1"/>
  <c r="E670" i="1"/>
  <c r="E233" i="1"/>
  <c r="F568" i="1"/>
  <c r="F572" i="1" s="1"/>
  <c r="E572" i="1"/>
  <c r="E609" i="1"/>
  <c r="E597" i="1"/>
  <c r="F542" i="1"/>
  <c r="E529" i="1"/>
  <c r="E515" i="1"/>
  <c r="E514" i="1"/>
  <c r="E524" i="1"/>
  <c r="E478" i="1"/>
  <c r="E462" i="1"/>
  <c r="E461" i="1"/>
  <c r="E472" i="1"/>
  <c r="E409" i="1"/>
  <c r="E417" i="1"/>
  <c r="E393" i="1"/>
  <c r="E356" i="1"/>
  <c r="F281" i="1"/>
  <c r="E310" i="1"/>
  <c r="F219" i="1"/>
  <c r="F159" i="1"/>
  <c r="F158" i="1"/>
  <c r="F157" i="1"/>
  <c r="F162" i="1"/>
  <c r="F161" i="1"/>
  <c r="E135" i="1"/>
  <c r="E47" i="1"/>
  <c r="E72" i="1"/>
  <c r="E52" i="1"/>
  <c r="E39" i="1"/>
  <c r="E26" i="1"/>
  <c r="F20" i="1"/>
  <c r="F26" i="1" s="1"/>
  <c r="E113" i="1"/>
  <c r="F140" i="1"/>
  <c r="E141" i="1"/>
  <c r="A15" i="2"/>
  <c r="A13" i="2"/>
  <c r="A11" i="2"/>
  <c r="A10" i="2"/>
  <c r="A9" i="2"/>
  <c r="A8" i="2"/>
  <c r="A7" i="2"/>
  <c r="A4" i="2"/>
  <c r="F672" i="1"/>
  <c r="F675" i="1" s="1"/>
  <c r="F674" i="1"/>
  <c r="E262" i="1"/>
  <c r="E146" i="1"/>
  <c r="F211" i="1"/>
  <c r="F225" i="1" s="1"/>
  <c r="E225" i="1"/>
  <c r="E666" i="1"/>
  <c r="F681" i="1"/>
  <c r="F682" i="1"/>
  <c r="F683" i="1"/>
  <c r="F677" i="1"/>
  <c r="F678" i="1"/>
  <c r="F596" i="1"/>
  <c r="F591" i="1"/>
  <c r="F592" i="1"/>
  <c r="F536" i="1"/>
  <c r="F544" i="1"/>
  <c r="F547" i="1"/>
  <c r="F549" i="1"/>
  <c r="F550" i="1"/>
  <c r="F551" i="1"/>
  <c r="F155" i="1"/>
  <c r="F160" i="1"/>
  <c r="F119" i="1"/>
  <c r="F122" i="1" s="1"/>
  <c r="F125" i="1"/>
  <c r="E487" i="1"/>
  <c r="E316" i="1"/>
  <c r="E427" i="1"/>
  <c r="E408" i="1"/>
  <c r="E126" i="1"/>
  <c r="E122" i="1"/>
  <c r="E73" i="1"/>
  <c r="E48" i="1"/>
  <c r="E40" i="1"/>
  <c r="E494" i="1"/>
  <c r="E374" i="1"/>
  <c r="E326" i="1"/>
  <c r="E545" i="1"/>
  <c r="E679" i="1"/>
  <c r="E684" i="1"/>
  <c r="E675" i="1"/>
  <c r="E258" i="1"/>
  <c r="E250" i="1"/>
  <c r="E257" i="1"/>
  <c r="E573" i="1"/>
  <c r="E566" i="1"/>
  <c r="E528" i="1"/>
  <c r="E508" i="1"/>
  <c r="E537" i="1"/>
  <c r="E495" i="1"/>
  <c r="E477" i="1"/>
  <c r="E456" i="1"/>
  <c r="E441" i="1"/>
  <c r="E397" i="1"/>
  <c r="E342" i="1"/>
  <c r="E334" i="1"/>
  <c r="E163" i="1"/>
  <c r="F593" i="1"/>
  <c r="F132" i="1"/>
  <c r="F139" i="1"/>
  <c r="F360" i="1"/>
  <c r="F372" i="1"/>
  <c r="F374" i="1" s="1"/>
  <c r="F416" i="1"/>
  <c r="D474" i="1"/>
  <c r="F474" i="1" s="1"/>
  <c r="F520" i="1"/>
  <c r="D526" i="1"/>
  <c r="F526" i="1" s="1"/>
  <c r="F528" i="1" s="1"/>
  <c r="F452" i="1"/>
  <c r="F450" i="1"/>
  <c r="D562" i="1"/>
  <c r="F562" i="1" s="1"/>
  <c r="F519" i="1"/>
  <c r="D475" i="1"/>
  <c r="F475" i="1" s="1"/>
  <c r="D145" i="1"/>
  <c r="F145" i="1" s="1"/>
  <c r="F134" i="1"/>
  <c r="F390" i="1"/>
  <c r="F393" i="1" s="1"/>
  <c r="F239" i="1" l="1"/>
  <c r="F477" i="1"/>
  <c r="F478" i="1" s="1"/>
  <c r="F243" i="1"/>
  <c r="F244" i="1"/>
  <c r="D97" i="1"/>
  <c r="F97" i="1" s="1"/>
  <c r="F32" i="1"/>
  <c r="F487" i="1"/>
  <c r="F141" i="1"/>
  <c r="F126" i="1"/>
  <c r="F670" i="1"/>
  <c r="F397" i="1"/>
  <c r="F597" i="1"/>
  <c r="D56" i="1"/>
  <c r="F56" i="1" s="1"/>
  <c r="F55" i="1"/>
  <c r="F146" i="1"/>
  <c r="F135" i="1"/>
  <c r="F679" i="1"/>
  <c r="F310" i="1"/>
  <c r="F494" i="1"/>
  <c r="F514" i="1"/>
  <c r="F666" i="1"/>
  <c r="F537" i="1"/>
  <c r="F684" i="1"/>
  <c r="F545" i="1"/>
  <c r="F451" i="1"/>
  <c r="F601" i="1"/>
  <c r="F383" i="1"/>
  <c r="F564" i="1"/>
  <c r="F600" i="1"/>
  <c r="F359" i="1"/>
  <c r="F361" i="1" s="1"/>
  <c r="D98" i="1"/>
  <c r="F98" i="1" s="1"/>
  <c r="F565" i="1"/>
  <c r="F602" i="1"/>
  <c r="F431" i="1"/>
  <c r="F261" i="1"/>
  <c r="F438" i="1"/>
  <c r="F420" i="1"/>
  <c r="F507" i="1"/>
  <c r="F449" i="1"/>
  <c r="F424" i="1"/>
  <c r="F511" i="1"/>
  <c r="F163" i="1"/>
  <c r="F321" i="1"/>
  <c r="F326" i="1" s="1"/>
  <c r="D34" i="1"/>
  <c r="F34" i="1" s="1"/>
  <c r="D605" i="1"/>
  <c r="F605" i="1" s="1"/>
  <c r="F609" i="1" s="1"/>
  <c r="D563" i="1"/>
  <c r="F563" i="1" s="1"/>
  <c r="D57" i="1" l="1"/>
  <c r="F57" i="1" s="1"/>
  <c r="F685" i="1"/>
  <c r="B15" i="2" s="1"/>
  <c r="F199" i="1"/>
  <c r="B6" i="2" s="1"/>
  <c r="F603" i="1"/>
  <c r="F566" i="1"/>
  <c r="F456" i="1"/>
  <c r="F462" i="1" s="1"/>
  <c r="F573" i="1"/>
  <c r="F495" i="1"/>
  <c r="F496" i="1" s="1"/>
  <c r="F39" i="1"/>
  <c r="F40" i="1" s="1"/>
  <c r="F610" i="1"/>
  <c r="B13" i="2" s="1"/>
  <c r="F313" i="1"/>
  <c r="F314" i="1"/>
  <c r="D354" i="1"/>
  <c r="F354" i="1" s="1"/>
  <c r="F351" i="1"/>
  <c r="F435" i="1"/>
  <c r="F439" i="1"/>
  <c r="F335" i="1"/>
  <c r="F127" i="1"/>
  <c r="B5" i="2" s="1"/>
  <c r="F434" i="1"/>
  <c r="F433" i="1"/>
  <c r="D99" i="1"/>
  <c r="F99" i="1" s="1"/>
  <c r="F269" i="1"/>
  <c r="D355" i="1"/>
  <c r="F355" i="1" s="1"/>
  <c r="F506" i="1"/>
  <c r="F508" i="1" s="1"/>
  <c r="F515" i="1" s="1"/>
  <c r="F522" i="1"/>
  <c r="F524" i="1" s="1"/>
  <c r="F529" i="1" s="1"/>
  <c r="D423" i="1"/>
  <c r="F423" i="1" s="1"/>
  <c r="F421" i="1"/>
  <c r="F419" i="1"/>
  <c r="F426" i="1"/>
  <c r="F405" i="1"/>
  <c r="D413" i="1"/>
  <c r="F413" i="1" s="1"/>
  <c r="F404" i="1"/>
  <c r="F408" i="1" s="1"/>
  <c r="F409" i="1" s="1"/>
  <c r="D412" i="1"/>
  <c r="F412" i="1" s="1"/>
  <c r="D58" i="1"/>
  <c r="F58" i="1" s="1"/>
  <c r="F427" i="1" l="1"/>
  <c r="F574" i="1"/>
  <c r="B11" i="2" s="1"/>
  <c r="F316" i="1"/>
  <c r="B10" i="2"/>
  <c r="F440" i="1"/>
  <c r="D100" i="1"/>
  <c r="F100" i="1" s="1"/>
  <c r="F272" i="1"/>
  <c r="D273" i="1"/>
  <c r="F414" i="1"/>
  <c r="F417" i="1" s="1"/>
  <c r="D59" i="1"/>
  <c r="F59" i="1" s="1"/>
  <c r="F437" i="1" l="1"/>
  <c r="F441" i="1" s="1"/>
  <c r="F442" i="1" s="1"/>
  <c r="F443" i="1" s="1"/>
  <c r="D101" i="1"/>
  <c r="F101" i="1" s="1"/>
  <c r="F350" i="1"/>
  <c r="F273" i="1"/>
  <c r="D60" i="1"/>
  <c r="F60" i="1" s="1"/>
  <c r="F275" i="1" l="1"/>
  <c r="F317" i="1" s="1"/>
  <c r="B9" i="2"/>
  <c r="D102" i="1"/>
  <c r="F102" i="1" s="1"/>
  <c r="D353" i="1"/>
  <c r="F353" i="1" s="1"/>
  <c r="D352" i="1"/>
  <c r="F352" i="1" s="1"/>
  <c r="F356" i="1" s="1"/>
  <c r="F362" i="1" s="1"/>
  <c r="D61" i="1"/>
  <c r="F61" i="1" s="1"/>
  <c r="F398" i="1" l="1"/>
  <c r="D103" i="1"/>
  <c r="F103" i="1" s="1"/>
  <c r="D63" i="1"/>
  <c r="F63" i="1" s="1"/>
  <c r="D104" i="1" l="1"/>
  <c r="F104" i="1" s="1"/>
  <c r="D64" i="1"/>
  <c r="F64" i="1" s="1"/>
  <c r="B8" i="2" l="1"/>
  <c r="D105" i="1"/>
  <c r="F105" i="1" s="1"/>
  <c r="D65" i="1"/>
  <c r="F65" i="1" s="1"/>
  <c r="D106" i="1" l="1"/>
  <c r="F106" i="1" s="1"/>
  <c r="D66" i="1"/>
  <c r="F66" i="1" s="1"/>
  <c r="D107" i="1" l="1"/>
  <c r="F107" i="1" s="1"/>
  <c r="D67" i="1"/>
  <c r="F67" i="1" s="1"/>
  <c r="D108" i="1" l="1"/>
  <c r="F108" i="1" s="1"/>
  <c r="D68" i="1"/>
  <c r="F68" i="1" s="1"/>
  <c r="D109" i="1" l="1"/>
  <c r="F109" i="1" s="1"/>
  <c r="D69" i="1"/>
  <c r="D70" i="1" l="1"/>
  <c r="F70" i="1" s="1"/>
  <c r="F69" i="1"/>
  <c r="D110" i="1"/>
  <c r="F110" i="1" s="1"/>
  <c r="F112" i="1" s="1"/>
  <c r="F113" i="1" s="1"/>
  <c r="D71" i="1"/>
  <c r="F71" i="1" s="1"/>
  <c r="F72" i="1" s="1"/>
  <c r="F73" i="1" s="1"/>
  <c r="D75" i="1" l="1"/>
  <c r="D76" i="1" l="1"/>
  <c r="F76" i="1" s="1"/>
  <c r="F75" i="1"/>
  <c r="F77" i="1" l="1"/>
  <c r="F114" i="1" s="1"/>
  <c r="B4" i="2" s="1"/>
  <c r="F229" i="1"/>
  <c r="F228" i="1"/>
  <c r="F233" i="1" l="1"/>
  <c r="D260" i="1"/>
  <c r="F260" i="1" s="1"/>
  <c r="F262" i="1" l="1"/>
  <c r="F263" i="1" s="1"/>
  <c r="B7" i="2" s="1"/>
  <c r="B16" i="2" s="1"/>
  <c r="B17" i="2" l="1"/>
  <c r="B1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Eskom</author>
  </authors>
  <commentList>
    <comment ref="B17" authorId="0" shapeId="0" xr:uid="{00000000-0006-0000-0000-000001000000}">
      <text>
        <r>
          <rPr>
            <b/>
            <sz val="10"/>
            <color indexed="12"/>
            <rFont val="Arial"/>
            <family val="2"/>
          </rPr>
          <t xml:space="preserve">The cost to the </t>
        </r>
        <r>
          <rPr>
            <b/>
            <i/>
            <sz val="10"/>
            <color indexed="12"/>
            <rFont val="Arial"/>
            <family val="2"/>
          </rPr>
          <t>Contractor</t>
        </r>
        <r>
          <rPr>
            <b/>
            <sz val="10"/>
            <color indexed="12"/>
            <rFont val="Arial"/>
            <family val="2"/>
          </rPr>
          <t xml:space="preserve"> to make provision for the employment of a competent supervisor to supervise and manage the execution of the </t>
        </r>
        <r>
          <rPr>
            <b/>
            <i/>
            <sz val="10"/>
            <color indexed="12"/>
            <rFont val="Arial"/>
            <family val="2"/>
          </rPr>
          <t>Works</t>
        </r>
        <r>
          <rPr>
            <b/>
            <sz val="10"/>
            <color indexed="12"/>
            <rFont val="Arial"/>
            <family val="2"/>
          </rPr>
          <t xml:space="preserve"> as well as to prepare a detailed programme and supporting documentation for the execution of the contract including the work of all approved subcontractors engaged by </t>
        </r>
        <r>
          <rPr>
            <b/>
            <i/>
            <sz val="10"/>
            <color indexed="12"/>
            <rFont val="Arial"/>
            <family val="2"/>
          </rPr>
          <t>Employer</t>
        </r>
        <r>
          <rPr>
            <b/>
            <sz val="10"/>
            <color indexed="12"/>
            <rFont val="Arial"/>
            <family val="2"/>
          </rPr>
          <t xml:space="preserve">, representing the information that is required by the Works Information in sufficient detail to enable the </t>
        </r>
        <r>
          <rPr>
            <b/>
            <i/>
            <sz val="10"/>
            <color indexed="12"/>
            <rFont val="Arial"/>
            <family val="2"/>
          </rPr>
          <t>Employer's</t>
        </r>
        <r>
          <rPr>
            <b/>
            <sz val="10"/>
            <color indexed="12"/>
            <rFont val="Arial"/>
            <family val="2"/>
          </rPr>
          <t xml:space="preserve"> Representative to assess the progress of the works at all times in comparison with the programme. Supervisor to be full time on site. Approval in writing to be obtained if supervisor to be dedicated to more than one site in the same area.</t>
        </r>
      </text>
    </comment>
    <comment ref="B24" authorId="0" shapeId="0" xr:uid="{00000000-0006-0000-0000-000002000000}">
      <text>
        <r>
          <rPr>
            <b/>
            <sz val="10"/>
            <color indexed="12"/>
            <rFont val="Arial"/>
            <family val="2"/>
          </rPr>
          <t xml:space="preserve">The cost to the </t>
        </r>
        <r>
          <rPr>
            <b/>
            <i/>
            <sz val="10"/>
            <color indexed="12"/>
            <rFont val="Arial"/>
            <family val="2"/>
          </rPr>
          <t>Contractor</t>
        </r>
        <r>
          <rPr>
            <b/>
            <sz val="10"/>
            <color indexed="12"/>
            <rFont val="Arial"/>
            <family val="2"/>
          </rPr>
          <t xml:space="preserve"> to obtain Standards and Specifications that are referred to in this Contract document but are not supplied in hard copy format by Eskom. He would also be responsible to provide the relevant sections of Standards and Specifications to his Subcontractors and ensure that they understand their own responsibility and comply fully .</t>
        </r>
      </text>
    </comment>
    <comment ref="B34" authorId="0" shapeId="0" xr:uid="{00000000-0006-0000-0000-000003000000}">
      <text>
        <r>
          <rPr>
            <b/>
            <sz val="10"/>
            <color indexed="12"/>
            <rFont val="Arial"/>
            <family val="2"/>
          </rPr>
          <t xml:space="preserve">The cost to the </t>
        </r>
        <r>
          <rPr>
            <b/>
            <i/>
            <sz val="10"/>
            <color indexed="12"/>
            <rFont val="Arial"/>
            <family val="2"/>
          </rPr>
          <t>Contractor</t>
        </r>
        <r>
          <rPr>
            <b/>
            <sz val="10"/>
            <color indexed="12"/>
            <rFont val="Arial"/>
            <family val="2"/>
          </rPr>
          <t xml:space="preserve"> to provide safe transport to his employees at, to and from the construction site in terms of the Construction Regulations </t>
        </r>
        <r>
          <rPr>
            <b/>
            <i/>
            <sz val="10"/>
            <color indexed="12"/>
            <rFont val="Arial"/>
            <family val="2"/>
          </rPr>
          <t>Clause 21 (2) (a) and (i) If tendered for proof to be provided by listing the vehicle registration number or rental agreement</t>
        </r>
      </text>
    </comment>
    <comment ref="B65" authorId="0" shapeId="0" xr:uid="{00000000-0006-0000-0000-000004000000}">
      <text>
        <r>
          <rPr>
            <b/>
            <sz val="10"/>
            <color indexed="12"/>
            <rFont val="Arial"/>
            <family val="2"/>
          </rPr>
          <t xml:space="preserve">The cost to the </t>
        </r>
        <r>
          <rPr>
            <b/>
            <i/>
            <sz val="10"/>
            <color indexed="12"/>
            <rFont val="Arial"/>
            <family val="2"/>
          </rPr>
          <t>Contractor</t>
        </r>
        <r>
          <rPr>
            <b/>
            <sz val="10"/>
            <color indexed="12"/>
            <rFont val="Arial"/>
            <family val="2"/>
          </rPr>
          <t xml:space="preserve"> to make provision for the appointees in terms of the OHS Act and Regulations i. e., qualified first aider, construction site Health and safety officer, incident / Accident investigator, if not part of the construction teams of the Contractor, and appointed full time for this purpose. The additional cost of their employment which can not be recovered through contract rates, should be allowed here. 
The Principal </t>
        </r>
        <r>
          <rPr>
            <b/>
            <i/>
            <sz val="10"/>
            <color indexed="12"/>
            <rFont val="Arial"/>
            <family val="2"/>
          </rPr>
          <t xml:space="preserve">Contractor </t>
        </r>
        <r>
          <rPr>
            <b/>
            <sz val="10"/>
            <color indexed="12"/>
            <rFont val="Arial"/>
            <family val="2"/>
          </rPr>
          <t xml:space="preserve">as well as his </t>
        </r>
        <r>
          <rPr>
            <b/>
            <i/>
            <sz val="10"/>
            <color indexed="12"/>
            <rFont val="Arial"/>
            <family val="2"/>
          </rPr>
          <t>Subcontractors</t>
        </r>
        <r>
          <rPr>
            <b/>
            <sz val="10"/>
            <color indexed="12"/>
            <rFont val="Arial"/>
            <family val="2"/>
          </rPr>
          <t xml:space="preserve"> should also be appointed in writing by the </t>
        </r>
        <r>
          <rPr>
            <b/>
            <i/>
            <sz val="10"/>
            <color indexed="12"/>
            <rFont val="Arial"/>
            <family val="2"/>
          </rPr>
          <t>Employer</t>
        </r>
        <r>
          <rPr>
            <b/>
            <sz val="10"/>
            <color indexed="12"/>
            <rFont val="Arial"/>
            <family val="2"/>
          </rPr>
          <t xml:space="preserve"> and be registered and in good standing with the Compensation fund.</t>
        </r>
      </text>
    </comment>
    <comment ref="B69" authorId="0" shapeId="0" xr:uid="{00000000-0006-0000-0000-000005000000}">
      <text>
        <r>
          <rPr>
            <b/>
            <sz val="10"/>
            <color indexed="12"/>
            <rFont val="Arial"/>
            <family val="2"/>
          </rPr>
          <t xml:space="preserve">The cost to the </t>
        </r>
        <r>
          <rPr>
            <b/>
            <i/>
            <sz val="10"/>
            <color indexed="12"/>
            <rFont val="Arial"/>
            <family val="2"/>
          </rPr>
          <t>Contractor</t>
        </r>
        <r>
          <rPr>
            <b/>
            <sz val="10"/>
            <color indexed="12"/>
            <rFont val="Arial"/>
            <family val="2"/>
          </rPr>
          <t xml:space="preserve"> to make provision for the cost to comply to any other requirement of the OHS Act, i.e., to notify the Department of Labour of the Construction project, time and cost to do and record daily Risk assessments.  </t>
        </r>
      </text>
    </comment>
    <comment ref="B70" authorId="0" shapeId="0" xr:uid="{00000000-0006-0000-0000-000006000000}">
      <text>
        <r>
          <rPr>
            <b/>
            <sz val="10"/>
            <color indexed="12"/>
            <rFont val="Arial"/>
            <family val="2"/>
          </rPr>
          <t xml:space="preserve">The cost to the </t>
        </r>
        <r>
          <rPr>
            <b/>
            <i/>
            <sz val="10"/>
            <color indexed="12"/>
            <rFont val="Arial"/>
            <family val="2"/>
          </rPr>
          <t>Contractor</t>
        </r>
        <r>
          <rPr>
            <b/>
            <sz val="10"/>
            <color indexed="12"/>
            <rFont val="Arial"/>
            <family val="2"/>
          </rPr>
          <t xml:space="preserve"> to make provision for the cost to comply to any other requirement of the OHS Act, i.e., to notify the Department of Labour of the Construction project, time and cost to do and record daily Risk assessments.  </t>
        </r>
      </text>
    </comment>
    <comment ref="B97" authorId="0" shapeId="0" xr:uid="{00000000-0006-0000-0000-000007000000}">
      <text>
        <r>
          <rPr>
            <b/>
            <sz val="10"/>
            <color indexed="12"/>
            <rFont val="Arial"/>
            <family val="2"/>
          </rPr>
          <t xml:space="preserve">The cost to the </t>
        </r>
        <r>
          <rPr>
            <b/>
            <i/>
            <sz val="10"/>
            <color indexed="12"/>
            <rFont val="Arial"/>
            <family val="2"/>
          </rPr>
          <t>Contractor</t>
        </r>
        <r>
          <rPr>
            <b/>
            <sz val="10"/>
            <color indexed="12"/>
            <rFont val="Arial"/>
            <family val="2"/>
          </rPr>
          <t xml:space="preserve"> to make provision for a site office, suitable for regular site meetings, which must also serve as the office for the </t>
        </r>
        <r>
          <rPr>
            <b/>
            <i/>
            <sz val="10"/>
            <color indexed="12"/>
            <rFont val="Arial"/>
            <family val="2"/>
          </rPr>
          <t>Contractor's</t>
        </r>
        <r>
          <rPr>
            <b/>
            <sz val="10"/>
            <color indexed="12"/>
            <rFont val="Arial"/>
            <family val="2"/>
          </rPr>
          <t xml:space="preserve"> site supervisor. 
Adequate workspace must also be provided for the </t>
        </r>
        <r>
          <rPr>
            <b/>
            <i/>
            <sz val="10"/>
            <color indexed="12"/>
            <rFont val="Arial"/>
            <family val="2"/>
          </rPr>
          <t>Project Manager</t>
        </r>
        <r>
          <rPr>
            <b/>
            <sz val="10"/>
            <color indexed="12"/>
            <rFont val="Arial"/>
            <family val="2"/>
          </rPr>
          <t xml:space="preserve"> or his Representative, as well as a place of safekeeping for his site plans and documentation.</t>
        </r>
      </text>
    </comment>
    <comment ref="B98" authorId="0" shapeId="0" xr:uid="{00000000-0006-0000-0000-000008000000}">
      <text>
        <r>
          <rPr>
            <b/>
            <sz val="10"/>
            <color indexed="12"/>
            <rFont val="Arial"/>
            <family val="2"/>
          </rPr>
          <t xml:space="preserve">The cost to the </t>
        </r>
        <r>
          <rPr>
            <b/>
            <i/>
            <sz val="10"/>
            <color indexed="12"/>
            <rFont val="Arial"/>
            <family val="2"/>
          </rPr>
          <t xml:space="preserve">Contractor </t>
        </r>
        <r>
          <rPr>
            <b/>
            <sz val="10"/>
            <color indexed="12"/>
            <rFont val="Arial"/>
            <family val="2"/>
          </rPr>
          <t xml:space="preserve">to make provision for and to erect, alter as necessary, maintain, remove and make good on completion of the </t>
        </r>
        <r>
          <rPr>
            <b/>
            <i/>
            <sz val="10"/>
            <color indexed="12"/>
            <rFont val="Arial"/>
            <family val="2"/>
          </rPr>
          <t>Works</t>
        </r>
        <r>
          <rPr>
            <b/>
            <sz val="10"/>
            <color indexed="12"/>
            <rFont val="Arial"/>
            <family val="2"/>
          </rPr>
          <t xml:space="preserve"> suitable fencing with access gates, etc. as necessary for the enclosure of the contractor's yard, all to the
satisfaction of the </t>
        </r>
        <r>
          <rPr>
            <b/>
            <i/>
            <sz val="10"/>
            <color indexed="12"/>
            <rFont val="Arial"/>
            <family val="2"/>
          </rPr>
          <t>Employer's</t>
        </r>
        <r>
          <rPr>
            <b/>
            <sz val="10"/>
            <color indexed="12"/>
            <rFont val="Arial"/>
            <family val="2"/>
          </rPr>
          <t xml:space="preserve"> Representative. If other suitable and safe storage facilities have already been provided, this item need not be priced.</t>
        </r>
      </text>
    </comment>
    <comment ref="B99" authorId="0" shapeId="0" xr:uid="{00000000-0006-0000-0000-000009000000}">
      <text>
        <r>
          <rPr>
            <b/>
            <sz val="10"/>
            <color indexed="12"/>
            <rFont val="Arial"/>
            <family val="2"/>
          </rPr>
          <t xml:space="preserve">The cost to the </t>
        </r>
        <r>
          <rPr>
            <b/>
            <i/>
            <sz val="10"/>
            <color indexed="12"/>
            <rFont val="Arial"/>
            <family val="2"/>
          </rPr>
          <t xml:space="preserve">Contractor </t>
        </r>
        <r>
          <rPr>
            <b/>
            <sz val="10"/>
            <color indexed="12"/>
            <rFont val="Arial"/>
            <family val="2"/>
          </rPr>
          <t>to make provision for the safe storage of material on site against theft as well as protection against  damage due to wind or weather.</t>
        </r>
      </text>
    </comment>
    <comment ref="B100" authorId="0" shapeId="0" xr:uid="{00000000-0006-0000-0000-00000A000000}">
      <text>
        <r>
          <rPr>
            <b/>
            <sz val="10"/>
            <color indexed="12"/>
            <rFont val="Arial"/>
            <family val="2"/>
          </rPr>
          <t xml:space="preserve">The cost to the </t>
        </r>
        <r>
          <rPr>
            <b/>
            <i/>
            <sz val="10"/>
            <color indexed="12"/>
            <rFont val="Arial"/>
            <family val="2"/>
          </rPr>
          <t>Contractor</t>
        </r>
        <r>
          <rPr>
            <b/>
            <sz val="10"/>
            <color indexed="12"/>
            <rFont val="Arial"/>
            <family val="2"/>
          </rPr>
          <t xml:space="preserve"> to make provision for accommodation for his employees that are working on a site which is not close to their home base for an extended period.</t>
        </r>
      </text>
    </comment>
    <comment ref="B101" authorId="0" shapeId="0" xr:uid="{00000000-0006-0000-0000-00000B000000}">
      <text>
        <r>
          <rPr>
            <b/>
            <sz val="10"/>
            <color indexed="12"/>
            <rFont val="Arial"/>
            <family val="2"/>
          </rPr>
          <t xml:space="preserve">The cost to the </t>
        </r>
        <r>
          <rPr>
            <b/>
            <i/>
            <sz val="10"/>
            <color indexed="12"/>
            <rFont val="Arial"/>
            <family val="2"/>
          </rPr>
          <t>Contractor</t>
        </r>
        <r>
          <rPr>
            <b/>
            <sz val="10"/>
            <color indexed="12"/>
            <rFont val="Arial"/>
            <family val="2"/>
          </rPr>
          <t xml:space="preserve"> to make provision for accommodation for his employees that are working on a site which is not close to their home base for an extended period.</t>
        </r>
      </text>
    </comment>
    <comment ref="B102" authorId="0" shapeId="0" xr:uid="{00000000-0006-0000-0000-00000C000000}">
      <text>
        <r>
          <rPr>
            <b/>
            <sz val="10"/>
            <color indexed="12"/>
            <rFont val="Arial"/>
            <family val="2"/>
          </rPr>
          <t xml:space="preserve">The cost to the </t>
        </r>
        <r>
          <rPr>
            <b/>
            <i/>
            <sz val="10"/>
            <color indexed="12"/>
            <rFont val="Arial"/>
            <family val="2"/>
          </rPr>
          <t>Contractor</t>
        </r>
        <r>
          <rPr>
            <b/>
            <sz val="10"/>
            <color indexed="12"/>
            <rFont val="Arial"/>
            <family val="2"/>
          </rPr>
          <t xml:space="preserve"> to make provision for the necessary Plant, Equipment and Tools for the execution of the </t>
        </r>
        <r>
          <rPr>
            <b/>
            <i/>
            <sz val="10"/>
            <color indexed="12"/>
            <rFont val="Arial"/>
            <family val="2"/>
          </rPr>
          <t>Works</t>
        </r>
        <r>
          <rPr>
            <b/>
            <sz val="10"/>
            <color indexed="12"/>
            <rFont val="Arial"/>
            <family val="2"/>
          </rPr>
          <t xml:space="preserve">, maintain it in a proper and safe working condition and remove on </t>
        </r>
        <r>
          <rPr>
            <b/>
            <i/>
            <sz val="10"/>
            <color indexed="12"/>
            <rFont val="Arial"/>
            <family val="2"/>
          </rPr>
          <t>Completion</t>
        </r>
        <r>
          <rPr>
            <b/>
            <sz val="10"/>
            <color indexed="12"/>
            <rFont val="Arial"/>
            <family val="2"/>
          </rPr>
          <t>.</t>
        </r>
      </text>
    </comment>
    <comment ref="B103" authorId="0" shapeId="0" xr:uid="{00000000-0006-0000-0000-00000D000000}">
      <text>
        <r>
          <rPr>
            <b/>
            <sz val="10"/>
            <color indexed="12"/>
            <rFont val="Arial"/>
            <family val="2"/>
          </rPr>
          <t xml:space="preserve">The cost to the </t>
        </r>
        <r>
          <rPr>
            <b/>
            <i/>
            <sz val="10"/>
            <color indexed="12"/>
            <rFont val="Arial"/>
            <family val="2"/>
          </rPr>
          <t>Contractor</t>
        </r>
        <r>
          <rPr>
            <b/>
            <sz val="10"/>
            <color indexed="12"/>
            <rFont val="Arial"/>
            <family val="2"/>
          </rPr>
          <t xml:space="preserve"> to make provision for and maintain in a thoroughly clean and tidy condition and remove on completion of the </t>
        </r>
        <r>
          <rPr>
            <b/>
            <i/>
            <sz val="10"/>
            <color indexed="12"/>
            <rFont val="Arial"/>
            <family val="2"/>
          </rPr>
          <t>Works,</t>
        </r>
        <r>
          <rPr>
            <b/>
            <sz val="10"/>
            <color indexed="12"/>
            <rFont val="Arial"/>
            <family val="2"/>
          </rPr>
          <t xml:space="preserve"> proper toilets for the use of the workmen</t>
        </r>
      </text>
    </comment>
    <comment ref="B104" authorId="0" shapeId="0" xr:uid="{00000000-0006-0000-0000-00000E000000}">
      <text>
        <r>
          <rPr>
            <b/>
            <sz val="10"/>
            <color indexed="12"/>
            <rFont val="Arial"/>
            <family val="2"/>
          </rPr>
          <t xml:space="preserve">The cost to the </t>
        </r>
        <r>
          <rPr>
            <b/>
            <i/>
            <sz val="10"/>
            <color indexed="12"/>
            <rFont val="Arial"/>
            <family val="2"/>
          </rPr>
          <t>Contractor</t>
        </r>
        <r>
          <rPr>
            <b/>
            <sz val="10"/>
            <color indexed="12"/>
            <rFont val="Arial"/>
            <family val="2"/>
          </rPr>
          <t xml:space="preserve"> to make provision for and maintain in a thoroughly clean and tidy condition and remove on completion of the </t>
        </r>
        <r>
          <rPr>
            <b/>
            <i/>
            <sz val="10"/>
            <color indexed="12"/>
            <rFont val="Arial"/>
            <family val="2"/>
          </rPr>
          <t>Works,</t>
        </r>
        <r>
          <rPr>
            <b/>
            <sz val="10"/>
            <color indexed="12"/>
            <rFont val="Arial"/>
            <family val="2"/>
          </rPr>
          <t xml:space="preserve"> proper toilets for the use of the workmen</t>
        </r>
      </text>
    </comment>
    <comment ref="B105" authorId="0" shapeId="0" xr:uid="{00000000-0006-0000-0000-00000F000000}">
      <text>
        <r>
          <rPr>
            <b/>
            <sz val="10"/>
            <color indexed="12"/>
            <rFont val="Arial"/>
            <family val="2"/>
          </rPr>
          <t xml:space="preserve">The cost to the </t>
        </r>
        <r>
          <rPr>
            <b/>
            <i/>
            <sz val="10"/>
            <color indexed="12"/>
            <rFont val="Arial"/>
            <family val="2"/>
          </rPr>
          <t xml:space="preserve">Contractor </t>
        </r>
        <r>
          <rPr>
            <b/>
            <sz val="10"/>
            <color indexed="12"/>
            <rFont val="Arial"/>
            <family val="2"/>
          </rPr>
          <t xml:space="preserve">to make provision for all water necessary for the execution of the </t>
        </r>
        <r>
          <rPr>
            <b/>
            <i/>
            <sz val="10"/>
            <color indexed="12"/>
            <rFont val="Arial"/>
            <family val="2"/>
          </rPr>
          <t>Works</t>
        </r>
        <r>
          <rPr>
            <b/>
            <sz val="10"/>
            <color indexed="12"/>
            <rFont val="Arial"/>
            <family val="2"/>
          </rPr>
          <t xml:space="preserve">, including all temporary plumbing, removing same and making good on </t>
        </r>
        <r>
          <rPr>
            <b/>
            <i/>
            <sz val="10"/>
            <color indexed="12"/>
            <rFont val="Arial"/>
            <family val="2"/>
          </rPr>
          <t>completion</t>
        </r>
        <r>
          <rPr>
            <b/>
            <sz val="10"/>
            <color indexed="12"/>
            <rFont val="Arial"/>
            <family val="2"/>
          </rPr>
          <t xml:space="preserve"> of the </t>
        </r>
        <r>
          <rPr>
            <b/>
            <i/>
            <sz val="10"/>
            <color indexed="12"/>
            <rFont val="Arial"/>
            <family val="2"/>
          </rPr>
          <t xml:space="preserve">Works. </t>
        </r>
        <r>
          <rPr>
            <b/>
            <sz val="10"/>
            <color indexed="12"/>
            <rFont val="Arial"/>
            <family val="2"/>
          </rPr>
          <t>Portable drinking water should also be made available for the workmen.</t>
        </r>
      </text>
    </comment>
    <comment ref="B106" authorId="0" shapeId="0" xr:uid="{00000000-0006-0000-0000-000010000000}">
      <text>
        <r>
          <rPr>
            <b/>
            <sz val="10"/>
            <color indexed="12"/>
            <rFont val="Arial"/>
            <family val="2"/>
          </rPr>
          <t xml:space="preserve">The cost to the </t>
        </r>
        <r>
          <rPr>
            <b/>
            <i/>
            <sz val="10"/>
            <color indexed="12"/>
            <rFont val="Arial"/>
            <family val="2"/>
          </rPr>
          <t>Contractor</t>
        </r>
        <r>
          <rPr>
            <b/>
            <sz val="10"/>
            <color indexed="12"/>
            <rFont val="Arial"/>
            <family val="2"/>
          </rPr>
          <t xml:space="preserve"> to make provision for all electricity and artificial lighting necessary for the execution of the </t>
        </r>
        <r>
          <rPr>
            <b/>
            <i/>
            <sz val="10"/>
            <color indexed="12"/>
            <rFont val="Arial"/>
            <family val="2"/>
          </rPr>
          <t>Works</t>
        </r>
        <r>
          <rPr>
            <b/>
            <sz val="10"/>
            <color indexed="12"/>
            <rFont val="Arial"/>
            <family val="2"/>
          </rPr>
          <t xml:space="preserve">, including all temporary installation work, removing same and making good on </t>
        </r>
        <r>
          <rPr>
            <b/>
            <i/>
            <sz val="10"/>
            <color indexed="12"/>
            <rFont val="Arial"/>
            <family val="2"/>
          </rPr>
          <t>completion</t>
        </r>
        <r>
          <rPr>
            <b/>
            <sz val="10"/>
            <color indexed="12"/>
            <rFont val="Arial"/>
            <family val="2"/>
          </rPr>
          <t xml:space="preserve"> of the </t>
        </r>
        <r>
          <rPr>
            <b/>
            <i/>
            <sz val="10"/>
            <color indexed="12"/>
            <rFont val="Arial"/>
            <family val="2"/>
          </rPr>
          <t>Works</t>
        </r>
        <r>
          <rPr>
            <b/>
            <sz val="10"/>
            <color indexed="12"/>
            <rFont val="Arial"/>
            <family val="2"/>
          </rPr>
          <t>.</t>
        </r>
      </text>
    </comment>
    <comment ref="B107" authorId="0" shapeId="0" xr:uid="{00000000-0006-0000-0000-000011000000}">
      <text>
        <r>
          <rPr>
            <b/>
            <sz val="10"/>
            <color indexed="12"/>
            <rFont val="Arial"/>
            <family val="2"/>
          </rPr>
          <t xml:space="preserve">The cost to the </t>
        </r>
        <r>
          <rPr>
            <b/>
            <i/>
            <sz val="10"/>
            <color indexed="12"/>
            <rFont val="Arial"/>
            <family val="2"/>
          </rPr>
          <t>Contractor</t>
        </r>
        <r>
          <rPr>
            <b/>
            <sz val="10"/>
            <color indexed="12"/>
            <rFont val="Arial"/>
            <family val="2"/>
          </rPr>
          <t xml:space="preserve"> to make provision and  to  maintain a proper telephone or cell phone communication system until </t>
        </r>
        <r>
          <rPr>
            <b/>
            <i/>
            <sz val="10"/>
            <color indexed="12"/>
            <rFont val="Arial"/>
            <family val="2"/>
          </rPr>
          <t>completion</t>
        </r>
        <r>
          <rPr>
            <b/>
            <sz val="10"/>
            <color indexed="12"/>
            <rFont val="Arial"/>
            <family val="2"/>
          </rPr>
          <t xml:space="preserve"> of the </t>
        </r>
        <r>
          <rPr>
            <b/>
            <i/>
            <sz val="10"/>
            <color indexed="12"/>
            <rFont val="Arial"/>
            <family val="2"/>
          </rPr>
          <t>Works.</t>
        </r>
      </text>
    </comment>
    <comment ref="B109" authorId="0" shapeId="0" xr:uid="{00000000-0006-0000-0000-000012000000}">
      <text>
        <r>
          <rPr>
            <b/>
            <sz val="10"/>
            <color indexed="12"/>
            <rFont val="Arial"/>
            <family val="2"/>
          </rPr>
          <t xml:space="preserve">The cost to the </t>
        </r>
        <r>
          <rPr>
            <b/>
            <i/>
            <sz val="10"/>
            <color indexed="12"/>
            <rFont val="Arial"/>
            <family val="2"/>
          </rPr>
          <t>Contractor</t>
        </r>
        <r>
          <rPr>
            <b/>
            <sz val="10"/>
            <color indexed="12"/>
            <rFont val="Arial"/>
            <family val="2"/>
          </rPr>
          <t xml:space="preserve"> to make provision for all appropriate measures for the general security of the </t>
        </r>
        <r>
          <rPr>
            <b/>
            <i/>
            <sz val="10"/>
            <color indexed="12"/>
            <rFont val="Arial"/>
            <family val="2"/>
          </rPr>
          <t>Works</t>
        </r>
        <r>
          <rPr>
            <b/>
            <sz val="10"/>
            <color indexed="12"/>
            <rFont val="Arial"/>
            <family val="2"/>
          </rPr>
          <t xml:space="preserve">. </t>
        </r>
      </text>
    </comment>
  </commentList>
</comments>
</file>

<file path=xl/sharedStrings.xml><?xml version="1.0" encoding="utf-8"?>
<sst xmlns="http://schemas.openxmlformats.org/spreadsheetml/2006/main" count="1331" uniqueCount="718">
  <si>
    <t>2.1.1</t>
  </si>
  <si>
    <t>3.2.2</t>
  </si>
  <si>
    <t>Safe handling and transport to stringing drum sites of phase conductor and shield wire:</t>
  </si>
  <si>
    <t>Safe handling and complete stringing of phase conductors and shield wires:</t>
  </si>
  <si>
    <t>8.2.1</t>
  </si>
  <si>
    <t>set</t>
  </si>
  <si>
    <t>Phase conductor assemblies:</t>
  </si>
  <si>
    <t>Shield wire assemblies:</t>
  </si>
  <si>
    <t>6.1.1</t>
  </si>
  <si>
    <t xml:space="preserve">Complete installation of standard structure earthing systems: </t>
  </si>
  <si>
    <t>TOTALS</t>
  </si>
  <si>
    <t>ITEM</t>
  </si>
  <si>
    <t>UNIT</t>
  </si>
  <si>
    <t>QTY</t>
  </si>
  <si>
    <t>RATE PRICE</t>
  </si>
  <si>
    <t>TENDER PRICE</t>
  </si>
  <si>
    <t>sum</t>
  </si>
  <si>
    <t>m</t>
  </si>
  <si>
    <t>ea</t>
  </si>
  <si>
    <t>km</t>
  </si>
  <si>
    <t>SUMMARY</t>
  </si>
  <si>
    <t>ACTIVITY STAGE</t>
  </si>
  <si>
    <t>PROJECT TOTAL (Excluding VAT)</t>
  </si>
  <si>
    <t>PROJECT TOTAL (Including VAT)</t>
  </si>
  <si>
    <t>3.2.1</t>
  </si>
  <si>
    <t>Sub-total</t>
  </si>
  <si>
    <t>SUB-TOTAL</t>
  </si>
  <si>
    <t>3.1.1</t>
  </si>
  <si>
    <t>8.1.1</t>
  </si>
  <si>
    <t>1.1.1</t>
  </si>
  <si>
    <t>1.1.2</t>
  </si>
  <si>
    <t>1.2.1</t>
  </si>
  <si>
    <t>1.3.1</t>
  </si>
  <si>
    <t>1.3.2</t>
  </si>
  <si>
    <t>1.4.1</t>
  </si>
  <si>
    <t>8.1.2</t>
  </si>
  <si>
    <t>8.2.2</t>
  </si>
  <si>
    <t>3.3.1</t>
  </si>
  <si>
    <t>3.3.2</t>
  </si>
  <si>
    <t>3.3.3</t>
  </si>
  <si>
    <t>2.2.1</t>
  </si>
  <si>
    <t>4.3.1</t>
  </si>
  <si>
    <t>4.2.1</t>
  </si>
  <si>
    <t>7.2.1</t>
  </si>
  <si>
    <t>7.2.2</t>
  </si>
  <si>
    <t>wks</t>
  </si>
  <si>
    <t>Construction Completion Date:</t>
  </si>
  <si>
    <t>a)  Outages</t>
  </si>
  <si>
    <t>w/ends</t>
  </si>
  <si>
    <t>b)  Contractual requirements i.e., insurance’s, statutory contributions, etc.</t>
  </si>
  <si>
    <t>c)  Material Surety Bond</t>
  </si>
  <si>
    <t>d)  Off-site staff &amp; overhead costs</t>
  </si>
  <si>
    <t>- Hard hats</t>
  </si>
  <si>
    <t>- Safety goggles or shields</t>
  </si>
  <si>
    <t>- Gloves</t>
  </si>
  <si>
    <t>- Safety shoes</t>
  </si>
  <si>
    <t>- Overalls</t>
  </si>
  <si>
    <t>- Fall Arrest System</t>
  </si>
  <si>
    <t>days</t>
  </si>
  <si>
    <t>b)  Testing and calibration of compression and pulling equipment</t>
  </si>
  <si>
    <t>e)  Health &amp; Safety Training</t>
  </si>
  <si>
    <t>f)  First Aid</t>
  </si>
  <si>
    <t>a)  Compliance with environmental legislation as well as environmental specifications included in or referred to in this document</t>
  </si>
  <si>
    <t xml:space="preserve">l)  Site Supervision </t>
  </si>
  <si>
    <t>m)  Site Security (24/7)</t>
  </si>
  <si>
    <t>a)  Personal Protective Equipment:</t>
  </si>
  <si>
    <t>2.1.2</t>
  </si>
  <si>
    <t>2.2.2</t>
  </si>
  <si>
    <t>f)  Provision of all  Standards and Specifications</t>
  </si>
  <si>
    <t>Specify:</t>
  </si>
  <si>
    <t>3.1.2</t>
  </si>
  <si>
    <t>3.1.3</t>
  </si>
  <si>
    <t>PART C5.1: Schedule of Prices</t>
  </si>
  <si>
    <t>4.3.4</t>
  </si>
  <si>
    <t xml:space="preserve">Complete assembly and pre-tensioning of all stays: </t>
  </si>
  <si>
    <t>Measure structure footing resistances, with installed standard earthing systems:</t>
  </si>
  <si>
    <t>b)   Submission of "Structure Footing Resistance" test results for approval</t>
  </si>
  <si>
    <t>ACTIVITY DESCRIPTION</t>
  </si>
  <si>
    <t>8.3.1</t>
  </si>
  <si>
    <t>Safe handling and dressing of structures with "Shield wire assemblies":</t>
  </si>
  <si>
    <t>Safe handling and dressing of structures with "Phase conductor assemblies":</t>
  </si>
  <si>
    <t>8.3.2</t>
  </si>
  <si>
    <t>Safe handling and complete stringing of phase conductor and shield wire closing spans:</t>
  </si>
  <si>
    <t>Fixed charge items:</t>
  </si>
  <si>
    <t>Time related items:</t>
  </si>
  <si>
    <t>Line designation labels</t>
  </si>
  <si>
    <t>Structure identification labels</t>
  </si>
  <si>
    <t>Phase disc labels</t>
  </si>
  <si>
    <t>Removal of all access indicators and notice boards</t>
  </si>
  <si>
    <t>Assistance in test and commissioning of the power line</t>
  </si>
  <si>
    <t>Clearing of site, removal of site office, stores, rubbish, excess construction material and re-instatement of construction camp and material yard</t>
  </si>
  <si>
    <t xml:space="preserve">Specify:   </t>
  </si>
  <si>
    <t>Vehicle type:</t>
  </si>
  <si>
    <t>Registration no:</t>
  </si>
  <si>
    <t>CONTACT No:</t>
  </si>
  <si>
    <t xml:space="preserve">b)  Allowance for environmental risks and reporting of environmental incidents </t>
  </si>
  <si>
    <t>c)  Waste Disposal</t>
  </si>
  <si>
    <r>
      <t>m</t>
    </r>
    <r>
      <rPr>
        <vertAlign val="superscript"/>
        <sz val="10"/>
        <rFont val="Arial"/>
        <family val="2"/>
      </rPr>
      <t>3</t>
    </r>
  </si>
  <si>
    <r>
      <t xml:space="preserve">Barricading/Protecting of all open excavations for </t>
    </r>
    <r>
      <rPr>
        <b/>
        <sz val="10"/>
        <color indexed="10"/>
        <rFont val="Arial"/>
        <family val="2"/>
      </rPr>
      <t>structure foundations</t>
    </r>
  </si>
  <si>
    <r>
      <t xml:space="preserve">a)  Complete </t>
    </r>
    <r>
      <rPr>
        <b/>
        <sz val="10"/>
        <color indexed="10"/>
        <rFont val="Arial"/>
        <family val="2"/>
      </rPr>
      <t>M24 x 2,4m</t>
    </r>
    <r>
      <rPr>
        <sz val="10"/>
        <rFont val="Arial"/>
        <family val="2"/>
      </rPr>
      <t xml:space="preserve"> adjustable stay assemblies (</t>
    </r>
    <r>
      <rPr>
        <b/>
        <sz val="10"/>
        <color indexed="10"/>
        <rFont val="Arial"/>
        <family val="2"/>
      </rPr>
      <t>Permanent</t>
    </r>
    <r>
      <rPr>
        <sz val="10"/>
        <rFont val="Arial"/>
        <family val="2"/>
      </rPr>
      <t>)</t>
    </r>
  </si>
  <si>
    <r>
      <t xml:space="preserve">d)  Galvanised mild steel </t>
    </r>
    <r>
      <rPr>
        <b/>
        <sz val="10"/>
        <color indexed="10"/>
        <rFont val="Arial"/>
        <family val="2"/>
      </rPr>
      <t>removable steps (climbing rungs)</t>
    </r>
    <r>
      <rPr>
        <sz val="10"/>
        <rFont val="Arial"/>
        <family val="2"/>
      </rPr>
      <t xml:space="preserve"> to manufacturer's specification</t>
    </r>
  </si>
  <si>
    <r>
      <t xml:space="preserve">Supply and transport to site of miscellaneous </t>
    </r>
    <r>
      <rPr>
        <b/>
        <sz val="11"/>
        <color indexed="10"/>
        <rFont val="Arial"/>
        <family val="2"/>
      </rPr>
      <t>"Phase conductor stringing hardware"</t>
    </r>
    <r>
      <rPr>
        <b/>
        <sz val="11"/>
        <rFont val="Arial"/>
        <family val="2"/>
      </rPr>
      <t>:</t>
    </r>
  </si>
  <si>
    <r>
      <t xml:space="preserve">Safe storage, handling and transport to peg of miscellaneous </t>
    </r>
    <r>
      <rPr>
        <b/>
        <sz val="11"/>
        <color indexed="10"/>
        <rFont val="Arial"/>
        <family val="2"/>
      </rPr>
      <t>"Phase conductor stringing hardware"</t>
    </r>
    <r>
      <rPr>
        <b/>
        <sz val="11"/>
        <rFont val="Arial"/>
        <family val="2"/>
      </rPr>
      <t>:</t>
    </r>
  </si>
  <si>
    <r>
      <t>Safe storage, handling and transport to peg of miscellaneous "</t>
    </r>
    <r>
      <rPr>
        <b/>
        <sz val="11"/>
        <color indexed="10"/>
        <rFont val="Arial"/>
        <family val="2"/>
      </rPr>
      <t>Shield wire stringing hardware</t>
    </r>
    <r>
      <rPr>
        <b/>
        <sz val="11"/>
        <rFont val="Arial"/>
        <family val="2"/>
      </rPr>
      <t>":</t>
    </r>
  </si>
  <si>
    <r>
      <t xml:space="preserve">Completion and submission of all </t>
    </r>
    <r>
      <rPr>
        <b/>
        <sz val="10"/>
        <color indexed="10"/>
        <rFont val="Arial"/>
        <family val="2"/>
      </rPr>
      <t>"Quality Inspection &amp; Defect Correction"</t>
    </r>
    <r>
      <rPr>
        <sz val="10"/>
        <rFont val="Arial"/>
        <family val="2"/>
      </rPr>
      <t xml:space="preserve"> sheets for </t>
    </r>
    <r>
      <rPr>
        <b/>
        <sz val="10"/>
        <rFont val="Arial"/>
        <family val="2"/>
      </rPr>
      <t>'Handing Over'</t>
    </r>
    <r>
      <rPr>
        <sz val="10"/>
        <rFont val="Arial"/>
        <family val="2"/>
      </rPr>
      <t xml:space="preserve"> documentation</t>
    </r>
  </si>
  <si>
    <r>
      <t xml:space="preserve">Completion and submission of all </t>
    </r>
    <r>
      <rPr>
        <b/>
        <sz val="10"/>
        <color indexed="10"/>
        <rFont val="Arial"/>
        <family val="2"/>
      </rPr>
      <t>"Phase conductor jumper and Crossing clearance"</t>
    </r>
    <r>
      <rPr>
        <sz val="10"/>
        <rFont val="Arial"/>
        <family val="2"/>
      </rPr>
      <t xml:space="preserve"> records</t>
    </r>
  </si>
  <si>
    <r>
      <t xml:space="preserve">Preparation of all </t>
    </r>
    <r>
      <rPr>
        <b/>
        <sz val="10"/>
        <color indexed="10"/>
        <rFont val="Arial"/>
        <family val="2"/>
      </rPr>
      <t>"As Built" drawings and "Line Data" sheets</t>
    </r>
  </si>
  <si>
    <r>
      <t>g)  Completion and submission of the "</t>
    </r>
    <r>
      <rPr>
        <b/>
        <sz val="10"/>
        <color indexed="10"/>
        <rFont val="Arial"/>
        <family val="2"/>
      </rPr>
      <t>Expanded Public Works Programme Report</t>
    </r>
    <r>
      <rPr>
        <sz val="10"/>
        <rFont val="Arial"/>
        <family val="2"/>
      </rPr>
      <t>"</t>
    </r>
  </si>
  <si>
    <r>
      <t>d)  Compile, use and maintain the "</t>
    </r>
    <r>
      <rPr>
        <b/>
        <sz val="10"/>
        <color indexed="10"/>
        <rFont val="Arial"/>
        <family val="2"/>
      </rPr>
      <t>Environmental Incident Register</t>
    </r>
    <r>
      <rPr>
        <sz val="10"/>
        <rFont val="Arial"/>
        <family val="2"/>
      </rPr>
      <t>" on site</t>
    </r>
  </si>
  <si>
    <r>
      <rPr>
        <b/>
        <sz val="10"/>
        <color indexed="10"/>
        <rFont val="Arial"/>
        <family val="2"/>
      </rPr>
      <t>2,0mm wide x 0,75mm</t>
    </r>
    <r>
      <rPr>
        <sz val="10"/>
        <rFont val="Arial"/>
        <family val="2"/>
      </rPr>
      <t xml:space="preserve"> thick heavy duty Stainless steel bandit strapping, to dwg: </t>
    </r>
    <r>
      <rPr>
        <b/>
        <sz val="10"/>
        <color indexed="10"/>
        <rFont val="Arial"/>
        <family val="2"/>
      </rPr>
      <t>D-DT-3131</t>
    </r>
  </si>
  <si>
    <r>
      <rPr>
        <b/>
        <sz val="10"/>
        <color indexed="10"/>
        <rFont val="Arial"/>
        <family val="2"/>
      </rPr>
      <t>25mm long x 34mm wide x 1.5mm thick</t>
    </r>
    <r>
      <rPr>
        <sz val="10"/>
        <rFont val="Arial"/>
        <family val="2"/>
      </rPr>
      <t xml:space="preserve"> heavy duty Stainless steel clip;  Stainless steel, to dwg:</t>
    </r>
    <r>
      <rPr>
        <b/>
        <sz val="10"/>
        <color indexed="10"/>
        <rFont val="Arial"/>
        <family val="2"/>
      </rPr>
      <t xml:space="preserve">  D-DT-3110</t>
    </r>
  </si>
  <si>
    <r>
      <t>c)  Compliance with</t>
    </r>
    <r>
      <rPr>
        <b/>
        <sz val="10"/>
        <rFont val="Arial"/>
        <family val="2"/>
      </rPr>
      <t xml:space="preserve"> </t>
    </r>
    <r>
      <rPr>
        <b/>
        <sz val="10"/>
        <color indexed="10"/>
        <rFont val="Arial"/>
        <family val="2"/>
      </rPr>
      <t>Safety Plan &amp; Safety File</t>
    </r>
  </si>
  <si>
    <r>
      <t xml:space="preserve">d)  Statutory Health &amp; Safety appointments in terms of the </t>
    </r>
    <r>
      <rPr>
        <b/>
        <sz val="10"/>
        <color indexed="10"/>
        <rFont val="Arial"/>
        <family val="2"/>
      </rPr>
      <t>OHS Act and Regulations</t>
    </r>
  </si>
  <si>
    <r>
      <t xml:space="preserve">Activity Stage 1:   </t>
    </r>
    <r>
      <rPr>
        <b/>
        <sz val="12"/>
        <color indexed="8"/>
        <rFont val="Arial"/>
        <family val="2"/>
      </rPr>
      <t>Preliminary &amp; General, Environmental, Health &amp; Safety  and Site establishment</t>
    </r>
  </si>
  <si>
    <r>
      <t xml:space="preserve">For Detail Technical Specifications and Scope of Work refer to </t>
    </r>
    <r>
      <rPr>
        <b/>
        <sz val="12"/>
        <color indexed="10"/>
        <rFont val="Arial"/>
        <family val="2"/>
      </rPr>
      <t>PART C3.3</t>
    </r>
  </si>
  <si>
    <t>All items measured in the "Schedule of Prices" and to be priced as accurate possible.</t>
  </si>
  <si>
    <r>
      <rPr>
        <i/>
        <sz val="10"/>
        <rFont val="Arial"/>
        <family val="2"/>
      </rPr>
      <t>Contractor</t>
    </r>
    <r>
      <rPr>
        <sz val="10"/>
        <rFont val="Arial"/>
        <family val="2"/>
      </rPr>
      <t xml:space="preserve"> must allow for the preparation of a detailed programme reflecting the outage dates</t>
    </r>
  </si>
  <si>
    <r>
      <t xml:space="preserve">TOTAL </t>
    </r>
    <r>
      <rPr>
        <b/>
        <sz val="12"/>
        <color indexed="10"/>
        <rFont val="Arial"/>
        <family val="2"/>
      </rPr>
      <t>Activity Stage 1</t>
    </r>
    <r>
      <rPr>
        <b/>
        <sz val="12"/>
        <color indexed="14"/>
        <rFont val="Arial"/>
        <family val="2"/>
      </rPr>
      <t xml:space="preserve"> CARRIED FORWARD TO SUMMARY</t>
    </r>
  </si>
  <si>
    <r>
      <rPr>
        <sz val="10"/>
        <rFont val="Arial"/>
        <family val="2"/>
      </rPr>
      <t xml:space="preserve">a)   Management &amp; Programme for the </t>
    </r>
    <r>
      <rPr>
        <i/>
        <sz val="10"/>
        <rFont val="Arial"/>
        <family val="2"/>
      </rPr>
      <t>Works</t>
    </r>
    <r>
      <rPr>
        <sz val="10"/>
        <rFont val="Arial"/>
        <family val="2"/>
      </rPr>
      <t xml:space="preserve"> (Appointment of a </t>
    </r>
    <r>
      <rPr>
        <i/>
        <sz val="10"/>
        <rFont val="Arial"/>
        <family val="2"/>
      </rPr>
      <t>Supervisor</t>
    </r>
    <r>
      <rPr>
        <sz val="10"/>
        <rFont val="Arial"/>
        <family val="2"/>
      </rPr>
      <t>)</t>
    </r>
    <r>
      <rPr>
        <b/>
        <sz val="10"/>
        <rFont val="Arial"/>
        <family val="2"/>
      </rPr>
      <t xml:space="preserve"> </t>
    </r>
    <r>
      <rPr>
        <b/>
        <sz val="10"/>
        <color indexed="10"/>
        <rFont val="Arial"/>
        <family val="2"/>
      </rPr>
      <t xml:space="preserve">(Compulsory to list the name of supervisor for the duration of contract in Part 3, paragraph 4)   List name of appointed </t>
    </r>
    <r>
      <rPr>
        <b/>
        <i/>
        <sz val="10"/>
        <color indexed="10"/>
        <rFont val="Arial"/>
        <family val="2"/>
      </rPr>
      <t>Site Supervisor</t>
    </r>
    <r>
      <rPr>
        <b/>
        <sz val="10"/>
        <color indexed="10"/>
        <rFont val="Arial"/>
        <family val="2"/>
      </rPr>
      <t xml:space="preserve"> below:</t>
    </r>
  </si>
  <si>
    <r>
      <t xml:space="preserve">n)  All unforeseen items deemed necessary by the </t>
    </r>
    <r>
      <rPr>
        <i/>
        <sz val="10"/>
        <rFont val="Arial"/>
        <family val="2"/>
      </rPr>
      <t>Contractor</t>
    </r>
    <r>
      <rPr>
        <sz val="10"/>
        <rFont val="Arial"/>
        <family val="2"/>
      </rPr>
      <t xml:space="preserve"> for the successful establishing of the construction site (Item subjected to re-measurement)</t>
    </r>
  </si>
  <si>
    <r>
      <t xml:space="preserve">TOTAL </t>
    </r>
    <r>
      <rPr>
        <b/>
        <sz val="12"/>
        <color indexed="10"/>
        <rFont val="Arial"/>
        <family val="2"/>
      </rPr>
      <t>Activity Stage 2</t>
    </r>
    <r>
      <rPr>
        <b/>
        <sz val="12"/>
        <color indexed="14"/>
        <rFont val="Arial"/>
        <family val="2"/>
      </rPr>
      <t xml:space="preserve"> CARRIED FORWARD TO SUMMARY</t>
    </r>
  </si>
  <si>
    <r>
      <t xml:space="preserve">TOTAL </t>
    </r>
    <r>
      <rPr>
        <b/>
        <sz val="12"/>
        <color indexed="10"/>
        <rFont val="Arial"/>
        <family val="2"/>
      </rPr>
      <t>Activity Stage 4</t>
    </r>
    <r>
      <rPr>
        <b/>
        <sz val="12"/>
        <color indexed="14"/>
        <rFont val="Arial"/>
        <family val="2"/>
      </rPr>
      <t xml:space="preserve"> CARRIED FORWARD TO SUMMARY</t>
    </r>
  </si>
  <si>
    <r>
      <t xml:space="preserve">TOTAL </t>
    </r>
    <r>
      <rPr>
        <b/>
        <sz val="12"/>
        <color indexed="10"/>
        <rFont val="Arial"/>
        <family val="2"/>
      </rPr>
      <t xml:space="preserve">Activity Stage 7 </t>
    </r>
    <r>
      <rPr>
        <b/>
        <sz val="12"/>
        <color indexed="14"/>
        <rFont val="Arial"/>
        <family val="2"/>
      </rPr>
      <t>CARRIED FORWARD TO SUMMARY</t>
    </r>
  </si>
  <si>
    <r>
      <t xml:space="preserve">Removal upon completion of all items established in terms of </t>
    </r>
    <r>
      <rPr>
        <b/>
        <sz val="10"/>
        <color indexed="10"/>
        <rFont val="Arial"/>
        <family val="2"/>
      </rPr>
      <t>Activity Stage 1.4</t>
    </r>
    <r>
      <rPr>
        <sz val="10"/>
        <rFont val="Arial"/>
        <family val="2"/>
      </rPr>
      <t xml:space="preserve"> and the making good and restoring of the site to the satisfaction of the </t>
    </r>
    <r>
      <rPr>
        <i/>
        <sz val="10"/>
        <rFont val="Arial"/>
        <family val="2"/>
      </rPr>
      <t>Clerk of Works.</t>
    </r>
  </si>
  <si>
    <r>
      <t xml:space="preserve">Completion and submission of all </t>
    </r>
    <r>
      <rPr>
        <b/>
        <sz val="10"/>
        <rFont val="Arial"/>
        <family val="2"/>
      </rPr>
      <t>'Handing Over'</t>
    </r>
    <r>
      <rPr>
        <sz val="10"/>
        <rFont val="Arial"/>
        <family val="2"/>
      </rPr>
      <t xml:space="preserve"> documentation</t>
    </r>
  </si>
  <si>
    <t>h)  Other Health and Safety related items deemed necessary to comply to OHS Act, Regulations and Eskom Safety specifications</t>
  </si>
  <si>
    <t>Fixed charged items:</t>
  </si>
  <si>
    <t>1.4.2</t>
  </si>
  <si>
    <t>a)  Site Office (Establish)</t>
  </si>
  <si>
    <r>
      <t xml:space="preserve">b)  </t>
    </r>
    <r>
      <rPr>
        <i/>
        <sz val="10"/>
        <rFont val="Arial"/>
        <family val="2"/>
      </rPr>
      <t>Contractor’s</t>
    </r>
    <r>
      <rPr>
        <sz val="10"/>
        <rFont val="Arial"/>
        <family val="2"/>
      </rPr>
      <t xml:space="preserve"> yard fencing (Establish)</t>
    </r>
  </si>
  <si>
    <t>c)  Site Stores ( (Establish) for safe keeping of the materials)</t>
  </si>
  <si>
    <r>
      <t xml:space="preserve">d)  Accommodation for </t>
    </r>
    <r>
      <rPr>
        <i/>
        <sz val="10"/>
        <rFont val="Arial"/>
        <family val="2"/>
      </rPr>
      <t>Contractor's employees</t>
    </r>
    <r>
      <rPr>
        <sz val="10"/>
        <rFont val="Arial"/>
        <family val="2"/>
      </rPr>
      <t xml:space="preserve"> (Establish)</t>
    </r>
  </si>
  <si>
    <r>
      <t xml:space="preserve">e)  Mess &amp; Ablution facilities for </t>
    </r>
    <r>
      <rPr>
        <i/>
        <sz val="10"/>
        <rFont val="Arial"/>
        <family val="2"/>
      </rPr>
      <t xml:space="preserve">Contractor's employees </t>
    </r>
    <r>
      <rPr>
        <sz val="10"/>
        <rFont val="Arial"/>
        <family val="2"/>
      </rPr>
      <t>(Establish)</t>
    </r>
  </si>
  <si>
    <r>
      <t xml:space="preserve">f)  </t>
    </r>
    <r>
      <rPr>
        <i/>
        <sz val="10"/>
        <rFont val="Arial"/>
        <family val="2"/>
      </rPr>
      <t>Contractor's</t>
    </r>
    <r>
      <rPr>
        <sz val="10"/>
        <rFont val="Arial"/>
        <family val="2"/>
      </rPr>
      <t xml:space="preserve"> Plant, Equipment &amp; Tools (Establish)</t>
    </r>
  </si>
  <si>
    <t>g)  All Sanitary facilities (Establish)</t>
  </si>
  <si>
    <t>h)  Waste disposal facilities (Establish)</t>
  </si>
  <si>
    <t>i)  Domestic water supplies (Establish)</t>
  </si>
  <si>
    <t>j)  Electricity supplies (Establish)</t>
  </si>
  <si>
    <t>k)  Communications (telephones) (Establish)</t>
  </si>
  <si>
    <t>a)  Site Office (Use &amp; Maintain)</t>
  </si>
  <si>
    <r>
      <t xml:space="preserve">b)  </t>
    </r>
    <r>
      <rPr>
        <i/>
        <sz val="10"/>
        <rFont val="Arial"/>
        <family val="2"/>
      </rPr>
      <t>Contractor’s</t>
    </r>
    <r>
      <rPr>
        <sz val="10"/>
        <rFont val="Arial"/>
        <family val="2"/>
      </rPr>
      <t xml:space="preserve"> yard fencing (Use &amp; Maintain)</t>
    </r>
  </si>
  <si>
    <t>c)  Site Stores ( (Use &amp; Maintain) for safe keeping of the materials)</t>
  </si>
  <si>
    <r>
      <t xml:space="preserve">d)  Accommodation for </t>
    </r>
    <r>
      <rPr>
        <i/>
        <sz val="10"/>
        <rFont val="Arial"/>
        <family val="2"/>
      </rPr>
      <t>Contractor's employees</t>
    </r>
    <r>
      <rPr>
        <sz val="10"/>
        <rFont val="Arial"/>
        <family val="2"/>
      </rPr>
      <t xml:space="preserve"> (Use &amp; Maintain)</t>
    </r>
  </si>
  <si>
    <r>
      <t xml:space="preserve">e)  Mess &amp; Ablution facilities for </t>
    </r>
    <r>
      <rPr>
        <i/>
        <sz val="10"/>
        <rFont val="Arial"/>
        <family val="2"/>
      </rPr>
      <t xml:space="preserve">Contractor's employees </t>
    </r>
    <r>
      <rPr>
        <sz val="10"/>
        <rFont val="Arial"/>
        <family val="2"/>
      </rPr>
      <t>(Use &amp; Maintain)</t>
    </r>
  </si>
  <si>
    <r>
      <t xml:space="preserve">f)  </t>
    </r>
    <r>
      <rPr>
        <i/>
        <sz val="10"/>
        <rFont val="Arial"/>
        <family val="2"/>
      </rPr>
      <t>Contractor's</t>
    </r>
    <r>
      <rPr>
        <sz val="10"/>
        <rFont val="Arial"/>
        <family val="2"/>
      </rPr>
      <t xml:space="preserve"> Plant, Equipment &amp; Tools (Use &amp; Maintain)</t>
    </r>
  </si>
  <si>
    <t>g)  All Sanitary facilities Use &amp; Maintain)</t>
  </si>
  <si>
    <t>h)  Waste disposal facilities (Use &amp; Maintain)</t>
  </si>
  <si>
    <t>i)  Domestic water supplies (Use &amp; Maintain)</t>
  </si>
  <si>
    <t>j)  Electricity supplies (Use &amp; Maintain)</t>
  </si>
  <si>
    <t>k)  Communications (telephones) (Use &amp; Maintain)</t>
  </si>
  <si>
    <r>
      <t xml:space="preserve">a)  Complete project specific </t>
    </r>
    <r>
      <rPr>
        <sz val="10"/>
        <color indexed="10"/>
        <rFont val="Arial"/>
        <family val="2"/>
      </rPr>
      <t>"</t>
    </r>
    <r>
      <rPr>
        <b/>
        <sz val="10"/>
        <color indexed="10"/>
        <rFont val="Arial"/>
        <family val="2"/>
      </rPr>
      <t>Health and Safety Plan</t>
    </r>
    <r>
      <rPr>
        <sz val="10"/>
        <color indexed="10"/>
        <rFont val="Arial"/>
        <family val="2"/>
      </rPr>
      <t>"</t>
    </r>
    <r>
      <rPr>
        <sz val="10"/>
        <rFont val="Arial"/>
        <family val="2"/>
      </rPr>
      <t xml:space="preserve"> to be submitted by the </t>
    </r>
    <r>
      <rPr>
        <i/>
        <sz val="10"/>
        <rFont val="Arial"/>
        <family val="2"/>
      </rPr>
      <t>Contractor</t>
    </r>
  </si>
  <si>
    <r>
      <t xml:space="preserve">n)  Any unforeseen items deemed necessary by the </t>
    </r>
    <r>
      <rPr>
        <i/>
        <sz val="10"/>
        <rFont val="Arial"/>
        <family val="2"/>
      </rPr>
      <t>Contractor</t>
    </r>
    <r>
      <rPr>
        <sz val="10"/>
        <rFont val="Arial"/>
        <family val="2"/>
      </rPr>
      <t xml:space="preserve"> for the successful establishing of the construction site (Item subjected to re-measurement)</t>
    </r>
  </si>
  <si>
    <r>
      <t xml:space="preserve">TOTAL </t>
    </r>
    <r>
      <rPr>
        <b/>
        <sz val="12"/>
        <color indexed="10"/>
        <rFont val="Arial"/>
        <family val="2"/>
      </rPr>
      <t>Activity Stage 3</t>
    </r>
    <r>
      <rPr>
        <b/>
        <sz val="12"/>
        <color indexed="14"/>
        <rFont val="Arial"/>
        <family val="2"/>
      </rPr>
      <t xml:space="preserve"> CARRIED FORWARD TO SUMMARY</t>
    </r>
  </si>
  <si>
    <t>Lay-out at peg and complete assembly of structures and towers:</t>
  </si>
  <si>
    <t>Complete erection of all structures and towers:</t>
  </si>
  <si>
    <r>
      <t>Complete construction of reinforced concrete foundation caps, for:</t>
    </r>
    <r>
      <rPr>
        <b/>
        <i/>
        <sz val="11"/>
        <rFont val="Times New Roman"/>
        <family val="1"/>
      </rPr>
      <t/>
    </r>
  </si>
  <si>
    <r>
      <t>a)  Supply and erect temporary "</t>
    </r>
    <r>
      <rPr>
        <b/>
        <sz val="10"/>
        <color indexed="10"/>
        <rFont val="Arial"/>
        <family val="2"/>
      </rPr>
      <t>Goal-post supports</t>
    </r>
    <r>
      <rPr>
        <sz val="10"/>
        <rFont val="Arial"/>
        <family val="2"/>
      </rPr>
      <t xml:space="preserve">" for complete crossing over major proclaimed roads, including dismantling and removal after completion </t>
    </r>
  </si>
  <si>
    <r>
      <t>b)  Supply and erect temporary "</t>
    </r>
    <r>
      <rPr>
        <b/>
        <sz val="10"/>
        <color indexed="10"/>
        <rFont val="Arial"/>
        <family val="2"/>
      </rPr>
      <t>Goal-post supports</t>
    </r>
    <r>
      <rPr>
        <sz val="10"/>
        <rFont val="Arial"/>
        <family val="2"/>
      </rPr>
      <t xml:space="preserve">" for complete crossing over minor proclaimed roads, including dismantling and removal after completion </t>
    </r>
  </si>
  <si>
    <r>
      <t xml:space="preserve">Activity Stage 10:   </t>
    </r>
    <r>
      <rPr>
        <b/>
        <sz val="12"/>
        <rFont val="Arial"/>
        <family val="2"/>
      </rPr>
      <t>Power line labelling activities</t>
    </r>
  </si>
  <si>
    <t>10.1.1</t>
  </si>
  <si>
    <t>10.1.3</t>
  </si>
  <si>
    <t>10.1.6</t>
  </si>
  <si>
    <r>
      <t>Line crossing labels</t>
    </r>
    <r>
      <rPr>
        <b/>
        <sz val="10"/>
        <rFont val="Arial"/>
        <family val="2"/>
      </rPr>
      <t xml:space="preserve"> </t>
    </r>
    <r>
      <rPr>
        <sz val="10"/>
        <rFont val="Arial"/>
        <family val="2"/>
      </rPr>
      <t xml:space="preserve">- </t>
    </r>
    <r>
      <rPr>
        <b/>
        <sz val="10"/>
        <color indexed="10"/>
        <rFont val="Arial"/>
        <family val="2"/>
      </rPr>
      <t>D-FS-10757 Sht. 4</t>
    </r>
  </si>
  <si>
    <t>10.2.1</t>
  </si>
  <si>
    <t>10.2.2</t>
  </si>
  <si>
    <t>10.2.3</t>
  </si>
  <si>
    <t>10.2.4</t>
  </si>
  <si>
    <r>
      <t xml:space="preserve">Line designation labels - </t>
    </r>
    <r>
      <rPr>
        <b/>
        <sz val="10"/>
        <color indexed="10"/>
        <rFont val="Arial"/>
        <family val="2"/>
      </rPr>
      <t xml:space="preserve">D-FS-10757 Sht. 2 </t>
    </r>
  </si>
  <si>
    <r>
      <t xml:space="preserve">Structure identification labels - </t>
    </r>
    <r>
      <rPr>
        <b/>
        <sz val="10"/>
        <color indexed="10"/>
        <rFont val="Arial"/>
        <family val="2"/>
      </rPr>
      <t>D-FS-10757 Sht. 1</t>
    </r>
  </si>
  <si>
    <t>10.3.1</t>
  </si>
  <si>
    <t>10.3.2</t>
  </si>
  <si>
    <t>10.3.3</t>
  </si>
  <si>
    <r>
      <t xml:space="preserve">TOTAL </t>
    </r>
    <r>
      <rPr>
        <b/>
        <sz val="12"/>
        <color indexed="10"/>
        <rFont val="Arial"/>
        <family val="2"/>
      </rPr>
      <t>Activity Stage 10</t>
    </r>
    <r>
      <rPr>
        <b/>
        <sz val="12"/>
        <color indexed="14"/>
        <rFont val="Arial"/>
        <family val="2"/>
      </rPr>
      <t xml:space="preserve"> CARRIED FORWARD TO SUMMARY</t>
    </r>
  </si>
  <si>
    <t xml:space="preserve"> </t>
  </si>
  <si>
    <r>
      <t xml:space="preserve">a)   </t>
    </r>
    <r>
      <rPr>
        <b/>
        <sz val="10"/>
        <rFont val="Arial"/>
        <family val="2"/>
      </rPr>
      <t>"Proof Load Test"</t>
    </r>
    <r>
      <rPr>
        <sz val="10"/>
        <rFont val="Arial"/>
        <family val="2"/>
      </rPr>
      <t xml:space="preserve"> </t>
    </r>
    <r>
      <rPr>
        <b/>
        <sz val="10"/>
        <color indexed="10"/>
        <rFont val="Arial"/>
        <family val="2"/>
      </rPr>
      <t>all</t>
    </r>
    <r>
      <rPr>
        <sz val="10"/>
        <rFont val="Arial"/>
        <family val="2"/>
      </rPr>
      <t xml:space="preserve"> permanent rock anchor stays as per </t>
    </r>
    <r>
      <rPr>
        <b/>
        <sz val="10"/>
        <color indexed="10"/>
        <rFont val="Arial"/>
        <family val="2"/>
      </rPr>
      <t>Specification DSP 34-1656</t>
    </r>
    <r>
      <rPr>
        <b/>
        <sz val="10"/>
        <rFont val="Arial"/>
        <family val="2"/>
      </rPr>
      <t/>
    </r>
  </si>
  <si>
    <r>
      <t>c)   Compile and submission of all "</t>
    </r>
    <r>
      <rPr>
        <b/>
        <sz val="10"/>
        <rFont val="Arial"/>
        <family val="2"/>
      </rPr>
      <t>Proof Load Test</t>
    </r>
    <r>
      <rPr>
        <sz val="10"/>
        <rFont val="Arial"/>
        <family val="2"/>
      </rPr>
      <t xml:space="preserve">" records to the </t>
    </r>
    <r>
      <rPr>
        <i/>
        <sz val="10"/>
        <rFont val="Arial"/>
        <family val="2"/>
      </rPr>
      <t>Employer</t>
    </r>
  </si>
  <si>
    <t>Construction Start Date:</t>
  </si>
  <si>
    <r>
      <t>Proof load testing of stays:</t>
    </r>
    <r>
      <rPr>
        <b/>
        <i/>
        <sz val="11"/>
        <color indexed="10"/>
        <rFont val="Arial"/>
        <family val="2"/>
      </rPr>
      <t xml:space="preserve"> (Items subjected to re-measurement!)</t>
    </r>
  </si>
  <si>
    <t>Complete re-instatement of all new structure sites, which includes removal from site of all rubbish, conductor off-cuts, excess construction material and excavated material to be spoiled, to a pre-approved dumping site</t>
  </si>
  <si>
    <r>
      <t xml:space="preserve">Conducting of pre-commissioning </t>
    </r>
    <r>
      <rPr>
        <b/>
        <sz val="10"/>
        <rFont val="Arial"/>
        <family val="2"/>
      </rPr>
      <t>"pole-to-pole"</t>
    </r>
    <r>
      <rPr>
        <sz val="10"/>
        <rFont val="Arial"/>
        <family val="2"/>
      </rPr>
      <t xml:space="preserve"> final inspection, in conjunction with </t>
    </r>
    <r>
      <rPr>
        <b/>
        <i/>
        <sz val="10"/>
        <color indexed="10"/>
        <rFont val="Arial"/>
        <family val="2"/>
      </rPr>
      <t>Project Engineer, Clerk of Works and Field Services Engineer</t>
    </r>
  </si>
  <si>
    <r>
      <t xml:space="preserve">Closure of all temporary construction roads, where required and providing of erosion protection measures as instructed by the </t>
    </r>
    <r>
      <rPr>
        <i/>
        <sz val="10"/>
        <color indexed="8"/>
        <rFont val="Arial"/>
        <family val="2"/>
      </rPr>
      <t>Clerk of Works</t>
    </r>
  </si>
  <si>
    <t>2.1.3</t>
  </si>
  <si>
    <r>
      <t xml:space="preserve">Complete Supply and Transport of </t>
    </r>
    <r>
      <rPr>
        <b/>
        <sz val="10"/>
        <color indexed="10"/>
        <rFont val="Arial"/>
        <family val="2"/>
      </rPr>
      <t>servitude gate labels</t>
    </r>
    <r>
      <rPr>
        <b/>
        <i/>
        <sz val="10"/>
        <color indexed="10"/>
        <rFont val="Arial"/>
        <family val="2"/>
      </rPr>
      <t xml:space="preserve"> (Item subjected to re-measurement)</t>
    </r>
  </si>
  <si>
    <t>Rev 0</t>
  </si>
  <si>
    <r>
      <t>g)  Compile, use and maintain a detailed "</t>
    </r>
    <r>
      <rPr>
        <b/>
        <sz val="10"/>
        <color indexed="10"/>
        <rFont val="Arial"/>
        <family val="2"/>
      </rPr>
      <t>Construction Method Statements</t>
    </r>
    <r>
      <rPr>
        <sz val="10"/>
        <rFont val="Arial"/>
        <family val="2"/>
      </rPr>
      <t>" for all specified activities to be executed on site</t>
    </r>
  </si>
  <si>
    <r>
      <t xml:space="preserve">Activity Stage 3:   </t>
    </r>
    <r>
      <rPr>
        <b/>
        <sz val="12"/>
        <rFont val="Arial"/>
        <family val="2"/>
      </rPr>
      <t>Establish construction access</t>
    </r>
  </si>
  <si>
    <r>
      <t xml:space="preserve">Complete Supply and Transport of </t>
    </r>
    <r>
      <rPr>
        <b/>
        <sz val="10"/>
        <color indexed="10"/>
        <rFont val="Arial"/>
        <family val="2"/>
      </rPr>
      <t>new 4,5m wide game fence</t>
    </r>
    <r>
      <rPr>
        <sz val="10"/>
        <rFont val="Arial"/>
        <family val="2"/>
      </rPr>
      <t xml:space="preserve"> servitude gates</t>
    </r>
    <r>
      <rPr>
        <b/>
        <sz val="10"/>
        <color indexed="10"/>
        <rFont val="Arial"/>
        <family val="2"/>
      </rPr>
      <t>, dwg: D-FS-13409 Rev. 2  Sht. 1 - 5</t>
    </r>
    <r>
      <rPr>
        <b/>
        <i/>
        <sz val="10"/>
        <color indexed="10"/>
        <rFont val="Arial"/>
        <family val="2"/>
      </rPr>
      <t xml:space="preserve"> (Item subjected to re-measurement)</t>
    </r>
  </si>
  <si>
    <t>3.2.4</t>
  </si>
  <si>
    <t>3.4.1</t>
  </si>
  <si>
    <t>3.5.1</t>
  </si>
  <si>
    <t>3.5.2</t>
  </si>
  <si>
    <r>
      <t xml:space="preserve">Activity Stage 4:   </t>
    </r>
    <r>
      <rPr>
        <b/>
        <sz val="12"/>
        <rFont val="Arial"/>
        <family val="2"/>
      </rPr>
      <t>Drilling/Excavating of holes for structure foundations and stays</t>
    </r>
  </si>
  <si>
    <t>4.1.1</t>
  </si>
  <si>
    <t>4.1.2</t>
  </si>
  <si>
    <t>4.4.1</t>
  </si>
  <si>
    <t>4.5.1</t>
  </si>
  <si>
    <t>4.6.1</t>
  </si>
  <si>
    <t>4.6.2</t>
  </si>
  <si>
    <r>
      <t xml:space="preserve">Activity Stage 5:   </t>
    </r>
    <r>
      <rPr>
        <b/>
        <sz val="12"/>
        <rFont val="Arial"/>
        <family val="2"/>
      </rPr>
      <t>Installation of power line structures</t>
    </r>
  </si>
  <si>
    <t>5.1.1</t>
  </si>
  <si>
    <t>5.2.1</t>
  </si>
  <si>
    <t>5.2.2</t>
  </si>
  <si>
    <t>5.3.1</t>
  </si>
  <si>
    <t>5.3.2</t>
  </si>
  <si>
    <r>
      <t xml:space="preserve">Activity Stage 6:   </t>
    </r>
    <r>
      <rPr>
        <b/>
        <sz val="12"/>
        <rFont val="Arial"/>
        <family val="2"/>
      </rPr>
      <t>Power line earthing activities</t>
    </r>
  </si>
  <si>
    <r>
      <t xml:space="preserve">TOTAL </t>
    </r>
    <r>
      <rPr>
        <b/>
        <sz val="12"/>
        <color indexed="10"/>
        <rFont val="Arial"/>
        <family val="2"/>
      </rPr>
      <t>Activity Stage 5</t>
    </r>
    <r>
      <rPr>
        <b/>
        <sz val="12"/>
        <color indexed="14"/>
        <rFont val="Arial"/>
        <family val="2"/>
      </rPr>
      <t xml:space="preserve"> CARRIED FORWARD TO SUMMARY</t>
    </r>
  </si>
  <si>
    <t>6.2.1</t>
  </si>
  <si>
    <t>6.2.2</t>
  </si>
  <si>
    <t>6.2.3</t>
  </si>
  <si>
    <t>6.2.4</t>
  </si>
  <si>
    <r>
      <t xml:space="preserve">TOTAL </t>
    </r>
    <r>
      <rPr>
        <b/>
        <sz val="12"/>
        <color indexed="10"/>
        <rFont val="Arial"/>
        <family val="2"/>
      </rPr>
      <t xml:space="preserve">Activity Stage 6 </t>
    </r>
    <r>
      <rPr>
        <b/>
        <sz val="12"/>
        <color indexed="14"/>
        <rFont val="Arial"/>
        <family val="2"/>
      </rPr>
      <t>CARRIED FORWARD TO SUMMARY</t>
    </r>
  </si>
  <si>
    <r>
      <t xml:space="preserve">Activity Stage 7:   </t>
    </r>
    <r>
      <rPr>
        <b/>
        <sz val="12"/>
        <rFont val="Arial"/>
        <family val="2"/>
      </rPr>
      <t>Dressing of all structures</t>
    </r>
  </si>
  <si>
    <t>7.1.1</t>
  </si>
  <si>
    <t>7.1.2</t>
  </si>
  <si>
    <t>7.3.1</t>
  </si>
  <si>
    <t>7.3.2</t>
  </si>
  <si>
    <r>
      <t xml:space="preserve">Activity Stage 8:   </t>
    </r>
    <r>
      <rPr>
        <b/>
        <sz val="12"/>
        <rFont val="Arial"/>
        <family val="2"/>
      </rPr>
      <t>Stringing activities</t>
    </r>
  </si>
  <si>
    <t>8.3.3</t>
  </si>
  <si>
    <t>8.3.4</t>
  </si>
  <si>
    <t>Supply, erection and removal of 'Goal post' supports at crossings required for stringing:</t>
  </si>
  <si>
    <r>
      <t xml:space="preserve">TOTAL </t>
    </r>
    <r>
      <rPr>
        <b/>
        <sz val="12"/>
        <color indexed="10"/>
        <rFont val="Arial"/>
        <family val="2"/>
      </rPr>
      <t>Activity Stage 8</t>
    </r>
    <r>
      <rPr>
        <b/>
        <sz val="12"/>
        <color indexed="14"/>
        <rFont val="Arial"/>
        <family val="2"/>
      </rPr>
      <t xml:space="preserve"> CARRIED FORWARD TO SUMMARY</t>
    </r>
  </si>
  <si>
    <t>Line crossing labels</t>
  </si>
  <si>
    <t>Ripping and re-instating cultivated lands that was compacted due to construction activities</t>
  </si>
  <si>
    <r>
      <t>·   “Class B” Boulder vol &lt; 40% of excavation - Boulder size from 0,03m</t>
    </r>
    <r>
      <rPr>
        <vertAlign val="superscript"/>
        <sz val="10"/>
        <rFont val="Arial"/>
        <family val="2"/>
      </rPr>
      <t xml:space="preserve">3 </t>
    </r>
    <r>
      <rPr>
        <sz val="10"/>
        <rFont val="Arial"/>
        <family val="2"/>
      </rPr>
      <t>- 20m</t>
    </r>
    <r>
      <rPr>
        <vertAlign val="superscript"/>
        <sz val="10"/>
        <rFont val="Arial"/>
        <family val="2"/>
      </rPr>
      <t>3</t>
    </r>
  </si>
  <si>
    <r>
      <t>·   “Class A” Boulder vol &gt; 40% of excavation - Boulder size from 0,03m</t>
    </r>
    <r>
      <rPr>
        <vertAlign val="superscript"/>
        <sz val="10"/>
        <rFont val="Arial"/>
        <family val="2"/>
      </rPr>
      <t>3</t>
    </r>
    <r>
      <rPr>
        <sz val="10"/>
        <rFont val="Arial"/>
        <family val="2"/>
      </rPr>
      <t xml:space="preserve"> - 20m</t>
    </r>
    <r>
      <rPr>
        <vertAlign val="superscript"/>
        <sz val="10"/>
        <rFont val="Arial"/>
        <family val="2"/>
      </rPr>
      <t>3</t>
    </r>
  </si>
  <si>
    <r>
      <t>e)  Additional provision to conduct planned outages inclusive of all transport, labour and material (</t>
    </r>
    <r>
      <rPr>
        <b/>
        <sz val="10"/>
        <color indexed="10"/>
        <rFont val="Arial"/>
        <family val="2"/>
      </rPr>
      <t>To be re-measured at completion</t>
    </r>
    <r>
      <rPr>
        <sz val="10"/>
        <rFont val="Arial"/>
        <family val="2"/>
      </rPr>
      <t>)</t>
    </r>
  </si>
  <si>
    <t>- Any additional PPE required</t>
  </si>
  <si>
    <t xml:space="preserve">NAME:                                   SURNAME:                                                                                                                                         </t>
  </si>
  <si>
    <t>PART C5.2: Schedule of Prices Summary</t>
  </si>
  <si>
    <t>4.1.3</t>
  </si>
  <si>
    <t>4.2.2</t>
  </si>
  <si>
    <t>4.2.3</t>
  </si>
  <si>
    <t>10.1.2</t>
  </si>
  <si>
    <t>10.1.4</t>
  </si>
  <si>
    <t>10.1.5</t>
  </si>
  <si>
    <t>10.3.4</t>
  </si>
  <si>
    <r>
      <t xml:space="preserve">Environmental requirements:- </t>
    </r>
    <r>
      <rPr>
        <b/>
        <sz val="11"/>
        <color indexed="10"/>
        <rFont val="Arial"/>
        <family val="2"/>
      </rPr>
      <t>PART C3.3: Activity Stage 1.2</t>
    </r>
  </si>
  <si>
    <r>
      <t xml:space="preserve">Health and Safety requirements (34-333):- </t>
    </r>
    <r>
      <rPr>
        <b/>
        <sz val="11"/>
        <color indexed="10"/>
        <rFont val="Arial"/>
        <family val="2"/>
      </rPr>
      <t>PART C3.3: Activity Stage 1.3</t>
    </r>
  </si>
  <si>
    <r>
      <t xml:space="preserve">Detail setting-out of structure foundation excavations:- </t>
    </r>
    <r>
      <rPr>
        <b/>
        <sz val="11"/>
        <color indexed="10"/>
        <rFont val="Arial"/>
        <family val="2"/>
      </rPr>
      <t>PART C3.3: Activity Stage 4.2</t>
    </r>
  </si>
  <si>
    <r>
      <t xml:space="preserve">Barricading/Protecting of all open excavations:- </t>
    </r>
    <r>
      <rPr>
        <b/>
        <sz val="11"/>
        <color indexed="10"/>
        <rFont val="Arial"/>
        <family val="2"/>
      </rPr>
      <t>PART C3.3: Activity Stage 4.6</t>
    </r>
  </si>
  <si>
    <r>
      <t xml:space="preserve">Supply and transport to site of line hardware and insulators:- </t>
    </r>
    <r>
      <rPr>
        <b/>
        <sz val="11"/>
        <color indexed="10"/>
        <rFont val="Arial"/>
        <family val="2"/>
      </rPr>
      <t>PART C3.3: Activity Stage 7.1</t>
    </r>
  </si>
  <si>
    <r>
      <t xml:space="preserve">Safe storage, handling and transport to peg of  line hardware and insulators:- 
</t>
    </r>
    <r>
      <rPr>
        <b/>
        <sz val="11"/>
        <color indexed="10"/>
        <rFont val="Arial"/>
        <family val="2"/>
      </rPr>
      <t>PART C3.3: Activity Stage 7.2</t>
    </r>
  </si>
  <si>
    <r>
      <t xml:space="preserve">Safe handling and dressing of structure with line hardware and insulators:- 
</t>
    </r>
    <r>
      <rPr>
        <b/>
        <sz val="11"/>
        <color indexed="10"/>
        <rFont val="Arial"/>
        <family val="2"/>
      </rPr>
      <t>PART C3.3: Activity Stage 7.3</t>
    </r>
  </si>
  <si>
    <r>
      <t xml:space="preserve">Supply and transport of phase conductor and shield wire stringing hardware:- 
</t>
    </r>
    <r>
      <rPr>
        <b/>
        <sz val="11"/>
        <color indexed="10"/>
        <rFont val="Arial"/>
        <family val="2"/>
      </rPr>
      <t>PART C3.3: Activity Stage 8.1</t>
    </r>
  </si>
  <si>
    <r>
      <t xml:space="preserve">Safe storage, handling and transport of phase conductor and shield wire stringing hardware:- 
</t>
    </r>
    <r>
      <rPr>
        <b/>
        <sz val="11"/>
        <color indexed="10"/>
        <rFont val="Arial"/>
        <family val="2"/>
      </rPr>
      <t>PART C3.3: Activity Stage 8.2</t>
    </r>
  </si>
  <si>
    <r>
      <t xml:space="preserve">Safe handling, transport to drum sites and complete stringing, regulating clamping of phase conductors and shield wires :- </t>
    </r>
    <r>
      <rPr>
        <b/>
        <sz val="11"/>
        <color indexed="10"/>
        <rFont val="Arial"/>
        <family val="2"/>
      </rPr>
      <t>PART C3.3: Activity Stage 8.3</t>
    </r>
  </si>
  <si>
    <r>
      <t xml:space="preserve">Supply and transport to site of line and structure identification labels and accessories:- 
</t>
    </r>
    <r>
      <rPr>
        <b/>
        <sz val="11"/>
        <color indexed="10"/>
        <rFont val="Arial"/>
        <family val="2"/>
      </rPr>
      <t>PART C3.3: Activity Stage 10.1</t>
    </r>
  </si>
  <si>
    <r>
      <t xml:space="preserve">Safe storage, handling and transport to peg of line and structure identification labels and accessories:- </t>
    </r>
    <r>
      <rPr>
        <b/>
        <sz val="11"/>
        <color indexed="10"/>
        <rFont val="Arial"/>
        <family val="2"/>
      </rPr>
      <t>PART C3.3: Activity Stage 10.2</t>
    </r>
  </si>
  <si>
    <r>
      <t xml:space="preserve">Safe handling and complete installation of power line and structure identification labels:- 
</t>
    </r>
    <r>
      <rPr>
        <b/>
        <sz val="11"/>
        <color indexed="10"/>
        <rFont val="Arial"/>
        <family val="2"/>
      </rPr>
      <t>PART C3.3: Activity Stage 10.3</t>
    </r>
  </si>
  <si>
    <r>
      <t xml:space="preserve">Final inspection of the line:-  </t>
    </r>
    <r>
      <rPr>
        <b/>
        <sz val="11"/>
        <color indexed="10"/>
        <rFont val="Arial"/>
        <family val="2"/>
      </rPr>
      <t>PART C3.3: Activity Stage 13.2</t>
    </r>
  </si>
  <si>
    <r>
      <t xml:space="preserve">Submission of ''As Built' Information:- </t>
    </r>
    <r>
      <rPr>
        <b/>
        <sz val="11"/>
        <color indexed="10"/>
        <rFont val="Arial"/>
        <family val="2"/>
      </rPr>
      <t>PART C3.3: Activity Stage 13.4</t>
    </r>
  </si>
  <si>
    <r>
      <t xml:space="preserve">Handing over, test &amp; commissioning:- </t>
    </r>
    <r>
      <rPr>
        <b/>
        <sz val="11"/>
        <color indexed="10"/>
        <rFont val="Arial"/>
        <family val="2"/>
      </rPr>
      <t>PART C3.3: Activity Stage 13.3</t>
    </r>
  </si>
  <si>
    <r>
      <t xml:space="preserve">Site clearance:- </t>
    </r>
    <r>
      <rPr>
        <b/>
        <sz val="11"/>
        <color indexed="10"/>
        <rFont val="Arial"/>
        <family val="2"/>
      </rPr>
      <t>PART C3.3: Activity Stage 13.5</t>
    </r>
  </si>
  <si>
    <r>
      <t xml:space="preserve">Preliminary &amp; General cost:- </t>
    </r>
    <r>
      <rPr>
        <b/>
        <sz val="11"/>
        <color indexed="10"/>
        <rFont val="Arial"/>
        <family val="2"/>
      </rPr>
      <t>PART C3.3: Activity Stage 1.1</t>
    </r>
  </si>
  <si>
    <r>
      <t xml:space="preserve"> Supply and transport of new power line servitude gates:- </t>
    </r>
    <r>
      <rPr>
        <b/>
        <sz val="11"/>
        <color indexed="10"/>
        <rFont val="Arial"/>
        <family val="2"/>
      </rPr>
      <t>PART C3.3: Activity Stage 3.1</t>
    </r>
  </si>
  <si>
    <t>3.5.3</t>
  </si>
  <si>
    <t>3.5.4</t>
  </si>
  <si>
    <t>3.5.5</t>
  </si>
  <si>
    <t>3.5.6</t>
  </si>
  <si>
    <t>3.5.7</t>
  </si>
  <si>
    <t>3.5.8</t>
  </si>
  <si>
    <r>
      <t xml:space="preserve">Barricading/Protecting of all open excavations for </t>
    </r>
    <r>
      <rPr>
        <b/>
        <sz val="10"/>
        <color indexed="10"/>
        <rFont val="Arial"/>
        <family val="2"/>
      </rPr>
      <t>permanent stays</t>
    </r>
  </si>
  <si>
    <t>c)   Pre-tension all permanent stays</t>
  </si>
  <si>
    <t>d)   Crimp GMS guy grip ferrules</t>
  </si>
  <si>
    <t>e)   Pre-tension temporary stays</t>
  </si>
  <si>
    <t>f)   Complete removal all temporary stays after completion of stringing activities and re-instate sites</t>
  </si>
  <si>
    <r>
      <t xml:space="preserve">b)  </t>
    </r>
    <r>
      <rPr>
        <b/>
        <sz val="10"/>
        <color indexed="10"/>
        <rFont val="Arial"/>
        <family val="2"/>
      </rPr>
      <t>M16 x 40mm long Hex bolt</t>
    </r>
    <r>
      <rPr>
        <sz val="10"/>
        <rFont val="Arial"/>
        <family val="2"/>
      </rPr>
      <t xml:space="preserve">; Min. 35mm threaded;  Grade 4.8;  Complete with one nut;  Hot dipped galvanised - To specification drawing: </t>
    </r>
    <r>
      <rPr>
        <b/>
        <sz val="10"/>
        <color indexed="10"/>
        <rFont val="Arial"/>
        <family val="2"/>
      </rPr>
      <t>D-DT-6097 Rev. 3</t>
    </r>
    <r>
      <rPr>
        <sz val="10"/>
        <rFont val="Arial"/>
        <family val="2"/>
      </rPr>
      <t xml:space="preserve"> </t>
    </r>
  </si>
  <si>
    <r>
      <t xml:space="preserve">c)  </t>
    </r>
    <r>
      <rPr>
        <b/>
        <sz val="10"/>
        <color indexed="10"/>
        <rFont val="Arial"/>
        <family val="2"/>
      </rPr>
      <t>Dia 30mm x 3,0mm thick flat round washer with Dia 18mm hole</t>
    </r>
    <r>
      <rPr>
        <sz val="10"/>
        <rFont val="Arial"/>
        <family val="2"/>
      </rPr>
      <t xml:space="preserve">;  Commercial mild steel;  Hot dipped galvanised - To specification drawing: </t>
    </r>
    <r>
      <rPr>
        <b/>
        <sz val="10"/>
        <color indexed="10"/>
        <rFont val="Arial"/>
        <family val="2"/>
      </rPr>
      <t>D-DT-3014 Rev. 19</t>
    </r>
  </si>
  <si>
    <r>
      <t xml:space="preserve">e)   Apply min. </t>
    </r>
    <r>
      <rPr>
        <b/>
        <sz val="10"/>
        <color indexed="10"/>
        <rFont val="Arial"/>
        <family val="2"/>
      </rPr>
      <t>2 coats</t>
    </r>
    <r>
      <rPr>
        <sz val="10"/>
        <rFont val="Arial"/>
        <family val="2"/>
      </rPr>
      <t xml:space="preserve"> of "Bitumen" or Aluminium based corrosion protective coating from connection point to </t>
    </r>
    <r>
      <rPr>
        <b/>
        <sz val="10"/>
        <color indexed="10"/>
        <rFont val="Arial"/>
        <family val="2"/>
      </rPr>
      <t>±0,5m</t>
    </r>
    <r>
      <rPr>
        <sz val="10"/>
        <rFont val="Arial"/>
        <family val="2"/>
      </rPr>
      <t xml:space="preserve"> below natural ground level of copper coated earth rods, after installation and connection</t>
    </r>
  </si>
  <si>
    <t>h)   Backfill and compact top layers in earth trenches, with excavated top soil material</t>
  </si>
  <si>
    <r>
      <t xml:space="preserve">a)  Phase conductor </t>
    </r>
    <r>
      <rPr>
        <b/>
        <sz val="10"/>
        <color indexed="10"/>
        <rFont val="Arial"/>
        <family val="2"/>
      </rPr>
      <t>"PH - STR A"</t>
    </r>
    <r>
      <rPr>
        <sz val="10"/>
        <rFont val="Arial"/>
        <family val="2"/>
      </rPr>
      <t xml:space="preserve"> assemblies</t>
    </r>
  </si>
  <si>
    <r>
      <t xml:space="preserve">b)  Phase conductor </t>
    </r>
    <r>
      <rPr>
        <b/>
        <sz val="10"/>
        <color indexed="10"/>
        <rFont val="Arial"/>
        <family val="2"/>
      </rPr>
      <t>"PH - STR B"</t>
    </r>
    <r>
      <rPr>
        <sz val="10"/>
        <rFont val="Arial"/>
        <family val="2"/>
      </rPr>
      <t xml:space="preserve"> assemblies</t>
    </r>
  </si>
  <si>
    <r>
      <t xml:space="preserve">a)  Shield wire </t>
    </r>
    <r>
      <rPr>
        <b/>
        <sz val="10"/>
        <color indexed="10"/>
        <rFont val="Arial"/>
        <family val="2"/>
      </rPr>
      <t>"SW - STR A"</t>
    </r>
    <r>
      <rPr>
        <sz val="10"/>
        <rFont val="Arial"/>
        <family val="2"/>
      </rPr>
      <t xml:space="preserve"> assemblies</t>
    </r>
  </si>
  <si>
    <r>
      <t xml:space="preserve">b)  Shield wire </t>
    </r>
    <r>
      <rPr>
        <b/>
        <sz val="10"/>
        <color indexed="10"/>
        <rFont val="Arial"/>
        <family val="2"/>
      </rPr>
      <t>"SW - STR B"</t>
    </r>
    <r>
      <rPr>
        <sz val="10"/>
        <rFont val="Arial"/>
        <family val="2"/>
      </rPr>
      <t xml:space="preserve"> assemblies</t>
    </r>
  </si>
  <si>
    <r>
      <t xml:space="preserve">f)  Station gantry, complete with </t>
    </r>
    <r>
      <rPr>
        <b/>
        <sz val="10"/>
        <color indexed="12"/>
        <rFont val="Arial"/>
        <family val="2"/>
      </rPr>
      <t>3 x PH - TERM A assemblies</t>
    </r>
  </si>
  <si>
    <r>
      <t xml:space="preserve">b)  18/1/3,77mm </t>
    </r>
    <r>
      <rPr>
        <b/>
        <sz val="10"/>
        <color indexed="10"/>
        <rFont val="Arial"/>
        <family val="2"/>
      </rPr>
      <t>“Chicadee”</t>
    </r>
    <r>
      <rPr>
        <sz val="10"/>
        <rFont val="Arial"/>
        <family val="2"/>
      </rPr>
      <t xml:space="preserve"> ACSR phase conductor - Midspan compression joints, see</t>
    </r>
    <r>
      <rPr>
        <b/>
        <sz val="10"/>
        <color indexed="10"/>
        <rFont val="Arial"/>
        <family val="2"/>
      </rPr>
      <t xml:space="preserve"> PART C7.1</t>
    </r>
  </si>
  <si>
    <r>
      <t xml:space="preserve">c)  18/1/3,77mm </t>
    </r>
    <r>
      <rPr>
        <b/>
        <sz val="10"/>
        <color indexed="10"/>
        <rFont val="Arial"/>
        <family val="2"/>
      </rPr>
      <t>“Chicadee”</t>
    </r>
    <r>
      <rPr>
        <sz val="10"/>
        <rFont val="Arial"/>
        <family val="2"/>
      </rPr>
      <t xml:space="preserve"> ACSR phase conductor - Dead-end compression clamp, see </t>
    </r>
    <r>
      <rPr>
        <b/>
        <sz val="10"/>
        <color indexed="10"/>
        <rFont val="Arial"/>
        <family val="2"/>
      </rPr>
      <t>PART C7.1</t>
    </r>
  </si>
  <si>
    <r>
      <t xml:space="preserve">a)  </t>
    </r>
    <r>
      <rPr>
        <b/>
        <sz val="10"/>
        <color indexed="10"/>
        <rFont val="Arial"/>
        <family val="2"/>
      </rPr>
      <t>"PVC Spiral Type"</t>
    </r>
    <r>
      <rPr>
        <sz val="10"/>
        <rFont val="Arial"/>
        <family val="2"/>
      </rPr>
      <t xml:space="preserve"> shield wire vibration dampers, see</t>
    </r>
    <r>
      <rPr>
        <b/>
        <sz val="10"/>
        <color indexed="10"/>
        <rFont val="Arial"/>
        <family val="2"/>
      </rPr>
      <t xml:space="preserve"> PART C7.1</t>
    </r>
  </si>
  <si>
    <r>
      <t xml:space="preserve">a)  Sampling and testing of </t>
    </r>
    <r>
      <rPr>
        <b/>
        <sz val="10"/>
        <color indexed="10"/>
        <rFont val="Arial"/>
        <family val="2"/>
      </rPr>
      <t>“Chicadee”</t>
    </r>
    <r>
      <rPr>
        <sz val="10"/>
        <rFont val="Arial"/>
        <family val="2"/>
      </rPr>
      <t xml:space="preserve"> ACSR phase conductor compression fittings</t>
    </r>
  </si>
  <si>
    <r>
      <t xml:space="preserve">Activity Stage 12:   </t>
    </r>
    <r>
      <rPr>
        <b/>
        <sz val="12"/>
        <rFont val="Arial"/>
        <family val="2"/>
      </rPr>
      <t xml:space="preserve">Taking over of the </t>
    </r>
    <r>
      <rPr>
        <b/>
        <i/>
        <sz val="12"/>
        <rFont val="Arial"/>
        <family val="2"/>
      </rPr>
      <t>Works</t>
    </r>
    <r>
      <rPr>
        <b/>
        <sz val="12"/>
        <rFont val="Arial"/>
        <family val="2"/>
      </rPr>
      <t xml:space="preserve"> and Clearance of site</t>
    </r>
  </si>
  <si>
    <r>
      <t xml:space="preserve">Re-instate entire construction site:-  </t>
    </r>
    <r>
      <rPr>
        <b/>
        <sz val="11"/>
        <color indexed="10"/>
        <rFont val="Arial"/>
        <family val="2"/>
      </rPr>
      <t>PART C3.3: Activity Stage 12.1</t>
    </r>
  </si>
  <si>
    <t>12.1.1</t>
  </si>
  <si>
    <t>12.1.2</t>
  </si>
  <si>
    <t>12.1.3</t>
  </si>
  <si>
    <t>12.1.4</t>
  </si>
  <si>
    <t>12.2.1</t>
  </si>
  <si>
    <t>12.2.2</t>
  </si>
  <si>
    <t>12.3.1</t>
  </si>
  <si>
    <t>12.3.2</t>
  </si>
  <si>
    <t>12.3.3</t>
  </si>
  <si>
    <t>12.4.1</t>
  </si>
  <si>
    <t>12.4.2</t>
  </si>
  <si>
    <t>12.5.1</t>
  </si>
  <si>
    <t>12.5.2</t>
  </si>
  <si>
    <t>12.5.3</t>
  </si>
  <si>
    <r>
      <t xml:space="preserve">TOTAL </t>
    </r>
    <r>
      <rPr>
        <b/>
        <sz val="12"/>
        <color indexed="10"/>
        <rFont val="Arial"/>
        <family val="2"/>
      </rPr>
      <t>Activity Stage 12</t>
    </r>
    <r>
      <rPr>
        <b/>
        <sz val="12"/>
        <color indexed="14"/>
        <rFont val="Arial"/>
        <family val="2"/>
      </rPr>
      <t xml:space="preserve"> CARRIED FORWARD TO SUMMARY</t>
    </r>
  </si>
  <si>
    <t>Activity Stage 11: Dismantling of existing power line</t>
  </si>
  <si>
    <r>
      <rPr>
        <i/>
        <sz val="10"/>
        <rFont val="Arial"/>
        <family val="2"/>
      </rPr>
      <t>Contractor</t>
    </r>
    <r>
      <rPr>
        <sz val="10"/>
        <rFont val="Arial"/>
        <family val="2"/>
      </rPr>
      <t xml:space="preserve"> must allow for work being done during outages on weekends (</t>
    </r>
    <r>
      <rPr>
        <b/>
        <sz val="10"/>
        <color rgb="FFFF0000"/>
        <rFont val="Arial"/>
        <family val="2"/>
      </rPr>
      <t>To be re-measured at completion</t>
    </r>
    <r>
      <rPr>
        <sz val="10"/>
        <rFont val="Arial"/>
        <family val="2"/>
      </rPr>
      <t>)</t>
    </r>
  </si>
  <si>
    <t>First issue for tender purposes</t>
  </si>
  <si>
    <r>
      <t>Verification of all as-staked structure and structure stay positions using pegging drawings and lat/long positions provided (</t>
    </r>
    <r>
      <rPr>
        <b/>
        <sz val="10"/>
        <color rgb="FFFF0000"/>
        <rFont val="Arial"/>
        <family val="2"/>
      </rPr>
      <t>Per structure</t>
    </r>
    <r>
      <rPr>
        <sz val="10"/>
        <rFont val="Arial"/>
        <family val="2"/>
      </rPr>
      <t>).</t>
    </r>
  </si>
  <si>
    <r>
      <rPr>
        <b/>
        <sz val="10"/>
        <color rgb="FFFF0000"/>
        <rFont val="Arial"/>
        <family val="2"/>
      </rPr>
      <t>300 x 300 x 300mm</t>
    </r>
    <r>
      <rPr>
        <b/>
        <sz val="10"/>
        <rFont val="Arial"/>
        <family val="2"/>
      </rPr>
      <t xml:space="preserve"> </t>
    </r>
    <r>
      <rPr>
        <sz val="10"/>
        <rFont val="Arial"/>
        <family val="2"/>
      </rPr>
      <t xml:space="preserve">deep excavation around Dia 20mm steel peg survey beacon. Casting, compacting and curing of </t>
    </r>
    <r>
      <rPr>
        <b/>
        <sz val="10"/>
        <color rgb="FFFF0000"/>
        <rFont val="Arial"/>
        <family val="2"/>
      </rPr>
      <t>0.04m</t>
    </r>
    <r>
      <rPr>
        <b/>
        <vertAlign val="superscript"/>
        <sz val="10"/>
        <color rgb="FFFF0000"/>
        <rFont val="Arial"/>
        <family val="2"/>
      </rPr>
      <t>3</t>
    </r>
    <r>
      <rPr>
        <b/>
        <sz val="10"/>
        <color rgb="FFFF0000"/>
        <rFont val="Arial"/>
        <family val="2"/>
      </rPr>
      <t xml:space="preserve"> 20MPa</t>
    </r>
    <r>
      <rPr>
        <sz val="10"/>
        <rFont val="Arial"/>
        <family val="2"/>
      </rPr>
      <t xml:space="preserve"> mass concrete around survey beacon (</t>
    </r>
    <r>
      <rPr>
        <b/>
        <sz val="10"/>
        <rFont val="Arial"/>
        <family val="2"/>
      </rPr>
      <t>Only at H-pole/Lattice structure bends</t>
    </r>
    <r>
      <rPr>
        <sz val="10"/>
        <rFont val="Arial"/>
        <family val="2"/>
      </rPr>
      <t>)</t>
    </r>
  </si>
  <si>
    <r>
      <t xml:space="preserve">Pegging of line route, structure setting-out &amp; stays positions:- </t>
    </r>
    <r>
      <rPr>
        <b/>
        <sz val="11"/>
        <color indexed="10"/>
        <rFont val="Arial"/>
        <family val="2"/>
      </rPr>
      <t>PART C3.3: Activity Stage 2.1</t>
    </r>
  </si>
  <si>
    <r>
      <t xml:space="preserve">Placing of Structure position labelling at each pegged structure position with steel, wooden, PVC tubing or steel dropper </t>
    </r>
    <r>
      <rPr>
        <b/>
        <sz val="10"/>
        <rFont val="Arial"/>
        <family val="2"/>
      </rPr>
      <t>±1,5m</t>
    </r>
    <r>
      <rPr>
        <sz val="10"/>
        <rFont val="Arial"/>
        <family val="2"/>
      </rPr>
      <t xml:space="preserve"> long and painted </t>
    </r>
    <r>
      <rPr>
        <b/>
        <sz val="10"/>
        <color rgb="FFFF0000"/>
        <rFont val="Arial"/>
        <family val="2"/>
      </rPr>
      <t>RED</t>
    </r>
    <r>
      <rPr>
        <b/>
        <sz val="10"/>
        <rFont val="Arial"/>
        <family val="2"/>
      </rPr>
      <t>/WHITE</t>
    </r>
    <r>
      <rPr>
        <sz val="10"/>
        <rFont val="Arial"/>
        <family val="2"/>
      </rPr>
      <t xml:space="preserve"> or with a </t>
    </r>
    <r>
      <rPr>
        <b/>
        <sz val="10"/>
        <color rgb="FFFF0000"/>
        <rFont val="Arial"/>
        <family val="2"/>
      </rPr>
      <t>RED</t>
    </r>
    <r>
      <rPr>
        <b/>
        <sz val="10"/>
        <rFont val="Arial"/>
        <family val="2"/>
      </rPr>
      <t>/WHITE</t>
    </r>
    <r>
      <rPr>
        <sz val="10"/>
        <rFont val="Arial"/>
        <family val="2"/>
      </rPr>
      <t xml:space="preserve"> fabric attached to it complete with tag indicating structure number and structure type as per PLSCADD profile.</t>
    </r>
  </si>
  <si>
    <r>
      <t xml:space="preserve">Marking of servitude and access gates:- </t>
    </r>
    <r>
      <rPr>
        <b/>
        <sz val="11"/>
        <color indexed="10"/>
        <rFont val="Arial"/>
        <family val="2"/>
      </rPr>
      <t xml:space="preserve">PART C3.3: Activity Stage 2.2 </t>
    </r>
    <r>
      <rPr>
        <b/>
        <i/>
        <sz val="11"/>
        <color indexed="10"/>
        <rFont val="Arial"/>
        <family val="2"/>
      </rPr>
      <t xml:space="preserve"> </t>
    </r>
  </si>
  <si>
    <r>
      <t xml:space="preserve">Activity Stage 2:   </t>
    </r>
    <r>
      <rPr>
        <b/>
        <sz val="12"/>
        <rFont val="Arial"/>
        <family val="2"/>
      </rPr>
      <t>Survey activities</t>
    </r>
  </si>
  <si>
    <r>
      <t xml:space="preserve">Complete Supply and Transport of </t>
    </r>
    <r>
      <rPr>
        <b/>
        <sz val="10"/>
        <color indexed="10"/>
        <rFont val="Arial"/>
        <family val="2"/>
      </rPr>
      <t>new 4,5m wide small stock fence</t>
    </r>
    <r>
      <rPr>
        <sz val="10"/>
        <rFont val="Arial"/>
        <family val="2"/>
      </rPr>
      <t xml:space="preserve"> servitude gates</t>
    </r>
    <r>
      <rPr>
        <b/>
        <sz val="10"/>
        <color indexed="10"/>
        <rFont val="Arial"/>
        <family val="2"/>
      </rPr>
      <t xml:space="preserve">, dwg: D-FS-12051 Rev. 7  Sht. 1 - 5 </t>
    </r>
    <r>
      <rPr>
        <b/>
        <i/>
        <sz val="10"/>
        <color indexed="10"/>
        <rFont val="Arial"/>
        <family val="2"/>
      </rPr>
      <t>(Item subjected to re-measurement)</t>
    </r>
  </si>
  <si>
    <t>Soft excavation</t>
  </si>
  <si>
    <t>Intermediate excavation</t>
  </si>
  <si>
    <t>Hard rock excavation</t>
  </si>
  <si>
    <r>
      <t xml:space="preserve">Complete establishment of proper construction access:- </t>
    </r>
    <r>
      <rPr>
        <b/>
        <sz val="11"/>
        <color indexed="10"/>
        <rFont val="Arial"/>
        <family val="2"/>
      </rPr>
      <t>PART C3.3: Activity Stage 3.4
(Item subjected to re-measurement)</t>
    </r>
  </si>
  <si>
    <t>Excavating and backfilling of soil profile test holes for geotechnical investigation at each structure position</t>
  </si>
  <si>
    <t>Geotechnical investigation report complete with all findings including soil profile with identified material layers and depths, a photograph thereof, as well as the nominated soil/foundation type, and excavation classification for each structure position.</t>
  </si>
  <si>
    <r>
      <t>Boulder excavations (</t>
    </r>
    <r>
      <rPr>
        <b/>
        <sz val="11"/>
        <color rgb="FFFF0000"/>
        <rFont val="Arial"/>
        <family val="2"/>
      </rPr>
      <t>as per PART C3.3: Activity Stage 4.1.8</t>
    </r>
    <r>
      <rPr>
        <b/>
        <sz val="11"/>
        <rFont val="Arial"/>
        <family val="2"/>
      </rPr>
      <t>)</t>
    </r>
  </si>
  <si>
    <r>
      <t xml:space="preserve">Drilling/Excavating of holes for structure foundations:-  </t>
    </r>
    <r>
      <rPr>
        <b/>
        <sz val="11"/>
        <color indexed="10"/>
        <rFont val="Arial"/>
        <family val="2"/>
      </rPr>
      <t>PART C3.3: Activity Stage 4.3 
(Item subjected to re-measurement)</t>
    </r>
  </si>
  <si>
    <r>
      <t xml:space="preserve">Excavation shoring:-  </t>
    </r>
    <r>
      <rPr>
        <b/>
        <sz val="11"/>
        <color indexed="10"/>
        <rFont val="Arial"/>
        <family val="2"/>
      </rPr>
      <t>PART C3.3: Activity Stage 5.4
(Items subjected to re-measurement)</t>
    </r>
  </si>
  <si>
    <t>Supply, install and removal of excavation shoring after completion of foundation construction, for:</t>
  </si>
  <si>
    <r>
      <t xml:space="preserve">"Type 7649" structures : </t>
    </r>
    <r>
      <rPr>
        <b/>
        <sz val="10"/>
        <color indexed="10"/>
        <rFont val="Arial"/>
        <family val="2"/>
      </rPr>
      <t>max 120,5m</t>
    </r>
    <r>
      <rPr>
        <b/>
        <vertAlign val="superscript"/>
        <sz val="10"/>
        <color indexed="10"/>
        <rFont val="Arial"/>
        <family val="2"/>
      </rPr>
      <t>2</t>
    </r>
    <r>
      <rPr>
        <b/>
        <sz val="10"/>
        <color indexed="10"/>
        <rFont val="Arial"/>
        <family val="2"/>
      </rPr>
      <t xml:space="preserve"> </t>
    </r>
  </si>
  <si>
    <r>
      <t xml:space="preserve">Drilling/excavating holes to specified details, for </t>
    </r>
    <r>
      <rPr>
        <b/>
        <sz val="11"/>
        <color indexed="10"/>
        <rFont val="Arial"/>
        <family val="2"/>
      </rPr>
      <t>M24 permanent stays</t>
    </r>
    <r>
      <rPr>
        <b/>
        <sz val="11"/>
        <rFont val="Arial"/>
        <family val="2"/>
      </rPr>
      <t xml:space="preserve">, in: </t>
    </r>
  </si>
  <si>
    <r>
      <t xml:space="preserve">·   “Type 1 - 2” </t>
    </r>
    <r>
      <rPr>
        <b/>
        <sz val="10"/>
        <color rgb="FFFF0000"/>
        <rFont val="Arial"/>
        <family val="2"/>
      </rPr>
      <t xml:space="preserve">M24 x 2,4m </t>
    </r>
    <r>
      <rPr>
        <sz val="10"/>
        <rFont val="Arial"/>
        <family val="2"/>
      </rPr>
      <t xml:space="preserve">stay installation </t>
    </r>
  </si>
  <si>
    <r>
      <t xml:space="preserve">·   “Type 3” </t>
    </r>
    <r>
      <rPr>
        <b/>
        <sz val="10"/>
        <color rgb="FFFF0000"/>
        <rFont val="Arial"/>
        <family val="2"/>
      </rPr>
      <t>M24 x 3,0m</t>
    </r>
    <r>
      <rPr>
        <sz val="10"/>
        <rFont val="Arial"/>
        <family val="2"/>
      </rPr>
      <t xml:space="preserve"> stay installation </t>
    </r>
  </si>
  <si>
    <r>
      <t xml:space="preserve">b)  Complete </t>
    </r>
    <r>
      <rPr>
        <b/>
        <sz val="10"/>
        <color indexed="10"/>
        <rFont val="Arial"/>
        <family val="2"/>
      </rPr>
      <t>M24 x 3,0m</t>
    </r>
    <r>
      <rPr>
        <sz val="10"/>
        <rFont val="Arial"/>
        <family val="2"/>
      </rPr>
      <t xml:space="preserve"> adjustable stay assemblies (</t>
    </r>
    <r>
      <rPr>
        <b/>
        <sz val="10"/>
        <color indexed="10"/>
        <rFont val="Arial"/>
        <family val="2"/>
      </rPr>
      <t>Permanent</t>
    </r>
    <r>
      <rPr>
        <sz val="10"/>
        <rFont val="Arial"/>
        <family val="2"/>
      </rPr>
      <t>)</t>
    </r>
  </si>
  <si>
    <r>
      <t xml:space="preserve">a)  Complete </t>
    </r>
    <r>
      <rPr>
        <b/>
        <sz val="10"/>
        <color indexed="10"/>
        <rFont val="Arial"/>
        <family val="2"/>
      </rPr>
      <t>M20 x 2,4m</t>
    </r>
    <r>
      <rPr>
        <sz val="10"/>
        <rFont val="Arial"/>
        <family val="2"/>
      </rPr>
      <t xml:space="preserve"> non-adjustable conventional stay assemblies or alternative anchor blocks (</t>
    </r>
    <r>
      <rPr>
        <b/>
        <sz val="10"/>
        <color indexed="10"/>
        <rFont val="Arial"/>
        <family val="2"/>
      </rPr>
      <t>Temporary Stays</t>
    </r>
    <r>
      <rPr>
        <sz val="10"/>
        <rFont val="Arial"/>
        <family val="2"/>
      </rPr>
      <t>)</t>
    </r>
  </si>
  <si>
    <r>
      <t xml:space="preserve">b) </t>
    </r>
    <r>
      <rPr>
        <b/>
        <sz val="10"/>
        <color indexed="10"/>
        <rFont val="Arial"/>
        <family val="2"/>
      </rPr>
      <t xml:space="preserve"> 7/3,35mm</t>
    </r>
    <r>
      <rPr>
        <sz val="10"/>
        <rFont val="Arial"/>
        <family val="2"/>
      </rPr>
      <t xml:space="preserve"> Galvanized steel stay wire 1 100MPa (</t>
    </r>
    <r>
      <rPr>
        <b/>
        <sz val="10"/>
        <color rgb="FFFF0000"/>
        <rFont val="Arial"/>
        <family val="2"/>
      </rPr>
      <t>Temporary Stays</t>
    </r>
    <r>
      <rPr>
        <sz val="10"/>
        <rFont val="Arial"/>
        <family val="2"/>
      </rPr>
      <t>)</t>
    </r>
  </si>
  <si>
    <t>5.1.2</t>
  </si>
  <si>
    <t>5.1.3</t>
  </si>
  <si>
    <t>Supply, safe stock-piling/storage, handeling and transport to site of all M24 Permenant stay assemblies:</t>
  </si>
  <si>
    <t>Safe stock-piling/storage, handeling and transport of all temporary stay assemblies:</t>
  </si>
  <si>
    <t>Supply, safe stock-piling/storage, handeling and transport of steel pole structures:</t>
  </si>
  <si>
    <t>5.1.4</t>
  </si>
  <si>
    <t>Supply, safe stock-piling/storage, handling and transport of miscellaneous structure members/material:</t>
  </si>
  <si>
    <r>
      <t xml:space="preserve">Supply, safe stock-piling/storage, handeling and transport of structures, structure material and stays:- </t>
    </r>
    <r>
      <rPr>
        <b/>
        <sz val="11"/>
        <color indexed="10"/>
        <rFont val="Arial"/>
        <family val="2"/>
      </rPr>
      <t>PART C3.3: Activity Stage 5.1 (Items subjected to re-measurement)</t>
    </r>
  </si>
  <si>
    <r>
      <t>Assembly and erection of all structures:-</t>
    </r>
    <r>
      <rPr>
        <b/>
        <sz val="11"/>
        <color indexed="10"/>
        <rFont val="Arial"/>
        <family val="2"/>
      </rPr>
      <t xml:space="preserve"> PART C3.3: Activity Stage 5.2</t>
    </r>
  </si>
  <si>
    <r>
      <t>Installation of permanent and temporary stay assemblies:-</t>
    </r>
    <r>
      <rPr>
        <b/>
        <sz val="11"/>
        <color indexed="10"/>
        <rFont val="Arial"/>
        <family val="2"/>
      </rPr>
      <t xml:space="preserve"> PART C3.3: Activity Stage 5.3
(Items subjected to re-measurement)</t>
    </r>
  </si>
  <si>
    <t>5.3.3</t>
  </si>
  <si>
    <r>
      <t xml:space="preserve">a)   Install “Type 1 - 2” </t>
    </r>
    <r>
      <rPr>
        <b/>
        <sz val="10"/>
        <color rgb="FFFF0000"/>
        <rFont val="Arial"/>
        <family val="2"/>
      </rPr>
      <t xml:space="preserve">M24 x 2,4m </t>
    </r>
    <r>
      <rPr>
        <sz val="10"/>
        <rFont val="Arial"/>
        <family val="2"/>
      </rPr>
      <t>stay</t>
    </r>
  </si>
  <si>
    <r>
      <t xml:space="preserve">b)   Install “Type 3” </t>
    </r>
    <r>
      <rPr>
        <b/>
        <sz val="10"/>
        <color rgb="FFFF0000"/>
        <rFont val="Arial"/>
        <family val="2"/>
      </rPr>
      <t>M24 x 3,0m</t>
    </r>
    <r>
      <rPr>
        <sz val="10"/>
        <rFont val="Arial"/>
        <family val="2"/>
      </rPr>
      <t xml:space="preserve"> stay</t>
    </r>
  </si>
  <si>
    <r>
      <t xml:space="preserve">c)   Install “Type A” </t>
    </r>
    <r>
      <rPr>
        <b/>
        <sz val="10"/>
        <color rgb="FFFF0000"/>
        <rFont val="Arial"/>
        <family val="2"/>
      </rPr>
      <t>M24</t>
    </r>
    <r>
      <rPr>
        <sz val="10"/>
        <rFont val="Arial"/>
        <family val="2"/>
      </rPr>
      <t xml:space="preserve"> solid rock anchor </t>
    </r>
  </si>
  <si>
    <r>
      <t xml:space="preserve">d)   Install “Type B” </t>
    </r>
    <r>
      <rPr>
        <b/>
        <sz val="10"/>
        <color rgb="FFFF0000"/>
        <rFont val="Arial"/>
        <family val="2"/>
      </rPr>
      <t>M24 x 2,4m</t>
    </r>
    <r>
      <rPr>
        <sz val="10"/>
        <rFont val="Arial"/>
        <family val="2"/>
      </rPr>
      <t xml:space="preserve"> stay</t>
    </r>
  </si>
  <si>
    <r>
      <t xml:space="preserve">c)  Complete </t>
    </r>
    <r>
      <rPr>
        <b/>
        <sz val="10"/>
        <color indexed="10"/>
        <rFont val="Arial"/>
        <family val="2"/>
      </rPr>
      <t>M24</t>
    </r>
    <r>
      <rPr>
        <sz val="10"/>
        <rFont val="Arial"/>
        <family val="2"/>
      </rPr>
      <t xml:space="preserve"> adjustable rock anchor stay assemblies (</t>
    </r>
    <r>
      <rPr>
        <b/>
        <sz val="10"/>
        <color indexed="10"/>
        <rFont val="Arial"/>
        <family val="2"/>
      </rPr>
      <t>Permanent</t>
    </r>
    <r>
      <rPr>
        <sz val="10"/>
        <rFont val="Arial"/>
        <family val="2"/>
      </rPr>
      <t>)</t>
    </r>
  </si>
  <si>
    <t xml:space="preserve">Complete installation all under-ground permanent stay assemblies: </t>
  </si>
  <si>
    <r>
      <t xml:space="preserve">a)  Complete Installation of </t>
    </r>
    <r>
      <rPr>
        <b/>
        <sz val="10"/>
        <color indexed="10"/>
        <rFont val="Arial"/>
        <family val="2"/>
      </rPr>
      <t>M20 x 2,4m</t>
    </r>
    <r>
      <rPr>
        <sz val="10"/>
        <rFont val="Arial"/>
        <family val="2"/>
      </rPr>
      <t xml:space="preserve"> non-adjustable conventional stay assemblies or alternative anchor blocks, including excavation and backfilling (</t>
    </r>
    <r>
      <rPr>
        <b/>
        <sz val="10"/>
        <color indexed="10"/>
        <rFont val="Arial"/>
        <family val="2"/>
      </rPr>
      <t>Temporary Stays</t>
    </r>
    <r>
      <rPr>
        <sz val="10"/>
        <rFont val="Arial"/>
        <family val="2"/>
      </rPr>
      <t>)</t>
    </r>
  </si>
  <si>
    <r>
      <t xml:space="preserve">a)   </t>
    </r>
    <r>
      <rPr>
        <b/>
        <sz val="10"/>
        <color indexed="10"/>
        <rFont val="Arial"/>
        <family val="2"/>
      </rPr>
      <t xml:space="preserve">M24 </t>
    </r>
    <r>
      <rPr>
        <sz val="10"/>
        <rFont val="Arial"/>
        <family val="2"/>
      </rPr>
      <t>adjustable permanent stays</t>
    </r>
  </si>
  <si>
    <r>
      <t xml:space="preserve">b)   </t>
    </r>
    <r>
      <rPr>
        <b/>
        <sz val="10"/>
        <color indexed="10"/>
        <rFont val="Arial"/>
        <family val="2"/>
      </rPr>
      <t xml:space="preserve">M20 </t>
    </r>
    <r>
      <rPr>
        <sz val="10"/>
        <rFont val="Arial"/>
        <family val="2"/>
      </rPr>
      <t>non-adjustable temporary stays</t>
    </r>
  </si>
  <si>
    <r>
      <t xml:space="preserve">b)   </t>
    </r>
    <r>
      <rPr>
        <b/>
        <sz val="10"/>
        <rFont val="Arial"/>
        <family val="2"/>
      </rPr>
      <t>"Proof Load Test"</t>
    </r>
    <r>
      <rPr>
        <sz val="10"/>
        <rFont val="Arial"/>
        <family val="2"/>
      </rPr>
      <t xml:space="preserve"> </t>
    </r>
    <r>
      <rPr>
        <b/>
        <sz val="10"/>
        <color indexed="10"/>
        <rFont val="Arial"/>
        <family val="2"/>
      </rPr>
      <t>30%</t>
    </r>
    <r>
      <rPr>
        <sz val="10"/>
        <rFont val="Arial"/>
        <family val="2"/>
      </rPr>
      <t xml:space="preserve"> of conventional installed permanent stays as per </t>
    </r>
    <r>
      <rPr>
        <b/>
        <sz val="10"/>
        <color indexed="10"/>
        <rFont val="Arial"/>
        <family val="2"/>
      </rPr>
      <t>Specification DSP 34-1657</t>
    </r>
  </si>
  <si>
    <t>5.3.4</t>
  </si>
  <si>
    <r>
      <t xml:space="preserve">"Type 7645" or "Type 7618" structures : </t>
    </r>
    <r>
      <rPr>
        <b/>
        <sz val="10"/>
        <color indexed="10"/>
        <rFont val="Arial"/>
        <family val="2"/>
      </rPr>
      <t>max 38,9m</t>
    </r>
    <r>
      <rPr>
        <b/>
        <vertAlign val="superscript"/>
        <sz val="10"/>
        <color indexed="10"/>
        <rFont val="Arial"/>
        <family val="2"/>
      </rPr>
      <t>2</t>
    </r>
  </si>
  <si>
    <r>
      <t xml:space="preserve">a)  </t>
    </r>
    <r>
      <rPr>
        <b/>
        <sz val="10"/>
        <color indexed="10"/>
        <rFont val="Arial"/>
        <family val="2"/>
      </rPr>
      <t>“Type 7649”</t>
    </r>
    <r>
      <rPr>
        <sz val="10"/>
        <rFont val="Arial"/>
        <family val="2"/>
      </rPr>
      <t xml:space="preserve"> self-supporting mono-pole intermediate suspension structures, with  suspension arms</t>
    </r>
  </si>
  <si>
    <t>a) 25MPa Concrete</t>
  </si>
  <si>
    <t>kg</t>
  </si>
  <si>
    <t>b) Reinforcing Steel</t>
  </si>
  <si>
    <r>
      <t xml:space="preserve">b) Backfilling with </t>
    </r>
    <r>
      <rPr>
        <b/>
        <sz val="10"/>
        <rFont val="Arial"/>
        <family val="2"/>
      </rPr>
      <t>25MPa</t>
    </r>
    <r>
      <rPr>
        <sz val="10"/>
        <rFont val="Arial"/>
        <family val="2"/>
      </rPr>
      <t xml:space="preserve"> mass concrete </t>
    </r>
  </si>
  <si>
    <r>
      <t xml:space="preserve">Planted Structure Foundations Pads </t>
    </r>
    <r>
      <rPr>
        <b/>
        <sz val="11"/>
        <color rgb="FFFF0000"/>
        <rFont val="Arial"/>
        <family val="2"/>
      </rPr>
      <t>according to D-DT-7850 and D-DT-7851</t>
    </r>
  </si>
  <si>
    <r>
      <t xml:space="preserve">Surface Mount Structure Foundations,  </t>
    </r>
    <r>
      <rPr>
        <b/>
        <sz val="11"/>
        <color rgb="FFFF0000"/>
        <rFont val="Arial"/>
        <family val="2"/>
      </rPr>
      <t>according to D-FS-17704 &amp; D-FS-13526 for tender purpose</t>
    </r>
  </si>
  <si>
    <t>a) Complete set of Surface Mount Structure Foundation Designs, similar to D-FS-13526 for all "Type 7645" guyed strain structures.</t>
  </si>
  <si>
    <r>
      <t>a)</t>
    </r>
    <r>
      <rPr>
        <b/>
        <sz val="10"/>
        <color indexed="10"/>
        <rFont val="Arial"/>
        <family val="2"/>
      </rPr>
      <t xml:space="preserve"> "Type 7649"</t>
    </r>
    <r>
      <rPr>
        <sz val="10"/>
        <rFont val="Arial"/>
        <family val="2"/>
      </rPr>
      <t xml:space="preserve"> structures - to dwg: </t>
    </r>
    <r>
      <rPr>
        <b/>
        <sz val="10"/>
        <color indexed="10"/>
        <rFont val="Arial"/>
        <family val="2"/>
      </rPr>
      <t>D-FS-15737 Sht 1</t>
    </r>
  </si>
  <si>
    <r>
      <t>b)</t>
    </r>
    <r>
      <rPr>
        <b/>
        <sz val="10"/>
        <color indexed="10"/>
        <rFont val="Arial"/>
        <family val="2"/>
      </rPr>
      <t xml:space="preserve"> "Type 7645"</t>
    </r>
    <r>
      <rPr>
        <sz val="10"/>
        <rFont val="Arial"/>
        <family val="2"/>
      </rPr>
      <t xml:space="preserve"> structures - to dwg: </t>
    </r>
    <r>
      <rPr>
        <b/>
        <sz val="10"/>
        <color indexed="10"/>
        <rFont val="Arial"/>
        <family val="2"/>
      </rPr>
      <t>D-FS-15737 Sht 1</t>
    </r>
  </si>
  <si>
    <r>
      <t>d)</t>
    </r>
    <r>
      <rPr>
        <b/>
        <sz val="10"/>
        <color indexed="10"/>
        <rFont val="Arial"/>
        <family val="2"/>
      </rPr>
      <t xml:space="preserve"> "Type 7807"</t>
    </r>
    <r>
      <rPr>
        <sz val="10"/>
        <rFont val="Arial"/>
        <family val="2"/>
      </rPr>
      <t xml:space="preserve"> structures - to dwg: </t>
    </r>
    <r>
      <rPr>
        <b/>
        <sz val="10"/>
        <color indexed="10"/>
        <rFont val="Arial"/>
        <family val="2"/>
      </rPr>
      <t>D-FS-15737 Sht 1</t>
    </r>
  </si>
  <si>
    <r>
      <t xml:space="preserve">c) </t>
    </r>
    <r>
      <rPr>
        <b/>
        <sz val="10"/>
        <color indexed="10"/>
        <rFont val="Arial"/>
        <family val="2"/>
      </rPr>
      <t>"Type 7618"</t>
    </r>
    <r>
      <rPr>
        <sz val="10"/>
        <rFont val="Arial"/>
        <family val="2"/>
      </rPr>
      <t xml:space="preserve"> structures - to dwg: </t>
    </r>
    <r>
      <rPr>
        <b/>
        <sz val="10"/>
        <color indexed="10"/>
        <rFont val="Arial"/>
        <family val="2"/>
      </rPr>
      <t>D-FS-15737 Sht 1</t>
    </r>
  </si>
  <si>
    <t>5.4.1</t>
  </si>
  <si>
    <t>5.4.2</t>
  </si>
  <si>
    <r>
      <t xml:space="preserve">Supply of all foundations material and complete construction of all structure foundations:- 
</t>
    </r>
    <r>
      <rPr>
        <b/>
        <sz val="11"/>
        <color indexed="10"/>
        <rFont val="Arial"/>
        <family val="2"/>
      </rPr>
      <t>PART C3.3: Activity Stage 5.4 (Items subjected to re-measurement)</t>
    </r>
  </si>
  <si>
    <t>5.4.3</t>
  </si>
  <si>
    <t>5.4.4</t>
  </si>
  <si>
    <t>5.4.5</t>
  </si>
  <si>
    <t>5.4.6</t>
  </si>
  <si>
    <r>
      <t xml:space="preserve">Marking of new power line servitude gate centre positions at fences in or outside the servitude, including marking on route plan/coordinates </t>
    </r>
    <r>
      <rPr>
        <b/>
        <i/>
        <sz val="10"/>
        <color indexed="10"/>
        <rFont val="Arial"/>
        <family val="2"/>
      </rPr>
      <t xml:space="preserve"> (To be negotiated with Landowners - Item subjected to re-measurement)</t>
    </r>
  </si>
  <si>
    <r>
      <t xml:space="preserve">Identify and mark existing servitude and access gates for refurbishment or replacement, in or outside the servitude, which is required for access, aincluding marking on route plan/coordinates </t>
    </r>
    <r>
      <rPr>
        <b/>
        <sz val="10"/>
        <color indexed="10"/>
        <rFont val="Arial"/>
        <family val="2"/>
      </rPr>
      <t xml:space="preserve"> (</t>
    </r>
    <r>
      <rPr>
        <b/>
        <i/>
        <sz val="10"/>
        <color indexed="10"/>
        <rFont val="Arial"/>
        <family val="2"/>
      </rPr>
      <t>To be negotiated with Landowners - Item subjected to re-measurement)</t>
    </r>
  </si>
  <si>
    <r>
      <t xml:space="preserve">Complete installation of </t>
    </r>
    <r>
      <rPr>
        <b/>
        <sz val="10"/>
        <color indexed="10"/>
        <rFont val="Arial"/>
        <family val="2"/>
      </rPr>
      <t xml:space="preserve">all servitude gate labels, </t>
    </r>
    <r>
      <rPr>
        <sz val="10"/>
        <rFont val="Arial"/>
        <family val="2"/>
      </rPr>
      <t>including labels on existing, refurbished, replaced and new servitude gates</t>
    </r>
    <r>
      <rPr>
        <i/>
        <sz val="10"/>
        <rFont val="Arial"/>
        <family val="2"/>
      </rPr>
      <t xml:space="preserve"> </t>
    </r>
    <r>
      <rPr>
        <b/>
        <i/>
        <sz val="10"/>
        <color indexed="10"/>
        <rFont val="Arial"/>
        <family val="2"/>
      </rPr>
      <t>(Item subjected to re-measurement)</t>
    </r>
  </si>
  <si>
    <r>
      <t xml:space="preserve">Complete refurbishment and replacement of existing power line servitude gates:- 
</t>
    </r>
    <r>
      <rPr>
        <b/>
        <sz val="11"/>
        <color indexed="10"/>
        <rFont val="Arial"/>
        <family val="2"/>
      </rPr>
      <t>PART C3.3: Activity Stage 3.2 (Item subjected to re-measurement)</t>
    </r>
  </si>
  <si>
    <r>
      <t xml:space="preserve">Complete refurbishment of gates inside/outside the power line servitude marked for servitude/access gate according to </t>
    </r>
    <r>
      <rPr>
        <b/>
        <sz val="10"/>
        <color rgb="FFFF0000"/>
        <rFont val="Arial"/>
        <family val="2"/>
      </rPr>
      <t>3.2.3 a)</t>
    </r>
  </si>
  <si>
    <r>
      <t xml:space="preserve">Setting-out and complete re-installation of </t>
    </r>
    <r>
      <rPr>
        <b/>
        <sz val="10"/>
        <color indexed="10"/>
        <rFont val="Arial"/>
        <family val="2"/>
      </rPr>
      <t>new Standard 4,5m wide small stock fence</t>
    </r>
    <r>
      <rPr>
        <sz val="10"/>
        <rFont val="Arial"/>
        <family val="2"/>
      </rPr>
      <t xml:space="preserve"> servitude/access gates</t>
    </r>
    <r>
      <rPr>
        <b/>
        <sz val="10"/>
        <color indexed="10"/>
        <rFont val="Arial"/>
        <family val="2"/>
      </rPr>
      <t>, dwg: D-FS-12051 Rev. 6  Sht. 1 - 5 and 3.7.1 a) ii)</t>
    </r>
  </si>
  <si>
    <r>
      <t xml:space="preserve">Setting-out and complete re-installation of </t>
    </r>
    <r>
      <rPr>
        <b/>
        <sz val="10"/>
        <color indexed="10"/>
        <rFont val="Arial"/>
        <family val="2"/>
      </rPr>
      <t>new Standard 4,5m wide game</t>
    </r>
    <r>
      <rPr>
        <sz val="10"/>
        <rFont val="Arial"/>
        <family val="2"/>
      </rPr>
      <t xml:space="preserve"> fence servitude/access gates</t>
    </r>
    <r>
      <rPr>
        <b/>
        <sz val="10"/>
        <color indexed="10"/>
        <rFont val="Arial"/>
        <family val="2"/>
      </rPr>
      <t>, dwg: D-FS-13409 Rev. 2  Sht. 1 - 5</t>
    </r>
    <r>
      <rPr>
        <b/>
        <i/>
        <sz val="10"/>
        <color indexed="10"/>
        <rFont val="Arial"/>
        <family val="2"/>
      </rPr>
      <t xml:space="preserve"> </t>
    </r>
    <r>
      <rPr>
        <b/>
        <sz val="10"/>
        <color indexed="10"/>
        <rFont val="Arial"/>
        <family val="2"/>
      </rPr>
      <t>and 3.7.1 a) iii)</t>
    </r>
  </si>
  <si>
    <r>
      <t>Complete dismantling and removal from site of existing servitude/access gates according to</t>
    </r>
    <r>
      <rPr>
        <b/>
        <sz val="10"/>
        <color rgb="FFFF0000"/>
        <rFont val="Arial"/>
        <family val="2"/>
      </rPr>
      <t xml:space="preserve"> 3.2.3 b) and 3.7.1 a) i)</t>
    </r>
  </si>
  <si>
    <r>
      <t xml:space="preserve">Complete installation of new power line servitude gates:- </t>
    </r>
    <r>
      <rPr>
        <b/>
        <sz val="11"/>
        <color indexed="10"/>
        <rFont val="Arial"/>
        <family val="2"/>
      </rPr>
      <t>PART C3.3: Activity Stage 3.3 
(Item subjected to re-measurement)</t>
    </r>
  </si>
  <si>
    <r>
      <t xml:space="preserve">a) Use and maintenance of private access roads for construction purposes, including the establishment and maintenance of construction notice boards &amp; sign posts at all private access roads according to </t>
    </r>
    <r>
      <rPr>
        <b/>
        <sz val="10"/>
        <color rgb="FFFF0000"/>
        <rFont val="Arial"/>
        <family val="2"/>
      </rPr>
      <t>3.4.3 to 3.4.6</t>
    </r>
  </si>
  <si>
    <r>
      <t xml:space="preserve">b) Establishment and maintenance of construction notice boards &amp; sign posts at all private access roads according to </t>
    </r>
    <r>
      <rPr>
        <b/>
        <sz val="10"/>
        <color rgb="FFFF0000"/>
        <rFont val="Arial"/>
        <family val="2"/>
      </rPr>
      <t>3.4.4</t>
    </r>
  </si>
  <si>
    <r>
      <t xml:space="preserve">c) Establishment, use and maintenance of construction access on the power line servitude according to </t>
    </r>
    <r>
      <rPr>
        <b/>
        <sz val="10"/>
        <color rgb="FFFF0000"/>
        <rFont val="Arial"/>
        <family val="2"/>
      </rPr>
      <t>3.4.8</t>
    </r>
    <r>
      <rPr>
        <sz val="10"/>
        <rFont val="Arial"/>
        <family val="2"/>
      </rPr>
      <t>.</t>
    </r>
  </si>
  <si>
    <r>
      <t xml:space="preserve">Bush clearing and cutting of trees:- </t>
    </r>
    <r>
      <rPr>
        <b/>
        <sz val="11"/>
        <color indexed="10"/>
        <rFont val="Arial"/>
        <family val="2"/>
      </rPr>
      <t>PART C3.3: Activity Stage 3.5 
 (Item subjected to re-measurement)</t>
    </r>
  </si>
  <si>
    <t>Obtaining of special permits for the cutting of endangered trees and shrubs</t>
  </si>
  <si>
    <r>
      <t>m</t>
    </r>
    <r>
      <rPr>
        <vertAlign val="superscript"/>
        <sz val="10"/>
        <rFont val="Arial"/>
        <family val="2"/>
      </rPr>
      <t>2</t>
    </r>
  </si>
  <si>
    <t>Establishment of construction access to all structure sites through the use of private roads and creating single tracks along clear ground:</t>
  </si>
  <si>
    <t>i) Minimum of 90% of modified AASHTO maximum density</t>
  </si>
  <si>
    <t>ii) Minimum of 93% of modified AASHTO maximum density</t>
  </si>
  <si>
    <t xml:space="preserve">a) Compact to 90% of modified AASHTO maximum density  </t>
  </si>
  <si>
    <t>a) Intermediate excavation</t>
  </si>
  <si>
    <t>b) Hard rock excavation</t>
  </si>
  <si>
    <t>a) Compact to 90% of modified AASHTO maximum density</t>
  </si>
  <si>
    <t xml:space="preserve">b) Rock fill, process, and compact </t>
  </si>
  <si>
    <t>Locating and mark all endangered tree positions, where permits for cutting are required</t>
  </si>
  <si>
    <r>
      <t>Cut and chemically treat larger trees with</t>
    </r>
    <r>
      <rPr>
        <b/>
        <sz val="10"/>
        <color indexed="10"/>
        <rFont val="Arial"/>
        <family val="2"/>
      </rPr>
      <t xml:space="preserve"> trunk diameters 250-500mm - Tree trunk and branches to be cut in pieces not exceeding 3,0m in length</t>
    </r>
  </si>
  <si>
    <r>
      <t>Cut and chemically treat large trees with</t>
    </r>
    <r>
      <rPr>
        <b/>
        <sz val="10"/>
        <color indexed="10"/>
        <rFont val="Arial"/>
        <family val="2"/>
      </rPr>
      <t xml:space="preserve"> trunk diameters 500-750mm - Tree trunk and branches to be cut in pieces not exceeding 3,0m in length</t>
    </r>
  </si>
  <si>
    <r>
      <t>Cut and chemically treat large trees with</t>
    </r>
    <r>
      <rPr>
        <b/>
        <sz val="10"/>
        <color indexed="10"/>
        <rFont val="Arial"/>
        <family val="2"/>
      </rPr>
      <t xml:space="preserve"> trunk diameters 750-1250mm - Tree trunk and branches to be cut in pieces not exceeding 3,0m in length</t>
    </r>
  </si>
  <si>
    <t>Replacement of felled trees at allocated positions, where required</t>
  </si>
  <si>
    <r>
      <t xml:space="preserve">Cut and chemically treat </t>
    </r>
    <r>
      <rPr>
        <b/>
        <sz val="10"/>
        <color indexed="10"/>
        <rFont val="Arial"/>
        <family val="2"/>
      </rPr>
      <t>scattered</t>
    </r>
    <r>
      <rPr>
        <sz val="10"/>
        <rFont val="Arial"/>
        <family val="2"/>
      </rPr>
      <t xml:space="preserve"> trees, bush &amp; shrubs</t>
    </r>
    <r>
      <rPr>
        <sz val="10"/>
        <rFont val="Arial"/>
        <family val="2"/>
      </rPr>
      <t/>
    </r>
  </si>
  <si>
    <r>
      <t>Cut and chemically treat</t>
    </r>
    <r>
      <rPr>
        <b/>
        <sz val="10"/>
        <color indexed="10"/>
        <rFont val="Arial"/>
        <family val="2"/>
      </rPr>
      <t xml:space="preserve"> dense</t>
    </r>
    <r>
      <rPr>
        <sz val="10"/>
        <rFont val="Arial"/>
        <family val="2"/>
      </rPr>
      <t xml:space="preserve"> trees, bush &amp; shrubs</t>
    </r>
  </si>
  <si>
    <r>
      <t xml:space="preserve">Setting-out and complete installation of </t>
    </r>
    <r>
      <rPr>
        <b/>
        <sz val="10"/>
        <color indexed="10"/>
        <rFont val="Arial"/>
        <family val="2"/>
      </rPr>
      <t>new Standard 4,5m wide small stock fence</t>
    </r>
    <r>
      <rPr>
        <sz val="10"/>
        <rFont val="Arial"/>
        <family val="2"/>
      </rPr>
      <t xml:space="preserve"> gates in fences without any servitude gates, dwg: </t>
    </r>
    <r>
      <rPr>
        <b/>
        <sz val="10"/>
        <color indexed="10"/>
        <rFont val="Arial"/>
        <family val="2"/>
      </rPr>
      <t>D-FS-12051 Sht. 1 - 5</t>
    </r>
  </si>
  <si>
    <r>
      <t xml:space="preserve">Setting-out and complete installation of </t>
    </r>
    <r>
      <rPr>
        <b/>
        <sz val="10"/>
        <color indexed="10"/>
        <rFont val="Arial"/>
        <family val="2"/>
      </rPr>
      <t>new Standard 4,5m wide game fence</t>
    </r>
    <r>
      <rPr>
        <sz val="10"/>
        <rFont val="Arial"/>
        <family val="2"/>
      </rPr>
      <t xml:space="preserve"> gates in fences without any servitude gates, dwg: </t>
    </r>
    <r>
      <rPr>
        <b/>
        <sz val="10"/>
        <color indexed="10"/>
        <rFont val="Arial"/>
        <family val="2"/>
      </rPr>
      <t>D-FS-13409 Rev. 2 Sht. 1 - 5</t>
    </r>
  </si>
  <si>
    <t>3.7.1</t>
  </si>
  <si>
    <t>3.7.2</t>
  </si>
  <si>
    <t>Clear and grub</t>
  </si>
  <si>
    <t>3.7.3</t>
  </si>
  <si>
    <t>Preparation and stripping of Site/removal of topsoil to stated depth, stockpiling, and maintaining</t>
  </si>
  <si>
    <t>3.7.4</t>
  </si>
  <si>
    <t>Cut to fill</t>
  </si>
  <si>
    <t>3.7.5</t>
  </si>
  <si>
    <t>3.7.6</t>
  </si>
  <si>
    <t>Extra-over for items 3.7.5 for excavating and breaking down material in,</t>
  </si>
  <si>
    <t>a) Road-bed preperation and compaction of material to,</t>
  </si>
  <si>
    <t>Borrow to fill</t>
  </si>
  <si>
    <t>3.7.7</t>
  </si>
  <si>
    <t>3.7.8</t>
  </si>
  <si>
    <t>Extra-over item/s 3.7.7, 3.7.9 and 3.7.12 for obtaining material,</t>
  </si>
  <si>
    <t>a) from commercial sources</t>
  </si>
  <si>
    <t>Selected layer compacted to 93% of modified AASHTO maximum density</t>
  </si>
  <si>
    <t>3.7.9</t>
  </si>
  <si>
    <t>3.7.10</t>
  </si>
  <si>
    <t xml:space="preserve">Cut to spoil from </t>
  </si>
  <si>
    <t>a) Soft excavation</t>
  </si>
  <si>
    <t>b) Intermediate excavation</t>
  </si>
  <si>
    <t>c) Hard rock</t>
  </si>
  <si>
    <t>3.7.11</t>
  </si>
  <si>
    <t xml:space="preserve">Removal of oversize material </t>
  </si>
  <si>
    <t>3.7.12</t>
  </si>
  <si>
    <t>Catchwater mounds and channels and mitre banks and channels</t>
  </si>
  <si>
    <t>Surface Rehabilitation and finishes</t>
  </si>
  <si>
    <t>3.7.13</t>
  </si>
  <si>
    <t xml:space="preserve">a) Cut to spoil of temporary access roads  </t>
  </si>
  <si>
    <t xml:space="preserve">b) Spreading of material used in temporary access roads  </t>
  </si>
  <si>
    <t>d) Topsoiling Cover</t>
  </si>
  <si>
    <t xml:space="preserve">e) Grass Planting </t>
  </si>
  <si>
    <t xml:space="preserve">f) Hydro Seeding </t>
  </si>
  <si>
    <t xml:space="preserve">g) Mulching </t>
  </si>
  <si>
    <t xml:space="preserve">h) Use of patented or copyright protected biodegradable
erosion control blanket systems </t>
  </si>
  <si>
    <r>
      <t xml:space="preserve">a)  </t>
    </r>
    <r>
      <rPr>
        <b/>
        <sz val="10"/>
        <color indexed="10"/>
        <rFont val="Arial"/>
        <family val="2"/>
      </rPr>
      <t>40mm x 3mm thk</t>
    </r>
    <r>
      <rPr>
        <sz val="10"/>
        <rFont val="Arial"/>
        <family val="2"/>
      </rPr>
      <t>; galvanised m/steel strap</t>
    </r>
  </si>
  <si>
    <r>
      <t xml:space="preserve">a)   Excavate earth trenches </t>
    </r>
    <r>
      <rPr>
        <b/>
        <sz val="10"/>
        <color rgb="FFFF0000"/>
        <rFont val="Arial"/>
        <family val="2"/>
      </rPr>
      <t>max 1m</t>
    </r>
    <r>
      <rPr>
        <sz val="10"/>
        <rFont val="Arial"/>
        <family val="2"/>
      </rPr>
      <t xml:space="preserve"> deep at all steel pole structures,including earth trenches from terminal structures to substation earth mats. To be as wide as needed to reach the specified depth.</t>
    </r>
  </si>
  <si>
    <t>b)   Bend and install earth straps</t>
  </si>
  <si>
    <r>
      <t xml:space="preserve">Supply and transport of power line structure earthing material:- </t>
    </r>
    <r>
      <rPr>
        <b/>
        <sz val="11"/>
        <color indexed="10"/>
        <rFont val="Arial"/>
        <family val="2"/>
      </rPr>
      <t>PART C3.3: Activity Stage 6.1
(Items subjected to re-measurement)</t>
    </r>
  </si>
  <si>
    <t>Supply and transport to site of all structure earthing material:</t>
  </si>
  <si>
    <t>a)   Measure all structure footing resistances</t>
  </si>
  <si>
    <t>Safe storage at delivery site, handling and transport to peg of structure earthing material:</t>
  </si>
  <si>
    <r>
      <t xml:space="preserve">Complete installation of power line structure earthing:- </t>
    </r>
    <r>
      <rPr>
        <b/>
        <sz val="11"/>
        <color indexed="10"/>
        <rFont val="Arial"/>
        <family val="2"/>
      </rPr>
      <t>PART C3.3: Activity Stage 6.2
(Items subjected to re-measurement)</t>
    </r>
  </si>
  <si>
    <r>
      <t xml:space="preserve">a)   Excavate earth trenches </t>
    </r>
    <r>
      <rPr>
        <b/>
        <sz val="10"/>
        <color rgb="FFFF0000"/>
        <rFont val="Arial"/>
        <family val="2"/>
      </rPr>
      <t>max 1m</t>
    </r>
    <r>
      <rPr>
        <sz val="10"/>
        <rFont val="Arial"/>
        <family val="2"/>
      </rPr>
      <t xml:space="preserve"> deep at all structures requiring additional earthing, exposing the remote end of the existing standard earth strap. To be as wide as needed to reach the specified depth.</t>
    </r>
  </si>
  <si>
    <r>
      <t xml:space="preserve">Complete installation of additional structure earthing (3-point star according to </t>
    </r>
    <r>
      <rPr>
        <b/>
        <sz val="11"/>
        <color rgb="FFFF0000"/>
        <rFont val="Arial"/>
        <family val="2"/>
      </rPr>
      <t>6.2.8</t>
    </r>
    <r>
      <rPr>
        <b/>
        <sz val="11"/>
        <rFont val="Arial"/>
        <family val="2"/>
      </rPr>
      <t>):</t>
    </r>
  </si>
  <si>
    <r>
      <t xml:space="preserve">b)   Drilling </t>
    </r>
    <r>
      <rPr>
        <b/>
        <sz val="10"/>
        <color indexed="10"/>
        <rFont val="Arial"/>
        <family val="2"/>
      </rPr>
      <t>min. Dia 100mm x max 3m deep</t>
    </r>
    <r>
      <rPr>
        <sz val="10"/>
        <rFont val="Arial"/>
        <family val="2"/>
      </rPr>
      <t xml:space="preserve"> earth spike holes at specified positions</t>
    </r>
  </si>
  <si>
    <r>
      <t xml:space="preserve">d)  </t>
    </r>
    <r>
      <rPr>
        <b/>
        <sz val="10"/>
        <color indexed="10"/>
        <rFont val="Arial"/>
        <family val="2"/>
      </rPr>
      <t>Dia 16mm x 3m long, Min. 0,25mm thick Copper coated earth rod</t>
    </r>
    <r>
      <rPr>
        <sz val="10"/>
        <rFont val="Arial"/>
        <family val="2"/>
      </rPr>
      <t>; High tensile steel - Threaded end</t>
    </r>
  </si>
  <si>
    <r>
      <t xml:space="preserve">e)  50mm x 3,0mm thick flat Copper Earth Strap; to specification drawing: </t>
    </r>
    <r>
      <rPr>
        <b/>
        <sz val="10"/>
        <color indexed="10"/>
        <rFont val="Arial"/>
        <family val="2"/>
      </rPr>
      <t>D-DT-6045 Rev. 2</t>
    </r>
    <r>
      <rPr>
        <sz val="10"/>
        <rFont val="Arial"/>
        <family val="2"/>
      </rPr>
      <t xml:space="preserve"> </t>
    </r>
    <r>
      <rPr>
        <b/>
        <i/>
        <sz val="10"/>
        <color indexed="10"/>
        <rFont val="Arial"/>
        <family val="2"/>
      </rPr>
      <t>(ESKOM SUPPLY)</t>
    </r>
  </si>
  <si>
    <t>c)   Apply contact grease and "Bolt" joint earth strap connections to structure earth lugs</t>
  </si>
  <si>
    <t>d)   Exo-weld copper earth strap to earth mat</t>
  </si>
  <si>
    <r>
      <t xml:space="preserve">g)   Backfill second </t>
    </r>
    <r>
      <rPr>
        <b/>
        <sz val="10"/>
        <color indexed="10"/>
        <rFont val="Arial"/>
        <family val="2"/>
      </rPr>
      <t>±100mm</t>
    </r>
    <r>
      <rPr>
        <sz val="10"/>
        <rFont val="Arial"/>
        <family val="2"/>
      </rPr>
      <t xml:space="preserve"> thick layer, for</t>
    </r>
    <r>
      <rPr>
        <b/>
        <sz val="10"/>
        <color rgb="FFFF0000"/>
        <rFont val="Arial"/>
        <family val="2"/>
      </rPr>
      <t xml:space="preserve"> copper earth strap trenches ONLY</t>
    </r>
    <r>
      <rPr>
        <sz val="10"/>
        <rFont val="Arial"/>
        <family val="2"/>
      </rPr>
      <t xml:space="preserve">, in-situ cast </t>
    </r>
    <r>
      <rPr>
        <b/>
        <sz val="10"/>
        <color indexed="10"/>
        <rFont val="Arial"/>
        <family val="2"/>
      </rPr>
      <t>15MPa</t>
    </r>
    <r>
      <rPr>
        <sz val="10"/>
        <rFont val="Arial"/>
        <family val="2"/>
      </rPr>
      <t xml:space="preserve"> mass concrete</t>
    </r>
  </si>
  <si>
    <r>
      <t xml:space="preserve">b)  ACSR phase conductor </t>
    </r>
    <r>
      <rPr>
        <b/>
        <sz val="10"/>
        <color indexed="10"/>
        <rFont val="Arial"/>
        <family val="2"/>
      </rPr>
      <t>"PH - STR B"</t>
    </r>
    <r>
      <rPr>
        <sz val="10"/>
        <rFont val="Arial"/>
        <family val="2"/>
      </rPr>
      <t xml:space="preserve"> strain assemblies for </t>
    </r>
    <r>
      <rPr>
        <b/>
        <sz val="10"/>
        <color indexed="10"/>
        <rFont val="Arial"/>
        <family val="2"/>
      </rPr>
      <t xml:space="preserve">“Types 7807”, "Types 7645” </t>
    </r>
    <r>
      <rPr>
        <sz val="10"/>
        <rFont val="Arial"/>
        <family val="2"/>
      </rPr>
      <t xml:space="preserve"> and</t>
    </r>
    <r>
      <rPr>
        <b/>
        <sz val="10"/>
        <color rgb="FFFF0000"/>
        <rFont val="Arial"/>
        <family val="2"/>
      </rPr>
      <t xml:space="preserve"> “Types NS7618”</t>
    </r>
    <r>
      <rPr>
        <sz val="10"/>
        <rFont val="Arial"/>
        <family val="2"/>
      </rPr>
      <t xml:space="preserve"> strain structures with vertical landing plates, see </t>
    </r>
    <r>
      <rPr>
        <b/>
        <sz val="10"/>
        <color indexed="10"/>
        <rFont val="Arial"/>
        <family val="2"/>
      </rPr>
      <t>PART C3.3 - Section 7.4</t>
    </r>
  </si>
  <si>
    <r>
      <t xml:space="preserve">a)  ACSR phase conductor </t>
    </r>
    <r>
      <rPr>
        <b/>
        <sz val="10"/>
        <color indexed="10"/>
        <rFont val="Arial"/>
        <family val="2"/>
      </rPr>
      <t>"PH - STR A"</t>
    </r>
    <r>
      <rPr>
        <sz val="10"/>
        <rFont val="Arial"/>
        <family val="2"/>
      </rPr>
      <t xml:space="preserve"> strain assemblies for </t>
    </r>
    <r>
      <rPr>
        <b/>
        <sz val="10"/>
        <color indexed="10"/>
        <rFont val="Arial"/>
        <family val="2"/>
      </rPr>
      <t>“Types 7645”</t>
    </r>
    <r>
      <rPr>
        <sz val="10"/>
        <rFont val="Arial"/>
        <family val="2"/>
      </rPr>
      <t xml:space="preserve"> and</t>
    </r>
    <r>
      <rPr>
        <b/>
        <sz val="10"/>
        <color rgb="FFFF0000"/>
        <rFont val="Arial"/>
        <family val="2"/>
      </rPr>
      <t xml:space="preserve"> “Types NS7618”</t>
    </r>
    <r>
      <rPr>
        <sz val="10"/>
        <rFont val="Arial"/>
        <family val="2"/>
      </rPr>
      <t xml:space="preserve"> strain structures with horizontal landing plates, see </t>
    </r>
    <r>
      <rPr>
        <b/>
        <sz val="10"/>
        <color indexed="10"/>
        <rFont val="Arial"/>
        <family val="2"/>
      </rPr>
      <t>PART C3.3 - Section 7.4</t>
    </r>
  </si>
  <si>
    <r>
      <t xml:space="preserve">c)  ACSR phase conductor </t>
    </r>
    <r>
      <rPr>
        <b/>
        <sz val="10"/>
        <color indexed="10"/>
        <rFont val="Arial"/>
        <family val="2"/>
      </rPr>
      <t>"PH - STR C"</t>
    </r>
    <r>
      <rPr>
        <sz val="10"/>
        <rFont val="Arial"/>
        <family val="2"/>
      </rPr>
      <t xml:space="preserve"> strain assemblies for </t>
    </r>
    <r>
      <rPr>
        <b/>
        <sz val="10"/>
        <color indexed="10"/>
        <rFont val="Arial"/>
        <family val="2"/>
      </rPr>
      <t>“Types 7807”</t>
    </r>
    <r>
      <rPr>
        <sz val="10"/>
        <rFont val="Arial"/>
        <family val="2"/>
      </rPr>
      <t xml:space="preserve"> strain terminal structures, substation side only, see </t>
    </r>
    <r>
      <rPr>
        <b/>
        <sz val="10"/>
        <color indexed="10"/>
        <rFont val="Arial"/>
        <family val="2"/>
      </rPr>
      <t>PART C3.3 - Section 7.4</t>
    </r>
  </si>
  <si>
    <r>
      <t xml:space="preserve">d)  ACSR phase conductor </t>
    </r>
    <r>
      <rPr>
        <b/>
        <sz val="10"/>
        <color indexed="10"/>
        <rFont val="Arial"/>
        <family val="2"/>
      </rPr>
      <t>"PH - POST A"</t>
    </r>
    <r>
      <rPr>
        <sz val="10"/>
        <rFont val="Arial"/>
        <family val="2"/>
      </rPr>
      <t xml:space="preserve"> jumper post support assemblies for </t>
    </r>
    <r>
      <rPr>
        <b/>
        <sz val="10"/>
        <color indexed="10"/>
        <rFont val="Arial"/>
        <family val="2"/>
      </rPr>
      <t>“Types 7645”</t>
    </r>
    <r>
      <rPr>
        <sz val="10"/>
        <rFont val="Arial"/>
        <family val="2"/>
      </rPr>
      <t xml:space="preserve"> and </t>
    </r>
    <r>
      <rPr>
        <b/>
        <sz val="10"/>
        <color indexed="10"/>
        <rFont val="Arial"/>
        <family val="2"/>
      </rPr>
      <t xml:space="preserve">“Types NS7618” </t>
    </r>
    <r>
      <rPr>
        <sz val="10"/>
        <rFont val="Arial"/>
        <family val="2"/>
      </rPr>
      <t xml:space="preserve">strain structures, see </t>
    </r>
    <r>
      <rPr>
        <b/>
        <sz val="10"/>
        <color indexed="10"/>
        <rFont val="Arial"/>
        <family val="2"/>
      </rPr>
      <t>PART C3.3 - Section 7.4</t>
    </r>
  </si>
  <si>
    <r>
      <t xml:space="preserve">e)  ACSR phase conductor </t>
    </r>
    <r>
      <rPr>
        <b/>
        <sz val="10"/>
        <color indexed="10"/>
        <rFont val="Arial"/>
        <family val="2"/>
      </rPr>
      <t>"PH - POST B"</t>
    </r>
    <r>
      <rPr>
        <sz val="10"/>
        <rFont val="Arial"/>
        <family val="2"/>
      </rPr>
      <t xml:space="preserve"> jumper post support assemblies for </t>
    </r>
    <r>
      <rPr>
        <b/>
        <sz val="10"/>
        <color indexed="10"/>
        <rFont val="Arial"/>
        <family val="2"/>
      </rPr>
      <t>“Types NS7807”</t>
    </r>
    <r>
      <rPr>
        <sz val="10"/>
        <rFont val="Arial"/>
        <family val="2"/>
      </rPr>
      <t xml:space="preserve"> strain terminal structures, see </t>
    </r>
    <r>
      <rPr>
        <b/>
        <sz val="10"/>
        <color indexed="10"/>
        <rFont val="Arial"/>
        <family val="2"/>
      </rPr>
      <t>PART C3.3 - Section 7.4</t>
    </r>
  </si>
  <si>
    <r>
      <t xml:space="preserve">f)  ACSR phase conductor </t>
    </r>
    <r>
      <rPr>
        <b/>
        <sz val="10"/>
        <color indexed="10"/>
        <rFont val="Arial"/>
        <family val="2"/>
      </rPr>
      <t>"PH - TERM A"</t>
    </r>
    <r>
      <rPr>
        <sz val="10"/>
        <rFont val="Arial"/>
        <family val="2"/>
      </rPr>
      <t xml:space="preserve"> Strain assemblies for </t>
    </r>
    <r>
      <rPr>
        <b/>
        <sz val="10"/>
        <color indexed="10"/>
        <rFont val="Arial"/>
        <family val="2"/>
      </rPr>
      <t>“Station gantry”</t>
    </r>
    <r>
      <rPr>
        <sz val="10"/>
        <rFont val="Arial"/>
        <family val="2"/>
      </rPr>
      <t xml:space="preserve"> substation structures, see </t>
    </r>
    <r>
      <rPr>
        <b/>
        <sz val="10"/>
        <color indexed="10"/>
        <rFont val="Arial"/>
        <family val="2"/>
      </rPr>
      <t>PART C3.3 - Section 7.4</t>
    </r>
  </si>
  <si>
    <r>
      <t xml:space="preserve">g)  ACSR phase conductor </t>
    </r>
    <r>
      <rPr>
        <b/>
        <sz val="10"/>
        <color indexed="10"/>
        <rFont val="Arial"/>
        <family val="2"/>
      </rPr>
      <t>"PH - SUSP I"</t>
    </r>
    <r>
      <rPr>
        <sz val="10"/>
        <rFont val="Arial"/>
        <family val="2"/>
      </rPr>
      <t xml:space="preserve"> Suspension assemblies for </t>
    </r>
    <r>
      <rPr>
        <b/>
        <sz val="10"/>
        <color indexed="10"/>
        <rFont val="Arial"/>
        <family val="2"/>
      </rPr>
      <t>“Type 7649”</t>
    </r>
    <r>
      <rPr>
        <sz val="10"/>
        <rFont val="Arial"/>
        <family val="2"/>
      </rPr>
      <t xml:space="preserve"> ssuspension structures, see </t>
    </r>
    <r>
      <rPr>
        <b/>
        <sz val="10"/>
        <color indexed="10"/>
        <rFont val="Arial"/>
        <family val="2"/>
      </rPr>
      <t>PART C3.3 - Section 7.4</t>
    </r>
  </si>
  <si>
    <r>
      <t xml:space="preserve">a)  Shield wire </t>
    </r>
    <r>
      <rPr>
        <b/>
        <sz val="10"/>
        <color indexed="10"/>
        <rFont val="Arial"/>
        <family val="2"/>
      </rPr>
      <t>"SW-STR A"</t>
    </r>
    <r>
      <rPr>
        <sz val="10"/>
        <rFont val="Arial"/>
        <family val="2"/>
      </rPr>
      <t xml:space="preserve"> insulated assemblies for </t>
    </r>
    <r>
      <rPr>
        <b/>
        <sz val="10"/>
        <color indexed="10"/>
        <rFont val="Arial"/>
        <family val="2"/>
      </rPr>
      <t xml:space="preserve">"Types 7645" </t>
    </r>
    <r>
      <rPr>
        <sz val="10"/>
        <rFont val="Arial"/>
        <family val="2"/>
      </rPr>
      <t xml:space="preserve">structures, see </t>
    </r>
    <r>
      <rPr>
        <b/>
        <sz val="10"/>
        <color indexed="10"/>
        <rFont val="Arial"/>
        <family val="2"/>
      </rPr>
      <t>PART C3.3 - Section 7.5</t>
    </r>
  </si>
  <si>
    <r>
      <t xml:space="preserve">b)  Shield wire </t>
    </r>
    <r>
      <rPr>
        <b/>
        <sz val="10"/>
        <color indexed="10"/>
        <rFont val="Arial"/>
        <family val="2"/>
      </rPr>
      <t>"SW-STR B"</t>
    </r>
    <r>
      <rPr>
        <sz val="10"/>
        <rFont val="Arial"/>
        <family val="2"/>
      </rPr>
      <t xml:space="preserve"> non-insulated assemblies for </t>
    </r>
    <r>
      <rPr>
        <b/>
        <sz val="10"/>
        <color indexed="10"/>
        <rFont val="Arial"/>
        <family val="2"/>
      </rPr>
      <t xml:space="preserve"> "Types 7645, NS7618, 7801 and station gantry" </t>
    </r>
    <r>
      <rPr>
        <sz val="10"/>
        <rFont val="Arial"/>
        <family val="2"/>
      </rPr>
      <t xml:space="preserve">structures, see </t>
    </r>
    <r>
      <rPr>
        <b/>
        <sz val="10"/>
        <color indexed="10"/>
        <rFont val="Arial"/>
        <family val="2"/>
      </rPr>
      <t>PART C3.3 - Section 7.5</t>
    </r>
  </si>
  <si>
    <t>c)  Structure shackles for OPGW assembly connections. One per suspension structure, one per gantry and two per strain structure</t>
  </si>
  <si>
    <r>
      <t xml:space="preserve">c)  Phase conductor </t>
    </r>
    <r>
      <rPr>
        <b/>
        <sz val="10"/>
        <color indexed="10"/>
        <rFont val="Arial"/>
        <family val="2"/>
      </rPr>
      <t>"PH - STR C"</t>
    </r>
    <r>
      <rPr>
        <sz val="10"/>
        <rFont val="Arial"/>
        <family val="2"/>
      </rPr>
      <t xml:space="preserve"> assemblies</t>
    </r>
  </si>
  <si>
    <r>
      <t xml:space="preserve">d)  Phase conductor </t>
    </r>
    <r>
      <rPr>
        <b/>
        <sz val="10"/>
        <color indexed="10"/>
        <rFont val="Arial"/>
        <family val="2"/>
      </rPr>
      <t>"PH - POST A"</t>
    </r>
    <r>
      <rPr>
        <sz val="10"/>
        <rFont val="Arial"/>
        <family val="2"/>
      </rPr>
      <t xml:space="preserve"> assemblies</t>
    </r>
  </si>
  <si>
    <r>
      <t xml:space="preserve">e)  Phase conductor </t>
    </r>
    <r>
      <rPr>
        <b/>
        <sz val="10"/>
        <color indexed="10"/>
        <rFont val="Arial"/>
        <family val="2"/>
      </rPr>
      <t>"PH - POST B"</t>
    </r>
    <r>
      <rPr>
        <sz val="10"/>
        <rFont val="Arial"/>
        <family val="2"/>
      </rPr>
      <t xml:space="preserve"> assemblies</t>
    </r>
  </si>
  <si>
    <r>
      <t xml:space="preserve">f)  Phase conductor </t>
    </r>
    <r>
      <rPr>
        <b/>
        <sz val="10"/>
        <color indexed="10"/>
        <rFont val="Arial"/>
        <family val="2"/>
      </rPr>
      <t>"PH - TERM A"</t>
    </r>
    <r>
      <rPr>
        <sz val="10"/>
        <rFont val="Arial"/>
        <family val="2"/>
      </rPr>
      <t xml:space="preserve"> assemblies</t>
    </r>
  </si>
  <si>
    <r>
      <t xml:space="preserve">g)  Phase conductor </t>
    </r>
    <r>
      <rPr>
        <b/>
        <sz val="10"/>
        <color indexed="10"/>
        <rFont val="Arial"/>
        <family val="2"/>
      </rPr>
      <t>"PH - SUSP I"</t>
    </r>
    <r>
      <rPr>
        <sz val="10"/>
        <rFont val="Arial"/>
        <family val="2"/>
      </rPr>
      <t xml:space="preserve"> assemblies</t>
    </r>
  </si>
  <si>
    <t>c)  Structure shackles for OPGW</t>
  </si>
  <si>
    <r>
      <t xml:space="preserve">a)  Mono-pole Suspension structure, complete with </t>
    </r>
    <r>
      <rPr>
        <b/>
        <sz val="10"/>
        <color indexed="12"/>
        <rFont val="Arial"/>
        <family val="2"/>
      </rPr>
      <t>3 x PH - POST A assemblies</t>
    </r>
    <r>
      <rPr>
        <sz val="10"/>
        <rFont val="Times New Roman"/>
        <family val="1"/>
      </rPr>
      <t/>
    </r>
  </si>
  <si>
    <r>
      <t xml:space="preserve">b)  Mono-pole angle strain structure, complete with </t>
    </r>
    <r>
      <rPr>
        <b/>
        <sz val="10"/>
        <color indexed="12"/>
        <rFont val="Arial"/>
        <family val="2"/>
      </rPr>
      <t>6 x PH - STR A/B + 3 x POST A assemblies</t>
    </r>
  </si>
  <si>
    <r>
      <t xml:space="preserve">c)  3-pole angle strain structure, complete with </t>
    </r>
    <r>
      <rPr>
        <b/>
        <sz val="10"/>
        <color indexed="12"/>
        <rFont val="Arial"/>
        <family val="2"/>
      </rPr>
      <t>6 x PH - STR A/B + 3 x POST A assemblies</t>
    </r>
  </si>
  <si>
    <r>
      <t xml:space="preserve">d)  H-pole terminal tower, complete with </t>
    </r>
    <r>
      <rPr>
        <b/>
        <sz val="10"/>
        <color indexed="12"/>
        <rFont val="Arial"/>
        <family val="2"/>
      </rPr>
      <t>3 x PH - STR B + 3 x PH-STR C assemblies</t>
    </r>
  </si>
  <si>
    <r>
      <t xml:space="preserve">e)  H-pole terminal tower, complete with </t>
    </r>
    <r>
      <rPr>
        <b/>
        <sz val="10"/>
        <color indexed="12"/>
        <rFont val="Arial"/>
        <family val="2"/>
      </rPr>
      <t>3 x PH - STR B + 3 x PH-STR C + 2 x PH - POST B assemblies</t>
    </r>
  </si>
  <si>
    <r>
      <t xml:space="preserve">a)   Helically attached </t>
    </r>
    <r>
      <rPr>
        <b/>
        <sz val="10"/>
        <color indexed="10"/>
        <rFont val="Arial"/>
        <family val="2"/>
      </rPr>
      <t>"Chicadee-Wolf Multi Frequency"</t>
    </r>
    <r>
      <rPr>
        <sz val="10"/>
        <rFont val="Arial"/>
        <family val="2"/>
      </rPr>
      <t xml:space="preserve"> phase conductor vibration dampers, see </t>
    </r>
    <r>
      <rPr>
        <b/>
        <sz val="10"/>
        <color indexed="10"/>
        <rFont val="Arial"/>
        <family val="2"/>
      </rPr>
      <t>PART C7.1</t>
    </r>
  </si>
  <si>
    <r>
      <t xml:space="preserve">d)  30/7/2,59mm </t>
    </r>
    <r>
      <rPr>
        <b/>
        <sz val="10"/>
        <color indexed="10"/>
        <rFont val="Arial"/>
        <family val="2"/>
      </rPr>
      <t>“Wolf”</t>
    </r>
    <r>
      <rPr>
        <sz val="10"/>
        <rFont val="Arial"/>
        <family val="2"/>
      </rPr>
      <t xml:space="preserve"> ACSR phase conductor - Dead-end compression clamp, see </t>
    </r>
    <r>
      <rPr>
        <b/>
        <sz val="10"/>
        <color indexed="10"/>
        <rFont val="Arial"/>
        <family val="2"/>
      </rPr>
      <t>PART C7.1</t>
    </r>
  </si>
  <si>
    <r>
      <t xml:space="preserve">e)  18/1/3,77mm </t>
    </r>
    <r>
      <rPr>
        <b/>
        <sz val="10"/>
        <color indexed="10"/>
        <rFont val="Arial"/>
        <family val="2"/>
      </rPr>
      <t>“Chicadee”</t>
    </r>
    <r>
      <rPr>
        <sz val="10"/>
        <rFont val="Arial"/>
        <family val="2"/>
      </rPr>
      <t xml:space="preserve"> ACSR phase conductor - Preformed repair sleeve, see </t>
    </r>
    <r>
      <rPr>
        <b/>
        <sz val="10"/>
        <color indexed="10"/>
        <rFont val="Arial"/>
        <family val="2"/>
      </rPr>
      <t>PART C7.1</t>
    </r>
  </si>
  <si>
    <r>
      <t xml:space="preserve">f)  18/1/3,77mm </t>
    </r>
    <r>
      <rPr>
        <b/>
        <sz val="10"/>
        <color indexed="10"/>
        <rFont val="Arial"/>
        <family val="2"/>
      </rPr>
      <t xml:space="preserve">“Chicadee” </t>
    </r>
    <r>
      <rPr>
        <sz val="10"/>
        <rFont val="Arial"/>
        <family val="2"/>
      </rPr>
      <t>ACSR phase conductor - Compression repair sleeve, see</t>
    </r>
    <r>
      <rPr>
        <b/>
        <sz val="10"/>
        <color indexed="10"/>
        <rFont val="Arial"/>
        <family val="2"/>
      </rPr>
      <t xml:space="preserve"> PART C7.1</t>
    </r>
  </si>
  <si>
    <r>
      <t>Supply and transport to site of miscellaneous "</t>
    </r>
    <r>
      <rPr>
        <b/>
        <sz val="11"/>
        <color indexed="10"/>
        <rFont val="Arial"/>
        <family val="2"/>
      </rPr>
      <t>Shield wire stringing hardware</t>
    </r>
    <r>
      <rPr>
        <b/>
        <sz val="11"/>
        <rFont val="Arial"/>
        <family val="2"/>
      </rPr>
      <t>":</t>
    </r>
  </si>
  <si>
    <r>
      <t xml:space="preserve">b)  </t>
    </r>
    <r>
      <rPr>
        <b/>
        <sz val="10"/>
        <color indexed="10"/>
        <rFont val="Arial"/>
        <family val="2"/>
      </rPr>
      <t>“Aircraft Warning Spheres”</t>
    </r>
    <r>
      <rPr>
        <sz val="10"/>
        <rFont val="Arial"/>
        <family val="2"/>
      </rPr>
      <t xml:space="preserve"> Centre Sphere attachment suitable for OPGW and 7/3,35 steel shield wire, see </t>
    </r>
    <r>
      <rPr>
        <b/>
        <sz val="10"/>
        <color indexed="10"/>
        <rFont val="Arial"/>
        <family val="2"/>
      </rPr>
      <t>PART C7.1</t>
    </r>
  </si>
  <si>
    <r>
      <t>a)  18/1/3,77mm</t>
    </r>
    <r>
      <rPr>
        <b/>
        <sz val="10"/>
        <color indexed="10"/>
        <rFont val="Arial"/>
        <family val="2"/>
      </rPr>
      <t xml:space="preserve"> “Chicadee” </t>
    </r>
    <r>
      <rPr>
        <sz val="10"/>
        <rFont val="Arial"/>
        <family val="2"/>
      </rPr>
      <t xml:space="preserve">ACSR phase conductor - Supplied </t>
    </r>
    <r>
      <rPr>
        <b/>
        <sz val="10"/>
        <color indexed="10"/>
        <rFont val="Arial"/>
        <family val="2"/>
      </rPr>
      <t>1 500m drum lengths</t>
    </r>
  </si>
  <si>
    <r>
      <t>b)  30/7/2,59mm</t>
    </r>
    <r>
      <rPr>
        <b/>
        <sz val="10"/>
        <color indexed="10"/>
        <rFont val="Arial"/>
        <family val="2"/>
      </rPr>
      <t xml:space="preserve"> “Wolf” </t>
    </r>
    <r>
      <rPr>
        <sz val="10"/>
        <rFont val="Arial"/>
        <family val="2"/>
      </rPr>
      <t xml:space="preserve">ACSR phase conductor - 
Supplied </t>
    </r>
    <r>
      <rPr>
        <b/>
        <sz val="10"/>
        <color indexed="10"/>
        <rFont val="Arial"/>
        <family val="2"/>
      </rPr>
      <t>1 500m drum lengths</t>
    </r>
  </si>
  <si>
    <r>
      <t xml:space="preserve">b)  Sampling and testing of </t>
    </r>
    <r>
      <rPr>
        <b/>
        <sz val="10"/>
        <color indexed="10"/>
        <rFont val="Arial"/>
        <family val="2"/>
      </rPr>
      <t>“Wolf”</t>
    </r>
    <r>
      <rPr>
        <sz val="10"/>
        <rFont val="Arial"/>
        <family val="2"/>
      </rPr>
      <t xml:space="preserve"> ACSR phase conductor compression fittings</t>
    </r>
  </si>
  <si>
    <r>
      <t>c)  Sampling and testing of</t>
    </r>
    <r>
      <rPr>
        <b/>
        <sz val="10"/>
        <color indexed="10"/>
        <rFont val="Arial"/>
        <family val="2"/>
      </rPr>
      <t xml:space="preserve"> “7/3,35mm”</t>
    </r>
    <r>
      <rPr>
        <sz val="10"/>
        <rFont val="Arial"/>
        <family val="2"/>
      </rPr>
      <t xml:space="preserve"> galvanised steel shield wire compression mid span and guy grip dead-end fittings</t>
    </r>
  </si>
  <si>
    <r>
      <t xml:space="preserve">d)   Submission of </t>
    </r>
    <r>
      <rPr>
        <b/>
        <sz val="10"/>
        <color indexed="10"/>
        <rFont val="Arial"/>
        <family val="2"/>
      </rPr>
      <t>8.3.3 (a), (b) &amp; (c)</t>
    </r>
    <r>
      <rPr>
        <sz val="10"/>
        <rFont val="Arial"/>
        <family val="2"/>
      </rPr>
      <t xml:space="preserve"> test reports, prior to the commencement of the stringing activities</t>
    </r>
  </si>
  <si>
    <r>
      <t xml:space="preserve">e)  </t>
    </r>
    <r>
      <rPr>
        <sz val="10"/>
        <rFont val="Arial"/>
        <family val="2"/>
      </rPr>
      <t xml:space="preserve">Tension string, regulate, joint and clamp </t>
    </r>
    <r>
      <rPr>
        <b/>
        <sz val="10"/>
        <color indexed="10"/>
        <rFont val="Arial"/>
        <family val="2"/>
      </rPr>
      <t>“Chicadee" ACSR</t>
    </r>
    <r>
      <rPr>
        <sz val="10"/>
        <rFont val="Arial"/>
        <family val="2"/>
      </rPr>
      <t xml:space="preserve">  phase conductor (</t>
    </r>
    <r>
      <rPr>
        <b/>
        <sz val="10"/>
        <color indexed="10"/>
        <rFont val="Arial"/>
        <family val="2"/>
      </rPr>
      <t>3 phases</t>
    </r>
    <r>
      <rPr>
        <sz val="10"/>
        <rFont val="Arial"/>
        <family val="2"/>
      </rPr>
      <t xml:space="preserve">) </t>
    </r>
  </si>
  <si>
    <r>
      <t xml:space="preserve">a) At </t>
    </r>
    <r>
      <rPr>
        <b/>
        <sz val="10"/>
        <color indexed="10"/>
        <rFont val="Arial"/>
        <family val="2"/>
      </rPr>
      <t xml:space="preserve">Melkspruit Distribution Station: </t>
    </r>
    <r>
      <rPr>
        <sz val="10"/>
        <rFont val="Arial"/>
        <family val="2"/>
      </rPr>
      <t xml:space="preserve">String, regulate and clamp </t>
    </r>
    <r>
      <rPr>
        <b/>
        <sz val="10"/>
        <color indexed="10"/>
        <rFont val="Arial"/>
        <family val="2"/>
      </rPr>
      <t>“Chicadee”</t>
    </r>
    <r>
      <rPr>
        <sz val="10"/>
        <rFont val="Arial"/>
        <family val="2"/>
      </rPr>
      <t xml:space="preserve"> ACSR phase conductor closing span in the correct phase rotation (</t>
    </r>
    <r>
      <rPr>
        <b/>
        <sz val="10"/>
        <color indexed="10"/>
        <rFont val="Arial"/>
        <family val="2"/>
      </rPr>
      <t>3 Phases</t>
    </r>
    <r>
      <rPr>
        <sz val="10"/>
        <rFont val="Arial"/>
        <family val="2"/>
      </rPr>
      <t>)</t>
    </r>
  </si>
  <si>
    <r>
      <t xml:space="preserve">d)  </t>
    </r>
    <r>
      <rPr>
        <b/>
        <sz val="10"/>
        <color indexed="10"/>
        <rFont val="Arial"/>
        <family val="2"/>
      </rPr>
      <t>"Tyco Flight Diverter" PVC spiral type</t>
    </r>
    <r>
      <rPr>
        <sz val="10"/>
        <rFont val="Arial"/>
        <family val="2"/>
      </rPr>
      <t xml:space="preserve"> for OPGW Alternating colours</t>
    </r>
    <r>
      <rPr>
        <b/>
        <sz val="10"/>
        <rFont val="Arial"/>
        <family val="2"/>
      </rPr>
      <t xml:space="preserve"> GREY &amp; WHITE</t>
    </r>
    <r>
      <rPr>
        <sz val="10"/>
        <rFont val="Arial"/>
        <family val="2"/>
      </rPr>
      <t xml:space="preserve">, see </t>
    </r>
    <r>
      <rPr>
        <b/>
        <sz val="10"/>
        <color indexed="10"/>
        <rFont val="Arial"/>
        <family val="2"/>
      </rPr>
      <t>PART C7.1</t>
    </r>
  </si>
  <si>
    <r>
      <t xml:space="preserve">c)  </t>
    </r>
    <r>
      <rPr>
        <b/>
        <sz val="10"/>
        <color indexed="10"/>
        <rFont val="Arial"/>
        <family val="2"/>
      </rPr>
      <t>"Tyco Flight Diverter" PVC spiral type</t>
    </r>
    <r>
      <rPr>
        <sz val="10"/>
        <rFont val="Arial"/>
        <family val="2"/>
      </rPr>
      <t xml:space="preserve"> for 7/3,35 steel shield wire, Alternating colours</t>
    </r>
    <r>
      <rPr>
        <b/>
        <sz val="10"/>
        <rFont val="Arial"/>
        <family val="2"/>
      </rPr>
      <t xml:space="preserve"> GREY &amp; WHITE</t>
    </r>
    <r>
      <rPr>
        <sz val="10"/>
        <rFont val="Arial"/>
        <family val="2"/>
      </rPr>
      <t xml:space="preserve">, see </t>
    </r>
    <r>
      <rPr>
        <b/>
        <sz val="10"/>
        <color indexed="10"/>
        <rFont val="Arial"/>
        <family val="2"/>
      </rPr>
      <t>PART C7.1</t>
    </r>
  </si>
  <si>
    <r>
      <t xml:space="preserve">c)  </t>
    </r>
    <r>
      <rPr>
        <b/>
        <sz val="10"/>
        <color indexed="10"/>
        <rFont val="Arial"/>
        <family val="2"/>
      </rPr>
      <t>“7/3,35mm”</t>
    </r>
    <r>
      <rPr>
        <sz val="10"/>
        <rFont val="Arial"/>
        <family val="2"/>
      </rPr>
      <t xml:space="preserve"> Galvanised steel shield wire 1 100MPa -Supplied </t>
    </r>
    <r>
      <rPr>
        <b/>
        <sz val="10"/>
        <color indexed="10"/>
        <rFont val="Arial"/>
        <family val="2"/>
      </rPr>
      <t>1 500m drum lengths</t>
    </r>
  </si>
  <si>
    <r>
      <t xml:space="preserve">e)  Recording of phase conductor &amp; shield wire drum numbers and submission of records, see </t>
    </r>
    <r>
      <rPr>
        <b/>
        <sz val="10"/>
        <color indexed="10"/>
        <rFont val="Arial"/>
        <family val="2"/>
      </rPr>
      <t>PART C3.3 - Activity Stage 8</t>
    </r>
  </si>
  <si>
    <r>
      <t>d)  30/7/2,59mm</t>
    </r>
    <r>
      <rPr>
        <b/>
        <sz val="10"/>
        <color indexed="10"/>
        <rFont val="Arial"/>
        <family val="2"/>
      </rPr>
      <t xml:space="preserve"> “Centipede” </t>
    </r>
    <r>
      <rPr>
        <sz val="10"/>
        <rFont val="Arial"/>
        <family val="2"/>
      </rPr>
      <t xml:space="preserve">ACC phase conductor - 
Supplied </t>
    </r>
    <r>
      <rPr>
        <b/>
        <sz val="10"/>
        <color rgb="FFFF0000"/>
        <rFont val="Arial"/>
        <family val="2"/>
      </rPr>
      <t>1 500m</t>
    </r>
    <r>
      <rPr>
        <sz val="10"/>
        <rFont val="Arial"/>
        <family val="2"/>
      </rPr>
      <t xml:space="preserve"> drum lengths</t>
    </r>
  </si>
  <si>
    <r>
      <t xml:space="preserve">b) At </t>
    </r>
    <r>
      <rPr>
        <b/>
        <sz val="10"/>
        <color indexed="10"/>
        <rFont val="Arial"/>
        <family val="2"/>
      </rPr>
      <t xml:space="preserve">Melkspruit Distribution Station: </t>
    </r>
    <r>
      <rPr>
        <sz val="10"/>
        <rFont val="Arial"/>
        <family val="2"/>
      </rPr>
      <t>Assemble, crimp and install new Isolator jumpers</t>
    </r>
  </si>
  <si>
    <r>
      <t xml:space="preserve">c) </t>
    </r>
    <r>
      <rPr>
        <b/>
        <sz val="10"/>
        <rFont val="Arial"/>
        <family val="2"/>
      </rPr>
      <t xml:space="preserve"> </t>
    </r>
    <r>
      <rPr>
        <sz val="10"/>
        <rFont val="Arial"/>
        <family val="2"/>
      </rPr>
      <t xml:space="preserve">At </t>
    </r>
    <r>
      <rPr>
        <b/>
        <sz val="10"/>
        <color indexed="10"/>
        <rFont val="Arial"/>
        <family val="2"/>
      </rPr>
      <t>Rouxville Substation:</t>
    </r>
    <r>
      <rPr>
        <sz val="10"/>
        <rFont val="Arial"/>
        <family val="2"/>
      </rPr>
      <t xml:space="preserve"> String, regulate and clamp </t>
    </r>
    <r>
      <rPr>
        <b/>
        <sz val="10"/>
        <color indexed="10"/>
        <rFont val="Arial"/>
        <family val="2"/>
      </rPr>
      <t xml:space="preserve"> “Chicadee” </t>
    </r>
    <r>
      <rPr>
        <sz val="10"/>
        <rFont val="Arial"/>
        <family val="2"/>
      </rPr>
      <t>ACSR phase conductor closing span in the correct phase rotation</t>
    </r>
    <r>
      <rPr>
        <b/>
        <sz val="10"/>
        <color indexed="10"/>
        <rFont val="Arial"/>
        <family val="2"/>
      </rPr>
      <t xml:space="preserve"> (3 Phases) + "7/3,35" </t>
    </r>
    <r>
      <rPr>
        <sz val="10"/>
        <rFont val="Arial"/>
        <family val="2"/>
      </rPr>
      <t>steel shield wire</t>
    </r>
  </si>
  <si>
    <r>
      <t xml:space="preserve">d) At </t>
    </r>
    <r>
      <rPr>
        <b/>
        <sz val="10"/>
        <color indexed="10"/>
        <rFont val="Arial"/>
        <family val="2"/>
      </rPr>
      <t xml:space="preserve">Rouxville Substation: </t>
    </r>
    <r>
      <rPr>
        <sz val="10"/>
        <rFont val="Arial"/>
        <family val="2"/>
      </rPr>
      <t>Assemble, crimp and install new Isolator jumpers</t>
    </r>
  </si>
  <si>
    <t>a) Preparing samples for DCP and Nuclear Method in place density test result correlation for Type 1 and Type 2 Nominated Foundation Types Using In-situ Stabilized Material, including all excavation, cement, mixing compacting, testing and reporting as per specifications</t>
  </si>
  <si>
    <t>b) Preparing samples for DCP and Nuclear Method in place density test result correlation for Imported Stabilized Backfill Material, including all excavation, cement, mixing compacting, testing and reporting as per specifications</t>
  </si>
  <si>
    <t>5.4.7</t>
  </si>
  <si>
    <r>
      <t xml:space="preserve">Spoiling of non-suitable material, according to </t>
    </r>
    <r>
      <rPr>
        <b/>
        <sz val="11"/>
        <color rgb="FFFF0000"/>
        <rFont val="Arial"/>
        <family val="2"/>
      </rPr>
      <t>PART C3.3: Activity Stage 5.4</t>
    </r>
  </si>
  <si>
    <r>
      <t xml:space="preserve">Foundation Backfilling Samples according to </t>
    </r>
    <r>
      <rPr>
        <b/>
        <sz val="11"/>
        <color rgb="FFFF0000"/>
        <rFont val="Arial"/>
        <family val="2"/>
      </rPr>
      <t>PART C3.3: Activity Stage 5.4.13</t>
    </r>
  </si>
  <si>
    <r>
      <t xml:space="preserve">Phase disc labels </t>
    </r>
    <r>
      <rPr>
        <b/>
        <sz val="10"/>
        <color indexed="10"/>
        <rFont val="Arial"/>
        <family val="2"/>
      </rPr>
      <t>"RED;</t>
    </r>
    <r>
      <rPr>
        <b/>
        <sz val="10"/>
        <rFont val="Arial"/>
        <family val="2"/>
      </rPr>
      <t xml:space="preserve"> WHITE</t>
    </r>
    <r>
      <rPr>
        <b/>
        <sz val="10"/>
        <color indexed="12"/>
        <rFont val="Arial"/>
        <family val="2"/>
      </rPr>
      <t>; BLUE"</t>
    </r>
    <r>
      <rPr>
        <b/>
        <sz val="10"/>
        <rFont val="Arial"/>
        <family val="2"/>
      </rPr>
      <t xml:space="preserve"> </t>
    </r>
    <r>
      <rPr>
        <sz val="10"/>
        <rFont val="Arial"/>
        <family val="2"/>
      </rPr>
      <t xml:space="preserve">- 
</t>
    </r>
    <r>
      <rPr>
        <b/>
        <sz val="10"/>
        <color indexed="10"/>
        <rFont val="Arial"/>
        <family val="2"/>
      </rPr>
      <t>D-FS-10757 Sht. 3</t>
    </r>
  </si>
  <si>
    <r>
      <t xml:space="preserve">Activity Stage 11:   </t>
    </r>
    <r>
      <rPr>
        <b/>
        <sz val="12"/>
        <rFont val="Arial"/>
        <family val="2"/>
      </rPr>
      <t>Dismantling and removal of existing 88kV line</t>
    </r>
  </si>
  <si>
    <r>
      <t xml:space="preserve">Decommissioning existing line and disconnecting of closing spans - </t>
    </r>
    <r>
      <rPr>
        <b/>
        <sz val="11"/>
        <color indexed="10"/>
        <rFont val="Arial"/>
        <family val="2"/>
      </rPr>
      <t>PART C3.3: Activity Stage 11.1</t>
    </r>
  </si>
  <si>
    <t>11.1.1</t>
  </si>
  <si>
    <t>11.1.2</t>
  </si>
  <si>
    <r>
      <t xml:space="preserve">Dismantle, cut, bundle, transport and stockpile of phase conductor, shield wire, stay assemblies, insulators &amp; hardware  - </t>
    </r>
    <r>
      <rPr>
        <b/>
        <sz val="11"/>
        <color indexed="10"/>
        <rFont val="Arial"/>
        <family val="2"/>
      </rPr>
      <t>PART C3.3: Activity Stage 11.2</t>
    </r>
    <r>
      <rPr>
        <b/>
        <i/>
        <sz val="11"/>
        <color indexed="10"/>
        <rFont val="Arial"/>
        <family val="2"/>
      </rPr>
      <t xml:space="preserve"> (All items are subjected to re-measurement, based on measured final quantities)</t>
    </r>
    <r>
      <rPr>
        <b/>
        <sz val="11"/>
        <color indexed="10"/>
        <rFont val="Arial"/>
        <family val="2"/>
      </rPr>
      <t>:</t>
    </r>
  </si>
  <si>
    <t>11.2.1</t>
  </si>
  <si>
    <t>11.2.2</t>
  </si>
  <si>
    <r>
      <rPr>
        <b/>
        <sz val="10"/>
        <color indexed="10"/>
        <rFont val="Arial"/>
        <family val="2"/>
      </rPr>
      <t>7/2.65mm</t>
    </r>
    <r>
      <rPr>
        <sz val="10"/>
        <rFont val="Arial"/>
        <family val="2"/>
      </rPr>
      <t xml:space="preserve"> Galvanised steel shield wire</t>
    </r>
  </si>
  <si>
    <t>11.2.3</t>
  </si>
  <si>
    <r>
      <rPr>
        <b/>
        <sz val="10"/>
        <color indexed="10"/>
        <rFont val="Arial"/>
        <family val="2"/>
      </rPr>
      <t>19/2.65 mm</t>
    </r>
    <r>
      <rPr>
        <sz val="10"/>
        <rFont val="Arial"/>
        <family val="2"/>
      </rPr>
      <t xml:space="preserve"> Galvanised steel stay wire</t>
    </r>
  </si>
  <si>
    <t>11.2.4</t>
  </si>
  <si>
    <r>
      <t>Hardware &amp; Glass Disc Insulators suspension assemblies –</t>
    </r>
    <r>
      <rPr>
        <b/>
        <sz val="10"/>
        <color indexed="10"/>
        <rFont val="Arial"/>
        <family val="2"/>
      </rPr>
      <t xml:space="preserve"> Mass = ±17,5kg/assembly</t>
    </r>
  </si>
  <si>
    <t>11.2.5</t>
  </si>
  <si>
    <r>
      <t>Hardware &amp; Glass Disc Insulators strain assemblies –</t>
    </r>
    <r>
      <rPr>
        <b/>
        <sz val="10"/>
        <color indexed="10"/>
        <rFont val="Arial"/>
        <family val="2"/>
      </rPr>
      <t xml:space="preserve"> Mass = ±19,5kg/assembly</t>
    </r>
  </si>
  <si>
    <t>11.2.6</t>
  </si>
  <si>
    <r>
      <t>Shield wire suspension assemblies –</t>
    </r>
    <r>
      <rPr>
        <b/>
        <sz val="10"/>
        <color indexed="10"/>
        <rFont val="Arial"/>
        <family val="2"/>
      </rPr>
      <t xml:space="preserve"> Mass = ±0,5kg/assembly</t>
    </r>
  </si>
  <si>
    <t>11.2.7</t>
  </si>
  <si>
    <r>
      <t>Shield wire strain assemblies –</t>
    </r>
    <r>
      <rPr>
        <b/>
        <sz val="10"/>
        <color indexed="10"/>
        <rFont val="Arial"/>
        <family val="2"/>
      </rPr>
      <t xml:space="preserve"> Mass = ±1,25kg/assembly</t>
    </r>
  </si>
  <si>
    <t>11.2.8</t>
  </si>
  <si>
    <r>
      <t>Under-ground stay assemblies –</t>
    </r>
    <r>
      <rPr>
        <b/>
        <sz val="10"/>
        <color indexed="10"/>
        <rFont val="Arial"/>
        <family val="2"/>
      </rPr>
      <t xml:space="preserve"> Mass = ±5,5kg/assembly</t>
    </r>
  </si>
  <si>
    <r>
      <t xml:space="preserve">Minimum excavations around structure legs and underground stay assemblies - </t>
    </r>
    <r>
      <rPr>
        <b/>
        <sz val="11"/>
        <color indexed="10"/>
        <rFont val="Arial"/>
        <family val="2"/>
      </rPr>
      <t>PART C3.3: Activity Stage 11.3 (All items are subjected to re-measurement, based on measured final quantities)</t>
    </r>
  </si>
  <si>
    <t>11.3.1</t>
  </si>
  <si>
    <t>11.3.2</t>
  </si>
  <si>
    <t>11.3.3</t>
  </si>
  <si>
    <t>11.3.4</t>
  </si>
  <si>
    <t>11.4.1</t>
  </si>
  <si>
    <t>11.4.2</t>
  </si>
  <si>
    <t>11.4.4</t>
  </si>
  <si>
    <t>11.5.1</t>
  </si>
  <si>
    <t>ton</t>
  </si>
  <si>
    <t>11.5.2</t>
  </si>
  <si>
    <t>11.5.4</t>
  </si>
  <si>
    <t xml:space="preserve">Import top soil for structure leg excavation backfilling </t>
  </si>
  <si>
    <t>m³</t>
  </si>
  <si>
    <t>Backfill and compact structure leg excavations with imported backfill material</t>
  </si>
  <si>
    <t>Backfill and compact structure leg and stay excavations with in-situ excavated material</t>
  </si>
  <si>
    <t>Complete re-instatement of dismantled structure sites</t>
  </si>
  <si>
    <r>
      <rPr>
        <b/>
        <sz val="10"/>
        <color indexed="10"/>
        <rFont val="Arial"/>
        <family val="2"/>
      </rPr>
      <t>“Rabbit" ACSR</t>
    </r>
    <r>
      <rPr>
        <sz val="10"/>
        <rFont val="Arial"/>
        <family val="2"/>
      </rPr>
      <t xml:space="preserve"> phase conductor</t>
    </r>
  </si>
  <si>
    <r>
      <t xml:space="preserve">Disconnect, dismantle and remove at </t>
    </r>
    <r>
      <rPr>
        <b/>
        <sz val="10"/>
        <color indexed="10"/>
        <rFont val="Arial"/>
        <family val="2"/>
      </rPr>
      <t>Melkspruit DS</t>
    </r>
    <r>
      <rPr>
        <sz val="10"/>
        <rFont val="Arial"/>
        <family val="2"/>
      </rPr>
      <t xml:space="preserve"> the phase conductor and shield wire between the Gantry and the terminal structure</t>
    </r>
  </si>
  <si>
    <r>
      <t xml:space="preserve">Disconnect, dismantle and remove at </t>
    </r>
    <r>
      <rPr>
        <b/>
        <sz val="10"/>
        <color indexed="10"/>
        <rFont val="Arial"/>
        <family val="2"/>
      </rPr>
      <t>Rouxville SS</t>
    </r>
    <r>
      <rPr>
        <sz val="10"/>
        <rFont val="Arial"/>
        <family val="2"/>
      </rPr>
      <t xml:space="preserve"> the phase conductor and shield wire between the Gantry and the terminal structure</t>
    </r>
  </si>
  <si>
    <r>
      <rPr>
        <b/>
        <sz val="10"/>
        <color indexed="10"/>
        <rFont val="Arial"/>
        <family val="2"/>
      </rPr>
      <t>3/3.35mm</t>
    </r>
    <r>
      <rPr>
        <sz val="10"/>
        <rFont val="Arial"/>
        <family val="2"/>
      </rPr>
      <t xml:space="preserve"> Galvanised steel shield wire</t>
    </r>
  </si>
  <si>
    <r>
      <rPr>
        <b/>
        <sz val="10"/>
        <color indexed="10"/>
        <rFont val="Arial"/>
        <family val="2"/>
      </rPr>
      <t xml:space="preserve">Wooden 5-Pole </t>
    </r>
    <r>
      <rPr>
        <sz val="10"/>
        <rFont val="Arial"/>
        <family val="2"/>
      </rPr>
      <t>suspension/strain structures, complete with  cross-arms</t>
    </r>
  </si>
  <si>
    <r>
      <rPr>
        <b/>
        <sz val="10"/>
        <color indexed="10"/>
        <rFont val="Arial"/>
        <family val="2"/>
      </rPr>
      <t xml:space="preserve">Wooden H-Pole </t>
    </r>
    <r>
      <rPr>
        <sz val="10"/>
        <rFont val="Arial"/>
        <family val="2"/>
      </rPr>
      <t>suspension structures, complete with  cross-arms</t>
    </r>
  </si>
  <si>
    <r>
      <rPr>
        <b/>
        <sz val="10"/>
        <color indexed="10"/>
        <rFont val="Arial"/>
        <family val="2"/>
      </rPr>
      <t xml:space="preserve">Wooden 3-Pole </t>
    </r>
    <r>
      <rPr>
        <sz val="10"/>
        <rFont val="Arial"/>
        <family val="2"/>
      </rPr>
      <t>strain structures, complete with  cross-arms</t>
    </r>
  </si>
  <si>
    <r>
      <rPr>
        <b/>
        <sz val="10"/>
        <color indexed="10"/>
        <rFont val="Arial"/>
        <family val="2"/>
      </rPr>
      <t>Mono-pole</t>
    </r>
    <r>
      <rPr>
        <sz val="10"/>
        <color indexed="10"/>
        <rFont val="Arial"/>
        <family val="2"/>
      </rPr>
      <t xml:space="preserve"> </t>
    </r>
    <r>
      <rPr>
        <sz val="10"/>
        <rFont val="Arial"/>
        <family val="2"/>
      </rPr>
      <t>steel strain structure</t>
    </r>
    <r>
      <rPr>
        <b/>
        <sz val="10"/>
        <rFont val="Arial"/>
        <family val="2"/>
      </rPr>
      <t>,</t>
    </r>
    <r>
      <rPr>
        <sz val="10"/>
        <rFont val="Arial"/>
        <family val="2"/>
      </rPr>
      <t xml:space="preserve"> complete</t>
    </r>
  </si>
  <si>
    <t>Sub-Total</t>
  </si>
  <si>
    <r>
      <t xml:space="preserve">Complete dismantling and removal of existing power line structures:  - </t>
    </r>
    <r>
      <rPr>
        <b/>
        <sz val="11"/>
        <color indexed="10"/>
        <rFont val="Arial"/>
        <family val="2"/>
      </rPr>
      <t>PART C3.3: Activity Stage 11.3 (All items are subjected to re-measurement, based on measured final quantities)</t>
    </r>
  </si>
  <si>
    <t>11.4.3</t>
  </si>
  <si>
    <t>11.4.5</t>
  </si>
  <si>
    <t>11.3.5</t>
  </si>
  <si>
    <r>
      <t>Transport (Including load &amp; off-load) of all dismantled power line structures, structure members and line material to a bulk stock-pile site</t>
    </r>
    <r>
      <rPr>
        <b/>
        <sz val="11"/>
        <color indexed="10"/>
        <rFont val="Arial"/>
        <family val="2"/>
      </rPr>
      <t xml:space="preserve"> - PART C3.3: Activity Stage 11.4 (All items are subjected to re-measurement, based on measured final quantities)</t>
    </r>
  </si>
  <si>
    <r>
      <rPr>
        <b/>
        <sz val="10"/>
        <color indexed="10"/>
        <rFont val="Arial"/>
        <family val="2"/>
      </rPr>
      <t xml:space="preserve">Mono-Pole steel strain </t>
    </r>
    <r>
      <rPr>
        <sz val="10"/>
        <rFont val="Arial"/>
        <family val="2"/>
      </rPr>
      <t xml:space="preserve"> structures</t>
    </r>
  </si>
  <si>
    <t>11.5.3</t>
  </si>
  <si>
    <r>
      <t xml:space="preserve">Re-instate all existing structure sites - </t>
    </r>
    <r>
      <rPr>
        <b/>
        <sz val="11"/>
        <color indexed="10"/>
        <rFont val="Arial"/>
        <family val="2"/>
      </rPr>
      <t>PART C3.3: Activity Stage 11.5 (All items are subjected to re-measurement, based on measured final quantities)</t>
    </r>
  </si>
  <si>
    <t>11.4.6</t>
  </si>
  <si>
    <t>11.4.7</t>
  </si>
  <si>
    <t>11.4.8</t>
  </si>
  <si>
    <t>11.4.9</t>
  </si>
  <si>
    <t>11.4.10</t>
  </si>
  <si>
    <r>
      <rPr>
        <b/>
        <sz val="10"/>
        <color rgb="FFFF0000"/>
        <rFont val="Arial"/>
        <family val="2"/>
      </rPr>
      <t>Wooden</t>
    </r>
    <r>
      <rPr>
        <sz val="10"/>
        <rFont val="Arial"/>
        <family val="2"/>
      </rPr>
      <t xml:space="preserve"> 5-pole, H-pole and 3-pole strain &amp; suspension structures, complete with cross-arms</t>
    </r>
  </si>
  <si>
    <t>a) Wooden 5-pole or H-pole structure legs</t>
  </si>
  <si>
    <r>
      <t>b) Mono-pole structure</t>
    </r>
    <r>
      <rPr>
        <b/>
        <sz val="10"/>
        <color indexed="10"/>
        <rFont val="Arial"/>
        <family val="2"/>
      </rPr>
      <t/>
    </r>
  </si>
  <si>
    <r>
      <t>c) Under-ground stay rods</t>
    </r>
    <r>
      <rPr>
        <b/>
        <sz val="10"/>
        <color indexed="10"/>
        <rFont val="Arial"/>
        <family val="2"/>
      </rPr>
      <t/>
    </r>
  </si>
  <si>
    <r>
      <t xml:space="preserve">Tests to be carried out to confirm a soil or rock type classification as per </t>
    </r>
    <r>
      <rPr>
        <b/>
        <sz val="10"/>
        <color rgb="FFFF0000"/>
        <rFont val="Arial"/>
        <family val="2"/>
      </rPr>
      <t>4.1.6</t>
    </r>
  </si>
  <si>
    <t>a) Visual classification of soil</t>
  </si>
  <si>
    <t>b) Determination of present and probable water table levels</t>
  </si>
  <si>
    <t>c) Laboratory and/or site tests to determine soil friction angles and cohesion values.</t>
  </si>
  <si>
    <t>d) Laboratory tests to determine stress-strain modules of soils and rock;</t>
  </si>
  <si>
    <t>e) Laboratory and/or site tests to determine soil unit weights;</t>
  </si>
  <si>
    <t>f) Laboratory Sieve Analysis of the predominant soil type excavated</t>
  </si>
  <si>
    <t>g) Atterberg Limits of the predominant soil type excavated</t>
  </si>
  <si>
    <t>h) California Bearing Ratio (CBR) at bottom of the profile test hole</t>
  </si>
  <si>
    <t>k) Continuous rock cores with recovery values and drilling times, minimum of 3.0 m into sound rock</t>
  </si>
  <si>
    <r>
      <t xml:space="preserve">Removal of excess line material supplied by the </t>
    </r>
    <r>
      <rPr>
        <i/>
        <sz val="10"/>
        <color indexed="8"/>
        <rFont val="Arial"/>
        <family val="2"/>
      </rPr>
      <t>Employer</t>
    </r>
    <r>
      <rPr>
        <sz val="10"/>
        <color indexed="8"/>
        <rFont val="Arial"/>
        <family val="2"/>
      </rPr>
      <t xml:space="preserve"> and return it to the nearest </t>
    </r>
    <r>
      <rPr>
        <b/>
        <sz val="10"/>
        <color indexed="10"/>
        <rFont val="Arial"/>
        <family val="2"/>
      </rPr>
      <t>Eskom CNC at Zastron</t>
    </r>
  </si>
  <si>
    <r>
      <t xml:space="preserve">Completion and submission of  </t>
    </r>
    <r>
      <rPr>
        <b/>
        <sz val="10"/>
        <color indexed="10"/>
        <rFont val="Arial"/>
        <family val="2"/>
      </rPr>
      <t>Four</t>
    </r>
    <r>
      <rPr>
        <sz val="10"/>
        <color indexed="8"/>
        <rFont val="Arial"/>
        <family val="2"/>
      </rPr>
      <t xml:space="preserve"> copies of a complete </t>
    </r>
    <r>
      <rPr>
        <b/>
        <sz val="10"/>
        <color indexed="10"/>
        <rFont val="Arial"/>
        <family val="2"/>
      </rPr>
      <t>"Line Inventory/Line Data"</t>
    </r>
    <r>
      <rPr>
        <sz val="10"/>
        <color indexed="8"/>
        <rFont val="Arial"/>
        <family val="2"/>
      </rPr>
      <t xml:space="preserve"> of the new power line to the </t>
    </r>
    <r>
      <rPr>
        <i/>
        <sz val="10"/>
        <color indexed="8"/>
        <rFont val="Arial"/>
        <family val="2"/>
      </rPr>
      <t>Employer</t>
    </r>
    <r>
      <rPr>
        <sz val="10"/>
        <color indexed="8"/>
        <rFont val="Arial"/>
        <family val="2"/>
      </rPr>
      <t xml:space="preserve">, as specified in </t>
    </r>
    <r>
      <rPr>
        <b/>
        <sz val="10"/>
        <color indexed="10"/>
        <rFont val="Arial"/>
        <family val="2"/>
      </rPr>
      <t>Activity Stage 12.4</t>
    </r>
  </si>
  <si>
    <r>
      <t xml:space="preserve">Quality Control Requirements:- </t>
    </r>
    <r>
      <rPr>
        <b/>
        <sz val="11"/>
        <color indexed="10"/>
        <rFont val="Arial"/>
        <family val="2"/>
      </rPr>
      <t>PART C3.3: Activity Stage 1.4</t>
    </r>
  </si>
  <si>
    <r>
      <t xml:space="preserve">Site establishment:- </t>
    </r>
    <r>
      <rPr>
        <b/>
        <sz val="11"/>
        <color indexed="10"/>
        <rFont val="Arial"/>
        <family val="2"/>
      </rPr>
      <t>PART C3.3: Activity Stage 1.5</t>
    </r>
  </si>
  <si>
    <t>1.5.1</t>
  </si>
  <si>
    <t>1.5.2</t>
  </si>
  <si>
    <t>Ensure compliance with the Employer’s Specifications and Standards.</t>
  </si>
  <si>
    <r>
      <t xml:space="preserve">Implementation of an approved Quality Control System as agreed apon with the </t>
    </r>
    <r>
      <rPr>
        <i/>
        <sz val="10"/>
        <rFont val="Arial"/>
        <family val="2"/>
      </rPr>
      <t>Project Engineer</t>
    </r>
  </si>
  <si>
    <r>
      <t xml:space="preserve">Activity Stage 9:   </t>
    </r>
    <r>
      <rPr>
        <b/>
        <sz val="12"/>
        <rFont val="Arial"/>
        <family val="2"/>
      </rPr>
      <t>OPGW Installation Activities</t>
    </r>
  </si>
  <si>
    <r>
      <t xml:space="preserve">Integration between appointed line Contractor and OPGW Contractor:- 
</t>
    </r>
    <r>
      <rPr>
        <b/>
        <sz val="11"/>
        <color indexed="10"/>
        <rFont val="Arial"/>
        <family val="2"/>
      </rPr>
      <t>PART C3.3: Activity Stage 9.1</t>
    </r>
  </si>
  <si>
    <t>9.1.1</t>
  </si>
  <si>
    <r>
      <t>Facilitate integration between the power line construction activities and the OPGW installation done by the</t>
    </r>
    <r>
      <rPr>
        <i/>
        <sz val="10"/>
        <rFont val="Arial"/>
        <family val="2"/>
      </rPr>
      <t xml:space="preserve"> OPGW Contractor</t>
    </r>
    <r>
      <rPr>
        <sz val="10"/>
        <rFont val="Arial"/>
        <family val="2"/>
      </rPr>
      <t xml:space="preserve"> by means of detailed planning, schedule intigration and integration meetings throughout the project.</t>
    </r>
  </si>
  <si>
    <t>5.4.8</t>
  </si>
  <si>
    <t>a) 10MPa Concrete</t>
  </si>
  <si>
    <r>
      <t xml:space="preserve">Blinding Layer, according to </t>
    </r>
    <r>
      <rPr>
        <b/>
        <sz val="11"/>
        <color rgb="FFFF0000"/>
        <rFont val="Arial"/>
        <family val="2"/>
      </rPr>
      <t>PART C3.3: Activity Stage 5.4.5</t>
    </r>
  </si>
  <si>
    <r>
      <t>a)  Bird perching brackets for all "</t>
    </r>
    <r>
      <rPr>
        <b/>
        <sz val="10"/>
        <color indexed="10"/>
        <rFont val="Arial"/>
        <family val="2"/>
      </rPr>
      <t>Type 7649</t>
    </r>
    <r>
      <rPr>
        <sz val="10"/>
        <rFont val="Arial"/>
        <family val="2"/>
      </rPr>
      <t xml:space="preserve">" structures, to dwg: </t>
    </r>
    <r>
      <rPr>
        <b/>
        <sz val="10"/>
        <color indexed="10"/>
        <rFont val="Arial"/>
        <family val="2"/>
      </rPr>
      <t>D-DT-7347</t>
    </r>
  </si>
  <si>
    <r>
      <t xml:space="preserve">b)  </t>
    </r>
    <r>
      <rPr>
        <b/>
        <sz val="10"/>
        <color indexed="10"/>
        <rFont val="Arial"/>
        <family val="2"/>
      </rPr>
      <t>100 x 100 x 12, 765mm</t>
    </r>
    <r>
      <rPr>
        <sz val="10"/>
        <rFont val="Arial"/>
        <family val="2"/>
      </rPr>
      <t xml:space="preserve"> long angle Single SW/OPGW support bracket, to manufacturer's detail drawing</t>
    </r>
  </si>
  <si>
    <r>
      <t xml:space="preserve">c)  </t>
    </r>
    <r>
      <rPr>
        <b/>
        <sz val="10"/>
        <color indexed="10"/>
        <rFont val="Arial"/>
        <family val="2"/>
      </rPr>
      <t>80 x 80 x 12, 540mm</t>
    </r>
    <r>
      <rPr>
        <sz val="10"/>
        <rFont val="Arial"/>
        <family val="2"/>
      </rPr>
      <t xml:space="preserve"> long angle Single SW/OPGW support bracket, to manufacturer's detail drawing</t>
    </r>
  </si>
  <si>
    <r>
      <t xml:space="preserve">f)  </t>
    </r>
    <r>
      <rPr>
        <b/>
        <sz val="10"/>
        <color indexed="10"/>
        <rFont val="Arial"/>
        <family val="2"/>
      </rPr>
      <t xml:space="preserve">“Type 7649WS/27” 27m </t>
    </r>
    <r>
      <rPr>
        <sz val="10"/>
        <rFont val="Arial"/>
        <family val="2"/>
      </rPr>
      <t>with manufacturer specified tip load</t>
    </r>
    <r>
      <rPr>
        <b/>
        <sz val="10"/>
        <color indexed="10"/>
        <rFont val="Arial"/>
        <family val="2"/>
      </rPr>
      <t xml:space="preserve"> </t>
    </r>
    <r>
      <rPr>
        <sz val="10"/>
        <rFont val="Arial"/>
        <family val="2"/>
      </rPr>
      <t>self-supporting mono-pole intermediate suspension structure, with suspension-arm assemblies, bolts, nuts &amp; washers</t>
    </r>
  </si>
  <si>
    <r>
      <t xml:space="preserve">a)  </t>
    </r>
    <r>
      <rPr>
        <b/>
        <sz val="10"/>
        <color indexed="10"/>
        <rFont val="Arial"/>
        <family val="2"/>
      </rPr>
      <t xml:space="preserve">“Type 7649/22” 22m </t>
    </r>
    <r>
      <rPr>
        <sz val="10"/>
        <rFont val="Arial"/>
        <family val="2"/>
      </rPr>
      <t>with manufacturer specified tip load</t>
    </r>
    <r>
      <rPr>
        <b/>
        <sz val="10"/>
        <color indexed="10"/>
        <rFont val="Arial"/>
        <family val="2"/>
      </rPr>
      <t xml:space="preserve"> </t>
    </r>
    <r>
      <rPr>
        <sz val="10"/>
        <rFont val="Arial"/>
        <family val="2"/>
      </rPr>
      <t>self-supporting mono-pole intermediate suspension structure, with suspension-arm assemblies, bolts, nuts &amp; washers</t>
    </r>
  </si>
  <si>
    <r>
      <t xml:space="preserve">b)  </t>
    </r>
    <r>
      <rPr>
        <b/>
        <sz val="10"/>
        <color indexed="10"/>
        <rFont val="Arial"/>
        <family val="2"/>
      </rPr>
      <t xml:space="preserve">“Type 7649/23” 23m </t>
    </r>
    <r>
      <rPr>
        <sz val="10"/>
        <rFont val="Arial"/>
        <family val="2"/>
      </rPr>
      <t>with manufacturer specified tip load self-supporting mono-pole intermediate suspension structure, with suspension-arm assemblies, bolts, nuts &amp; washers</t>
    </r>
  </si>
  <si>
    <r>
      <t xml:space="preserve">c)  </t>
    </r>
    <r>
      <rPr>
        <b/>
        <sz val="10"/>
        <color indexed="10"/>
        <rFont val="Arial"/>
        <family val="2"/>
      </rPr>
      <t>“Type 7649/24” 24m</t>
    </r>
    <r>
      <rPr>
        <sz val="10"/>
        <rFont val="Arial"/>
        <family val="2"/>
      </rPr>
      <t xml:space="preserve"> with manufacturer specified tip load self-supporting mono-pole intermediate suspension structure, with suspension-arm assemblies, bolts, nuts &amp; washers</t>
    </r>
  </si>
  <si>
    <r>
      <t xml:space="preserve">d)  </t>
    </r>
    <r>
      <rPr>
        <b/>
        <sz val="10"/>
        <color indexed="10"/>
        <rFont val="Arial"/>
        <family val="2"/>
      </rPr>
      <t>“Type 7649/25” 25m</t>
    </r>
    <r>
      <rPr>
        <sz val="10"/>
        <rFont val="Arial"/>
        <family val="2"/>
      </rPr>
      <t xml:space="preserve"> with manufacturer specified tip load self-supporting mono-pole intermediate suspension structure, with suspension-arm assemblies, bolts, nuts &amp; washers</t>
    </r>
  </si>
  <si>
    <r>
      <t xml:space="preserve">e)  </t>
    </r>
    <r>
      <rPr>
        <b/>
        <sz val="10"/>
        <color indexed="10"/>
        <rFont val="Arial"/>
        <family val="2"/>
      </rPr>
      <t xml:space="preserve">“Type 7649/26” 26m </t>
    </r>
    <r>
      <rPr>
        <sz val="10"/>
        <rFont val="Arial"/>
        <family val="2"/>
      </rPr>
      <t>with manufacturer specified tip load</t>
    </r>
    <r>
      <rPr>
        <b/>
        <sz val="10"/>
        <color indexed="10"/>
        <rFont val="Arial"/>
        <family val="2"/>
      </rPr>
      <t xml:space="preserve"> </t>
    </r>
    <r>
      <rPr>
        <sz val="10"/>
        <rFont val="Arial"/>
        <family val="2"/>
      </rPr>
      <t>self-supporting mono-pole intermediate suspension structure, with suspension-arm assemblies, bolts, nuts &amp; washers</t>
    </r>
  </si>
  <si>
    <r>
      <t xml:space="preserve">b)  </t>
    </r>
    <r>
      <rPr>
        <b/>
        <sz val="10"/>
        <color indexed="10"/>
        <rFont val="Arial"/>
        <family val="2"/>
      </rPr>
      <t>“Type 7645"</t>
    </r>
    <r>
      <rPr>
        <sz val="10"/>
        <rFont val="Arial"/>
        <family val="2"/>
      </rPr>
      <t xml:space="preserve"> planted guyed mono-pole angle strain structures</t>
    </r>
  </si>
  <si>
    <r>
      <t xml:space="preserve">c)  </t>
    </r>
    <r>
      <rPr>
        <b/>
        <sz val="10"/>
        <color indexed="10"/>
        <rFont val="Arial"/>
        <family val="2"/>
      </rPr>
      <t>“Type 7645"</t>
    </r>
    <r>
      <rPr>
        <sz val="10"/>
        <rFont val="Arial"/>
        <family val="2"/>
      </rPr>
      <t xml:space="preserve"> surface mount guyed mono-pole angle strain structures</t>
    </r>
  </si>
  <si>
    <r>
      <t xml:space="preserve">f)  </t>
    </r>
    <r>
      <rPr>
        <b/>
        <sz val="10"/>
        <color indexed="10"/>
        <rFont val="Arial"/>
        <family val="2"/>
      </rPr>
      <t>“Type 7807”</t>
    </r>
    <r>
      <rPr>
        <sz val="10"/>
        <rFont val="Arial"/>
        <family val="2"/>
      </rPr>
      <t xml:space="preserve"> surface mount guyed H-pole terminal structures</t>
    </r>
  </si>
  <si>
    <r>
      <t xml:space="preserve">d)  </t>
    </r>
    <r>
      <rPr>
        <b/>
        <sz val="10"/>
        <color indexed="10"/>
        <rFont val="Arial"/>
        <family val="2"/>
      </rPr>
      <t>“Type 7618"</t>
    </r>
    <r>
      <rPr>
        <sz val="10"/>
        <rFont val="Arial"/>
        <family val="2"/>
      </rPr>
      <t xml:space="preserve"> planted guyed 3-pole angle strain structures</t>
    </r>
  </si>
  <si>
    <r>
      <t xml:space="preserve">e)  </t>
    </r>
    <r>
      <rPr>
        <b/>
        <sz val="10"/>
        <color indexed="10"/>
        <rFont val="Arial"/>
        <family val="2"/>
      </rPr>
      <t>“Type 7618"</t>
    </r>
    <r>
      <rPr>
        <sz val="10"/>
        <rFont val="Arial"/>
        <family val="2"/>
      </rPr>
      <t xml:space="preserve"> surface mount guyed 3-pole angle strain structures</t>
    </r>
  </si>
  <si>
    <r>
      <t xml:space="preserve">h)  </t>
    </r>
    <r>
      <rPr>
        <b/>
        <sz val="10"/>
        <color indexed="10"/>
        <rFont val="Arial"/>
        <family val="2"/>
      </rPr>
      <t>“Type 7645/19” 19,0m</t>
    </r>
    <r>
      <rPr>
        <sz val="10"/>
        <rFont val="Arial"/>
        <family val="2"/>
      </rPr>
      <t xml:space="preserve"> planted 2m deep, 23kN guyed mono-pole angle strain structure, with bolts, nuts &amp; washers</t>
    </r>
  </si>
  <si>
    <r>
      <t xml:space="preserve">j)  </t>
    </r>
    <r>
      <rPr>
        <b/>
        <sz val="10"/>
        <color indexed="10"/>
        <rFont val="Arial"/>
        <family val="2"/>
      </rPr>
      <t>“Type 7645/20” 20,0m</t>
    </r>
    <r>
      <rPr>
        <sz val="10"/>
        <rFont val="Arial"/>
        <family val="2"/>
      </rPr>
      <t xml:space="preserve"> planted 2m deep, 23kN guyed mono-pole angle strain structure, with bolts, nuts &amp; washers</t>
    </r>
  </si>
  <si>
    <r>
      <t xml:space="preserve">k)  </t>
    </r>
    <r>
      <rPr>
        <b/>
        <sz val="10"/>
        <color indexed="10"/>
        <rFont val="Arial"/>
        <family val="2"/>
      </rPr>
      <t>“Type 7645/20” 20,0m</t>
    </r>
    <r>
      <rPr>
        <sz val="10"/>
        <rFont val="Arial"/>
        <family val="2"/>
      </rPr>
      <t xml:space="preserve"> planted 2m deep, 37kN guyed mono-pole angle strain structure, with bolts, nuts &amp; washers</t>
    </r>
  </si>
  <si>
    <r>
      <t xml:space="preserve">m)  </t>
    </r>
    <r>
      <rPr>
        <b/>
        <sz val="10"/>
        <color indexed="10"/>
        <rFont val="Arial"/>
        <family val="2"/>
      </rPr>
      <t>“Type 7645/21” 21,0m</t>
    </r>
    <r>
      <rPr>
        <sz val="10"/>
        <rFont val="Arial"/>
        <family val="2"/>
      </rPr>
      <t xml:space="preserve"> planted 2m deep, 23kN guyed mono-pole angle strain structure, with bolts, nuts &amp; washers</t>
    </r>
  </si>
  <si>
    <r>
      <t xml:space="preserve">o)  </t>
    </r>
    <r>
      <rPr>
        <b/>
        <sz val="10"/>
        <color indexed="10"/>
        <rFont val="Arial"/>
        <family val="2"/>
      </rPr>
      <t>“Type 7645/22” 22,0m</t>
    </r>
    <r>
      <rPr>
        <sz val="10"/>
        <rFont val="Arial"/>
        <family val="2"/>
      </rPr>
      <t xml:space="preserve"> planted 2m deep, 23kN guyed mono-pole angle strain structure, with bolts, nuts &amp; washers</t>
    </r>
  </si>
  <si>
    <r>
      <t xml:space="preserve">q)  </t>
    </r>
    <r>
      <rPr>
        <b/>
        <sz val="10"/>
        <color indexed="10"/>
        <rFont val="Arial"/>
        <family val="2"/>
      </rPr>
      <t>“Type 7645/23” 23,0m</t>
    </r>
    <r>
      <rPr>
        <sz val="10"/>
        <rFont val="Arial"/>
        <family val="2"/>
      </rPr>
      <t xml:space="preserve"> planted 2m deep, 23kN guyed mono-pole angle strain structure, with bolts, nuts &amp; washers</t>
    </r>
  </si>
  <si>
    <r>
      <t xml:space="preserve">s)  </t>
    </r>
    <r>
      <rPr>
        <b/>
        <sz val="10"/>
        <color indexed="10"/>
        <rFont val="Arial"/>
        <family val="2"/>
      </rPr>
      <t>“Type 7645/24” 24,0m</t>
    </r>
    <r>
      <rPr>
        <sz val="10"/>
        <rFont val="Arial"/>
        <family val="2"/>
      </rPr>
      <t xml:space="preserve"> planted 2m deep, 23kN guyed mono-pole angle strain structure, with bolts, nuts &amp; washers</t>
    </r>
  </si>
  <si>
    <r>
      <t xml:space="preserve">u)  </t>
    </r>
    <r>
      <rPr>
        <b/>
        <sz val="10"/>
        <color indexed="10"/>
        <rFont val="Arial"/>
        <family val="2"/>
      </rPr>
      <t>“Type 7645/25” 25,0m</t>
    </r>
    <r>
      <rPr>
        <sz val="10"/>
        <rFont val="Arial"/>
        <family val="2"/>
      </rPr>
      <t xml:space="preserve"> planted 2m deep, 23kN guyed mono-pole angle strain structure, with bolts, nuts &amp; washers</t>
    </r>
  </si>
  <si>
    <r>
      <t xml:space="preserve">w)  </t>
    </r>
    <r>
      <rPr>
        <b/>
        <sz val="10"/>
        <color indexed="10"/>
        <rFont val="Arial"/>
        <family val="2"/>
      </rPr>
      <t>“Type 7645/26” 26,0m</t>
    </r>
    <r>
      <rPr>
        <sz val="10"/>
        <rFont val="Arial"/>
        <family val="2"/>
      </rPr>
      <t xml:space="preserve"> planted 2m deep, 23kN guyed mono-pole angle strain structure, with bolts, nuts &amp; washers</t>
    </r>
  </si>
  <si>
    <r>
      <t xml:space="preserve">g)  </t>
    </r>
    <r>
      <rPr>
        <b/>
        <sz val="10"/>
        <color indexed="10"/>
        <rFont val="Arial"/>
        <family val="2"/>
      </rPr>
      <t>“Type 7645SM/17” 17,0m</t>
    </r>
    <r>
      <rPr>
        <sz val="10"/>
        <rFont val="Arial"/>
        <family val="2"/>
      </rPr>
      <t xml:space="preserve"> with base plate for surface mount, 23kN guyed mono-pole angle strain structure, with bolts, nuts &amp; washers</t>
    </r>
  </si>
  <si>
    <r>
      <t xml:space="preserve">i)  </t>
    </r>
    <r>
      <rPr>
        <b/>
        <sz val="10"/>
        <color indexed="10"/>
        <rFont val="Arial"/>
        <family val="2"/>
      </rPr>
      <t>“Type 7645SM/18” 18,0m</t>
    </r>
    <r>
      <rPr>
        <sz val="10"/>
        <rFont val="Arial"/>
        <family val="2"/>
      </rPr>
      <t xml:space="preserve"> with base plate for surface mount, 23kN guyed mono-pole angle strain structure, with bolts, nuts &amp; washers</t>
    </r>
  </si>
  <si>
    <r>
      <t xml:space="preserve">l)  </t>
    </r>
    <r>
      <rPr>
        <b/>
        <sz val="10"/>
        <color indexed="10"/>
        <rFont val="Arial"/>
        <family val="2"/>
      </rPr>
      <t>“Type 7645SM/19” 19,0m</t>
    </r>
    <r>
      <rPr>
        <sz val="10"/>
        <rFont val="Arial"/>
        <family val="2"/>
      </rPr>
      <t xml:space="preserve"> with base plate for surface mount, 23kN guyed mono-pole angle strain structure, with bolts, nuts &amp; washers</t>
    </r>
  </si>
  <si>
    <r>
      <t xml:space="preserve">n)  </t>
    </r>
    <r>
      <rPr>
        <b/>
        <sz val="10"/>
        <color indexed="10"/>
        <rFont val="Arial"/>
        <family val="2"/>
      </rPr>
      <t>“Type 7645SM/20” 20,0m</t>
    </r>
    <r>
      <rPr>
        <sz val="10"/>
        <rFont val="Arial"/>
        <family val="2"/>
      </rPr>
      <t xml:space="preserve"> with base plate for surface mount, 23kN guyed mono-pole angle strain structure, with bolts, nuts &amp; washers</t>
    </r>
  </si>
  <si>
    <r>
      <t xml:space="preserve">r)  </t>
    </r>
    <r>
      <rPr>
        <b/>
        <sz val="10"/>
        <color indexed="10"/>
        <rFont val="Arial"/>
        <family val="2"/>
      </rPr>
      <t>“Type 7645SM/22” 22,0m</t>
    </r>
    <r>
      <rPr>
        <sz val="10"/>
        <rFont val="Arial"/>
        <family val="2"/>
      </rPr>
      <t xml:space="preserve"> with base plate for surface mount, 23kN guyed mono-pole angle strain structure, with bolts, nuts &amp; washers</t>
    </r>
  </si>
  <si>
    <r>
      <t xml:space="preserve">p)  </t>
    </r>
    <r>
      <rPr>
        <b/>
        <sz val="10"/>
        <color indexed="10"/>
        <rFont val="Arial"/>
        <family val="2"/>
      </rPr>
      <t>“Type 7645SM/21” 21,0m</t>
    </r>
    <r>
      <rPr>
        <sz val="10"/>
        <rFont val="Arial"/>
        <family val="2"/>
      </rPr>
      <t xml:space="preserve"> with base plate for surface mount, 23kN guyed mono-pole angle strain structure, with bolts, nuts &amp; washers</t>
    </r>
  </si>
  <si>
    <r>
      <t xml:space="preserve">t)  </t>
    </r>
    <r>
      <rPr>
        <b/>
        <sz val="10"/>
        <color indexed="10"/>
        <rFont val="Arial"/>
        <family val="2"/>
      </rPr>
      <t>“Type 7645SM/23” 23,0m</t>
    </r>
    <r>
      <rPr>
        <sz val="10"/>
        <rFont val="Arial"/>
        <family val="2"/>
      </rPr>
      <t xml:space="preserve"> with base plate for surface mount, 23kN guyed mono-pole angle strain structure, with bolts, nuts &amp; washers</t>
    </r>
  </si>
  <si>
    <r>
      <t xml:space="preserve">v)  </t>
    </r>
    <r>
      <rPr>
        <b/>
        <sz val="10"/>
        <color indexed="10"/>
        <rFont val="Arial"/>
        <family val="2"/>
      </rPr>
      <t>“Type 7645SM/24” 24,0m</t>
    </r>
    <r>
      <rPr>
        <sz val="10"/>
        <rFont val="Arial"/>
        <family val="2"/>
      </rPr>
      <t xml:space="preserve"> with base plate for surface mount, 23kN guyed mono-pole angle strain structure, with bolts, nuts &amp; washers</t>
    </r>
  </si>
  <si>
    <r>
      <t xml:space="preserve">bb)  </t>
    </r>
    <r>
      <rPr>
        <b/>
        <sz val="10"/>
        <color indexed="10"/>
        <rFont val="Arial"/>
        <family val="2"/>
      </rPr>
      <t>“Type 7807SM/131” 13,1m</t>
    </r>
    <r>
      <rPr>
        <sz val="10"/>
        <rFont val="Arial"/>
        <family val="2"/>
      </rPr>
      <t xml:space="preserve"> guyed H-pole terminal structure, with bolts, nuts &amp; washers</t>
    </r>
  </si>
  <si>
    <r>
      <t xml:space="preserve">cc)  </t>
    </r>
    <r>
      <rPr>
        <b/>
        <sz val="10"/>
        <color indexed="10"/>
        <rFont val="Arial"/>
        <family val="2"/>
      </rPr>
      <t>“Type NS7807SM/131” 13,1m</t>
    </r>
    <r>
      <rPr>
        <sz val="10"/>
        <rFont val="Arial"/>
        <family val="2"/>
      </rPr>
      <t xml:space="preserve"> guyed modified H-pole terminal structure, with bolts, nuts &amp; washers</t>
    </r>
  </si>
  <si>
    <r>
      <t xml:space="preserve">x)  </t>
    </r>
    <r>
      <rPr>
        <b/>
        <sz val="10"/>
        <color indexed="10"/>
        <rFont val="Arial"/>
        <family val="2"/>
      </rPr>
      <t>“Type NS7618SM/19” 2 x 19,0m</t>
    </r>
    <r>
      <rPr>
        <sz val="10"/>
        <rFont val="Arial"/>
        <family val="2"/>
      </rPr>
      <t xml:space="preserve"> + </t>
    </r>
    <r>
      <rPr>
        <b/>
        <sz val="10"/>
        <color rgb="FFFF0000"/>
        <rFont val="Arial"/>
        <family val="2"/>
      </rPr>
      <t>1 x 16,0m</t>
    </r>
    <r>
      <rPr>
        <sz val="10"/>
        <rFont val="Arial"/>
        <family val="2"/>
      </rPr>
      <t xml:space="preserve"> Surface mount, guyed modified 3-pole angle strain structure, with bolts, nuts &amp; washers</t>
    </r>
  </si>
  <si>
    <r>
      <t xml:space="preserve">y)  </t>
    </r>
    <r>
      <rPr>
        <b/>
        <sz val="10"/>
        <color indexed="10"/>
        <rFont val="Arial"/>
        <family val="2"/>
      </rPr>
      <t>“Type NS7618/21” 2 x 21,0m</t>
    </r>
    <r>
      <rPr>
        <sz val="10"/>
        <rFont val="Arial"/>
        <family val="2"/>
      </rPr>
      <t xml:space="preserve"> + </t>
    </r>
    <r>
      <rPr>
        <b/>
        <sz val="10"/>
        <color rgb="FFFF0000"/>
        <rFont val="Arial"/>
        <family val="2"/>
      </rPr>
      <t>1 x 18,0m</t>
    </r>
    <r>
      <rPr>
        <sz val="10"/>
        <rFont val="Arial"/>
        <family val="2"/>
      </rPr>
      <t xml:space="preserve"> planted 2m deep, guyed modified 3-pole angle strain structure, with bolts, nuts &amp; washers</t>
    </r>
  </si>
  <si>
    <r>
      <t xml:space="preserve">z)  </t>
    </r>
    <r>
      <rPr>
        <b/>
        <sz val="10"/>
        <color indexed="10"/>
        <rFont val="Arial"/>
        <family val="2"/>
      </rPr>
      <t>“Type NS7618SM/24” 2 x 24,0m</t>
    </r>
    <r>
      <rPr>
        <sz val="10"/>
        <rFont val="Arial"/>
        <family val="2"/>
      </rPr>
      <t xml:space="preserve"> + </t>
    </r>
    <r>
      <rPr>
        <b/>
        <sz val="10"/>
        <color rgb="FFFF0000"/>
        <rFont val="Arial"/>
        <family val="2"/>
      </rPr>
      <t>1 x 21,0m</t>
    </r>
    <r>
      <rPr>
        <sz val="10"/>
        <rFont val="Arial"/>
        <family val="2"/>
      </rPr>
      <t xml:space="preserve"> Surface mount, guyed modified 3-pole angle strain structure, with bolts, nuts &amp; washers</t>
    </r>
  </si>
  <si>
    <r>
      <t xml:space="preserve">aa)  </t>
    </r>
    <r>
      <rPr>
        <b/>
        <sz val="10"/>
        <color indexed="10"/>
        <rFont val="Arial"/>
        <family val="2"/>
      </rPr>
      <t>“Type NS7618/26” 2 x 26,0m</t>
    </r>
    <r>
      <rPr>
        <sz val="10"/>
        <rFont val="Arial"/>
        <family val="2"/>
      </rPr>
      <t xml:space="preserve"> + </t>
    </r>
    <r>
      <rPr>
        <b/>
        <sz val="10"/>
        <color rgb="FFFF0000"/>
        <rFont val="Arial"/>
        <family val="2"/>
      </rPr>
      <t>1 x 23,0m</t>
    </r>
    <r>
      <rPr>
        <sz val="10"/>
        <rFont val="Arial"/>
        <family val="2"/>
      </rPr>
      <t xml:space="preserve"> planted 2m deep, guyed modified 3-pole angle strain structure, with bolts, nuts &amp; washers</t>
    </r>
  </si>
  <si>
    <r>
      <rPr>
        <b/>
        <sz val="11"/>
        <rFont val="Arial"/>
        <family val="2"/>
      </rPr>
      <t>Extra-over for item 5.4.5 for backfilling of structure foundations,</t>
    </r>
    <r>
      <rPr>
        <b/>
        <sz val="11"/>
        <color indexed="10"/>
        <rFont val="Arial"/>
        <family val="2"/>
      </rPr>
      <t xml:space="preserve"> according to 
Part C3.3: Activity Stage 5.4</t>
    </r>
  </si>
  <si>
    <r>
      <t xml:space="preserve">Structure Foundations backfilling, </t>
    </r>
    <r>
      <rPr>
        <b/>
        <sz val="11"/>
        <color rgb="FFFF0000"/>
        <rFont val="Arial"/>
        <family val="2"/>
      </rPr>
      <t>according to D-DT-7850, D-DT-7851, D-FS-17704 &amp; D-FS-13526</t>
    </r>
  </si>
  <si>
    <r>
      <t xml:space="preserve">f)   Backfill and compact first </t>
    </r>
    <r>
      <rPr>
        <b/>
        <sz val="10"/>
        <color indexed="10"/>
        <rFont val="Arial"/>
        <family val="2"/>
      </rPr>
      <t>±150mm</t>
    </r>
    <r>
      <rPr>
        <sz val="10"/>
        <rFont val="Arial"/>
        <family val="2"/>
      </rPr>
      <t xml:space="preserve"> thick layer in earth trenches, with </t>
    </r>
    <r>
      <rPr>
        <b/>
        <sz val="10"/>
        <color indexed="10"/>
        <rFont val="Arial"/>
        <family val="2"/>
      </rPr>
      <t>1:3</t>
    </r>
    <r>
      <rPr>
        <sz val="10"/>
        <rFont val="Arial"/>
        <family val="2"/>
      </rPr>
      <t xml:space="preserve"> Agricultural gypsum/soil mixture, around earth rod</t>
    </r>
  </si>
  <si>
    <r>
      <t xml:space="preserve">f)   Backfill and compact earth spike holes, with </t>
    </r>
    <r>
      <rPr>
        <b/>
        <sz val="10"/>
        <color indexed="10"/>
        <rFont val="Arial"/>
        <family val="2"/>
      </rPr>
      <t>1:3</t>
    </r>
    <r>
      <rPr>
        <sz val="10"/>
        <rFont val="Arial"/>
        <family val="2"/>
      </rPr>
      <t xml:space="preserve"> Agricultural gypsum/soil mixture</t>
    </r>
  </si>
  <si>
    <r>
      <t xml:space="preserve">g)   Backfill and compact first </t>
    </r>
    <r>
      <rPr>
        <b/>
        <sz val="10"/>
        <color indexed="10"/>
        <rFont val="Arial"/>
        <family val="2"/>
      </rPr>
      <t>±150mm</t>
    </r>
    <r>
      <rPr>
        <sz val="10"/>
        <rFont val="Arial"/>
        <family val="2"/>
      </rPr>
      <t xml:space="preserve"> thick layer in earth trenches, with </t>
    </r>
    <r>
      <rPr>
        <b/>
        <sz val="10"/>
        <color indexed="10"/>
        <rFont val="Arial"/>
        <family val="2"/>
      </rPr>
      <t>1:3</t>
    </r>
    <r>
      <rPr>
        <sz val="10"/>
        <rFont val="Arial"/>
        <family val="2"/>
      </rPr>
      <t xml:space="preserve"> Agricultural gypsum/soil mixture, around earth rod</t>
    </r>
  </si>
  <si>
    <r>
      <t xml:space="preserve">Drilling/Excavating of holes for permanent structure stays:-  </t>
    </r>
    <r>
      <rPr>
        <b/>
        <sz val="11"/>
        <color indexed="10"/>
        <rFont val="Arial"/>
        <family val="2"/>
      </rPr>
      <t>PART C3.3: Activity Stage 4.5 (Items subjected to re-measurement)</t>
    </r>
  </si>
  <si>
    <t xml:space="preserve">Complete installation of all temporary stay assemblies: </t>
  </si>
  <si>
    <t xml:space="preserve">Complete removal of all temporary stay assemblies: </t>
  </si>
  <si>
    <r>
      <t xml:space="preserve">a)  Complete removal of </t>
    </r>
    <r>
      <rPr>
        <b/>
        <sz val="10"/>
        <color indexed="10"/>
        <rFont val="Arial"/>
        <family val="2"/>
      </rPr>
      <t>M20 x 2,4m</t>
    </r>
    <r>
      <rPr>
        <sz val="10"/>
        <rFont val="Arial"/>
        <family val="2"/>
      </rPr>
      <t xml:space="preserve"> non-adjustable conventional stay assemblies or alternative anchor blocks, including backfilling.</t>
    </r>
  </si>
  <si>
    <t>5.3.5</t>
  </si>
  <si>
    <t>Rev 1</t>
  </si>
  <si>
    <t>Changes after Design Review</t>
  </si>
  <si>
    <t>Rev 2</t>
  </si>
  <si>
    <t>Quantity changes based on Sample Soil Nomination and additional pay items</t>
  </si>
  <si>
    <t>4.2.4</t>
  </si>
  <si>
    <t>4.2.5</t>
  </si>
  <si>
    <t>4.2.6</t>
  </si>
  <si>
    <r>
      <t xml:space="preserve">Detail setting-out of </t>
    </r>
    <r>
      <rPr>
        <b/>
        <sz val="10"/>
        <color indexed="10"/>
        <rFont val="Arial"/>
        <family val="2"/>
      </rPr>
      <t>"Type 7645"</t>
    </r>
    <r>
      <rPr>
        <sz val="10"/>
        <rFont val="Arial"/>
        <family val="2"/>
      </rPr>
      <t xml:space="preserve"> mono-pole guyed strain structure planted foundation</t>
    </r>
  </si>
  <si>
    <r>
      <t xml:space="preserve">Detail setting-out of </t>
    </r>
    <r>
      <rPr>
        <b/>
        <sz val="10"/>
        <color indexed="10"/>
        <rFont val="Arial"/>
        <family val="2"/>
      </rPr>
      <t>"Type 7649"</t>
    </r>
    <r>
      <rPr>
        <sz val="10"/>
        <rFont val="Arial"/>
        <family val="2"/>
      </rPr>
      <t xml:space="preserve"> intermediate suspension mono-pole structure planted foundation</t>
    </r>
  </si>
  <si>
    <r>
      <t xml:space="preserve">Detail setting-out of </t>
    </r>
    <r>
      <rPr>
        <b/>
        <sz val="10"/>
        <color indexed="10"/>
        <rFont val="Arial"/>
        <family val="2"/>
      </rPr>
      <t>"Type 7645"</t>
    </r>
    <r>
      <rPr>
        <sz val="10"/>
        <rFont val="Arial"/>
        <family val="2"/>
      </rPr>
      <t xml:space="preserve"> mono-pole guyed strain structure surface mount foundation</t>
    </r>
  </si>
  <si>
    <r>
      <t xml:space="preserve">Detail setting-out of </t>
    </r>
    <r>
      <rPr>
        <b/>
        <sz val="10"/>
        <color indexed="10"/>
        <rFont val="Arial"/>
        <family val="2"/>
      </rPr>
      <t>"Type NS7618"</t>
    </r>
    <r>
      <rPr>
        <sz val="10"/>
        <rFont val="Arial"/>
        <family val="2"/>
      </rPr>
      <t xml:space="preserve"> 3-pole guyed strain structure planted foundation  (</t>
    </r>
    <r>
      <rPr>
        <b/>
        <sz val="10"/>
        <color rgb="FFFF0000"/>
        <rFont val="Arial"/>
        <family val="2"/>
      </rPr>
      <t>3 foundations per structure</t>
    </r>
    <r>
      <rPr>
        <sz val="10"/>
        <rFont val="Arial"/>
        <family val="2"/>
      </rPr>
      <t>)</t>
    </r>
  </si>
  <si>
    <r>
      <t xml:space="preserve">Detail setting-out of </t>
    </r>
    <r>
      <rPr>
        <b/>
        <sz val="10"/>
        <color indexed="10"/>
        <rFont val="Arial"/>
        <family val="2"/>
      </rPr>
      <t>"Type NS7618"</t>
    </r>
    <r>
      <rPr>
        <sz val="10"/>
        <rFont val="Arial"/>
        <family val="2"/>
      </rPr>
      <t xml:space="preserve"> 3-pole guyed strain structure surface mount foundation  (</t>
    </r>
    <r>
      <rPr>
        <b/>
        <sz val="10"/>
        <color rgb="FFFF0000"/>
        <rFont val="Arial"/>
        <family val="2"/>
      </rPr>
      <t>3 foundations per structure</t>
    </r>
    <r>
      <rPr>
        <sz val="10"/>
        <rFont val="Arial"/>
        <family val="2"/>
      </rPr>
      <t>)</t>
    </r>
  </si>
  <si>
    <r>
      <t xml:space="preserve">Detail setting-out of </t>
    </r>
    <r>
      <rPr>
        <b/>
        <sz val="10"/>
        <color indexed="10"/>
        <rFont val="Arial"/>
        <family val="2"/>
      </rPr>
      <t>"Type 7807"</t>
    </r>
    <r>
      <rPr>
        <sz val="10"/>
        <rFont val="Arial"/>
        <family val="2"/>
      </rPr>
      <t xml:space="preserve"> H-pole strain terminal structure surface mount foundation (</t>
    </r>
    <r>
      <rPr>
        <b/>
        <sz val="10"/>
        <color indexed="10"/>
        <rFont val="Arial"/>
        <family val="2"/>
      </rPr>
      <t>2 foundations per structure</t>
    </r>
    <r>
      <rPr>
        <sz val="10"/>
        <rFont val="Arial"/>
        <family val="2"/>
      </rPr>
      <t xml:space="preserve">) </t>
    </r>
  </si>
  <si>
    <r>
      <t xml:space="preserve">Geotechnical investigation, soil classification and foundation nomination
</t>
    </r>
    <r>
      <rPr>
        <b/>
        <sz val="11"/>
        <color indexed="10"/>
        <rFont val="Arial"/>
        <family val="2"/>
      </rPr>
      <t>PART C3.3: Activity Stage 4.1 (Item subjected to re-measurement)</t>
    </r>
  </si>
  <si>
    <t>4.1.4</t>
  </si>
  <si>
    <t>D-DT-7851 Planted Steel Pole Guyed Strain Structure Foundations (T1, T2, T3, T4 &amp; Rock Foundations)</t>
  </si>
  <si>
    <t>D-DT-7850 Planted Steel Pole Intermediate Structures  Foundations (T1, T2, T3, T4 &amp; Rock Foundations)</t>
  </si>
  <si>
    <t>D-FS-13526 17-22m Surface Mount Steel Pole Guyed Strain Structure Foundations (T1, T2, T3, T4 &amp; Rock Foundations)</t>
  </si>
  <si>
    <t>D-FS-14152 23-27m Surface Mount Steel Pole Guyed Strain Structure Foundations (T1, T2, T3, T4 &amp; Rock Foundations)</t>
  </si>
  <si>
    <t>D-FS-17704 Surface Mount Guyed Steel H-Pole Strain Structure Foundations (T1 &amp; T2  Foundations)</t>
  </si>
  <si>
    <t>Temporarily take down and re-instate existing fences</t>
  </si>
  <si>
    <r>
      <t xml:space="preserve">Complete construction of access, re-vegetation and erosion protection:- </t>
    </r>
    <r>
      <rPr>
        <b/>
        <sz val="11"/>
        <color indexed="10"/>
        <rFont val="Arial"/>
        <family val="2"/>
      </rPr>
      <t>PART C3.3: Activity Stage 3.7
(Also see details in Activity stages 3.4 and 3.6 (Item subjected to re-measurement)</t>
    </r>
  </si>
  <si>
    <t xml:space="preserve">i) Anchored hay bales for erosion control </t>
  </si>
  <si>
    <t>i) Maximum Soil Bearing Pressure of the in situ material at bottom of the profile test hole</t>
  </si>
  <si>
    <t>j) DCP test to 1m depth, on structure centre peg</t>
  </si>
  <si>
    <t>·   “Type A” (2000kPa) solid rock</t>
  </si>
  <si>
    <t>·   “Type B” (800kPa) decom. Rock</t>
  </si>
  <si>
    <t xml:space="preserve">c) Scarifying and ripping of areas where temporary access 
    road have been constructed </t>
  </si>
  <si>
    <t>Foundation Design and/or Verification</t>
  </si>
  <si>
    <r>
      <t>Foundation excavations to the specified foundation dimentions for: 
(</t>
    </r>
    <r>
      <rPr>
        <b/>
        <sz val="11"/>
        <color rgb="FFFF0000"/>
        <rFont val="Arial"/>
        <family val="2"/>
      </rPr>
      <t>as per PART C3.3: Activity Stage 4.1.8</t>
    </r>
    <r>
      <rPr>
        <b/>
        <sz val="11"/>
        <rFont val="Arial"/>
        <family val="2"/>
      </rPr>
      <t>) (</t>
    </r>
    <r>
      <rPr>
        <b/>
        <sz val="11"/>
        <color rgb="FFFF0000"/>
        <rFont val="Arial"/>
        <family val="2"/>
      </rPr>
      <t>See Foundation Quantities for details</t>
    </r>
    <r>
      <rPr>
        <b/>
        <sz val="11"/>
        <rFont val="Arial"/>
        <family val="2"/>
      </rPr>
      <t>)  (</t>
    </r>
    <r>
      <rPr>
        <b/>
        <sz val="11"/>
        <color rgb="FFFF0000"/>
        <rFont val="Arial"/>
        <family val="2"/>
      </rPr>
      <t>Compacted Volumes</t>
    </r>
    <r>
      <rPr>
        <b/>
        <sz val="11"/>
        <rFont val="Arial"/>
        <family val="2"/>
      </rPr>
      <t>)</t>
    </r>
  </si>
  <si>
    <r>
      <t xml:space="preserve">a) Backfilling in </t>
    </r>
    <r>
      <rPr>
        <b/>
        <sz val="10"/>
        <rFont val="Arial"/>
        <family val="2"/>
      </rPr>
      <t>max 200mm</t>
    </r>
    <r>
      <rPr>
        <sz val="10"/>
        <rFont val="Arial"/>
        <family val="2"/>
      </rPr>
      <t xml:space="preserve"> compacted layers done at optimal moisture content of material being compacted. (Compacted Volume)</t>
    </r>
  </si>
  <si>
    <t>a) Import of suitable and approved backfill material from a comercial source, including haulage. (Compacted Volume)</t>
  </si>
  <si>
    <t>b) Stabilising of suitable backfill material to a 8:1 Soil:Cement mixture, including cement and mixing of material. (Compacted Volume)</t>
  </si>
  <si>
    <t>a) Removal and dumping of all non-suitable backfill material at an approved dumping site  (Compacted Volume)</t>
  </si>
  <si>
    <t>Supply and transport to site of miscellaneous "OPGW Material":</t>
  </si>
  <si>
    <t>9.2.1</t>
  </si>
  <si>
    <r>
      <rPr>
        <b/>
        <sz val="10"/>
        <color indexed="10"/>
        <rFont val="Arial"/>
        <family val="2"/>
      </rPr>
      <t>"Tyco Flight Diverter" PVC spiral type</t>
    </r>
    <r>
      <rPr>
        <sz val="10"/>
        <rFont val="Arial"/>
        <family val="2"/>
      </rPr>
      <t xml:space="preserve"> for OPGW Alternating colours</t>
    </r>
    <r>
      <rPr>
        <b/>
        <sz val="10"/>
        <rFont val="Arial"/>
        <family val="2"/>
      </rPr>
      <t xml:space="preserve"> GREY &amp; WHITE</t>
    </r>
    <r>
      <rPr>
        <sz val="10"/>
        <rFont val="Arial"/>
        <family val="2"/>
      </rPr>
      <t xml:space="preserve">, see </t>
    </r>
    <r>
      <rPr>
        <b/>
        <sz val="10"/>
        <color indexed="10"/>
        <rFont val="Arial"/>
        <family val="2"/>
      </rPr>
      <t>PART C7.1</t>
    </r>
  </si>
  <si>
    <t>9.2.2</t>
  </si>
  <si>
    <t>Patch leads, Duplex, Single Mode SC-APC  to SC-APC, 3m</t>
  </si>
  <si>
    <t>9.2.3</t>
  </si>
  <si>
    <r>
      <t xml:space="preserve">19” Swing frame equipment cabinet according to </t>
    </r>
    <r>
      <rPr>
        <b/>
        <sz val="10"/>
        <color rgb="FFFF0000"/>
        <rFont val="Arial"/>
        <family val="2"/>
      </rPr>
      <t>240-60725641</t>
    </r>
  </si>
  <si>
    <t>c)  Programme and Planning</t>
  </si>
  <si>
    <r>
      <rPr>
        <sz val="10"/>
        <rFont val="Arial"/>
        <family val="2"/>
      </rPr>
      <t>d)  Special transport of workers to, at and from site in terms of the OHS Act Regulations</t>
    </r>
    <r>
      <rPr>
        <b/>
        <sz val="10"/>
        <color indexed="10"/>
        <rFont val="Arial"/>
        <family val="2"/>
      </rPr>
      <t xml:space="preserve"> (If tendered for provide Registration No of Vehicle that will be used. If hired provide copy of rental contract as part of returnables to the </t>
    </r>
    <r>
      <rPr>
        <b/>
        <i/>
        <sz val="10"/>
        <color indexed="10"/>
        <rFont val="Arial"/>
        <family val="2"/>
      </rPr>
      <t>Employer</t>
    </r>
    <r>
      <rPr>
        <b/>
        <sz val="10"/>
        <color indexed="10"/>
        <rFont val="Arial"/>
        <family val="2"/>
      </rPr>
      <t>)</t>
    </r>
  </si>
  <si>
    <t>e)  Other daily rate time related charges, required for the successful completion of this project</t>
  </si>
  <si>
    <r>
      <rPr>
        <i/>
        <sz val="10"/>
        <rFont val="Arial"/>
        <family val="2"/>
      </rPr>
      <t>Contractor</t>
    </r>
    <r>
      <rPr>
        <sz val="10"/>
        <rFont val="Arial"/>
        <family val="2"/>
      </rPr>
      <t xml:space="preserve"> must allow for work being done during final commissioning outage which includes 3 spans to be completed where the new line crosses the existing 66kV line and the installation of the terminal structures and completion of the clossing spans all done simultaneusly on a single outage over a weekend (</t>
    </r>
    <r>
      <rPr>
        <b/>
        <sz val="10"/>
        <color rgb="FFFF0000"/>
        <rFont val="Arial"/>
        <family val="2"/>
      </rPr>
      <t>Rate to include all additional resources and plant required to complete the work in the shortes possible time</t>
    </r>
    <r>
      <rPr>
        <sz val="10"/>
        <rFont val="Arial"/>
        <family val="2"/>
      </rPr>
      <t>)</t>
    </r>
  </si>
  <si>
    <r>
      <t xml:space="preserve">b)  </t>
    </r>
    <r>
      <rPr>
        <b/>
        <sz val="10"/>
        <rFont val="Arial"/>
        <family val="2"/>
      </rPr>
      <t>FINAL COMMISSIONING OUTAGE (</t>
    </r>
    <r>
      <rPr>
        <b/>
        <sz val="10"/>
        <color rgb="FFFF0000"/>
        <rFont val="Arial"/>
        <family val="2"/>
      </rPr>
      <t>PART C3.1 Section 1.4.5</t>
    </r>
  </si>
  <si>
    <r>
      <t>j)  Compile, use and maintain the "</t>
    </r>
    <r>
      <rPr>
        <b/>
        <sz val="10"/>
        <color indexed="10"/>
        <rFont val="Arial"/>
        <family val="2"/>
      </rPr>
      <t>Health and Safety Incident Register</t>
    </r>
    <r>
      <rPr>
        <sz val="10"/>
        <rFont val="Arial"/>
        <family val="2"/>
      </rPr>
      <t>" on site</t>
    </r>
  </si>
  <si>
    <r>
      <t xml:space="preserve">i)  Other Health and Safety related items and costs deemed necessary to comply to </t>
    </r>
    <r>
      <rPr>
        <b/>
        <sz val="10"/>
        <color rgb="FFFF0000"/>
        <rFont val="Arial"/>
        <family val="2"/>
      </rPr>
      <t>COVID-19 Related Requirements</t>
    </r>
    <r>
      <rPr>
        <sz val="10"/>
        <rFont val="Arial"/>
        <family val="2"/>
      </rPr>
      <t xml:space="preserve"> from OHS Act, Regulations and Eskom Safety specifications</t>
    </r>
  </si>
  <si>
    <t>d)  Galvanised mild steel guy grip crimp ferrule</t>
  </si>
  <si>
    <r>
      <t xml:space="preserve">e)  </t>
    </r>
    <r>
      <rPr>
        <b/>
        <sz val="10"/>
        <color indexed="10"/>
        <rFont val="Arial"/>
        <family val="2"/>
      </rPr>
      <t>2,5m x 40mm OD HDPE Type 5 Class 6</t>
    </r>
    <r>
      <rPr>
        <sz val="10"/>
        <rFont val="Arial"/>
        <family val="2"/>
      </rPr>
      <t xml:space="preserve"> pipe sections</t>
    </r>
  </si>
  <si>
    <r>
      <t xml:space="preserve">f) </t>
    </r>
    <r>
      <rPr>
        <b/>
        <sz val="10"/>
        <color indexed="10"/>
        <rFont val="Arial"/>
        <family val="2"/>
      </rPr>
      <t xml:space="preserve"> 19/2,65mm</t>
    </r>
    <r>
      <rPr>
        <sz val="10"/>
        <rFont val="Arial"/>
        <family val="2"/>
      </rPr>
      <t xml:space="preserve"> Galvanized steel stay wire 1 100MPa (</t>
    </r>
    <r>
      <rPr>
        <b/>
        <sz val="10"/>
        <color indexed="10"/>
        <rFont val="Arial"/>
        <family val="2"/>
      </rPr>
      <t>Permanent</t>
    </r>
    <r>
      <rPr>
        <sz val="10"/>
        <rFont val="Arial"/>
        <family val="2"/>
      </rPr>
      <t>)</t>
    </r>
  </si>
  <si>
    <t>b) 25MPa Concrete, according to foundation designs</t>
  </si>
  <si>
    <t>c) Reinforcing Steel, according to foundation designs</t>
  </si>
  <si>
    <t>Formulas corrected</t>
  </si>
  <si>
    <t>Rev 3</t>
  </si>
  <si>
    <t>c)   Bend and install earth straps</t>
  </si>
  <si>
    <t>d)   Install copper coated earth spikes</t>
  </si>
  <si>
    <t>e)   Apply contact grease and "Bolt" joint earth rods and straps</t>
  </si>
  <si>
    <r>
      <t xml:space="preserve">a)  Mono-pole strain structure, complete with </t>
    </r>
    <r>
      <rPr>
        <b/>
        <sz val="10"/>
        <color indexed="12"/>
        <rFont val="Arial"/>
        <family val="2"/>
      </rPr>
      <t>1 x SW - STR A Insulated assemblies</t>
    </r>
  </si>
  <si>
    <r>
      <t xml:space="preserve">b)  Mono-pole strain structure, complete with </t>
    </r>
    <r>
      <rPr>
        <b/>
        <sz val="10"/>
        <color indexed="12"/>
        <rFont val="Arial"/>
        <family val="2"/>
      </rPr>
      <t>1 x SW - STR B Non-Insulated assemblies</t>
    </r>
  </si>
  <si>
    <r>
      <t xml:space="preserve">c)  3-pole strain structure, complete with </t>
    </r>
    <r>
      <rPr>
        <b/>
        <sz val="10"/>
        <color indexed="12"/>
        <rFont val="Arial"/>
        <family val="2"/>
      </rPr>
      <t>2 x SW - STR B Non-Insulated assemblies</t>
    </r>
  </si>
  <si>
    <r>
      <t xml:space="preserve">d)  H-pole steel strain structure, complete with </t>
    </r>
    <r>
      <rPr>
        <b/>
        <sz val="10"/>
        <color indexed="12"/>
        <rFont val="Arial"/>
        <family val="2"/>
      </rPr>
      <t>2 x SW - STR B Non-Insulated assemblies</t>
    </r>
  </si>
  <si>
    <r>
      <t xml:space="preserve">e) Station Gantry, complete with </t>
    </r>
    <r>
      <rPr>
        <b/>
        <sz val="10"/>
        <color indexed="12"/>
        <rFont val="Arial"/>
        <family val="2"/>
      </rPr>
      <t>1 x SW - STR B Non-Insulated assemblies</t>
    </r>
  </si>
  <si>
    <r>
      <t>c)  Supply and erect temporary "</t>
    </r>
    <r>
      <rPr>
        <b/>
        <sz val="10"/>
        <color indexed="10"/>
        <rFont val="Arial"/>
        <family val="2"/>
      </rPr>
      <t>Goal-post supports</t>
    </r>
    <r>
      <rPr>
        <sz val="10"/>
        <rFont val="Arial"/>
        <family val="2"/>
      </rPr>
      <t xml:space="preserve">" for complete crossing over mnon electrified railway lines, including dismantling and removal after completion </t>
    </r>
  </si>
  <si>
    <r>
      <t>d)  Supply and erect temporary "</t>
    </r>
    <r>
      <rPr>
        <b/>
        <sz val="10"/>
        <color indexed="10"/>
        <rFont val="Arial"/>
        <family val="2"/>
      </rPr>
      <t>Goal-post supports</t>
    </r>
    <r>
      <rPr>
        <sz val="10"/>
        <rFont val="Arial"/>
        <family val="2"/>
      </rPr>
      <t xml:space="preserve">" for complete crossing over 132kV sub-transmission lines, including dismantling and removal after completion </t>
    </r>
  </si>
  <si>
    <r>
      <t>e)  Supply and erect temporary "</t>
    </r>
    <r>
      <rPr>
        <b/>
        <sz val="10"/>
        <color indexed="10"/>
        <rFont val="Arial"/>
        <family val="2"/>
      </rPr>
      <t>Goal-post supports</t>
    </r>
    <r>
      <rPr>
        <sz val="10"/>
        <rFont val="Arial"/>
        <family val="2"/>
      </rPr>
      <t xml:space="preserve">" for complete crossing over 11kV &amp; 22kV distribution lines, including dismantling and removal after completion </t>
    </r>
  </si>
  <si>
    <r>
      <t>f)  Supply and erect temporary "</t>
    </r>
    <r>
      <rPr>
        <b/>
        <sz val="10"/>
        <color indexed="10"/>
        <rFont val="Arial"/>
        <family val="2"/>
      </rPr>
      <t>Goal-post supports</t>
    </r>
    <r>
      <rPr>
        <sz val="10"/>
        <rFont val="Arial"/>
        <family val="2"/>
      </rPr>
      <t xml:space="preserve">" for complete crossing over Telkom lines, including dismantling and removal after completion </t>
    </r>
  </si>
  <si>
    <r>
      <t xml:space="preserve">f)  Tension string, regulate, joint and clamp </t>
    </r>
    <r>
      <rPr>
        <b/>
        <sz val="10"/>
        <color indexed="10"/>
        <rFont val="Arial"/>
        <family val="2"/>
      </rPr>
      <t>“Wolf" ACSR</t>
    </r>
    <r>
      <rPr>
        <sz val="10"/>
        <rFont val="Arial"/>
        <family val="2"/>
      </rPr>
      <t xml:space="preserve">  phase conductor (</t>
    </r>
    <r>
      <rPr>
        <b/>
        <sz val="10"/>
        <color indexed="10"/>
        <rFont val="Arial"/>
        <family val="2"/>
      </rPr>
      <t>3 phases</t>
    </r>
    <r>
      <rPr>
        <sz val="10"/>
        <rFont val="Arial"/>
        <family val="2"/>
      </rPr>
      <t xml:space="preserve">) </t>
    </r>
  </si>
  <si>
    <r>
      <t xml:space="preserve">g)  Tension string, regulate, joint and clamp </t>
    </r>
    <r>
      <rPr>
        <b/>
        <sz val="10"/>
        <color indexed="10"/>
        <rFont val="Arial"/>
        <family val="2"/>
      </rPr>
      <t>“7/3,35" Steel</t>
    </r>
    <r>
      <rPr>
        <sz val="10"/>
        <rFont val="Arial"/>
        <family val="2"/>
      </rPr>
      <t xml:space="preserve">  phase conductor shield wire</t>
    </r>
  </si>
  <si>
    <r>
      <t xml:space="preserve">h)   Crossing over major proclaimed roads, with </t>
    </r>
    <r>
      <rPr>
        <b/>
        <sz val="10"/>
        <color indexed="10"/>
        <rFont val="Arial"/>
        <family val="2"/>
      </rPr>
      <t>3 phase conductors</t>
    </r>
  </si>
  <si>
    <r>
      <t xml:space="preserve">i)   Crossing over minor proclaimed roads, with </t>
    </r>
    <r>
      <rPr>
        <b/>
        <sz val="10"/>
        <color indexed="10"/>
        <rFont val="Arial"/>
        <family val="2"/>
      </rPr>
      <t>3 phase conductors</t>
    </r>
  </si>
  <si>
    <r>
      <t xml:space="preserve">j)   Crossing over non-electrified railway line, with </t>
    </r>
    <r>
      <rPr>
        <b/>
        <sz val="10"/>
        <color indexed="10"/>
        <rFont val="Arial"/>
        <family val="2"/>
      </rPr>
      <t>3 phase conductors</t>
    </r>
  </si>
  <si>
    <r>
      <t xml:space="preserve">k)   Crossing over 132kV sub-transmission lines, with </t>
    </r>
    <r>
      <rPr>
        <b/>
        <sz val="10"/>
        <color indexed="10"/>
        <rFont val="Arial"/>
        <family val="2"/>
      </rPr>
      <t>3 phase conductors</t>
    </r>
  </si>
  <si>
    <r>
      <t xml:space="preserve">l)   Crossing over 11kV &amp; 22kV distribution power lines, with </t>
    </r>
    <r>
      <rPr>
        <b/>
        <sz val="10"/>
        <color indexed="10"/>
        <rFont val="Arial"/>
        <family val="2"/>
      </rPr>
      <t>3 phase conductors</t>
    </r>
  </si>
  <si>
    <r>
      <t xml:space="preserve">m)   Crossing over Telkom lines, with </t>
    </r>
    <r>
      <rPr>
        <b/>
        <sz val="10"/>
        <color indexed="10"/>
        <rFont val="Arial"/>
        <family val="2"/>
      </rPr>
      <t>3 phase conductors</t>
    </r>
  </si>
  <si>
    <r>
      <t xml:space="preserve">n)   Crossing over Major River (Orange), with </t>
    </r>
    <r>
      <rPr>
        <b/>
        <sz val="10"/>
        <color indexed="10"/>
        <rFont val="Arial"/>
        <family val="2"/>
      </rPr>
      <t>3 phase conductors</t>
    </r>
  </si>
  <si>
    <r>
      <t xml:space="preserve">o)  Assemble and install </t>
    </r>
    <r>
      <rPr>
        <b/>
        <sz val="10"/>
        <color indexed="10"/>
        <rFont val="Arial"/>
        <family val="2"/>
      </rPr>
      <t>“Chicadee/Wolf”</t>
    </r>
    <r>
      <rPr>
        <sz val="10"/>
        <rFont val="Arial"/>
        <family val="2"/>
      </rPr>
      <t xml:space="preserve"> ACSR phase conductor structure jumpers</t>
    </r>
  </si>
  <si>
    <r>
      <t xml:space="preserve">p)   Install </t>
    </r>
    <r>
      <rPr>
        <b/>
        <sz val="10"/>
        <color indexed="10"/>
        <rFont val="Arial"/>
        <family val="2"/>
      </rPr>
      <t>"Multi Frequency"</t>
    </r>
    <r>
      <rPr>
        <sz val="10"/>
        <rFont val="Arial"/>
        <family val="2"/>
      </rPr>
      <t xml:space="preserve"> phase conductor vibration dampers</t>
    </r>
  </si>
  <si>
    <r>
      <t xml:space="preserve">q)    Install </t>
    </r>
    <r>
      <rPr>
        <b/>
        <sz val="10"/>
        <color indexed="10"/>
        <rFont val="Arial"/>
        <family val="2"/>
      </rPr>
      <t>"PVC Spiral Type"</t>
    </r>
    <r>
      <rPr>
        <sz val="10"/>
        <rFont val="Arial"/>
        <family val="2"/>
      </rPr>
      <t xml:space="preserve"> shield wire vibration dampers</t>
    </r>
  </si>
  <si>
    <r>
      <t xml:space="preserve">r)   Install </t>
    </r>
    <r>
      <rPr>
        <b/>
        <sz val="10"/>
        <color indexed="10"/>
        <rFont val="Arial"/>
        <family val="2"/>
      </rPr>
      <t>"AWS"</t>
    </r>
    <r>
      <rPr>
        <sz val="10"/>
        <rFont val="Arial"/>
        <family val="2"/>
      </rPr>
      <t xml:space="preserve"> on 7/3,35 shield wire</t>
    </r>
  </si>
  <si>
    <r>
      <t xml:space="preserve">s)    Install </t>
    </r>
    <r>
      <rPr>
        <b/>
        <sz val="10"/>
        <color indexed="10"/>
        <rFont val="Arial"/>
        <family val="2"/>
      </rPr>
      <t>"Bird Flight Diverters"</t>
    </r>
    <r>
      <rPr>
        <sz val="10"/>
        <rFont val="Arial"/>
        <family val="2"/>
      </rPr>
      <t xml:space="preserve"> on 7/3,35 shield wire</t>
    </r>
  </si>
  <si>
    <r>
      <t xml:space="preserve">TOTAL </t>
    </r>
    <r>
      <rPr>
        <b/>
        <sz val="12"/>
        <color indexed="10"/>
        <rFont val="Arial"/>
        <family val="2"/>
      </rPr>
      <t xml:space="preserve">Activity Stage 11 </t>
    </r>
    <r>
      <rPr>
        <b/>
        <sz val="12"/>
        <color indexed="14"/>
        <rFont val="Arial"/>
        <family val="2"/>
      </rPr>
      <t>CARRIED FORWARD TO SUMMARY</t>
    </r>
  </si>
  <si>
    <r>
      <t xml:space="preserve">TOTAL </t>
    </r>
    <r>
      <rPr>
        <b/>
        <sz val="12"/>
        <color indexed="10"/>
        <rFont val="Arial"/>
        <family val="2"/>
      </rPr>
      <t>Activity Stage 9</t>
    </r>
    <r>
      <rPr>
        <b/>
        <sz val="12"/>
        <color indexed="14"/>
        <rFont val="Arial"/>
        <family val="2"/>
      </rPr>
      <t xml:space="preserve"> CARRIED FORWARD TO SUMMARY</t>
    </r>
  </si>
  <si>
    <t>PROJECT TOTAL (15% VAT)</t>
  </si>
  <si>
    <t>Rev 4</t>
  </si>
  <si>
    <t>Deviation @ Aliwal North Estimated and date corrected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</si>
</sst>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quot;R&quot;\ * #,##0.00_ ;_ &quot;R&quot;\ * \-#,##0.00_ ;_ &quot;R&quot;\ * &quot;-&quot;??_ ;_ @_ "/>
    <numFmt numFmtId="165" formatCode="0.000"/>
    <numFmt numFmtId="166" formatCode="00,000"/>
    <numFmt numFmtId="167" formatCode="0,000"/>
    <numFmt numFmtId="168" formatCode="0.0"/>
    <numFmt numFmtId="169" formatCode="0\ 000"/>
  </numFmts>
  <fonts count="47" x14ac:knownFonts="1">
    <font>
      <sz val="12"/>
      <name val="Arial"/>
      <family val="2"/>
    </font>
    <font>
      <b/>
      <sz val="10"/>
      <name val="Arial"/>
      <family val="2"/>
    </font>
    <font>
      <sz val="10"/>
      <name val="Times New Roman"/>
      <family val="1"/>
    </font>
    <font>
      <sz val="14"/>
      <name val="Arial"/>
      <family val="2"/>
    </font>
    <font>
      <b/>
      <i/>
      <sz val="11"/>
      <name val="Times New Roman"/>
      <family val="1"/>
    </font>
    <font>
      <sz val="18"/>
      <name val="Arial"/>
      <family val="2"/>
    </font>
    <font>
      <sz val="10"/>
      <name val="Arial"/>
      <family val="2"/>
    </font>
    <font>
      <b/>
      <sz val="10"/>
      <color indexed="12"/>
      <name val="Arial"/>
      <family val="2"/>
    </font>
    <font>
      <b/>
      <i/>
      <sz val="10"/>
      <color indexed="12"/>
      <name val="Arial"/>
      <family val="2"/>
    </font>
    <font>
      <sz val="11"/>
      <name val="Arial"/>
      <family val="2"/>
    </font>
    <font>
      <b/>
      <u/>
      <sz val="24"/>
      <name val="Arial"/>
      <family val="2"/>
    </font>
    <font>
      <sz val="24"/>
      <name val="Arial"/>
      <family val="2"/>
    </font>
    <font>
      <b/>
      <sz val="20"/>
      <name val="Arial"/>
      <family val="2"/>
    </font>
    <font>
      <b/>
      <u/>
      <sz val="12"/>
      <name val="Arial"/>
      <family val="2"/>
    </font>
    <font>
      <b/>
      <sz val="12"/>
      <name val="Arial"/>
      <family val="2"/>
    </font>
    <font>
      <b/>
      <sz val="14"/>
      <color indexed="8"/>
      <name val="Arial"/>
      <family val="2"/>
    </font>
    <font>
      <b/>
      <sz val="11"/>
      <name val="Arial"/>
      <family val="2"/>
    </font>
    <font>
      <b/>
      <sz val="12"/>
      <color indexed="10"/>
      <name val="Arial"/>
      <family val="2"/>
    </font>
    <font>
      <sz val="10"/>
      <color indexed="12"/>
      <name val="Arial"/>
      <family val="2"/>
    </font>
    <font>
      <b/>
      <sz val="10"/>
      <name val="Arial"/>
      <family val="2"/>
    </font>
    <font>
      <b/>
      <sz val="10"/>
      <color indexed="10"/>
      <name val="Arial"/>
      <family val="2"/>
    </font>
    <font>
      <b/>
      <sz val="11"/>
      <color indexed="10"/>
      <name val="Arial"/>
      <family val="2"/>
    </font>
    <font>
      <b/>
      <sz val="11"/>
      <color indexed="10"/>
      <name val="Arial"/>
      <family val="2"/>
    </font>
    <font>
      <b/>
      <i/>
      <sz val="10"/>
      <color indexed="10"/>
      <name val="Arial"/>
      <family val="2"/>
    </font>
    <font>
      <sz val="10"/>
      <color indexed="14"/>
      <name val="Arial"/>
      <family val="2"/>
    </font>
    <font>
      <i/>
      <sz val="10"/>
      <name val="Arial"/>
      <family val="2"/>
    </font>
    <font>
      <b/>
      <sz val="14"/>
      <color indexed="14"/>
      <name val="Arial"/>
      <family val="2"/>
    </font>
    <font>
      <b/>
      <sz val="14"/>
      <name val="Arial"/>
      <family val="2"/>
    </font>
    <font>
      <sz val="10"/>
      <color indexed="8"/>
      <name val="Arial"/>
      <family val="2"/>
    </font>
    <font>
      <vertAlign val="superscript"/>
      <sz val="10"/>
      <name val="Arial"/>
      <family val="2"/>
    </font>
    <font>
      <b/>
      <vertAlign val="superscript"/>
      <sz val="10"/>
      <color indexed="10"/>
      <name val="Arial"/>
      <family val="2"/>
    </font>
    <font>
      <b/>
      <sz val="10"/>
      <color indexed="8"/>
      <name val="Arial"/>
      <family val="2"/>
    </font>
    <font>
      <i/>
      <sz val="10"/>
      <color indexed="8"/>
      <name val="Arial"/>
      <family val="2"/>
    </font>
    <font>
      <b/>
      <i/>
      <sz val="12"/>
      <name val="Arial"/>
      <family val="2"/>
    </font>
    <font>
      <b/>
      <i/>
      <sz val="11"/>
      <color indexed="10"/>
      <name val="Arial"/>
      <family val="2"/>
    </font>
    <font>
      <sz val="10"/>
      <color indexed="10"/>
      <name val="Arial"/>
      <family val="2"/>
    </font>
    <font>
      <b/>
      <sz val="12"/>
      <color indexed="8"/>
      <name val="Arial"/>
      <family val="2"/>
    </font>
    <font>
      <b/>
      <sz val="18"/>
      <color indexed="8"/>
      <name val="Arial"/>
      <family val="2"/>
    </font>
    <font>
      <b/>
      <sz val="11"/>
      <color indexed="12"/>
      <name val="Arial"/>
      <family val="2"/>
    </font>
    <font>
      <sz val="11"/>
      <color indexed="12"/>
      <name val="Arial"/>
      <family val="2"/>
    </font>
    <font>
      <sz val="11"/>
      <color indexed="10"/>
      <name val="Arial"/>
      <family val="2"/>
    </font>
    <font>
      <b/>
      <sz val="12"/>
      <color indexed="14"/>
      <name val="Arial"/>
      <family val="2"/>
    </font>
    <font>
      <sz val="12"/>
      <color indexed="8"/>
      <name val="Arial"/>
      <family val="2"/>
    </font>
    <font>
      <b/>
      <sz val="10"/>
      <color rgb="FFFF0000"/>
      <name val="Arial"/>
      <family val="2"/>
    </font>
    <font>
      <b/>
      <sz val="11"/>
      <color rgb="FFFF0000"/>
      <name val="Arial"/>
      <family val="2"/>
    </font>
    <font>
      <b/>
      <sz val="10"/>
      <color rgb="FF0000FF"/>
      <name val="Arial"/>
      <family val="2"/>
    </font>
    <font>
      <b/>
      <vertAlign val="superscript"/>
      <sz val="10"/>
      <color rgb="FFFF0000"/>
      <name val="Arial"/>
      <family val="2"/>
    </font>
  </fonts>
  <fills count="10">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22"/>
        <bgColor indexed="8"/>
      </patternFill>
    </fill>
    <fill>
      <patternFill patternType="solid">
        <fgColor rgb="FFCCFFCC"/>
        <bgColor indexed="64"/>
      </patternFill>
    </fill>
    <fill>
      <patternFill patternType="solid">
        <fgColor rgb="FFC4DCF2"/>
        <bgColor indexed="64"/>
      </patternFill>
    </fill>
    <fill>
      <patternFill patternType="solid">
        <fgColor rgb="FFFFFF99"/>
        <bgColor indexed="64"/>
      </patternFill>
    </fill>
    <fill>
      <patternFill patternType="solid">
        <fgColor rgb="FFFFFF00"/>
        <bgColor indexed="64"/>
      </patternFill>
    </fill>
  </fills>
  <borders count="99">
    <border>
      <left/>
      <right/>
      <top/>
      <bottom/>
      <diagonal/>
    </border>
    <border>
      <left style="thick">
        <color indexed="12"/>
      </left>
      <right style="medium">
        <color indexed="64"/>
      </right>
      <top/>
      <bottom style="thick">
        <color indexed="12"/>
      </bottom>
      <diagonal/>
    </border>
    <border>
      <left/>
      <right style="medium">
        <color indexed="64"/>
      </right>
      <top/>
      <bottom style="thick">
        <color indexed="12"/>
      </bottom>
      <diagonal/>
    </border>
    <border>
      <left/>
      <right style="thick">
        <color indexed="12"/>
      </right>
      <top/>
      <bottom style="thick">
        <color indexed="1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ck">
        <color indexed="12"/>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12"/>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ck">
        <color indexed="12"/>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12"/>
      </left>
      <right style="thin">
        <color indexed="64"/>
      </right>
      <top style="thin">
        <color indexed="64"/>
      </top>
      <bottom style="thin">
        <color indexed="64"/>
      </bottom>
      <diagonal/>
    </border>
    <border>
      <left style="thin">
        <color indexed="64"/>
      </left>
      <right style="thick">
        <color indexed="12"/>
      </right>
      <top style="thin">
        <color indexed="64"/>
      </top>
      <bottom style="medium">
        <color indexed="64"/>
      </bottom>
      <diagonal/>
    </border>
    <border>
      <left/>
      <right style="thick">
        <color indexed="12"/>
      </right>
      <top style="thin">
        <color indexed="64"/>
      </top>
      <bottom style="thin">
        <color indexed="64"/>
      </bottom>
      <diagonal/>
    </border>
    <border>
      <left style="thin">
        <color indexed="64"/>
      </left>
      <right/>
      <top style="thin">
        <color indexed="64"/>
      </top>
      <bottom style="thin">
        <color indexed="64"/>
      </bottom>
      <diagonal/>
    </border>
    <border>
      <left style="thick">
        <color indexed="12"/>
      </left>
      <right style="thin">
        <color indexed="64"/>
      </right>
      <top style="thin">
        <color indexed="64"/>
      </top>
      <bottom style="medium">
        <color indexed="64"/>
      </bottom>
      <diagonal/>
    </border>
    <border>
      <left style="thick">
        <color indexed="12"/>
      </left>
      <right style="thin">
        <color indexed="64"/>
      </right>
      <top/>
      <bottom/>
      <diagonal/>
    </border>
    <border>
      <left style="thick">
        <color indexed="12"/>
      </left>
      <right style="thin">
        <color indexed="64"/>
      </right>
      <top/>
      <bottom style="thin">
        <color indexed="64"/>
      </bottom>
      <diagonal/>
    </border>
    <border>
      <left style="thick">
        <color indexed="12"/>
      </left>
      <right style="thin">
        <color indexed="64"/>
      </right>
      <top style="thin">
        <color indexed="64"/>
      </top>
      <bottom/>
      <diagonal/>
    </border>
    <border>
      <left style="thick">
        <color indexed="12"/>
      </left>
      <right style="thin">
        <color indexed="64"/>
      </right>
      <top style="medium">
        <color indexed="64"/>
      </top>
      <bottom style="thin">
        <color indexed="64"/>
      </bottom>
      <diagonal/>
    </border>
    <border>
      <left style="thick">
        <color indexed="12"/>
      </left>
      <right style="thick">
        <color indexed="64"/>
      </right>
      <top/>
      <bottom style="thick">
        <color indexed="64"/>
      </bottom>
      <diagonal/>
    </border>
    <border>
      <left/>
      <right style="thick">
        <color indexed="12"/>
      </right>
      <top/>
      <bottom style="thick">
        <color indexed="64"/>
      </bottom>
      <diagonal/>
    </border>
    <border>
      <left style="thick">
        <color indexed="12"/>
      </left>
      <right style="medium">
        <color indexed="64"/>
      </right>
      <top style="thick">
        <color indexed="64"/>
      </top>
      <bottom style="thin">
        <color indexed="64"/>
      </bottom>
      <diagonal/>
    </border>
    <border>
      <left style="medium">
        <color indexed="64"/>
      </left>
      <right style="thick">
        <color indexed="12"/>
      </right>
      <top style="thick">
        <color indexed="64"/>
      </top>
      <bottom style="thin">
        <color indexed="64"/>
      </bottom>
      <diagonal/>
    </border>
    <border>
      <left style="thick">
        <color indexed="12"/>
      </left>
      <right style="medium">
        <color indexed="64"/>
      </right>
      <top style="thin">
        <color indexed="64"/>
      </top>
      <bottom style="thin">
        <color indexed="64"/>
      </bottom>
      <diagonal/>
    </border>
    <border>
      <left style="medium">
        <color indexed="64"/>
      </left>
      <right style="thick">
        <color indexed="12"/>
      </right>
      <top style="thin">
        <color indexed="64"/>
      </top>
      <bottom style="thin">
        <color indexed="64"/>
      </bottom>
      <diagonal/>
    </border>
    <border>
      <left style="medium">
        <color indexed="64"/>
      </left>
      <right style="thick">
        <color indexed="12"/>
      </right>
      <top/>
      <bottom style="thick">
        <color indexed="12"/>
      </bottom>
      <diagonal/>
    </border>
    <border>
      <left style="thick">
        <color indexed="12"/>
      </left>
      <right style="thick">
        <color indexed="12"/>
      </right>
      <top style="thick">
        <color indexed="12"/>
      </top>
      <bottom style="thick">
        <color indexed="12"/>
      </bottom>
      <diagonal/>
    </border>
    <border>
      <left style="medium">
        <color indexed="64"/>
      </left>
      <right style="medium">
        <color indexed="64"/>
      </right>
      <top style="medium">
        <color indexed="64"/>
      </top>
      <bottom style="thin">
        <color indexed="64"/>
      </bottom>
      <diagonal/>
    </border>
    <border>
      <left style="thick">
        <color indexed="12"/>
      </left>
      <right style="thick">
        <color indexed="12"/>
      </right>
      <top style="thick">
        <color indexed="39"/>
      </top>
      <bottom style="thick">
        <color indexed="12"/>
      </bottom>
      <diagonal/>
    </border>
    <border>
      <left/>
      <right style="medium">
        <color indexed="64"/>
      </right>
      <top style="medium">
        <color indexed="64"/>
      </top>
      <bottom/>
      <diagonal/>
    </border>
    <border>
      <left style="medium">
        <color indexed="64"/>
      </left>
      <right style="thick">
        <color indexed="12"/>
      </right>
      <top style="medium">
        <color indexed="64"/>
      </top>
      <bottom/>
      <diagonal/>
    </border>
    <border>
      <left style="thick">
        <color indexed="12"/>
      </left>
      <right style="medium">
        <color indexed="64"/>
      </right>
      <top/>
      <bottom style="thick">
        <color indexed="64"/>
      </bottom>
      <diagonal/>
    </border>
    <border>
      <left/>
      <right style="medium">
        <color indexed="64"/>
      </right>
      <top/>
      <bottom style="thick">
        <color indexed="64"/>
      </bottom>
      <diagonal/>
    </border>
    <border>
      <left style="thick">
        <color indexed="12"/>
      </left>
      <right style="thick">
        <color indexed="12"/>
      </right>
      <top style="thick">
        <color indexed="39"/>
      </top>
      <bottom style="thick">
        <color indexed="64"/>
      </bottom>
      <diagonal/>
    </border>
    <border>
      <left style="thin">
        <color indexed="64"/>
      </left>
      <right style="thick">
        <color indexed="12"/>
      </right>
      <top style="thin">
        <color indexed="64"/>
      </top>
      <bottom/>
      <diagonal/>
    </border>
    <border>
      <left style="thin">
        <color indexed="64"/>
      </left>
      <right style="thick">
        <color indexed="12"/>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12"/>
      </right>
      <top style="medium">
        <color indexed="64"/>
      </top>
      <bottom style="thin">
        <color indexed="64"/>
      </bottom>
      <diagonal/>
    </border>
    <border>
      <left style="thick">
        <color indexed="12"/>
      </left>
      <right style="thin">
        <color indexed="64"/>
      </right>
      <top style="medium">
        <color indexed="64"/>
      </top>
      <bottom/>
      <diagonal/>
    </border>
    <border>
      <left style="thick">
        <color indexed="12"/>
      </left>
      <right style="thin">
        <color indexed="64"/>
      </right>
      <top/>
      <bottom style="medium">
        <color indexed="64"/>
      </bottom>
      <diagonal/>
    </border>
    <border>
      <left/>
      <right/>
      <top style="thin">
        <color indexed="64"/>
      </top>
      <bottom style="thin">
        <color indexed="64"/>
      </bottom>
      <diagonal/>
    </border>
    <border>
      <left style="thick">
        <color indexed="12"/>
      </left>
      <right/>
      <top style="medium">
        <color indexed="64"/>
      </top>
      <bottom style="medium">
        <color indexed="64"/>
      </bottom>
      <diagonal/>
    </border>
    <border>
      <left/>
      <right/>
      <top style="medium">
        <color indexed="64"/>
      </top>
      <bottom style="medium">
        <color indexed="64"/>
      </bottom>
      <diagonal/>
    </border>
    <border>
      <left style="thick">
        <color indexed="12"/>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12"/>
      </left>
      <right/>
      <top style="thick">
        <color indexed="12"/>
      </top>
      <bottom style="medium">
        <color indexed="64"/>
      </bottom>
      <diagonal/>
    </border>
    <border>
      <left/>
      <right/>
      <top style="thick">
        <color indexed="12"/>
      </top>
      <bottom style="medium">
        <color indexed="64"/>
      </bottom>
      <diagonal/>
    </border>
    <border>
      <left/>
      <right style="thick">
        <color indexed="12"/>
      </right>
      <top style="thick">
        <color indexed="12"/>
      </top>
      <bottom style="medium">
        <color indexed="64"/>
      </bottom>
      <diagonal/>
    </border>
    <border>
      <left style="thick">
        <color indexed="12"/>
      </left>
      <right/>
      <top style="thick">
        <color indexed="12"/>
      </top>
      <bottom style="thick">
        <color indexed="64"/>
      </bottom>
      <diagonal/>
    </border>
    <border>
      <left/>
      <right style="thick">
        <color indexed="64"/>
      </right>
      <top style="thick">
        <color indexed="12"/>
      </top>
      <bottom style="thick">
        <color indexed="64"/>
      </bottom>
      <diagonal/>
    </border>
    <border>
      <left style="thin">
        <color indexed="64"/>
      </left>
      <right style="thick">
        <color indexed="12"/>
      </right>
      <top/>
      <bottom/>
      <diagonal/>
    </border>
    <border>
      <left/>
      <right/>
      <top/>
      <bottom style="medium">
        <color indexed="64"/>
      </bottom>
      <diagonal/>
    </border>
    <border>
      <left style="thick">
        <color indexed="64"/>
      </left>
      <right/>
      <top style="thick">
        <color indexed="12"/>
      </top>
      <bottom style="thick">
        <color indexed="64"/>
      </bottom>
      <diagonal/>
    </border>
    <border>
      <left/>
      <right/>
      <top style="thick">
        <color indexed="12"/>
      </top>
      <bottom style="thick">
        <color indexed="64"/>
      </bottom>
      <diagonal/>
    </border>
    <border>
      <left/>
      <right style="thick">
        <color indexed="12"/>
      </right>
      <top style="thick">
        <color indexed="12"/>
      </top>
      <bottom style="thick">
        <color indexed="64"/>
      </bottom>
      <diagonal/>
    </border>
    <border>
      <left style="thick">
        <color indexed="12"/>
      </left>
      <right/>
      <top style="medium">
        <color indexed="64"/>
      </top>
      <bottom style="thick">
        <color indexed="39"/>
      </bottom>
      <diagonal/>
    </border>
    <border>
      <left/>
      <right/>
      <top style="medium">
        <color indexed="64"/>
      </top>
      <bottom style="thick">
        <color indexed="39"/>
      </bottom>
      <diagonal/>
    </border>
    <border>
      <left style="thick">
        <color indexed="12"/>
      </left>
      <right/>
      <top style="thick">
        <color indexed="39"/>
      </top>
      <bottom style="thick">
        <color indexed="12"/>
      </bottom>
      <diagonal/>
    </border>
    <border>
      <left/>
      <right/>
      <top style="thick">
        <color indexed="39"/>
      </top>
      <bottom style="thick">
        <color indexed="12"/>
      </bottom>
      <diagonal/>
    </border>
    <border>
      <left/>
      <right style="thick">
        <color indexed="12"/>
      </right>
      <top style="thick">
        <color indexed="39"/>
      </top>
      <bottom style="thick">
        <color indexed="12"/>
      </bottom>
      <diagonal/>
    </border>
    <border>
      <left style="thick">
        <color indexed="12"/>
      </left>
      <right/>
      <top style="thick">
        <color indexed="12"/>
      </top>
      <bottom style="thick">
        <color indexed="12"/>
      </bottom>
      <diagonal/>
    </border>
    <border>
      <left/>
      <right/>
      <top style="thick">
        <color indexed="12"/>
      </top>
      <bottom style="thick">
        <color indexed="12"/>
      </bottom>
      <diagonal/>
    </border>
    <border>
      <left/>
      <right style="thick">
        <color indexed="12"/>
      </right>
      <top style="thick">
        <color indexed="12"/>
      </top>
      <bottom style="thick">
        <color indexed="12"/>
      </bottom>
      <diagonal/>
    </border>
    <border>
      <left style="thick">
        <color indexed="12"/>
      </left>
      <right/>
      <top style="medium">
        <color indexed="64"/>
      </top>
      <bottom style="thick">
        <color indexed="12"/>
      </bottom>
      <diagonal/>
    </border>
    <border>
      <left/>
      <right/>
      <top style="medium">
        <color indexed="64"/>
      </top>
      <bottom style="thick">
        <color indexed="12"/>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12"/>
      </right>
      <top style="thick">
        <color indexed="64"/>
      </top>
      <bottom style="thick">
        <color indexed="64"/>
      </bottom>
      <diagonal/>
    </border>
    <border>
      <left style="thick">
        <color indexed="12"/>
      </left>
      <right/>
      <top style="thick">
        <color indexed="39"/>
      </top>
      <bottom style="thick">
        <color indexed="64"/>
      </bottom>
      <diagonal/>
    </border>
    <border>
      <left/>
      <right/>
      <top style="thick">
        <color indexed="39"/>
      </top>
      <bottom style="thick">
        <color indexed="64"/>
      </bottom>
      <diagonal/>
    </border>
    <border>
      <left/>
      <right style="thick">
        <color indexed="12"/>
      </right>
      <top style="thick">
        <color indexed="39"/>
      </top>
      <bottom style="thick">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12"/>
      </right>
      <top style="thin">
        <color indexed="64"/>
      </top>
      <bottom style="medium">
        <color indexed="64"/>
      </bottom>
      <diagonal/>
    </border>
    <border>
      <left style="thick">
        <color indexed="64"/>
      </left>
      <right/>
      <top style="thick">
        <color indexed="39"/>
      </top>
      <bottom style="thick">
        <color indexed="64"/>
      </bottom>
      <diagonal/>
    </border>
    <border>
      <left style="thick">
        <color indexed="12"/>
      </left>
      <right/>
      <top style="thick">
        <color indexed="64"/>
      </top>
      <bottom style="medium">
        <color indexed="64"/>
      </bottom>
      <diagonal/>
    </border>
    <border>
      <left/>
      <right/>
      <top style="thick">
        <color indexed="64"/>
      </top>
      <bottom style="medium">
        <color indexed="64"/>
      </bottom>
      <diagonal/>
    </border>
    <border>
      <left/>
      <right style="thick">
        <color indexed="12"/>
      </right>
      <top style="thick">
        <color indexed="64"/>
      </top>
      <bottom style="medium">
        <color indexed="64"/>
      </bottom>
      <diagonal/>
    </border>
    <border>
      <left style="thin">
        <color indexed="64"/>
      </left>
      <right/>
      <top style="medium">
        <color indexed="64"/>
      </top>
      <bottom style="medium">
        <color indexed="64"/>
      </bottom>
      <diagonal/>
    </border>
    <border>
      <left/>
      <right style="thick">
        <color indexed="12"/>
      </right>
      <top style="medium">
        <color indexed="64"/>
      </top>
      <bottom style="medium">
        <color indexed="64"/>
      </bottom>
      <diagonal/>
    </border>
    <border>
      <left/>
      <right/>
      <top/>
      <bottom style="thick">
        <color indexed="12"/>
      </bottom>
      <diagonal/>
    </border>
    <border>
      <left/>
      <right style="thick">
        <color indexed="12"/>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12"/>
      </left>
      <right style="medium">
        <color indexed="64"/>
      </right>
      <top style="thick">
        <color indexed="64"/>
      </top>
      <bottom style="thick">
        <color indexed="64"/>
      </bottom>
      <diagonal/>
    </border>
    <border>
      <left/>
      <right style="medium">
        <color indexed="64"/>
      </right>
      <top style="thick">
        <color indexed="64"/>
      </top>
      <bottom style="thick">
        <color indexed="64"/>
      </bottom>
      <diagonal/>
    </border>
    <border>
      <left style="thick">
        <color indexed="12"/>
      </left>
      <right/>
      <top/>
      <bottom/>
      <diagonal/>
    </border>
    <border>
      <left/>
      <right style="medium">
        <color indexed="64"/>
      </right>
      <top/>
      <bottom/>
      <diagonal/>
    </border>
    <border>
      <left style="thick">
        <color indexed="12"/>
      </left>
      <right/>
      <top/>
      <bottom style="thick">
        <color indexed="64"/>
      </bottom>
      <diagonal/>
    </border>
    <border>
      <left/>
      <right style="thick">
        <color indexed="64"/>
      </right>
      <top/>
      <bottom style="thick">
        <color indexed="64"/>
      </bottom>
      <diagonal/>
    </border>
    <border>
      <left style="medium">
        <color indexed="64"/>
      </left>
      <right style="medium">
        <color indexed="64"/>
      </right>
      <top style="thin">
        <color indexed="64"/>
      </top>
      <bottom/>
      <diagonal/>
    </border>
  </borders>
  <cellStyleXfs count="1">
    <xf numFmtId="0" fontId="0" fillId="0" borderId="0"/>
  </cellStyleXfs>
  <cellXfs count="393">
    <xf numFmtId="0" fontId="0" fillId="0" borderId="0" xfId="0"/>
    <xf numFmtId="0" fontId="3" fillId="0" borderId="0" xfId="0" applyFont="1"/>
    <xf numFmtId="0" fontId="5" fillId="0" borderId="0" xfId="0" applyFont="1"/>
    <xf numFmtId="0" fontId="12" fillId="0" borderId="0" xfId="0" applyFont="1"/>
    <xf numFmtId="0" fontId="14" fillId="0" borderId="0" xfId="0" applyFont="1"/>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164" fontId="14" fillId="2" borderId="2" xfId="0" applyNumberFormat="1" applyFont="1" applyFill="1" applyBorder="1" applyAlignment="1">
      <alignment horizontal="center" vertical="center" wrapText="1"/>
    </xf>
    <xf numFmtId="164" fontId="14" fillId="2" borderId="3" xfId="0" applyNumberFormat="1" applyFont="1" applyFill="1" applyBorder="1" applyAlignment="1">
      <alignment horizontal="center" vertical="center" wrapText="1"/>
    </xf>
    <xf numFmtId="0" fontId="0" fillId="0" borderId="0" xfId="0" applyFont="1"/>
    <xf numFmtId="0" fontId="6" fillId="0" borderId="0" xfId="0" applyFont="1"/>
    <xf numFmtId="0" fontId="18" fillId="0" borderId="4" xfId="0" applyFont="1" applyBorder="1" applyAlignment="1">
      <alignment vertical="center" wrapText="1"/>
    </xf>
    <xf numFmtId="0" fontId="6" fillId="0" borderId="4" xfId="0" applyFont="1" applyBorder="1" applyAlignment="1">
      <alignment horizontal="center" vertical="center"/>
    </xf>
    <xf numFmtId="0" fontId="20" fillId="0" borderId="5" xfId="0" applyFont="1" applyBorder="1" applyAlignment="1">
      <alignment vertical="center" wrapText="1"/>
    </xf>
    <xf numFmtId="0" fontId="20" fillId="0" borderId="6" xfId="0" applyFont="1" applyBorder="1" applyAlignment="1">
      <alignment vertical="center" wrapText="1"/>
    </xf>
    <xf numFmtId="0" fontId="6"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22" fillId="3" borderId="6" xfId="0" applyFont="1" applyFill="1" applyBorder="1" applyAlignment="1">
      <alignment horizontal="center" vertical="center" wrapText="1"/>
    </xf>
    <xf numFmtId="164" fontId="6" fillId="0" borderId="6" xfId="0" applyNumberFormat="1" applyFont="1" applyBorder="1" applyAlignment="1">
      <alignment horizontal="center" vertical="center" wrapText="1"/>
    </xf>
    <xf numFmtId="164" fontId="19" fillId="0" borderId="7" xfId="0" applyNumberFormat="1" applyFont="1" applyBorder="1" applyAlignment="1">
      <alignment horizontal="center" vertical="center" wrapText="1"/>
    </xf>
    <xf numFmtId="0" fontId="6" fillId="0" borderId="8" xfId="0" applyFont="1" applyBorder="1" applyAlignment="1">
      <alignment horizontal="justify" vertical="center" wrapText="1"/>
    </xf>
    <xf numFmtId="0" fontId="6" fillId="0" borderId="8" xfId="0" applyFont="1" applyBorder="1" applyAlignment="1">
      <alignment horizontal="center" vertical="center" wrapText="1"/>
    </xf>
    <xf numFmtId="0" fontId="22" fillId="3" borderId="8" xfId="0" applyFont="1" applyFill="1" applyBorder="1" applyAlignment="1">
      <alignment horizontal="center" vertical="center" wrapText="1"/>
    </xf>
    <xf numFmtId="164" fontId="6" fillId="0" borderId="8" xfId="0" applyNumberFormat="1" applyFont="1" applyBorder="1" applyAlignment="1">
      <alignment horizontal="center" vertical="center" wrapText="1"/>
    </xf>
    <xf numFmtId="164" fontId="19" fillId="0" borderId="9" xfId="0" applyNumberFormat="1" applyFont="1" applyBorder="1" applyAlignment="1">
      <alignment horizontal="center" vertical="center" wrapText="1"/>
    </xf>
    <xf numFmtId="0" fontId="6" fillId="0" borderId="8" xfId="0" applyFont="1" applyFill="1" applyBorder="1" applyAlignment="1">
      <alignment horizontal="justify" vertical="center" wrapText="1"/>
    </xf>
    <xf numFmtId="0" fontId="6" fillId="0" borderId="8" xfId="0" applyFont="1" applyBorder="1" applyAlignment="1">
      <alignment vertical="center" wrapText="1"/>
    </xf>
    <xf numFmtId="0" fontId="6" fillId="0" borderId="8" xfId="0" applyFont="1" applyBorder="1" applyAlignment="1">
      <alignment horizontal="center" vertical="center"/>
    </xf>
    <xf numFmtId="164" fontId="6" fillId="0" borderId="8" xfId="0" applyNumberFormat="1" applyFont="1" applyFill="1" applyBorder="1" applyAlignment="1">
      <alignment horizontal="center" vertical="center"/>
    </xf>
    <xf numFmtId="164" fontId="19" fillId="0" borderId="9" xfId="0" applyNumberFormat="1" applyFont="1" applyFill="1" applyBorder="1" applyAlignment="1">
      <alignment horizontal="left" vertical="center"/>
    </xf>
    <xf numFmtId="0" fontId="6" fillId="0" borderId="10" xfId="0" applyFont="1" applyFill="1" applyBorder="1" applyAlignment="1">
      <alignment horizontal="justify" vertical="center" wrapText="1"/>
    </xf>
    <xf numFmtId="0" fontId="16" fillId="6" borderId="11" xfId="0" applyFont="1" applyFill="1" applyBorder="1" applyAlignment="1">
      <alignment horizontal="center" vertical="center" wrapText="1"/>
    </xf>
    <xf numFmtId="164" fontId="16" fillId="6" borderId="12" xfId="0" applyNumberFormat="1" applyFont="1" applyFill="1" applyBorder="1" applyAlignment="1">
      <alignment horizontal="center" vertical="center" wrapText="1"/>
    </xf>
    <xf numFmtId="0" fontId="6" fillId="0" borderId="4" xfId="0" applyFont="1" applyBorder="1" applyAlignment="1">
      <alignment vertical="center" wrapText="1"/>
    </xf>
    <xf numFmtId="0" fontId="6" fillId="0" borderId="6" xfId="0" applyFont="1" applyBorder="1" applyAlignment="1">
      <alignment vertical="center" wrapText="1"/>
    </xf>
    <xf numFmtId="0" fontId="24" fillId="0" borderId="4" xfId="0" applyFont="1" applyBorder="1" applyAlignment="1">
      <alignment vertical="center" wrapText="1"/>
    </xf>
    <xf numFmtId="164" fontId="6" fillId="0" borderId="4" xfId="0" applyNumberFormat="1" applyFont="1" applyFill="1" applyBorder="1" applyAlignment="1">
      <alignment horizontal="center" vertical="center"/>
    </xf>
    <xf numFmtId="0" fontId="6" fillId="0" borderId="8" xfId="0" applyFont="1" applyBorder="1" applyAlignment="1">
      <alignment horizontal="left" vertical="center" wrapText="1"/>
    </xf>
    <xf numFmtId="0" fontId="6" fillId="0" borderId="4" xfId="0" applyFont="1" applyBorder="1" applyAlignment="1">
      <alignment horizontal="left" vertical="center" wrapText="1"/>
    </xf>
    <xf numFmtId="0" fontId="6" fillId="0" borderId="13" xfId="0" applyFont="1" applyBorder="1" applyAlignment="1">
      <alignment horizontal="justify" vertical="center" wrapText="1"/>
    </xf>
    <xf numFmtId="164" fontId="6" fillId="0" borderId="13" xfId="0" applyNumberFormat="1" applyFont="1" applyBorder="1" applyAlignment="1">
      <alignment horizontal="center" vertical="center" wrapText="1"/>
    </xf>
    <xf numFmtId="0" fontId="6" fillId="0" borderId="8" xfId="0" applyFont="1" applyBorder="1" applyAlignment="1">
      <alignment horizontal="justify" vertical="center"/>
    </xf>
    <xf numFmtId="0" fontId="6" fillId="0" borderId="8" xfId="0" quotePrefix="1" applyFont="1" applyBorder="1" applyAlignment="1">
      <alignment vertical="center" wrapText="1"/>
    </xf>
    <xf numFmtId="164" fontId="6" fillId="0" borderId="8" xfId="0" applyNumberFormat="1" applyFont="1" applyFill="1" applyBorder="1" applyAlignment="1">
      <alignment horizontal="left" vertical="center"/>
    </xf>
    <xf numFmtId="0" fontId="6" fillId="0" borderId="8" xfId="0" applyFont="1" applyBorder="1" applyAlignment="1">
      <alignment vertical="center"/>
    </xf>
    <xf numFmtId="0" fontId="6" fillId="0" borderId="0" xfId="0" applyFont="1" applyFill="1"/>
    <xf numFmtId="0" fontId="19" fillId="0" borderId="14" xfId="0" applyFont="1" applyFill="1" applyBorder="1" applyAlignment="1">
      <alignment horizontal="center" vertical="center" wrapText="1"/>
    </xf>
    <xf numFmtId="0" fontId="6" fillId="0" borderId="6" xfId="0" applyFont="1" applyFill="1" applyBorder="1" applyAlignment="1">
      <alignment horizontal="justify" vertical="center" wrapText="1"/>
    </xf>
    <xf numFmtId="0" fontId="6" fillId="0" borderId="8" xfId="0" applyFont="1" applyFill="1" applyBorder="1" applyAlignment="1">
      <alignment horizontal="center" vertical="center" wrapText="1"/>
    </xf>
    <xf numFmtId="164" fontId="6" fillId="0" borderId="8" xfId="0" applyNumberFormat="1" applyFont="1" applyFill="1" applyBorder="1" applyAlignment="1">
      <alignment horizontal="center" vertical="center" wrapText="1"/>
    </xf>
    <xf numFmtId="164" fontId="19" fillId="0" borderId="9" xfId="0" applyNumberFormat="1" applyFont="1" applyFill="1" applyBorder="1" applyAlignment="1">
      <alignment horizontal="center" vertical="center" wrapText="1"/>
    </xf>
    <xf numFmtId="0" fontId="28" fillId="0" borderId="8" xfId="0" applyFont="1" applyBorder="1" applyAlignment="1">
      <alignment horizontal="justify" vertical="center" wrapText="1"/>
    </xf>
    <xf numFmtId="0" fontId="6" fillId="0" borderId="13" xfId="0" applyFont="1" applyFill="1" applyBorder="1" applyAlignment="1">
      <alignment horizontal="justify" vertical="center" wrapText="1"/>
    </xf>
    <xf numFmtId="0" fontId="6" fillId="0" borderId="13" xfId="0" applyFont="1" applyFill="1" applyBorder="1" applyAlignment="1">
      <alignment horizontal="center" vertical="center" wrapText="1"/>
    </xf>
    <xf numFmtId="0" fontId="22" fillId="3" borderId="13" xfId="0" applyFont="1" applyFill="1" applyBorder="1" applyAlignment="1">
      <alignment horizontal="center" vertical="center" wrapText="1"/>
    </xf>
    <xf numFmtId="164" fontId="6" fillId="0" borderId="13" xfId="0" applyNumberFormat="1" applyFont="1" applyFill="1" applyBorder="1" applyAlignment="1">
      <alignment horizontal="center" vertical="center" wrapText="1"/>
    </xf>
    <xf numFmtId="164" fontId="19" fillId="0" borderId="15" xfId="0" applyNumberFormat="1" applyFont="1" applyFill="1" applyBorder="1" applyAlignment="1">
      <alignment horizontal="center" vertical="center" wrapText="1"/>
    </xf>
    <xf numFmtId="164" fontId="19" fillId="0" borderId="16" xfId="0" applyNumberFormat="1" applyFont="1" applyFill="1" applyBorder="1" applyAlignment="1">
      <alignment horizontal="center" vertical="center" wrapText="1"/>
    </xf>
    <xf numFmtId="0" fontId="9" fillId="0" borderId="0" xfId="0" applyFont="1"/>
    <xf numFmtId="0" fontId="22" fillId="3" borderId="17" xfId="0" applyFont="1" applyFill="1" applyBorder="1" applyAlignment="1">
      <alignment horizontal="center" vertical="center" wrapText="1"/>
    </xf>
    <xf numFmtId="0" fontId="6" fillId="0" borderId="8"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13" xfId="0" applyFont="1" applyFill="1" applyBorder="1" applyAlignment="1">
      <alignment vertical="center" wrapText="1"/>
    </xf>
    <xf numFmtId="0" fontId="6" fillId="0" borderId="4" xfId="0" applyFont="1" applyFill="1" applyBorder="1" applyAlignment="1">
      <alignment vertical="center" wrapText="1"/>
    </xf>
    <xf numFmtId="0" fontId="19" fillId="0" borderId="14" xfId="0" applyFont="1" applyBorder="1" applyAlignment="1">
      <alignment horizontal="center" vertical="center" wrapText="1"/>
    </xf>
    <xf numFmtId="164" fontId="6" fillId="0" borderId="6" xfId="0" applyNumberFormat="1" applyFont="1" applyFill="1" applyBorder="1" applyAlignment="1">
      <alignment horizontal="center" vertical="center" wrapText="1"/>
    </xf>
    <xf numFmtId="164" fontId="19" fillId="0" borderId="7" xfId="0" applyNumberFormat="1" applyFont="1" applyFill="1" applyBorder="1" applyAlignment="1">
      <alignment horizontal="center" vertical="center" wrapText="1"/>
    </xf>
    <xf numFmtId="0" fontId="22" fillId="6" borderId="8" xfId="0" applyFont="1" applyFill="1" applyBorder="1" applyAlignment="1">
      <alignment horizontal="center" vertical="center" wrapText="1"/>
    </xf>
    <xf numFmtId="0" fontId="0" fillId="0" borderId="0" xfId="0" applyFont="1" applyFill="1"/>
    <xf numFmtId="0" fontId="22" fillId="6" borderId="13"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22" fillId="7" borderId="8" xfId="0" applyFont="1" applyFill="1" applyBorder="1" applyAlignment="1">
      <alignment horizontal="center" vertical="center" wrapText="1"/>
    </xf>
    <xf numFmtId="0" fontId="22" fillId="7" borderId="13" xfId="0" applyFont="1" applyFill="1" applyBorder="1" applyAlignment="1">
      <alignment horizontal="center" vertical="center" wrapText="1"/>
    </xf>
    <xf numFmtId="0" fontId="16" fillId="7" borderId="11" xfId="0" applyFont="1" applyFill="1" applyBorder="1" applyAlignment="1">
      <alignment horizontal="center" vertical="center" wrapText="1"/>
    </xf>
    <xf numFmtId="164" fontId="16" fillId="7" borderId="12" xfId="0" applyNumberFormat="1" applyFont="1" applyFill="1" applyBorder="1" applyAlignment="1">
      <alignment horizontal="center" vertical="center" wrapText="1"/>
    </xf>
    <xf numFmtId="2" fontId="22" fillId="6" borderId="8" xfId="0" applyNumberFormat="1" applyFont="1" applyFill="1" applyBorder="1" applyAlignment="1">
      <alignment horizontal="center" vertical="center" wrapText="1"/>
    </xf>
    <xf numFmtId="165" fontId="22" fillId="3" borderId="8" xfId="0" applyNumberFormat="1" applyFont="1" applyFill="1" applyBorder="1" applyAlignment="1">
      <alignment horizontal="center" vertical="center" wrapText="1"/>
    </xf>
    <xf numFmtId="0" fontId="16" fillId="8" borderId="11" xfId="0" applyFont="1" applyFill="1" applyBorder="1" applyAlignment="1">
      <alignment horizontal="center" vertical="center" wrapText="1"/>
    </xf>
    <xf numFmtId="164" fontId="16" fillId="8" borderId="12" xfId="0" applyNumberFormat="1" applyFont="1" applyFill="1" applyBorder="1" applyAlignment="1">
      <alignment horizontal="center" vertical="center" wrapText="1"/>
    </xf>
    <xf numFmtId="0" fontId="19" fillId="0" borderId="20" xfId="0" applyFont="1" applyBorder="1" applyAlignment="1">
      <alignment horizontal="center" vertical="center" wrapText="1"/>
    </xf>
    <xf numFmtId="0" fontId="31" fillId="0" borderId="21" xfId="0" applyFont="1" applyBorder="1" applyAlignment="1">
      <alignment horizontal="center" vertical="center" wrapText="1"/>
    </xf>
    <xf numFmtId="0" fontId="6" fillId="0" borderId="4" xfId="0" applyFont="1" applyBorder="1" applyAlignment="1">
      <alignment horizontal="justify" vertical="center" wrapText="1"/>
    </xf>
    <xf numFmtId="0" fontId="28" fillId="0" borderId="4" xfId="0" applyFont="1" applyBorder="1" applyAlignment="1">
      <alignment horizontal="center" vertical="center" wrapText="1"/>
    </xf>
    <xf numFmtId="0" fontId="22" fillId="3" borderId="4" xfId="0" applyFont="1" applyFill="1" applyBorder="1" applyAlignment="1">
      <alignment horizontal="center" vertical="center" wrapText="1"/>
    </xf>
    <xf numFmtId="164" fontId="28" fillId="0" borderId="4" xfId="0" applyNumberFormat="1" applyFont="1" applyBorder="1" applyAlignment="1">
      <alignment horizontal="center" vertical="center" wrapText="1"/>
    </xf>
    <xf numFmtId="0" fontId="31" fillId="0" borderId="20" xfId="0" applyFont="1" applyBorder="1" applyAlignment="1">
      <alignment horizontal="center" vertical="center" wrapText="1"/>
    </xf>
    <xf numFmtId="0" fontId="28" fillId="0" borderId="6" xfId="0" applyFont="1" applyBorder="1" applyAlignment="1">
      <alignment horizontal="center" vertical="center" wrapText="1"/>
    </xf>
    <xf numFmtId="164" fontId="28" fillId="0" borderId="6" xfId="0" applyNumberFormat="1" applyFont="1" applyBorder="1" applyAlignment="1">
      <alignment horizontal="center" vertical="center" wrapText="1"/>
    </xf>
    <xf numFmtId="0" fontId="31" fillId="0" borderId="14" xfId="0" applyFont="1" applyBorder="1" applyAlignment="1">
      <alignment horizontal="center" vertical="center" wrapText="1"/>
    </xf>
    <xf numFmtId="0" fontId="28" fillId="0" borderId="8" xfId="0" applyFont="1" applyBorder="1" applyAlignment="1">
      <alignment horizontal="center" vertical="center" wrapText="1"/>
    </xf>
    <xf numFmtId="164" fontId="28" fillId="0" borderId="8" xfId="0" applyNumberFormat="1" applyFont="1" applyBorder="1" applyAlignment="1">
      <alignment horizontal="center" vertical="center" wrapText="1"/>
    </xf>
    <xf numFmtId="164" fontId="18" fillId="0" borderId="0" xfId="0" applyNumberFormat="1" applyFont="1" applyAlignment="1">
      <alignment horizontal="center"/>
    </xf>
    <xf numFmtId="164" fontId="7" fillId="0" borderId="0" xfId="0" applyNumberFormat="1" applyFont="1"/>
    <xf numFmtId="0" fontId="43" fillId="0" borderId="6" xfId="0" applyFont="1" applyBorder="1" applyAlignment="1">
      <alignment vertical="center" wrapText="1"/>
    </xf>
    <xf numFmtId="0" fontId="20" fillId="0" borderId="10" xfId="0" applyFont="1" applyBorder="1" applyAlignment="1">
      <alignment vertical="center" wrapText="1"/>
    </xf>
    <xf numFmtId="0" fontId="16" fillId="4" borderId="22"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27" fillId="0" borderId="25" xfId="0" applyFont="1" applyBorder="1" applyAlignment="1">
      <alignment horizontal="left" vertical="center" wrapText="1"/>
    </xf>
    <xf numFmtId="164" fontId="26" fillId="2" borderId="26" xfId="0" applyNumberFormat="1" applyFont="1" applyFill="1" applyBorder="1" applyAlignment="1">
      <alignment horizontal="justify" vertical="center" wrapText="1"/>
    </xf>
    <xf numFmtId="0" fontId="27" fillId="0" borderId="27" xfId="0" applyFont="1" applyBorder="1" applyAlignment="1">
      <alignment horizontal="left" vertical="center" wrapText="1"/>
    </xf>
    <xf numFmtId="164" fontId="26" fillId="2" borderId="28" xfId="0" applyNumberFormat="1" applyFont="1" applyFill="1" applyBorder="1" applyAlignment="1">
      <alignment horizontal="justify" vertical="center" wrapText="1"/>
    </xf>
    <xf numFmtId="164" fontId="27" fillId="0" borderId="27" xfId="0" applyNumberFormat="1" applyFont="1" applyBorder="1" applyAlignment="1">
      <alignment horizontal="left" vertical="center" wrapText="1"/>
    </xf>
    <xf numFmtId="164" fontId="26" fillId="2" borderId="28" xfId="0" applyNumberFormat="1" applyFont="1" applyFill="1" applyBorder="1" applyAlignment="1">
      <alignment vertical="center" wrapText="1"/>
    </xf>
    <xf numFmtId="0" fontId="27" fillId="0" borderId="1" xfId="0" applyFont="1" applyBorder="1" applyAlignment="1">
      <alignment horizontal="left" vertical="center" wrapText="1"/>
    </xf>
    <xf numFmtId="164" fontId="26" fillId="2" borderId="29" xfId="0" applyNumberFormat="1" applyFont="1" applyFill="1" applyBorder="1" applyAlignment="1">
      <alignment vertical="center" wrapText="1"/>
    </xf>
    <xf numFmtId="0" fontId="15" fillId="4" borderId="30" xfId="0" applyFont="1" applyFill="1" applyBorder="1" applyAlignment="1">
      <alignment horizontal="right" vertical="center" wrapText="1"/>
    </xf>
    <xf numFmtId="164" fontId="26" fillId="2" borderId="30" xfId="0" applyNumberFormat="1" applyFont="1" applyFill="1" applyBorder="1" applyAlignment="1">
      <alignment vertical="center" wrapText="1"/>
    </xf>
    <xf numFmtId="14" fontId="38" fillId="0" borderId="31" xfId="0" applyNumberFormat="1" applyFont="1" applyBorder="1" applyAlignment="1">
      <alignment horizontal="center" vertical="center"/>
    </xf>
    <xf numFmtId="0" fontId="22" fillId="4" borderId="11" xfId="0" applyFont="1" applyFill="1" applyBorder="1" applyAlignment="1">
      <alignment horizontal="center" vertical="center" wrapText="1"/>
    </xf>
    <xf numFmtId="164" fontId="22" fillId="4" borderId="12" xfId="0" applyNumberFormat="1" applyFont="1" applyFill="1" applyBorder="1" applyAlignment="1">
      <alignment horizontal="center" vertical="center" wrapText="1"/>
    </xf>
    <xf numFmtId="164" fontId="41" fillId="2" borderId="30" xfId="0" applyNumberFormat="1" applyFont="1" applyFill="1" applyBorder="1" applyAlignment="1">
      <alignment horizontal="center" vertical="center" wrapText="1"/>
    </xf>
    <xf numFmtId="0" fontId="9" fillId="0" borderId="0" xfId="0" applyFont="1" applyFill="1"/>
    <xf numFmtId="164" fontId="41" fillId="2" borderId="32" xfId="0" applyNumberFormat="1" applyFont="1" applyFill="1" applyBorder="1" applyAlignment="1">
      <alignment horizontal="center" vertical="center" wrapText="1"/>
    </xf>
    <xf numFmtId="0" fontId="22" fillId="4" borderId="33" xfId="0" applyFont="1" applyFill="1" applyBorder="1" applyAlignment="1">
      <alignment horizontal="center" vertical="center" wrapText="1"/>
    </xf>
    <xf numFmtId="164" fontId="22" fillId="4" borderId="34" xfId="0" applyNumberFormat="1"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36" xfId="0" applyFont="1" applyFill="1" applyBorder="1" applyAlignment="1">
      <alignment horizontal="center" vertical="center" wrapText="1"/>
    </xf>
    <xf numFmtId="164" fontId="14" fillId="2" borderId="36" xfId="0" applyNumberFormat="1" applyFont="1" applyFill="1" applyBorder="1" applyAlignment="1">
      <alignment horizontal="center" vertical="center" wrapText="1"/>
    </xf>
    <xf numFmtId="164" fontId="14" fillId="2" borderId="24" xfId="0" applyNumberFormat="1" applyFont="1" applyFill="1" applyBorder="1" applyAlignment="1">
      <alignment horizontal="center" vertical="center" wrapText="1"/>
    </xf>
    <xf numFmtId="164" fontId="41" fillId="2" borderId="37" xfId="0" applyNumberFormat="1" applyFont="1" applyFill="1" applyBorder="1" applyAlignment="1">
      <alignment horizontal="center" vertical="center" wrapText="1"/>
    </xf>
    <xf numFmtId="164" fontId="31" fillId="0" borderId="7" xfId="0" applyNumberFormat="1" applyFont="1" applyBorder="1" applyAlignment="1">
      <alignment horizontal="center" vertical="center" wrapText="1"/>
    </xf>
    <xf numFmtId="164" fontId="31" fillId="0" borderId="9" xfId="0" applyNumberFormat="1" applyFont="1" applyBorder="1" applyAlignment="1">
      <alignment horizontal="center" vertical="center" wrapText="1"/>
    </xf>
    <xf numFmtId="164" fontId="31" fillId="0" borderId="38" xfId="0" applyNumberFormat="1" applyFont="1" applyBorder="1" applyAlignment="1">
      <alignment horizontal="center" vertical="center" wrapText="1"/>
    </xf>
    <xf numFmtId="0" fontId="22" fillId="6" borderId="6" xfId="0" applyFont="1" applyFill="1" applyBorder="1" applyAlignment="1">
      <alignment horizontal="center" vertical="center" wrapText="1"/>
    </xf>
    <xf numFmtId="0" fontId="44" fillId="6" borderId="8" xfId="0" applyFont="1" applyFill="1" applyBorder="1" applyAlignment="1">
      <alignment horizontal="center" vertical="center"/>
    </xf>
    <xf numFmtId="0" fontId="43" fillId="6" borderId="8" xfId="0" applyFont="1" applyFill="1" applyBorder="1" applyAlignment="1">
      <alignment horizontal="center" vertical="center"/>
    </xf>
    <xf numFmtId="0" fontId="14" fillId="6" borderId="11" xfId="0" applyFont="1" applyFill="1" applyBorder="1" applyAlignment="1">
      <alignment horizontal="center" vertical="center" wrapText="1"/>
    </xf>
    <xf numFmtId="164" fontId="14" fillId="6" borderId="12" xfId="0" applyNumberFormat="1"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7" borderId="8" xfId="0" applyFont="1" applyFill="1" applyBorder="1" applyAlignment="1">
      <alignment horizontal="center" vertical="center" wrapText="1"/>
    </xf>
    <xf numFmtId="166" fontId="22" fillId="3" borderId="8" xfId="0" applyNumberFormat="1" applyFont="1" applyFill="1" applyBorder="1" applyAlignment="1">
      <alignment horizontal="center" vertical="center" wrapText="1"/>
    </xf>
    <xf numFmtId="0" fontId="44" fillId="7" borderId="8" xfId="0" applyFont="1" applyFill="1" applyBorder="1" applyAlignment="1">
      <alignment horizontal="center" vertical="center" wrapText="1"/>
    </xf>
    <xf numFmtId="0" fontId="12" fillId="0" borderId="0" xfId="0" applyFont="1" applyAlignment="1">
      <alignment horizontal="center"/>
    </xf>
    <xf numFmtId="0" fontId="14" fillId="0" borderId="0" xfId="0" applyFont="1" applyAlignment="1">
      <alignment horizontal="center"/>
    </xf>
    <xf numFmtId="0" fontId="0" fillId="0" borderId="0" xfId="0" applyFont="1" applyAlignment="1">
      <alignment horizontal="center"/>
    </xf>
    <xf numFmtId="0" fontId="9" fillId="0" borderId="0" xfId="0" applyFont="1" applyAlignment="1">
      <alignment horizontal="center"/>
    </xf>
    <xf numFmtId="0" fontId="6" fillId="0" borderId="0" xfId="0" applyFont="1" applyAlignment="1">
      <alignment horizontal="center"/>
    </xf>
    <xf numFmtId="0" fontId="3" fillId="0" borderId="0" xfId="0" applyFont="1" applyAlignment="1">
      <alignment horizontal="center"/>
    </xf>
    <xf numFmtId="0" fontId="0" fillId="0" borderId="0" xfId="0" applyFont="1" applyFill="1" applyAlignment="1">
      <alignment horizontal="center"/>
    </xf>
    <xf numFmtId="0" fontId="9" fillId="0" borderId="0" xfId="0" applyFont="1" applyFill="1" applyAlignment="1">
      <alignment horizontal="center"/>
    </xf>
    <xf numFmtId="0" fontId="6" fillId="0" borderId="0" xfId="0" applyFont="1" applyFill="1" applyAlignment="1">
      <alignment horizontal="center"/>
    </xf>
    <xf numFmtId="0" fontId="45" fillId="0" borderId="0" xfId="0" applyFont="1" applyAlignment="1">
      <alignment horizontal="left" vertical="center"/>
    </xf>
    <xf numFmtId="0" fontId="45" fillId="0" borderId="0" xfId="0" applyFont="1"/>
    <xf numFmtId="0" fontId="45" fillId="0" borderId="0" xfId="0" applyFont="1" applyAlignment="1">
      <alignment horizontal="center"/>
    </xf>
    <xf numFmtId="0" fontId="0" fillId="9" borderId="0" xfId="0" applyFont="1" applyFill="1"/>
    <xf numFmtId="0" fontId="0" fillId="9" borderId="0" xfId="0" applyFont="1" applyFill="1" applyAlignment="1">
      <alignment horizontal="center"/>
    </xf>
    <xf numFmtId="0" fontId="6" fillId="0" borderId="10" xfId="0" applyFont="1" applyFill="1" applyBorder="1" applyAlignment="1">
      <alignment horizontal="center" vertical="center" wrapText="1"/>
    </xf>
    <xf numFmtId="164" fontId="6" fillId="0" borderId="10" xfId="0" applyNumberFormat="1" applyFont="1" applyFill="1" applyBorder="1" applyAlignment="1">
      <alignment horizontal="center" vertical="center" wrapText="1"/>
    </xf>
    <xf numFmtId="164" fontId="19" fillId="0" borderId="39" xfId="0" applyNumberFormat="1" applyFont="1" applyFill="1" applyBorder="1" applyAlignment="1">
      <alignment horizontal="center" vertical="center" wrapText="1"/>
    </xf>
    <xf numFmtId="0" fontId="44" fillId="6" borderId="8" xfId="0" applyFont="1" applyFill="1" applyBorder="1" applyAlignment="1">
      <alignment horizontal="center" vertical="center"/>
    </xf>
    <xf numFmtId="0" fontId="22" fillId="6" borderId="10" xfId="0" applyFont="1" applyFill="1" applyBorder="1" applyAlignment="1">
      <alignment horizontal="center" vertical="center" wrapText="1"/>
    </xf>
    <xf numFmtId="0" fontId="21" fillId="4" borderId="11" xfId="0" applyFont="1" applyFill="1" applyBorder="1" applyAlignment="1">
      <alignment horizontal="center" vertical="center" wrapText="1"/>
    </xf>
    <xf numFmtId="164" fontId="21" fillId="4" borderId="12" xfId="0" applyNumberFormat="1" applyFont="1" applyFill="1" applyBorder="1" applyAlignment="1">
      <alignment horizontal="center" vertical="center" wrapText="1"/>
    </xf>
    <xf numFmtId="0" fontId="45" fillId="0" borderId="0" xfId="0" applyFont="1" applyAlignment="1">
      <alignment horizontal="left" vertical="center"/>
    </xf>
    <xf numFmtId="0" fontId="6" fillId="0" borderId="40" xfId="0" applyFont="1" applyFill="1" applyBorder="1" applyAlignment="1">
      <alignment horizontal="justify" vertical="center" wrapText="1"/>
    </xf>
    <xf numFmtId="167" fontId="22" fillId="3" borderId="8" xfId="0" applyNumberFormat="1" applyFont="1" applyFill="1" applyBorder="1" applyAlignment="1">
      <alignment horizontal="center" vertical="center" wrapText="1"/>
    </xf>
    <xf numFmtId="0" fontId="14" fillId="0" borderId="0" xfId="0" applyFont="1" applyFill="1"/>
    <xf numFmtId="0" fontId="39" fillId="0" borderId="89" xfId="0" applyFont="1" applyBorder="1" applyAlignment="1">
      <alignment horizontal="center" vertical="center"/>
    </xf>
    <xf numFmtId="0" fontId="14" fillId="2" borderId="92" xfId="0" applyFont="1" applyFill="1" applyBorder="1" applyAlignment="1">
      <alignment horizontal="center" vertical="center" wrapText="1"/>
    </xf>
    <xf numFmtId="0" fontId="14" fillId="2" borderId="93" xfId="0" applyFont="1" applyFill="1" applyBorder="1" applyAlignment="1">
      <alignment horizontal="center" vertical="center" wrapText="1"/>
    </xf>
    <xf numFmtId="164" fontId="14" fillId="2" borderId="93" xfId="0" applyNumberFormat="1" applyFont="1" applyFill="1" applyBorder="1" applyAlignment="1">
      <alignment horizontal="center" vertical="center" wrapText="1"/>
    </xf>
    <xf numFmtId="164" fontId="14" fillId="2" borderId="75" xfId="0" applyNumberFormat="1" applyFont="1" applyFill="1" applyBorder="1" applyAlignment="1">
      <alignment horizontal="center" vertical="center" wrapText="1"/>
    </xf>
    <xf numFmtId="14" fontId="38" fillId="0" borderId="98" xfId="0" applyNumberFormat="1" applyFont="1" applyBorder="1" applyAlignment="1">
      <alignment horizontal="center" vertical="center"/>
    </xf>
    <xf numFmtId="168" fontId="22" fillId="6" borderId="8" xfId="0" applyNumberFormat="1" applyFont="1" applyFill="1" applyBorder="1" applyAlignment="1">
      <alignment horizontal="center" vertical="center" wrapText="1"/>
    </xf>
    <xf numFmtId="0" fontId="22" fillId="7" borderId="6" xfId="0" applyFont="1" applyFill="1" applyBorder="1" applyAlignment="1">
      <alignment horizontal="center" vertical="center" wrapText="1"/>
    </xf>
    <xf numFmtId="0" fontId="1" fillId="0" borderId="14" xfId="0" applyFont="1" applyFill="1" applyBorder="1" applyAlignment="1">
      <alignment horizontal="center" vertical="center" wrapText="1"/>
    </xf>
    <xf numFmtId="164" fontId="1" fillId="0" borderId="9" xfId="0" applyNumberFormat="1" applyFont="1" applyFill="1" applyBorder="1" applyAlignment="1">
      <alignment horizontal="center" vertical="center" wrapText="1"/>
    </xf>
    <xf numFmtId="0" fontId="22" fillId="3" borderId="8" xfId="0" applyNumberFormat="1" applyFont="1" applyFill="1" applyBorder="1" applyAlignment="1">
      <alignment horizontal="center" vertical="center" wrapText="1"/>
    </xf>
    <xf numFmtId="1" fontId="22" fillId="6" borderId="8" xfId="0" applyNumberFormat="1" applyFont="1" applyFill="1" applyBorder="1" applyAlignment="1">
      <alignment horizontal="center" vertical="center" wrapText="1"/>
    </xf>
    <xf numFmtId="0" fontId="21" fillId="6" borderId="13" xfId="0" applyFont="1" applyFill="1" applyBorder="1" applyAlignment="1">
      <alignment horizontal="center" vertical="center" wrapText="1"/>
    </xf>
    <xf numFmtId="164" fontId="1" fillId="0" borderId="15" xfId="0" applyNumberFormat="1" applyFont="1" applyFill="1" applyBorder="1" applyAlignment="1">
      <alignment horizontal="center" vertical="center" wrapText="1"/>
    </xf>
    <xf numFmtId="169" fontId="21" fillId="6" borderId="17" xfId="0" applyNumberFormat="1" applyFont="1" applyFill="1" applyBorder="1" applyAlignment="1">
      <alignment horizontal="center" vertical="center" wrapText="1"/>
    </xf>
    <xf numFmtId="164" fontId="1" fillId="0" borderId="16" xfId="0" applyNumberFormat="1" applyFont="1" applyFill="1" applyBorder="1" applyAlignment="1">
      <alignment horizontal="center" vertical="center" wrapText="1"/>
    </xf>
    <xf numFmtId="0" fontId="21" fillId="6" borderId="17" xfId="0" applyFont="1" applyFill="1" applyBorder="1" applyAlignment="1">
      <alignment horizontal="center" vertical="center" wrapText="1"/>
    </xf>
    <xf numFmtId="0" fontId="21" fillId="6" borderId="79" xfId="0" applyFont="1" applyFill="1" applyBorder="1" applyAlignment="1">
      <alignment horizontal="center" vertical="center" wrapText="1"/>
    </xf>
    <xf numFmtId="164" fontId="1" fillId="0" borderId="81" xfId="0" applyNumberFormat="1" applyFont="1" applyFill="1" applyBorder="1" applyAlignment="1">
      <alignment horizontal="center" vertical="center" wrapText="1"/>
    </xf>
    <xf numFmtId="0" fontId="1" fillId="0" borderId="14" xfId="0" applyFont="1" applyFill="1" applyBorder="1" applyAlignment="1">
      <alignment horizontal="center" vertical="center"/>
    </xf>
    <xf numFmtId="2" fontId="21" fillId="6" borderId="17" xfId="0" applyNumberFormat="1" applyFont="1" applyFill="1" applyBorder="1" applyAlignment="1">
      <alignment horizontal="center" vertical="center" wrapText="1"/>
    </xf>
    <xf numFmtId="2" fontId="21" fillId="6" borderId="79" xfId="0" applyNumberFormat="1" applyFont="1" applyFill="1" applyBorder="1" applyAlignment="1">
      <alignment horizontal="center" vertical="center" wrapText="1"/>
    </xf>
    <xf numFmtId="0" fontId="3" fillId="0" borderId="0" xfId="0" applyFont="1" applyFill="1"/>
    <xf numFmtId="0" fontId="3" fillId="0" borderId="0" xfId="0" applyFont="1" applyFill="1" applyAlignment="1">
      <alignment horizontal="center"/>
    </xf>
    <xf numFmtId="0" fontId="21" fillId="6" borderId="11" xfId="0" applyFont="1" applyFill="1" applyBorder="1" applyAlignment="1">
      <alignment horizontal="center" vertical="center" wrapText="1"/>
    </xf>
    <xf numFmtId="164" fontId="21" fillId="6" borderId="12" xfId="0" applyNumberFormat="1" applyFont="1" applyFill="1" applyBorder="1" applyAlignment="1">
      <alignment horizontal="center" vertical="center" wrapText="1"/>
    </xf>
    <xf numFmtId="0" fontId="44" fillId="6" borderId="8" xfId="0" applyFont="1" applyFill="1" applyBorder="1" applyAlignment="1">
      <alignment horizontal="center" vertical="center"/>
    </xf>
    <xf numFmtId="0" fontId="6" fillId="0" borderId="8" xfId="0" applyFont="1" applyBorder="1" applyAlignment="1">
      <alignment horizontal="center" vertical="center"/>
    </xf>
    <xf numFmtId="0" fontId="1" fillId="0" borderId="14" xfId="0" applyFont="1" applyFill="1" applyBorder="1" applyAlignment="1">
      <alignment horizontal="center" vertical="center" wrapText="1"/>
    </xf>
    <xf numFmtId="2" fontId="22" fillId="3" borderId="8" xfId="0" applyNumberFormat="1" applyFont="1" applyFill="1" applyBorder="1" applyAlignment="1">
      <alignment horizontal="center" vertical="center" wrapText="1"/>
    </xf>
    <xf numFmtId="0" fontId="45" fillId="0" borderId="0" xfId="0" applyFont="1" applyAlignment="1">
      <alignment horizontal="left" vertical="center"/>
    </xf>
    <xf numFmtId="0" fontId="0" fillId="0" borderId="0" xfId="0" applyAlignment="1">
      <alignment horizontal="left" vertical="center"/>
    </xf>
    <xf numFmtId="0" fontId="1" fillId="0" borderId="14"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1" fillId="3" borderId="8" xfId="0" applyFont="1" applyFill="1" applyBorder="1" applyAlignment="1">
      <alignment horizontal="center" vertical="center" wrapText="1"/>
    </xf>
    <xf numFmtId="164" fontId="6" fillId="0" borderId="8" xfId="0" applyNumberFormat="1" applyFont="1" applyFill="1" applyBorder="1" applyAlignment="1">
      <alignment horizontal="center" vertical="center"/>
    </xf>
    <xf numFmtId="0" fontId="6" fillId="0" borderId="8" xfId="0" applyFont="1" applyBorder="1" applyAlignment="1">
      <alignment horizontal="center" vertical="center"/>
    </xf>
    <xf numFmtId="0" fontId="1" fillId="0" borderId="14"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45" fillId="0" borderId="0" xfId="0" applyFont="1" applyAlignment="1">
      <alignment horizontal="left" vertical="center"/>
    </xf>
    <xf numFmtId="0" fontId="0" fillId="0" borderId="0" xfId="0" applyAlignment="1">
      <alignment horizontal="left" vertical="center"/>
    </xf>
    <xf numFmtId="0" fontId="16" fillId="0" borderId="14" xfId="0" applyFont="1" applyFill="1" applyBorder="1" applyAlignment="1">
      <alignment vertical="center" wrapText="1"/>
    </xf>
    <xf numFmtId="0" fontId="16" fillId="0" borderId="19" xfId="0" applyFont="1" applyFill="1" applyBorder="1" applyAlignment="1">
      <alignment vertical="center" wrapText="1"/>
    </xf>
    <xf numFmtId="0" fontId="45" fillId="0" borderId="0" xfId="0" applyFont="1" applyAlignment="1">
      <alignment horizontal="left" vertical="center"/>
    </xf>
    <xf numFmtId="0" fontId="0" fillId="0" borderId="0" xfId="0" applyAlignment="1">
      <alignment horizontal="left" vertical="center"/>
    </xf>
    <xf numFmtId="0" fontId="22" fillId="4" borderId="47" xfId="0" applyFont="1" applyFill="1" applyBorder="1" applyAlignment="1">
      <alignment horizontal="right" vertical="center" wrapText="1"/>
    </xf>
    <xf numFmtId="0" fontId="40" fillId="4" borderId="48" xfId="0" applyFont="1" applyFill="1" applyBorder="1" applyAlignment="1">
      <alignment horizontal="right" vertical="center" wrapText="1"/>
    </xf>
    <xf numFmtId="0" fontId="16" fillId="6" borderId="47" xfId="0" applyFont="1" applyFill="1" applyBorder="1" applyAlignment="1">
      <alignment horizontal="right" vertical="center" wrapText="1"/>
    </xf>
    <xf numFmtId="0" fontId="16" fillId="6" borderId="48" xfId="0" applyFont="1" applyFill="1" applyBorder="1" applyAlignment="1">
      <alignment horizontal="right" vertical="center" wrapText="1"/>
    </xf>
    <xf numFmtId="0" fontId="16" fillId="8" borderId="41" xfId="0" applyFont="1" applyFill="1" applyBorder="1" applyAlignment="1">
      <alignment horizontal="justify" vertical="center" wrapText="1"/>
    </xf>
    <xf numFmtId="0" fontId="16" fillId="8" borderId="42" xfId="0" applyFont="1" applyFill="1" applyBorder="1" applyAlignment="1">
      <alignment horizontal="justify" vertical="center" wrapText="1"/>
    </xf>
    <xf numFmtId="0" fontId="16" fillId="8" borderId="43" xfId="0" applyFont="1" applyFill="1" applyBorder="1" applyAlignment="1">
      <alignment horizontal="justify" vertical="center" wrapText="1"/>
    </xf>
    <xf numFmtId="0" fontId="19" fillId="0" borderId="21"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16" fillId="0" borderId="17" xfId="0" applyFont="1" applyFill="1" applyBorder="1" applyAlignment="1">
      <alignment horizontal="left" vertical="center" wrapText="1"/>
    </xf>
    <xf numFmtId="0" fontId="16" fillId="0" borderId="46"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 fillId="0" borderId="21"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41" fillId="2" borderId="76" xfId="0" applyFont="1" applyFill="1" applyBorder="1" applyAlignment="1">
      <alignment horizontal="right" vertical="center" wrapText="1"/>
    </xf>
    <xf numFmtId="0" fontId="41" fillId="2" borderId="77" xfId="0" applyFont="1" applyFill="1" applyBorder="1" applyAlignment="1">
      <alignment horizontal="right" vertical="center" wrapText="1"/>
    </xf>
    <xf numFmtId="0" fontId="41" fillId="2" borderId="78" xfId="0" applyFont="1" applyFill="1" applyBorder="1" applyAlignment="1">
      <alignment horizontal="right" vertical="center" wrapText="1"/>
    </xf>
    <xf numFmtId="0" fontId="22" fillId="4" borderId="48" xfId="0" applyFont="1" applyFill="1" applyBorder="1" applyAlignment="1">
      <alignment horizontal="right" vertical="center" wrapText="1"/>
    </xf>
    <xf numFmtId="164" fontId="6" fillId="0" borderId="8" xfId="0" applyNumberFormat="1" applyFont="1" applyFill="1" applyBorder="1" applyAlignment="1">
      <alignment horizontal="center" vertical="center"/>
    </xf>
    <xf numFmtId="0" fontId="0" fillId="0" borderId="8" xfId="0" applyFont="1" applyBorder="1" applyAlignment="1">
      <alignment vertical="center"/>
    </xf>
    <xf numFmtId="164" fontId="6" fillId="0" borderId="4" xfId="0" applyNumberFormat="1" applyFont="1" applyFill="1" applyBorder="1" applyAlignment="1">
      <alignment horizontal="center" vertical="center"/>
    </xf>
    <xf numFmtId="164" fontId="6" fillId="0" borderId="6" xfId="0" applyNumberFormat="1" applyFont="1" applyFill="1" applyBorder="1" applyAlignment="1">
      <alignment horizontal="center" vertical="center"/>
    </xf>
    <xf numFmtId="164" fontId="19" fillId="0" borderId="38" xfId="0" applyNumberFormat="1" applyFont="1" applyFill="1" applyBorder="1" applyAlignment="1">
      <alignment horizontal="left" vertical="center"/>
    </xf>
    <xf numFmtId="0" fontId="0" fillId="0" borderId="58" xfId="0" applyFont="1" applyBorder="1" applyAlignment="1">
      <alignment horizontal="left" vertical="center"/>
    </xf>
    <xf numFmtId="0" fontId="0" fillId="0" borderId="7" xfId="0" applyFont="1" applyBorder="1" applyAlignment="1">
      <alignment horizontal="left" vertical="center"/>
    </xf>
    <xf numFmtId="164" fontId="6" fillId="0" borderId="9" xfId="0" applyNumberFormat="1" applyFont="1" applyFill="1" applyBorder="1" applyAlignment="1">
      <alignment horizontal="left" vertical="center"/>
    </xf>
    <xf numFmtId="0" fontId="0" fillId="0" borderId="9" xfId="0" applyFont="1" applyBorder="1" applyAlignment="1">
      <alignment vertical="center"/>
    </xf>
    <xf numFmtId="0" fontId="6" fillId="0" borderId="8" xfId="0" applyFont="1" applyBorder="1" applyAlignment="1">
      <alignment horizontal="center" vertical="center"/>
    </xf>
    <xf numFmtId="0" fontId="44" fillId="6" borderId="8" xfId="0" applyFont="1" applyFill="1" applyBorder="1" applyAlignment="1">
      <alignment horizontal="center" vertical="center"/>
    </xf>
    <xf numFmtId="0" fontId="9" fillId="6" borderId="8" xfId="0" applyFont="1" applyFill="1" applyBorder="1" applyAlignment="1">
      <alignment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14" fillId="6" borderId="47" xfId="0" applyFont="1" applyFill="1" applyBorder="1" applyAlignment="1">
      <alignment horizontal="right" vertical="center" wrapText="1"/>
    </xf>
    <xf numFmtId="0" fontId="14" fillId="6" borderId="48" xfId="0" applyFont="1" applyFill="1" applyBorder="1" applyAlignment="1">
      <alignment horizontal="right" vertical="center" wrapText="1"/>
    </xf>
    <xf numFmtId="0" fontId="16" fillId="0" borderId="44" xfId="0" applyFont="1" applyFill="1" applyBorder="1" applyAlignment="1">
      <alignment horizontal="center" vertical="center" wrapText="1"/>
    </xf>
    <xf numFmtId="0" fontId="0" fillId="0" borderId="19" xfId="0" applyFont="1" applyFill="1" applyBorder="1" applyAlignment="1">
      <alignment vertical="center"/>
    </xf>
    <xf numFmtId="0" fontId="0" fillId="0" borderId="45" xfId="0" applyFont="1" applyFill="1" applyBorder="1" applyAlignment="1">
      <alignment vertical="center"/>
    </xf>
    <xf numFmtId="0" fontId="16" fillId="8" borderId="86" xfId="0" applyFont="1" applyFill="1" applyBorder="1" applyAlignment="1">
      <alignment horizontal="justify" vertical="center" wrapText="1"/>
    </xf>
    <xf numFmtId="0" fontId="16" fillId="8" borderId="48" xfId="0" applyFont="1" applyFill="1" applyBorder="1" applyAlignment="1">
      <alignment horizontal="justify" vertical="center" wrapText="1"/>
    </xf>
    <xf numFmtId="0" fontId="16" fillId="8" borderId="87" xfId="0" applyFont="1" applyFill="1" applyBorder="1" applyAlignment="1">
      <alignment horizontal="justify" vertical="center" wrapText="1"/>
    </xf>
    <xf numFmtId="0" fontId="9" fillId="4" borderId="42" xfId="0" applyFont="1" applyFill="1" applyBorder="1" applyAlignment="1">
      <alignment horizontal="justify" vertical="center" wrapText="1"/>
    </xf>
    <xf numFmtId="0" fontId="9" fillId="4" borderId="43" xfId="0" applyFont="1" applyFill="1" applyBorder="1" applyAlignment="1">
      <alignment horizontal="justify"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36" fillId="2" borderId="73" xfId="0" applyFont="1" applyFill="1" applyBorder="1" applyAlignment="1">
      <alignment horizontal="center" vertical="center" wrapText="1"/>
    </xf>
    <xf numFmtId="0" fontId="36" fillId="2" borderId="74" xfId="0" applyFont="1" applyFill="1" applyBorder="1" applyAlignment="1">
      <alignment horizontal="center" vertical="center" wrapText="1"/>
    </xf>
    <xf numFmtId="0" fontId="36" fillId="2" borderId="75" xfId="0" applyFont="1" applyFill="1" applyBorder="1" applyAlignment="1">
      <alignment horizontal="center" vertical="center" wrapText="1"/>
    </xf>
    <xf numFmtId="0" fontId="22" fillId="4" borderId="63" xfId="0" applyFont="1" applyFill="1" applyBorder="1" applyAlignment="1">
      <alignment horizontal="right" vertical="center" wrapText="1"/>
    </xf>
    <xf numFmtId="0" fontId="22" fillId="4" borderId="64" xfId="0" applyFont="1" applyFill="1" applyBorder="1" applyAlignment="1">
      <alignment horizontal="right" vertical="center" wrapText="1"/>
    </xf>
    <xf numFmtId="0" fontId="45" fillId="0" borderId="0" xfId="0" applyFont="1" applyAlignment="1">
      <alignment horizontal="left" vertical="center"/>
    </xf>
    <xf numFmtId="0" fontId="0" fillId="0" borderId="0" xfId="0" applyAlignment="1">
      <alignment horizontal="left" vertical="center"/>
    </xf>
    <xf numFmtId="0" fontId="21" fillId="0" borderId="41" xfId="0" applyFont="1" applyFill="1" applyBorder="1" applyAlignment="1">
      <alignment horizontal="justify" vertical="center" wrapText="1"/>
    </xf>
    <xf numFmtId="0" fontId="22" fillId="0" borderId="42" xfId="0" applyFont="1" applyFill="1" applyBorder="1" applyAlignment="1">
      <alignment horizontal="justify" vertical="center" wrapText="1"/>
    </xf>
    <xf numFmtId="0" fontId="22" fillId="0" borderId="43" xfId="0" applyFont="1" applyFill="1" applyBorder="1" applyAlignment="1">
      <alignment horizontal="justify" vertical="center" wrapText="1"/>
    </xf>
    <xf numFmtId="0" fontId="1" fillId="0" borderId="22"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6" fillId="7" borderId="47" xfId="0" applyFont="1" applyFill="1" applyBorder="1" applyAlignment="1">
      <alignment horizontal="right" vertical="center" wrapText="1"/>
    </xf>
    <xf numFmtId="0" fontId="16" fillId="7" borderId="48" xfId="0" applyFont="1" applyFill="1" applyBorder="1" applyAlignment="1">
      <alignment horizontal="right" vertical="center" wrapText="1"/>
    </xf>
    <xf numFmtId="0" fontId="22" fillId="4" borderId="71" xfId="0" applyFont="1" applyFill="1" applyBorder="1" applyAlignment="1">
      <alignment horizontal="right" vertical="center" wrapText="1"/>
    </xf>
    <xf numFmtId="0" fontId="22" fillId="4" borderId="72" xfId="0" applyFont="1" applyFill="1" applyBorder="1" applyAlignment="1">
      <alignment horizontal="right" vertical="center" wrapText="1"/>
    </xf>
    <xf numFmtId="0" fontId="16" fillId="0" borderId="41" xfId="0" applyFont="1" applyFill="1" applyBorder="1" applyAlignment="1">
      <alignment horizontal="justify" vertical="center" wrapText="1"/>
    </xf>
    <xf numFmtId="0" fontId="16" fillId="0" borderId="42" xfId="0" applyFont="1" applyFill="1" applyBorder="1" applyAlignment="1">
      <alignment horizontal="justify" vertical="center" wrapText="1"/>
    </xf>
    <xf numFmtId="0" fontId="16" fillId="0" borderId="43" xfId="0" applyFont="1" applyFill="1" applyBorder="1" applyAlignment="1">
      <alignment horizontal="justify" vertical="center" wrapText="1"/>
    </xf>
    <xf numFmtId="0" fontId="43" fillId="6" borderId="4" xfId="0" applyFont="1" applyFill="1" applyBorder="1" applyAlignment="1">
      <alignment horizontal="center" vertical="center"/>
    </xf>
    <xf numFmtId="0" fontId="43" fillId="6" borderId="6" xfId="0" applyFont="1" applyFill="1" applyBorder="1" applyAlignment="1">
      <alignment horizontal="center" vertical="center"/>
    </xf>
    <xf numFmtId="0" fontId="16" fillId="6" borderId="59" xfId="0" applyFont="1" applyFill="1" applyBorder="1" applyAlignment="1">
      <alignment horizontal="right" vertical="center" wrapText="1"/>
    </xf>
    <xf numFmtId="0" fontId="44" fillId="6" borderId="4" xfId="0" applyFont="1" applyFill="1" applyBorder="1" applyAlignment="1">
      <alignment horizontal="center" vertical="center"/>
    </xf>
    <xf numFmtId="0" fontId="0" fillId="6" borderId="5" xfId="0" applyFont="1" applyFill="1" applyBorder="1" applyAlignment="1">
      <alignment horizontal="center" vertical="center"/>
    </xf>
    <xf numFmtId="0" fontId="0" fillId="6" borderId="6" xfId="0" applyFont="1" applyFill="1" applyBorder="1" applyAlignment="1">
      <alignment horizontal="center" vertical="center"/>
    </xf>
    <xf numFmtId="164" fontId="6" fillId="0" borderId="4" xfId="0" applyNumberFormat="1" applyFont="1" applyFill="1" applyBorder="1" applyAlignment="1">
      <alignment horizontal="left"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0" fontId="21" fillId="0" borderId="94" xfId="0" applyFont="1" applyBorder="1" applyAlignment="1">
      <alignment horizontal="right" vertical="center"/>
    </xf>
    <xf numFmtId="0" fontId="9" fillId="0" borderId="0" xfId="0" applyFont="1" applyBorder="1" applyAlignment="1"/>
    <xf numFmtId="0" fontId="9" fillId="0" borderId="95" xfId="0" applyFont="1" applyBorder="1" applyAlignment="1"/>
    <xf numFmtId="0" fontId="22" fillId="0" borderId="94" xfId="0" applyFont="1" applyBorder="1" applyAlignment="1">
      <alignment horizontal="right" vertical="center"/>
    </xf>
    <xf numFmtId="0" fontId="19" fillId="0" borderId="17" xfId="0" applyFont="1" applyBorder="1" applyAlignment="1">
      <alignment vertical="center" wrapText="1"/>
    </xf>
    <xf numFmtId="0" fontId="19" fillId="0" borderId="46" xfId="0" applyFont="1" applyBorder="1" applyAlignment="1">
      <alignment vertical="center"/>
    </xf>
    <xf numFmtId="0" fontId="19" fillId="0" borderId="16" xfId="0" applyFont="1" applyBorder="1" applyAlignment="1">
      <alignment vertical="center"/>
    </xf>
    <xf numFmtId="0" fontId="6" fillId="0" borderId="17" xfId="0" applyFont="1" applyFill="1" applyBorder="1" applyAlignment="1">
      <alignment horizontal="left" vertical="center" wrapText="1"/>
    </xf>
    <xf numFmtId="0" fontId="6" fillId="0" borderId="46"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19" fillId="0" borderId="44" xfId="0" applyFont="1" applyFill="1" applyBorder="1" applyAlignment="1">
      <alignment horizontal="center" vertical="center" wrapText="1"/>
    </xf>
    <xf numFmtId="0" fontId="1" fillId="0" borderId="17"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21" fillId="4" borderId="47" xfId="0" applyFont="1" applyFill="1" applyBorder="1" applyAlignment="1">
      <alignment horizontal="right" vertical="center" wrapText="1"/>
    </xf>
    <xf numFmtId="0" fontId="21" fillId="4" borderId="48" xfId="0" applyFont="1" applyFill="1" applyBorder="1" applyAlignment="1">
      <alignment horizontal="right" vertical="center" wrapText="1"/>
    </xf>
    <xf numFmtId="0" fontId="16" fillId="0" borderId="17" xfId="0" applyFont="1" applyFill="1" applyBorder="1" applyAlignment="1">
      <alignment horizontal="justify" vertical="center" wrapText="1"/>
    </xf>
    <xf numFmtId="0" fontId="16" fillId="0" borderId="46" xfId="0" applyFont="1" applyFill="1" applyBorder="1" applyAlignment="1">
      <alignment horizontal="justify" vertical="center" wrapText="1"/>
    </xf>
    <xf numFmtId="0" fontId="16" fillId="0" borderId="16" xfId="0" applyFont="1" applyFill="1" applyBorder="1" applyAlignment="1">
      <alignment horizontal="justify" vertical="center" wrapText="1"/>
    </xf>
    <xf numFmtId="0" fontId="36" fillId="2" borderId="60" xfId="0" applyFont="1" applyFill="1" applyBorder="1" applyAlignment="1">
      <alignment horizontal="center" vertical="center" wrapText="1"/>
    </xf>
    <xf numFmtId="0" fontId="36" fillId="2" borderId="61" xfId="0" applyFont="1" applyFill="1" applyBorder="1" applyAlignment="1">
      <alignment horizontal="center" vertical="center" wrapText="1"/>
    </xf>
    <xf numFmtId="0" fontId="36" fillId="2" borderId="62" xfId="0" applyFont="1" applyFill="1" applyBorder="1" applyAlignment="1">
      <alignment horizontal="center" vertical="center" wrapText="1"/>
    </xf>
    <xf numFmtId="0" fontId="16" fillId="0" borderId="45" xfId="0" applyFont="1" applyFill="1" applyBorder="1" applyAlignment="1">
      <alignment horizontal="center" vertical="center" wrapText="1"/>
    </xf>
    <xf numFmtId="0" fontId="14" fillId="8" borderId="41" xfId="0" applyFont="1" applyFill="1" applyBorder="1" applyAlignment="1">
      <alignment horizontal="justify" vertical="center" wrapText="1"/>
    </xf>
    <xf numFmtId="0" fontId="14" fillId="8" borderId="42" xfId="0" applyFont="1" applyFill="1" applyBorder="1" applyAlignment="1">
      <alignment horizontal="justify" vertical="center" wrapText="1"/>
    </xf>
    <xf numFmtId="0" fontId="14" fillId="8" borderId="43" xfId="0" applyFont="1" applyFill="1" applyBorder="1" applyAlignment="1">
      <alignment horizontal="justify" vertical="center" wrapText="1"/>
    </xf>
    <xf numFmtId="0" fontId="16" fillId="0" borderId="19" xfId="0" applyFont="1" applyFill="1" applyBorder="1" applyAlignment="1">
      <alignment horizontal="center" vertical="center" wrapText="1"/>
    </xf>
    <xf numFmtId="0" fontId="19" fillId="0" borderId="19" xfId="0" applyFont="1" applyFill="1" applyBorder="1" applyAlignment="1">
      <alignment horizontal="center" vertical="center"/>
    </xf>
    <xf numFmtId="0" fontId="6" fillId="0" borderId="19" xfId="0" applyFont="1" applyBorder="1" applyAlignment="1">
      <alignment horizontal="center" vertical="center"/>
    </xf>
    <xf numFmtId="0" fontId="6" fillId="0" borderId="45" xfId="0" applyFont="1" applyBorder="1" applyAlignment="1">
      <alignment horizontal="center" vertical="center"/>
    </xf>
    <xf numFmtId="0" fontId="6"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6" fillId="0" borderId="41" xfId="0" applyFont="1" applyFill="1" applyBorder="1" applyAlignment="1">
      <alignment vertical="center" wrapText="1"/>
    </xf>
    <xf numFmtId="0" fontId="16" fillId="0" borderId="42" xfId="0" applyFont="1" applyFill="1" applyBorder="1" applyAlignment="1">
      <alignment vertical="center" wrapText="1"/>
    </xf>
    <xf numFmtId="0" fontId="16" fillId="0" borderId="43" xfId="0" applyFont="1" applyFill="1" applyBorder="1" applyAlignment="1">
      <alignment vertical="center" wrapText="1"/>
    </xf>
    <xf numFmtId="0" fontId="19" fillId="0" borderId="44" xfId="0" applyFont="1" applyFill="1" applyBorder="1" applyAlignment="1">
      <alignment horizontal="center" vertical="center"/>
    </xf>
    <xf numFmtId="0" fontId="19" fillId="0" borderId="45" xfId="0" applyFont="1" applyFill="1" applyBorder="1" applyAlignment="1">
      <alignment horizontal="center" vertical="center"/>
    </xf>
    <xf numFmtId="0" fontId="16" fillId="8" borderId="47" xfId="0" applyFont="1" applyFill="1" applyBorder="1" applyAlignment="1">
      <alignment horizontal="right" vertical="center" wrapText="1"/>
    </xf>
    <xf numFmtId="0" fontId="16" fillId="8" borderId="48" xfId="0" applyFont="1" applyFill="1" applyBorder="1" applyAlignment="1">
      <alignment horizontal="right" vertical="center" wrapText="1"/>
    </xf>
    <xf numFmtId="0" fontId="41" fillId="2" borderId="65" xfId="0" applyFont="1" applyFill="1" applyBorder="1" applyAlignment="1">
      <alignment horizontal="right" vertical="center" wrapText="1"/>
    </xf>
    <xf numFmtId="0" fontId="41" fillId="2" borderId="66" xfId="0" applyFont="1" applyFill="1" applyBorder="1" applyAlignment="1">
      <alignment horizontal="right" vertical="center" wrapText="1"/>
    </xf>
    <xf numFmtId="0" fontId="41" fillId="2" borderId="67" xfId="0" applyFont="1" applyFill="1" applyBorder="1" applyAlignment="1">
      <alignment horizontal="right" vertical="center" wrapText="1"/>
    </xf>
    <xf numFmtId="0" fontId="19" fillId="0" borderId="21" xfId="0" applyFont="1" applyFill="1" applyBorder="1" applyAlignment="1">
      <alignment horizontal="center" vertical="center"/>
    </xf>
    <xf numFmtId="0" fontId="6" fillId="0" borderId="19" xfId="0" applyFont="1" applyBorder="1" applyAlignment="1">
      <alignment vertical="center"/>
    </xf>
    <xf numFmtId="0" fontId="1" fillId="0" borderId="21"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45" xfId="0" applyFont="1" applyFill="1" applyBorder="1" applyAlignment="1">
      <alignment horizontal="center" vertical="center"/>
    </xf>
    <xf numFmtId="0" fontId="16" fillId="0" borderId="17" xfId="0" applyFont="1" applyFill="1" applyBorder="1" applyAlignment="1">
      <alignment vertical="center" wrapText="1"/>
    </xf>
    <xf numFmtId="0" fontId="16" fillId="0" borderId="46" xfId="0" applyFont="1" applyFill="1" applyBorder="1" applyAlignment="1">
      <alignment vertical="center" wrapText="1"/>
    </xf>
    <xf numFmtId="0" fontId="16" fillId="0" borderId="16" xfId="0" applyFont="1" applyFill="1" applyBorder="1" applyAlignment="1">
      <alignment vertical="center" wrapText="1"/>
    </xf>
    <xf numFmtId="0" fontId="41" fillId="2" borderId="82" xfId="0" applyFont="1" applyFill="1" applyBorder="1" applyAlignment="1">
      <alignment horizontal="right" vertical="center" wrapText="1"/>
    </xf>
    <xf numFmtId="0" fontId="6" fillId="0" borderId="19" xfId="0" applyFont="1" applyFill="1" applyBorder="1" applyAlignment="1">
      <alignment vertical="center"/>
    </xf>
    <xf numFmtId="0" fontId="0" fillId="0" borderId="19" xfId="0" applyFill="1" applyBorder="1" applyAlignment="1">
      <alignment vertical="center"/>
    </xf>
    <xf numFmtId="0" fontId="17" fillId="2" borderId="53" xfId="0" applyFont="1" applyFill="1" applyBorder="1" applyAlignment="1">
      <alignment horizontal="justify" vertical="center" wrapText="1"/>
    </xf>
    <xf numFmtId="0" fontId="17" fillId="2" borderId="54" xfId="0" applyFont="1" applyFill="1" applyBorder="1" applyAlignment="1">
      <alignment horizontal="justify" vertical="center" wrapText="1"/>
    </xf>
    <xf numFmtId="0" fontId="17" fillId="2" borderId="55" xfId="0" applyFont="1" applyFill="1" applyBorder="1" applyAlignment="1">
      <alignment horizontal="justify" vertical="center" wrapText="1"/>
    </xf>
    <xf numFmtId="0" fontId="22" fillId="0" borderId="46" xfId="0" applyFont="1" applyFill="1" applyBorder="1" applyAlignment="1">
      <alignment horizontal="justify" vertical="center" wrapText="1"/>
    </xf>
    <xf numFmtId="0" fontId="22" fillId="0" borderId="16" xfId="0" applyFont="1" applyFill="1" applyBorder="1" applyAlignment="1">
      <alignment horizontal="justify" vertical="center" wrapText="1"/>
    </xf>
    <xf numFmtId="0" fontId="1" fillId="0" borderId="22"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8" xfId="0" applyFont="1" applyFill="1" applyBorder="1" applyAlignment="1">
      <alignment horizontal="center" vertical="center"/>
    </xf>
    <xf numFmtId="0" fontId="42" fillId="0" borderId="49" xfId="0" applyFont="1" applyBorder="1" applyAlignment="1">
      <alignment horizontal="center" vertical="center" wrapText="1"/>
    </xf>
    <xf numFmtId="0" fontId="42" fillId="0" borderId="50" xfId="0" applyFont="1" applyBorder="1" applyAlignment="1">
      <alignment horizontal="center" vertical="center" wrapText="1"/>
    </xf>
    <xf numFmtId="0" fontId="1" fillId="0" borderId="44" xfId="0" applyFont="1" applyFill="1" applyBorder="1" applyAlignment="1">
      <alignment horizontal="center" vertical="center" wrapText="1"/>
    </xf>
    <xf numFmtId="164" fontId="6" fillId="0" borderId="4" xfId="0" applyNumberFormat="1" applyFont="1" applyBorder="1" applyAlignment="1">
      <alignment horizontal="center" vertical="center" wrapText="1"/>
    </xf>
    <xf numFmtId="164" fontId="6" fillId="0" borderId="10" xfId="0" applyNumberFormat="1" applyFont="1" applyBorder="1" applyAlignment="1">
      <alignment horizontal="center" vertical="center" wrapText="1"/>
    </xf>
    <xf numFmtId="0" fontId="6" fillId="0" borderId="10" xfId="0" applyFont="1" applyBorder="1" applyAlignment="1">
      <alignment horizontal="center" vertical="center"/>
    </xf>
    <xf numFmtId="0" fontId="44" fillId="6" borderId="10" xfId="0" applyFont="1" applyFill="1" applyBorder="1" applyAlignment="1">
      <alignment horizontal="center" vertical="center"/>
    </xf>
    <xf numFmtId="0" fontId="16" fillId="0" borderId="79" xfId="0" applyFont="1" applyFill="1" applyBorder="1" applyAlignment="1">
      <alignment vertical="center" wrapText="1"/>
    </xf>
    <xf numFmtId="0" fontId="16" fillId="0" borderId="80" xfId="0" applyFont="1" applyFill="1" applyBorder="1" applyAlignment="1">
      <alignment vertical="center" wrapText="1"/>
    </xf>
    <xf numFmtId="0" fontId="16" fillId="0" borderId="81" xfId="0" applyFont="1" applyFill="1" applyBorder="1" applyAlignment="1">
      <alignment vertical="center" wrapText="1"/>
    </xf>
    <xf numFmtId="0" fontId="16" fillId="4" borderId="41" xfId="0" quotePrefix="1" applyFont="1" applyFill="1" applyBorder="1" applyAlignment="1">
      <alignment horizontal="justify" vertical="center" wrapText="1"/>
    </xf>
    <xf numFmtId="0" fontId="16" fillId="4" borderId="42" xfId="0" quotePrefix="1" applyFont="1" applyFill="1" applyBorder="1" applyAlignment="1">
      <alignment horizontal="justify" vertical="center" wrapText="1"/>
    </xf>
    <xf numFmtId="0" fontId="16" fillId="4" borderId="43" xfId="0" quotePrefix="1" applyFont="1" applyFill="1" applyBorder="1" applyAlignment="1">
      <alignment horizontal="justify"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42" fillId="0" borderId="96" xfId="0" applyFont="1" applyBorder="1" applyAlignment="1">
      <alignment horizontal="center" vertical="center" wrapText="1"/>
    </xf>
    <xf numFmtId="0" fontId="42" fillId="0" borderId="97" xfId="0" applyFont="1" applyBorder="1" applyAlignment="1">
      <alignment horizontal="center" vertical="center" wrapText="1"/>
    </xf>
    <xf numFmtId="0" fontId="13" fillId="0" borderId="0" xfId="0" applyFont="1" applyAlignment="1">
      <alignment horizontal="center" vertical="center"/>
    </xf>
    <xf numFmtId="0" fontId="6" fillId="0" borderId="0" xfId="0" applyFont="1" applyAlignment="1">
      <alignment horizontal="center" vertical="center"/>
    </xf>
    <xf numFmtId="0" fontId="14" fillId="0" borderId="0" xfId="0" applyFont="1" applyAlignment="1">
      <alignment horizontal="left" vertical="center"/>
    </xf>
    <xf numFmtId="0" fontId="0" fillId="0" borderId="0" xfId="0" applyFont="1" applyAlignment="1">
      <alignment horizontal="left" vertical="center"/>
    </xf>
    <xf numFmtId="164" fontId="19" fillId="0" borderId="38" xfId="0" applyNumberFormat="1" applyFont="1" applyBorder="1" applyAlignment="1">
      <alignment horizontal="center" vertical="center" wrapText="1"/>
    </xf>
    <xf numFmtId="164" fontId="19" fillId="0" borderId="39" xfId="0" applyNumberFormat="1" applyFont="1" applyBorder="1" applyAlignment="1">
      <alignment horizontal="center" vertical="center" wrapText="1"/>
    </xf>
    <xf numFmtId="0" fontId="17" fillId="2" borderId="90" xfId="0" applyFont="1" applyFill="1" applyBorder="1" applyAlignment="1">
      <alignment horizontal="left" vertical="center" wrapText="1"/>
    </xf>
    <xf numFmtId="0" fontId="17" fillId="2" borderId="59" xfId="0" applyFont="1" applyFill="1" applyBorder="1" applyAlignment="1">
      <alignment horizontal="left" vertical="center" wrapText="1"/>
    </xf>
    <xf numFmtId="0" fontId="17" fillId="2" borderId="91" xfId="0" applyFont="1" applyFill="1" applyBorder="1" applyAlignment="1">
      <alignment horizontal="left" vertical="center" wrapText="1"/>
    </xf>
    <xf numFmtId="0" fontId="42" fillId="0" borderId="56" xfId="0" applyFont="1" applyBorder="1" applyAlignment="1">
      <alignment horizontal="center" vertical="center" wrapText="1"/>
    </xf>
    <xf numFmtId="0" fontId="42" fillId="0" borderId="57" xfId="0" applyFont="1" applyBorder="1" applyAlignment="1">
      <alignment horizontal="center" vertical="center" wrapText="1"/>
    </xf>
    <xf numFmtId="0" fontId="41" fillId="2" borderId="68" xfId="0" applyFont="1" applyFill="1" applyBorder="1" applyAlignment="1">
      <alignment horizontal="right" vertical="center" wrapText="1"/>
    </xf>
    <xf numFmtId="0" fontId="41" fillId="2" borderId="69" xfId="0" applyFont="1" applyFill="1" applyBorder="1" applyAlignment="1">
      <alignment horizontal="right" vertical="center" wrapText="1"/>
    </xf>
    <xf numFmtId="0" fontId="41" fillId="2" borderId="70" xfId="0" applyFont="1" applyFill="1" applyBorder="1" applyAlignment="1">
      <alignment horizontal="right" vertical="center" wrapText="1"/>
    </xf>
    <xf numFmtId="0" fontId="16" fillId="8" borderId="63" xfId="0" applyFont="1" applyFill="1" applyBorder="1" applyAlignment="1">
      <alignment horizontal="right" vertical="center" wrapText="1"/>
    </xf>
    <xf numFmtId="0" fontId="16" fillId="8" borderId="64" xfId="0" applyFont="1" applyFill="1" applyBorder="1" applyAlignment="1">
      <alignment horizontal="right" vertical="center" wrapText="1"/>
    </xf>
    <xf numFmtId="0" fontId="36" fillId="2" borderId="51" xfId="0" applyFont="1" applyFill="1" applyBorder="1" applyAlignment="1">
      <alignment horizontal="center" vertical="center" wrapText="1"/>
    </xf>
    <xf numFmtId="0" fontId="36" fillId="2" borderId="52" xfId="0" applyFont="1" applyFill="1" applyBorder="1" applyAlignment="1">
      <alignment horizontal="center" vertical="center" wrapText="1"/>
    </xf>
    <xf numFmtId="0" fontId="36" fillId="2" borderId="24" xfId="0" applyFont="1" applyFill="1" applyBorder="1" applyAlignment="1">
      <alignment horizontal="center" vertical="center" wrapText="1"/>
    </xf>
    <xf numFmtId="0" fontId="16" fillId="0" borderId="44" xfId="0" applyFont="1" applyFill="1" applyBorder="1" applyAlignment="1">
      <alignment vertical="center" wrapText="1"/>
    </xf>
    <xf numFmtId="0" fontId="0" fillId="0" borderId="19" xfId="0" applyBorder="1" applyAlignment="1">
      <alignment vertical="center"/>
    </xf>
    <xf numFmtId="0" fontId="0" fillId="0" borderId="45" xfId="0" applyBorder="1" applyAlignment="1">
      <alignment vertical="center"/>
    </xf>
    <xf numFmtId="164" fontId="19" fillId="0" borderId="38" xfId="0" applyNumberFormat="1" applyFont="1" applyFill="1" applyBorder="1" applyAlignment="1">
      <alignment horizontal="center" vertical="center"/>
    </xf>
    <xf numFmtId="164" fontId="19" fillId="0" borderId="7" xfId="0" applyNumberFormat="1" applyFont="1" applyFill="1" applyBorder="1" applyAlignment="1">
      <alignment horizontal="center" vertical="center"/>
    </xf>
    <xf numFmtId="0" fontId="17" fillId="2" borderId="83" xfId="0" applyFont="1" applyFill="1" applyBorder="1" applyAlignment="1">
      <alignment horizontal="justify" vertical="center" wrapText="1"/>
    </xf>
    <xf numFmtId="0" fontId="17" fillId="2" borderId="84" xfId="0" applyFont="1" applyFill="1" applyBorder="1" applyAlignment="1">
      <alignment horizontal="justify" vertical="center" wrapText="1"/>
    </xf>
    <xf numFmtId="0" fontId="17" fillId="2" borderId="85" xfId="0" applyFont="1" applyFill="1" applyBorder="1" applyAlignment="1">
      <alignment horizontal="justify" vertical="center" wrapText="1"/>
    </xf>
    <xf numFmtId="0" fontId="19" fillId="0" borderId="18" xfId="0" applyFont="1" applyFill="1" applyBorder="1" applyAlignment="1">
      <alignment horizontal="center" vertical="center" wrapText="1"/>
    </xf>
    <xf numFmtId="0" fontId="21" fillId="4" borderId="63" xfId="0" applyFont="1" applyFill="1" applyBorder="1" applyAlignment="1">
      <alignment horizontal="right" vertical="center" wrapText="1"/>
    </xf>
    <xf numFmtId="0" fontId="21" fillId="4" borderId="64" xfId="0" applyFont="1" applyFill="1" applyBorder="1" applyAlignment="1">
      <alignment horizontal="right" vertical="center" wrapText="1"/>
    </xf>
    <xf numFmtId="0" fontId="21" fillId="6" borderId="47" xfId="0" applyFont="1" applyFill="1" applyBorder="1" applyAlignment="1">
      <alignment horizontal="right" vertical="center" wrapText="1"/>
    </xf>
    <xf numFmtId="0" fontId="21" fillId="6" borderId="48" xfId="0" applyFont="1" applyFill="1" applyBorder="1" applyAlignment="1">
      <alignment horizontal="right" vertical="center" wrapText="1"/>
    </xf>
    <xf numFmtId="0" fontId="37" fillId="2" borderId="56" xfId="0" applyFont="1" applyFill="1" applyBorder="1" applyAlignment="1">
      <alignment horizontal="center" vertical="center" wrapText="1"/>
    </xf>
    <xf numFmtId="0" fontId="37" fillId="2" borderId="62" xfId="0" applyFont="1" applyFill="1" applyBorder="1" applyAlignment="1">
      <alignment horizontal="center" vertical="center" wrapText="1"/>
    </xf>
    <xf numFmtId="0" fontId="12" fillId="0" borderId="88"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CCFFCC"/>
      <color rgb="FFC4DC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K686"/>
  <sheetViews>
    <sheetView tabSelected="1" view="pageBreakPreview" topLeftCell="A40" zoomScale="90" zoomScaleNormal="70" zoomScaleSheetLayoutView="90" zoomScalePageLayoutView="85" workbookViewId="0">
      <selection activeCell="E17" sqref="E17:E19"/>
    </sheetView>
  </sheetViews>
  <sheetFormatPr defaultColWidth="9" defaultRowHeight="14.25" x14ac:dyDescent="0.2"/>
  <cols>
    <col min="1" max="1" width="5.21875" style="10" bestFit="1" customWidth="1"/>
    <col min="2" max="2" width="64.88671875" style="10" bestFit="1" customWidth="1"/>
    <col min="3" max="3" width="5.6640625" style="10" bestFit="1" customWidth="1"/>
    <col min="4" max="4" width="8.33203125" style="58" customWidth="1"/>
    <col min="5" max="5" width="12.33203125" style="91" bestFit="1" customWidth="1"/>
    <col min="6" max="6" width="9" style="92" bestFit="1" customWidth="1"/>
    <col min="7" max="7" width="9" style="10"/>
    <col min="8" max="9" width="9" style="137"/>
    <col min="10" max="16384" width="9" style="10"/>
  </cols>
  <sheetData>
    <row r="1" spans="1:10" s="3" customFormat="1" ht="30" x14ac:dyDescent="0.4">
      <c r="A1" s="354" t="s">
        <v>72</v>
      </c>
      <c r="B1" s="355"/>
      <c r="C1" s="355"/>
      <c r="D1" s="355"/>
      <c r="E1" s="355"/>
      <c r="F1" s="355"/>
      <c r="H1" s="133"/>
      <c r="I1" s="133"/>
    </row>
    <row r="2" spans="1:10" s="4" customFormat="1" ht="15.75" x14ac:dyDescent="0.25">
      <c r="A2" s="358"/>
      <c r="B2" s="359"/>
      <c r="C2" s="359"/>
      <c r="D2" s="359"/>
      <c r="E2" s="359"/>
      <c r="F2" s="359"/>
      <c r="H2" s="134"/>
      <c r="I2" s="134"/>
    </row>
    <row r="3" spans="1:10" s="4" customFormat="1" ht="15.75" x14ac:dyDescent="0.25">
      <c r="A3" s="360" t="s">
        <v>114</v>
      </c>
      <c r="B3" s="361"/>
      <c r="C3" s="361"/>
      <c r="D3" s="361"/>
      <c r="E3" s="361"/>
      <c r="F3" s="361"/>
      <c r="H3" s="134"/>
      <c r="I3" s="134"/>
      <c r="J3" s="157"/>
    </row>
    <row r="4" spans="1:10" s="4" customFormat="1" ht="15.75" x14ac:dyDescent="0.25">
      <c r="A4" s="360" t="s">
        <v>115</v>
      </c>
      <c r="B4" s="361"/>
      <c r="C4" s="361"/>
      <c r="D4" s="361"/>
      <c r="E4" s="361"/>
      <c r="F4" s="361"/>
      <c r="H4" s="134"/>
      <c r="I4" s="134"/>
      <c r="J4" s="157"/>
    </row>
    <row r="5" spans="1:10" s="143" customFormat="1" ht="15" x14ac:dyDescent="0.2">
      <c r="A5" s="142" t="s">
        <v>183</v>
      </c>
      <c r="B5" s="255" t="s">
        <v>298</v>
      </c>
      <c r="C5" s="256"/>
      <c r="D5" s="256"/>
      <c r="E5" s="256"/>
      <c r="F5" s="256"/>
      <c r="H5" s="144"/>
      <c r="I5" s="144"/>
    </row>
    <row r="6" spans="1:10" s="143" customFormat="1" ht="15" x14ac:dyDescent="0.2">
      <c r="A6" s="154" t="s">
        <v>632</v>
      </c>
      <c r="B6" s="255" t="s">
        <v>633</v>
      </c>
      <c r="C6" s="256"/>
      <c r="D6" s="256"/>
      <c r="E6" s="256"/>
      <c r="F6" s="256"/>
      <c r="H6" s="144"/>
      <c r="I6" s="144"/>
    </row>
    <row r="7" spans="1:10" s="143" customFormat="1" ht="15" x14ac:dyDescent="0.2">
      <c r="A7" s="188" t="s">
        <v>634</v>
      </c>
      <c r="B7" s="188" t="s">
        <v>635</v>
      </c>
      <c r="C7" s="189"/>
      <c r="D7" s="189"/>
      <c r="E7" s="189"/>
      <c r="F7" s="189"/>
      <c r="H7" s="144"/>
      <c r="I7" s="144"/>
    </row>
    <row r="8" spans="1:10" s="143" customFormat="1" ht="15" x14ac:dyDescent="0.2">
      <c r="A8" s="198" t="s">
        <v>686</v>
      </c>
      <c r="B8" s="198" t="s">
        <v>685</v>
      </c>
      <c r="C8" s="199"/>
      <c r="D8" s="199"/>
      <c r="E8" s="199"/>
      <c r="F8" s="199"/>
      <c r="H8" s="144"/>
      <c r="I8" s="144"/>
    </row>
    <row r="9" spans="1:10" s="143" customFormat="1" ht="15.75" thickBot="1" x14ac:dyDescent="0.25">
      <c r="A9" s="202" t="s">
        <v>716</v>
      </c>
      <c r="B9" s="202" t="s">
        <v>717</v>
      </c>
      <c r="C9" s="203"/>
      <c r="D9" s="203"/>
      <c r="E9" s="203"/>
      <c r="F9" s="203"/>
      <c r="H9" s="144"/>
      <c r="I9" s="144"/>
    </row>
    <row r="10" spans="1:10" s="58" customFormat="1" ht="15" x14ac:dyDescent="0.2">
      <c r="A10" s="280" t="s">
        <v>176</v>
      </c>
      <c r="B10" s="281"/>
      <c r="C10" s="281"/>
      <c r="D10" s="282"/>
      <c r="E10" s="108">
        <v>45538</v>
      </c>
      <c r="F10" s="158"/>
      <c r="H10" s="136"/>
      <c r="I10" s="136"/>
    </row>
    <row r="11" spans="1:10" s="58" customFormat="1" ht="15.75" thickBot="1" x14ac:dyDescent="0.25">
      <c r="A11" s="283" t="s">
        <v>46</v>
      </c>
      <c r="B11" s="281"/>
      <c r="C11" s="281"/>
      <c r="D11" s="282"/>
      <c r="E11" s="163">
        <v>46021</v>
      </c>
      <c r="F11" s="158"/>
      <c r="H11" s="136"/>
      <c r="I11" s="136"/>
    </row>
    <row r="12" spans="1:10" s="9" customFormat="1" ht="17.25" thickTop="1" thickBot="1" x14ac:dyDescent="0.25">
      <c r="A12" s="356"/>
      <c r="B12" s="357"/>
      <c r="C12" s="250" t="s">
        <v>10</v>
      </c>
      <c r="D12" s="251"/>
      <c r="E12" s="251"/>
      <c r="F12" s="252"/>
      <c r="H12" s="135"/>
      <c r="I12" s="135"/>
    </row>
    <row r="13" spans="1:10" s="9" customFormat="1" ht="33" thickTop="1" thickBot="1" x14ac:dyDescent="0.25">
      <c r="A13" s="159" t="s">
        <v>11</v>
      </c>
      <c r="B13" s="160" t="s">
        <v>77</v>
      </c>
      <c r="C13" s="160" t="s">
        <v>12</v>
      </c>
      <c r="D13" s="160" t="s">
        <v>13</v>
      </c>
      <c r="E13" s="161" t="s">
        <v>14</v>
      </c>
      <c r="F13" s="162" t="s">
        <v>15</v>
      </c>
      <c r="H13" s="135"/>
      <c r="I13" s="135"/>
    </row>
    <row r="14" spans="1:10" s="9" customFormat="1" ht="32.25" customHeight="1" thickTop="1" thickBot="1" x14ac:dyDescent="0.25">
      <c r="A14" s="364" t="s">
        <v>113</v>
      </c>
      <c r="B14" s="365"/>
      <c r="C14" s="365"/>
      <c r="D14" s="365"/>
      <c r="E14" s="365"/>
      <c r="F14" s="366"/>
      <c r="H14" s="135"/>
      <c r="I14" s="135"/>
    </row>
    <row r="15" spans="1:10" s="58" customFormat="1" ht="15.75" thickBot="1" x14ac:dyDescent="0.25">
      <c r="A15" s="95">
        <v>1.1000000000000001</v>
      </c>
      <c r="B15" s="208" t="s">
        <v>253</v>
      </c>
      <c r="C15" s="246"/>
      <c r="D15" s="246"/>
      <c r="E15" s="246"/>
      <c r="F15" s="247"/>
      <c r="H15" s="136"/>
      <c r="I15" s="136"/>
    </row>
    <row r="16" spans="1:10" s="58" customFormat="1" ht="15" x14ac:dyDescent="0.2">
      <c r="A16" s="377" t="s">
        <v>29</v>
      </c>
      <c r="B16" s="208" t="s">
        <v>83</v>
      </c>
      <c r="C16" s="209"/>
      <c r="D16" s="209"/>
      <c r="E16" s="209"/>
      <c r="F16" s="210"/>
      <c r="H16" s="136"/>
      <c r="I16" s="136"/>
    </row>
    <row r="17" spans="1:9" s="9" customFormat="1" ht="38.25" x14ac:dyDescent="0.2">
      <c r="A17" s="378"/>
      <c r="B17" s="11" t="s">
        <v>118</v>
      </c>
      <c r="C17" s="248" t="s">
        <v>16</v>
      </c>
      <c r="D17" s="274">
        <v>1</v>
      </c>
      <c r="E17" s="277">
        <v>0</v>
      </c>
      <c r="F17" s="228">
        <f t="shared" ref="F17:F19" si="0">D17*E17</f>
        <v>0</v>
      </c>
      <c r="H17" s="135"/>
      <c r="I17" s="135"/>
    </row>
    <row r="18" spans="1:9" s="9" customFormat="1" ht="15" x14ac:dyDescent="0.2">
      <c r="A18" s="378"/>
      <c r="B18" s="13" t="s">
        <v>227</v>
      </c>
      <c r="C18" s="236"/>
      <c r="D18" s="275"/>
      <c r="E18" s="278"/>
      <c r="F18" s="229">
        <f t="shared" si="0"/>
        <v>0</v>
      </c>
      <c r="H18" s="135"/>
      <c r="I18" s="135"/>
    </row>
    <row r="19" spans="1:9" s="9" customFormat="1" ht="15" x14ac:dyDescent="0.2">
      <c r="A19" s="378"/>
      <c r="B19" s="14" t="s">
        <v>94</v>
      </c>
      <c r="C19" s="237"/>
      <c r="D19" s="276"/>
      <c r="E19" s="279"/>
      <c r="F19" s="230">
        <f t="shared" si="0"/>
        <v>0</v>
      </c>
      <c r="H19" s="135"/>
      <c r="I19" s="135"/>
    </row>
    <row r="20" spans="1:9" ht="15" x14ac:dyDescent="0.2">
      <c r="A20" s="378"/>
      <c r="B20" s="15" t="s">
        <v>49</v>
      </c>
      <c r="C20" s="16" t="s">
        <v>16</v>
      </c>
      <c r="D20" s="124">
        <v>1</v>
      </c>
      <c r="E20" s="18">
        <v>0</v>
      </c>
      <c r="F20" s="19">
        <f>D20*E20</f>
        <v>0</v>
      </c>
    </row>
    <row r="21" spans="1:9" ht="15" x14ac:dyDescent="0.2">
      <c r="A21" s="378"/>
      <c r="B21" s="20" t="s">
        <v>50</v>
      </c>
      <c r="C21" s="21" t="s">
        <v>16</v>
      </c>
      <c r="D21" s="67">
        <v>1</v>
      </c>
      <c r="E21" s="23">
        <v>0</v>
      </c>
      <c r="F21" s="24">
        <f t="shared" ref="F21:F25" si="1">D21*E21</f>
        <v>0</v>
      </c>
    </row>
    <row r="22" spans="1:9" ht="15" x14ac:dyDescent="0.2">
      <c r="A22" s="378"/>
      <c r="B22" s="20" t="s">
        <v>51</v>
      </c>
      <c r="C22" s="21" t="s">
        <v>16</v>
      </c>
      <c r="D22" s="67">
        <v>1</v>
      </c>
      <c r="E22" s="23">
        <v>0</v>
      </c>
      <c r="F22" s="24">
        <f t="shared" si="1"/>
        <v>0</v>
      </c>
    </row>
    <row r="23" spans="1:9" s="9" customFormat="1" ht="25.5" x14ac:dyDescent="0.2">
      <c r="A23" s="378"/>
      <c r="B23" s="25" t="s">
        <v>225</v>
      </c>
      <c r="C23" s="21" t="s">
        <v>18</v>
      </c>
      <c r="D23" s="67">
        <v>1</v>
      </c>
      <c r="E23" s="23">
        <v>0</v>
      </c>
      <c r="F23" s="24">
        <f t="shared" si="1"/>
        <v>0</v>
      </c>
      <c r="H23" s="135"/>
      <c r="I23" s="135"/>
    </row>
    <row r="24" spans="1:9" s="9" customFormat="1" ht="15" x14ac:dyDescent="0.2">
      <c r="A24" s="378"/>
      <c r="B24" s="26" t="s">
        <v>68</v>
      </c>
      <c r="C24" s="27" t="s">
        <v>16</v>
      </c>
      <c r="D24" s="67">
        <v>1</v>
      </c>
      <c r="E24" s="23">
        <v>0</v>
      </c>
      <c r="F24" s="24">
        <f t="shared" si="1"/>
        <v>0</v>
      </c>
      <c r="H24" s="135"/>
      <c r="I24" s="135"/>
    </row>
    <row r="25" spans="1:9" s="9" customFormat="1" ht="15.75" thickBot="1" x14ac:dyDescent="0.25">
      <c r="A25" s="379"/>
      <c r="B25" s="30" t="s">
        <v>107</v>
      </c>
      <c r="C25" s="16" t="s">
        <v>16</v>
      </c>
      <c r="D25" s="124">
        <v>1</v>
      </c>
      <c r="E25" s="18">
        <v>0</v>
      </c>
      <c r="F25" s="19">
        <f t="shared" si="1"/>
        <v>0</v>
      </c>
      <c r="H25" s="135"/>
      <c r="I25" s="135"/>
    </row>
    <row r="26" spans="1:9" s="58" customFormat="1" ht="15.75" thickBot="1" x14ac:dyDescent="0.25">
      <c r="A26" s="206" t="s">
        <v>25</v>
      </c>
      <c r="B26" s="207"/>
      <c r="C26" s="207"/>
      <c r="D26" s="207"/>
      <c r="E26" s="31" t="str">
        <f>A16</f>
        <v>1.1.1</v>
      </c>
      <c r="F26" s="32">
        <f>SUM(F17:F25)</f>
        <v>0</v>
      </c>
      <c r="H26" s="136"/>
      <c r="I26" s="136"/>
    </row>
    <row r="27" spans="1:9" s="58" customFormat="1" ht="15" x14ac:dyDescent="0.2">
      <c r="A27" s="240" t="s">
        <v>30</v>
      </c>
      <c r="B27" s="208" t="s">
        <v>84</v>
      </c>
      <c r="C27" s="209"/>
      <c r="D27" s="209"/>
      <c r="E27" s="209"/>
      <c r="F27" s="210"/>
      <c r="H27" s="136"/>
      <c r="I27" s="136"/>
    </row>
    <row r="28" spans="1:9" s="9" customFormat="1" ht="15" x14ac:dyDescent="0.2">
      <c r="A28" s="241"/>
      <c r="B28" s="33" t="s">
        <v>47</v>
      </c>
      <c r="C28" s="233" t="s">
        <v>48</v>
      </c>
      <c r="D28" s="234">
        <v>4</v>
      </c>
      <c r="E28" s="224">
        <v>0</v>
      </c>
      <c r="F28" s="231">
        <f t="shared" ref="F28:F38" si="2">D28*E28</f>
        <v>0</v>
      </c>
      <c r="H28" s="135"/>
      <c r="I28" s="135"/>
    </row>
    <row r="29" spans="1:9" s="9" customFormat="1" ht="25.5" x14ac:dyDescent="0.2">
      <c r="A29" s="241"/>
      <c r="B29" s="34" t="s">
        <v>297</v>
      </c>
      <c r="C29" s="225"/>
      <c r="D29" s="235"/>
      <c r="E29" s="225"/>
      <c r="F29" s="232">
        <f t="shared" si="2"/>
        <v>0</v>
      </c>
      <c r="H29" s="135"/>
      <c r="I29" s="135"/>
    </row>
    <row r="30" spans="1:9" s="9" customFormat="1" ht="15" x14ac:dyDescent="0.2">
      <c r="A30" s="241"/>
      <c r="B30" s="33" t="s">
        <v>677</v>
      </c>
      <c r="C30" s="233" t="s">
        <v>16</v>
      </c>
      <c r="D30" s="234">
        <v>1</v>
      </c>
      <c r="E30" s="224">
        <v>0</v>
      </c>
      <c r="F30" s="231">
        <f t="shared" si="2"/>
        <v>0</v>
      </c>
      <c r="H30" s="135"/>
      <c r="I30" s="135"/>
    </row>
    <row r="31" spans="1:9" s="9" customFormat="1" ht="63.75" x14ac:dyDescent="0.2">
      <c r="A31" s="241"/>
      <c r="B31" s="34" t="s">
        <v>676</v>
      </c>
      <c r="C31" s="225"/>
      <c r="D31" s="235"/>
      <c r="E31" s="225"/>
      <c r="F31" s="232">
        <f t="shared" si="2"/>
        <v>0</v>
      </c>
      <c r="H31" s="135"/>
      <c r="I31" s="135"/>
    </row>
    <row r="32" spans="1:9" s="9" customFormat="1" ht="15" x14ac:dyDescent="0.2">
      <c r="A32" s="241"/>
      <c r="B32" s="33" t="s">
        <v>673</v>
      </c>
      <c r="C32" s="233" t="s">
        <v>45</v>
      </c>
      <c r="D32" s="234">
        <f>ROUNDUP(($E$11-$E$10)/7,0)</f>
        <v>69</v>
      </c>
      <c r="E32" s="224">
        <v>0</v>
      </c>
      <c r="F32" s="231">
        <f t="shared" si="2"/>
        <v>0</v>
      </c>
      <c r="H32" s="135"/>
      <c r="I32" s="135"/>
    </row>
    <row r="33" spans="1:9" s="9" customFormat="1" ht="15" x14ac:dyDescent="0.2">
      <c r="A33" s="241"/>
      <c r="B33" s="34" t="s">
        <v>116</v>
      </c>
      <c r="C33" s="225"/>
      <c r="D33" s="235"/>
      <c r="E33" s="225"/>
      <c r="F33" s="232">
        <f t="shared" si="2"/>
        <v>0</v>
      </c>
      <c r="H33" s="135"/>
      <c r="I33" s="135"/>
    </row>
    <row r="34" spans="1:9" s="9" customFormat="1" ht="38.25" x14ac:dyDescent="0.2">
      <c r="A34" s="241"/>
      <c r="B34" s="35" t="s">
        <v>674</v>
      </c>
      <c r="C34" s="248" t="s">
        <v>45</v>
      </c>
      <c r="D34" s="274">
        <f>D32</f>
        <v>69</v>
      </c>
      <c r="E34" s="226">
        <v>0</v>
      </c>
      <c r="F34" s="228">
        <f t="shared" si="2"/>
        <v>0</v>
      </c>
      <c r="H34" s="135"/>
      <c r="I34" s="135"/>
    </row>
    <row r="35" spans="1:9" s="9" customFormat="1" ht="15" x14ac:dyDescent="0.2">
      <c r="A35" s="241"/>
      <c r="B35" s="13" t="s">
        <v>92</v>
      </c>
      <c r="C35" s="236"/>
      <c r="D35" s="275"/>
      <c r="E35" s="236"/>
      <c r="F35" s="229">
        <f t="shared" si="2"/>
        <v>0</v>
      </c>
      <c r="H35" s="135"/>
      <c r="I35" s="135"/>
    </row>
    <row r="36" spans="1:9" s="9" customFormat="1" ht="15" x14ac:dyDescent="0.2">
      <c r="A36" s="241"/>
      <c r="B36" s="14" t="s">
        <v>93</v>
      </c>
      <c r="C36" s="237"/>
      <c r="D36" s="276"/>
      <c r="E36" s="237"/>
      <c r="F36" s="230">
        <f t="shared" si="2"/>
        <v>0</v>
      </c>
      <c r="H36" s="135"/>
      <c r="I36" s="135"/>
    </row>
    <row r="37" spans="1:9" s="9" customFormat="1" ht="15" x14ac:dyDescent="0.2">
      <c r="A37" s="241"/>
      <c r="B37" s="33" t="s">
        <v>675</v>
      </c>
      <c r="C37" s="233" t="s">
        <v>58</v>
      </c>
      <c r="D37" s="234">
        <v>1</v>
      </c>
      <c r="E37" s="224">
        <v>0</v>
      </c>
      <c r="F37" s="231">
        <f t="shared" si="2"/>
        <v>0</v>
      </c>
      <c r="H37" s="135"/>
      <c r="I37" s="135"/>
    </row>
    <row r="38" spans="1:9" s="9" customFormat="1" ht="15.75" thickBot="1" x14ac:dyDescent="0.25">
      <c r="A38" s="242"/>
      <c r="B38" s="93" t="s">
        <v>69</v>
      </c>
      <c r="C38" s="225"/>
      <c r="D38" s="235"/>
      <c r="E38" s="225"/>
      <c r="F38" s="232">
        <f t="shared" si="2"/>
        <v>0</v>
      </c>
      <c r="H38" s="135"/>
      <c r="I38" s="135"/>
    </row>
    <row r="39" spans="1:9" s="58" customFormat="1" ht="15.75" thickBot="1" x14ac:dyDescent="0.25">
      <c r="A39" s="206" t="s">
        <v>25</v>
      </c>
      <c r="B39" s="207"/>
      <c r="C39" s="207"/>
      <c r="D39" s="207"/>
      <c r="E39" s="31" t="str">
        <f>A27</f>
        <v>1.1.2</v>
      </c>
      <c r="F39" s="32">
        <f>SUM(F28:F38)</f>
        <v>0</v>
      </c>
      <c r="H39" s="136"/>
      <c r="I39" s="136"/>
    </row>
    <row r="40" spans="1:9" s="58" customFormat="1" ht="15.75" thickBot="1" x14ac:dyDescent="0.25">
      <c r="A40" s="204" t="s">
        <v>26</v>
      </c>
      <c r="B40" s="205"/>
      <c r="C40" s="205"/>
      <c r="D40" s="205"/>
      <c r="E40" s="109">
        <f>A15</f>
        <v>1.1000000000000001</v>
      </c>
      <c r="F40" s="110">
        <f>SUM(F26,F39)</f>
        <v>0</v>
      </c>
      <c r="H40" s="136"/>
      <c r="I40" s="136"/>
    </row>
    <row r="41" spans="1:9" s="58" customFormat="1" ht="15.75" thickBot="1" x14ac:dyDescent="0.25">
      <c r="A41" s="95">
        <v>1.2</v>
      </c>
      <c r="B41" s="208" t="s">
        <v>236</v>
      </c>
      <c r="C41" s="246"/>
      <c r="D41" s="246"/>
      <c r="E41" s="246"/>
      <c r="F41" s="247"/>
      <c r="H41" s="136"/>
      <c r="I41" s="136"/>
    </row>
    <row r="42" spans="1:9" s="58" customFormat="1" ht="15" x14ac:dyDescent="0.2">
      <c r="A42" s="240" t="s">
        <v>31</v>
      </c>
      <c r="B42" s="208" t="s">
        <v>84</v>
      </c>
      <c r="C42" s="209"/>
      <c r="D42" s="209"/>
      <c r="E42" s="209"/>
      <c r="F42" s="210"/>
      <c r="H42" s="136"/>
      <c r="I42" s="136"/>
    </row>
    <row r="43" spans="1:9" s="9" customFormat="1" ht="25.5" x14ac:dyDescent="0.2">
      <c r="A43" s="241"/>
      <c r="B43" s="37" t="s">
        <v>62</v>
      </c>
      <c r="C43" s="27" t="s">
        <v>45</v>
      </c>
      <c r="D43" s="125">
        <f>ROUNDUP(($E$11-$E$10)/7,0)</f>
        <v>69</v>
      </c>
      <c r="E43" s="28">
        <v>0</v>
      </c>
      <c r="F43" s="29">
        <f t="shared" ref="F43:F46" si="3">D43*E43</f>
        <v>0</v>
      </c>
      <c r="H43" s="135"/>
      <c r="I43" s="135"/>
    </row>
    <row r="44" spans="1:9" s="9" customFormat="1" ht="15" x14ac:dyDescent="0.2">
      <c r="A44" s="241"/>
      <c r="B44" s="20" t="s">
        <v>95</v>
      </c>
      <c r="C44" s="27" t="s">
        <v>45</v>
      </c>
      <c r="D44" s="125">
        <f>ROUNDUP(($E$11-$E$10)/7,0)</f>
        <v>69</v>
      </c>
      <c r="E44" s="23">
        <v>0</v>
      </c>
      <c r="F44" s="29">
        <f t="shared" si="3"/>
        <v>0</v>
      </c>
      <c r="H44" s="135"/>
      <c r="I44" s="135"/>
    </row>
    <row r="45" spans="1:9" s="9" customFormat="1" ht="15" x14ac:dyDescent="0.2">
      <c r="A45" s="241"/>
      <c r="B45" s="38" t="s">
        <v>96</v>
      </c>
      <c r="C45" s="12" t="s">
        <v>45</v>
      </c>
      <c r="D45" s="125">
        <f>ROUNDUP(($E$11-$E$10)/7,0)</f>
        <v>69</v>
      </c>
      <c r="E45" s="36">
        <v>0</v>
      </c>
      <c r="F45" s="29">
        <f t="shared" si="3"/>
        <v>0</v>
      </c>
      <c r="H45" s="135"/>
      <c r="I45" s="135"/>
    </row>
    <row r="46" spans="1:9" s="9" customFormat="1" ht="15.75" thickBot="1" x14ac:dyDescent="0.25">
      <c r="A46" s="242"/>
      <c r="B46" s="39" t="s">
        <v>108</v>
      </c>
      <c r="C46" s="12" t="s">
        <v>45</v>
      </c>
      <c r="D46" s="125">
        <f>ROUNDUP(($E$11-$E$10)/7,0)</f>
        <v>69</v>
      </c>
      <c r="E46" s="40">
        <v>0</v>
      </c>
      <c r="F46" s="29">
        <f t="shared" si="3"/>
        <v>0</v>
      </c>
      <c r="H46" s="135"/>
      <c r="I46" s="135"/>
    </row>
    <row r="47" spans="1:9" s="58" customFormat="1" ht="15.75" thickBot="1" x14ac:dyDescent="0.25">
      <c r="A47" s="206" t="s">
        <v>25</v>
      </c>
      <c r="B47" s="207"/>
      <c r="C47" s="207"/>
      <c r="D47" s="207"/>
      <c r="E47" s="31" t="str">
        <f>A42</f>
        <v>1.2.1</v>
      </c>
      <c r="F47" s="32">
        <f>SUM(F43:F46)</f>
        <v>0</v>
      </c>
      <c r="H47" s="136"/>
      <c r="I47" s="136"/>
    </row>
    <row r="48" spans="1:9" s="58" customFormat="1" ht="15.75" thickBot="1" x14ac:dyDescent="0.25">
      <c r="A48" s="204" t="s">
        <v>26</v>
      </c>
      <c r="B48" s="205"/>
      <c r="C48" s="205"/>
      <c r="D48" s="205"/>
      <c r="E48" s="109">
        <f>A41</f>
        <v>1.2</v>
      </c>
      <c r="F48" s="110">
        <f>SUM(F47)</f>
        <v>0</v>
      </c>
      <c r="H48" s="136"/>
      <c r="I48" s="136"/>
    </row>
    <row r="49" spans="1:9" s="58" customFormat="1" ht="15.75" thickBot="1" x14ac:dyDescent="0.25">
      <c r="A49" s="95">
        <v>1.3</v>
      </c>
      <c r="B49" s="208" t="s">
        <v>237</v>
      </c>
      <c r="C49" s="246"/>
      <c r="D49" s="246"/>
      <c r="E49" s="246"/>
      <c r="F49" s="247"/>
      <c r="H49" s="136"/>
      <c r="I49" s="136"/>
    </row>
    <row r="50" spans="1:9" s="58" customFormat="1" ht="15" x14ac:dyDescent="0.2">
      <c r="A50" s="240" t="s">
        <v>32</v>
      </c>
      <c r="B50" s="208" t="s">
        <v>83</v>
      </c>
      <c r="C50" s="209"/>
      <c r="D50" s="209"/>
      <c r="E50" s="209"/>
      <c r="F50" s="210"/>
      <c r="H50" s="136"/>
      <c r="I50" s="136"/>
    </row>
    <row r="51" spans="1:9" ht="15.75" thickBot="1" x14ac:dyDescent="0.25">
      <c r="A51" s="302"/>
      <c r="B51" s="41" t="s">
        <v>150</v>
      </c>
      <c r="C51" s="21" t="s">
        <v>16</v>
      </c>
      <c r="D51" s="67">
        <v>1</v>
      </c>
      <c r="E51" s="23">
        <v>0</v>
      </c>
      <c r="F51" s="24">
        <f>D51*E51</f>
        <v>0</v>
      </c>
    </row>
    <row r="52" spans="1:9" s="9" customFormat="1" ht="16.5" thickBot="1" x14ac:dyDescent="0.25">
      <c r="A52" s="238" t="s">
        <v>25</v>
      </c>
      <c r="B52" s="239"/>
      <c r="C52" s="239"/>
      <c r="D52" s="239"/>
      <c r="E52" s="127" t="str">
        <f>A50</f>
        <v>1.3.1</v>
      </c>
      <c r="F52" s="128">
        <f>SUM(F51:F51)</f>
        <v>0</v>
      </c>
      <c r="H52" s="135"/>
      <c r="I52" s="135"/>
    </row>
    <row r="53" spans="1:9" s="9" customFormat="1" ht="15.75" x14ac:dyDescent="0.2">
      <c r="A53" s="240" t="s">
        <v>33</v>
      </c>
      <c r="B53" s="303" t="s">
        <v>84</v>
      </c>
      <c r="C53" s="304"/>
      <c r="D53" s="304"/>
      <c r="E53" s="304"/>
      <c r="F53" s="305"/>
      <c r="H53" s="135"/>
      <c r="I53" s="135"/>
    </row>
    <row r="54" spans="1:9" ht="12.75" x14ac:dyDescent="0.2">
      <c r="A54" s="306"/>
      <c r="B54" s="284" t="s">
        <v>65</v>
      </c>
      <c r="C54" s="285"/>
      <c r="D54" s="285"/>
      <c r="E54" s="285"/>
      <c r="F54" s="286"/>
    </row>
    <row r="55" spans="1:9" ht="12.75" x14ac:dyDescent="0.2">
      <c r="A55" s="306"/>
      <c r="B55" s="42" t="s">
        <v>52</v>
      </c>
      <c r="C55" s="27" t="s">
        <v>45</v>
      </c>
      <c r="D55" s="126">
        <f>ROUNDUP(($E$11-$E$10)/7,0)</f>
        <v>69</v>
      </c>
      <c r="E55" s="28">
        <v>0</v>
      </c>
      <c r="F55" s="29">
        <f t="shared" ref="F55:F71" si="4">D55*E55</f>
        <v>0</v>
      </c>
    </row>
    <row r="56" spans="1:9" ht="12.75" x14ac:dyDescent="0.2">
      <c r="A56" s="306"/>
      <c r="B56" s="42" t="s">
        <v>53</v>
      </c>
      <c r="C56" s="27" t="s">
        <v>45</v>
      </c>
      <c r="D56" s="126">
        <f>D55</f>
        <v>69</v>
      </c>
      <c r="E56" s="28">
        <v>0</v>
      </c>
      <c r="F56" s="29">
        <f t="shared" si="4"/>
        <v>0</v>
      </c>
    </row>
    <row r="57" spans="1:9" ht="12.75" x14ac:dyDescent="0.2">
      <c r="A57" s="306"/>
      <c r="B57" s="42" t="s">
        <v>54</v>
      </c>
      <c r="C57" s="27" t="s">
        <v>45</v>
      </c>
      <c r="D57" s="126">
        <f t="shared" ref="D57:D68" si="5">D56</f>
        <v>69</v>
      </c>
      <c r="E57" s="28">
        <v>0</v>
      </c>
      <c r="F57" s="29">
        <f t="shared" si="4"/>
        <v>0</v>
      </c>
    </row>
    <row r="58" spans="1:9" ht="12.75" x14ac:dyDescent="0.2">
      <c r="A58" s="306"/>
      <c r="B58" s="42" t="s">
        <v>55</v>
      </c>
      <c r="C58" s="27" t="s">
        <v>45</v>
      </c>
      <c r="D58" s="126">
        <f t="shared" si="5"/>
        <v>69</v>
      </c>
      <c r="E58" s="28">
        <v>0</v>
      </c>
      <c r="F58" s="29">
        <f t="shared" si="4"/>
        <v>0</v>
      </c>
    </row>
    <row r="59" spans="1:9" ht="12.75" x14ac:dyDescent="0.2">
      <c r="A59" s="306"/>
      <c r="B59" s="42" t="s">
        <v>56</v>
      </c>
      <c r="C59" s="27" t="s">
        <v>45</v>
      </c>
      <c r="D59" s="126">
        <f t="shared" si="5"/>
        <v>69</v>
      </c>
      <c r="E59" s="28">
        <v>0</v>
      </c>
      <c r="F59" s="29">
        <f t="shared" si="4"/>
        <v>0</v>
      </c>
    </row>
    <row r="60" spans="1:9" ht="12.75" x14ac:dyDescent="0.2">
      <c r="A60" s="306"/>
      <c r="B60" s="42" t="s">
        <v>57</v>
      </c>
      <c r="C60" s="27" t="s">
        <v>45</v>
      </c>
      <c r="D60" s="126">
        <f t="shared" si="5"/>
        <v>69</v>
      </c>
      <c r="E60" s="28">
        <v>0</v>
      </c>
      <c r="F60" s="29">
        <f t="shared" si="4"/>
        <v>0</v>
      </c>
    </row>
    <row r="61" spans="1:9" ht="12.75" x14ac:dyDescent="0.2">
      <c r="A61" s="306"/>
      <c r="B61" s="42" t="s">
        <v>226</v>
      </c>
      <c r="C61" s="248" t="s">
        <v>45</v>
      </c>
      <c r="D61" s="271">
        <f t="shared" si="5"/>
        <v>69</v>
      </c>
      <c r="E61" s="226">
        <v>0</v>
      </c>
      <c r="F61" s="380">
        <f t="shared" si="4"/>
        <v>0</v>
      </c>
    </row>
    <row r="62" spans="1:9" ht="13.5" thickBot="1" x14ac:dyDescent="0.25">
      <c r="A62" s="306"/>
      <c r="B62" s="94" t="s">
        <v>91</v>
      </c>
      <c r="C62" s="249"/>
      <c r="D62" s="272"/>
      <c r="E62" s="227"/>
      <c r="F62" s="381">
        <f t="shared" si="4"/>
        <v>0</v>
      </c>
    </row>
    <row r="63" spans="1:9" ht="12.75" x14ac:dyDescent="0.2">
      <c r="A63" s="306"/>
      <c r="B63" s="42" t="s">
        <v>59</v>
      </c>
      <c r="C63" s="27" t="s">
        <v>45</v>
      </c>
      <c r="D63" s="126">
        <f>D61</f>
        <v>69</v>
      </c>
      <c r="E63" s="28">
        <v>0</v>
      </c>
      <c r="F63" s="29">
        <f t="shared" si="4"/>
        <v>0</v>
      </c>
    </row>
    <row r="64" spans="1:9" ht="12.75" x14ac:dyDescent="0.2">
      <c r="A64" s="306"/>
      <c r="B64" s="42" t="s">
        <v>111</v>
      </c>
      <c r="C64" s="27" t="s">
        <v>45</v>
      </c>
      <c r="D64" s="126">
        <f t="shared" si="5"/>
        <v>69</v>
      </c>
      <c r="E64" s="28">
        <v>0</v>
      </c>
      <c r="F64" s="29">
        <f t="shared" si="4"/>
        <v>0</v>
      </c>
    </row>
    <row r="65" spans="1:9" ht="12.75" x14ac:dyDescent="0.2">
      <c r="A65" s="306"/>
      <c r="B65" s="26" t="s">
        <v>112</v>
      </c>
      <c r="C65" s="27" t="s">
        <v>45</v>
      </c>
      <c r="D65" s="126">
        <f t="shared" si="5"/>
        <v>69</v>
      </c>
      <c r="E65" s="28">
        <v>0</v>
      </c>
      <c r="F65" s="29">
        <f t="shared" si="4"/>
        <v>0</v>
      </c>
    </row>
    <row r="66" spans="1:9" ht="12.75" x14ac:dyDescent="0.2">
      <c r="A66" s="306"/>
      <c r="B66" s="42" t="s">
        <v>60</v>
      </c>
      <c r="C66" s="27" t="s">
        <v>45</v>
      </c>
      <c r="D66" s="126">
        <f t="shared" si="5"/>
        <v>69</v>
      </c>
      <c r="E66" s="28">
        <v>0</v>
      </c>
      <c r="F66" s="29">
        <f t="shared" si="4"/>
        <v>0</v>
      </c>
    </row>
    <row r="67" spans="1:9" ht="12.75" x14ac:dyDescent="0.2">
      <c r="A67" s="306"/>
      <c r="B67" s="42" t="s">
        <v>61</v>
      </c>
      <c r="C67" s="27" t="s">
        <v>45</v>
      </c>
      <c r="D67" s="126">
        <f t="shared" si="5"/>
        <v>69</v>
      </c>
      <c r="E67" s="28">
        <v>0</v>
      </c>
      <c r="F67" s="29">
        <f t="shared" si="4"/>
        <v>0</v>
      </c>
    </row>
    <row r="68" spans="1:9" ht="25.5" x14ac:dyDescent="0.2">
      <c r="A68" s="306"/>
      <c r="B68" s="20" t="s">
        <v>184</v>
      </c>
      <c r="C68" s="27" t="s">
        <v>45</v>
      </c>
      <c r="D68" s="126">
        <f t="shared" si="5"/>
        <v>69</v>
      </c>
      <c r="E68" s="28">
        <v>0</v>
      </c>
      <c r="F68" s="29">
        <f t="shared" si="4"/>
        <v>0</v>
      </c>
    </row>
    <row r="69" spans="1:9" ht="25.5" x14ac:dyDescent="0.2">
      <c r="A69" s="306"/>
      <c r="B69" s="63" t="s">
        <v>125</v>
      </c>
      <c r="C69" s="27" t="s">
        <v>45</v>
      </c>
      <c r="D69" s="126">
        <f>D68</f>
        <v>69</v>
      </c>
      <c r="E69" s="28">
        <v>0</v>
      </c>
      <c r="F69" s="29">
        <f t="shared" si="4"/>
        <v>0</v>
      </c>
    </row>
    <row r="70" spans="1:9" ht="25.5" x14ac:dyDescent="0.2">
      <c r="A70" s="306"/>
      <c r="B70" s="63" t="s">
        <v>679</v>
      </c>
      <c r="C70" s="194" t="s">
        <v>45</v>
      </c>
      <c r="D70" s="126">
        <f>D69</f>
        <v>69</v>
      </c>
      <c r="E70" s="193">
        <v>0</v>
      </c>
      <c r="F70" s="29">
        <f t="shared" si="4"/>
        <v>0</v>
      </c>
    </row>
    <row r="71" spans="1:9" ht="13.5" thickBot="1" x14ac:dyDescent="0.25">
      <c r="A71" s="302"/>
      <c r="B71" s="39" t="s">
        <v>678</v>
      </c>
      <c r="C71" s="27" t="s">
        <v>45</v>
      </c>
      <c r="D71" s="126">
        <f>D69</f>
        <v>69</v>
      </c>
      <c r="E71" s="23">
        <v>0</v>
      </c>
      <c r="F71" s="24">
        <f t="shared" si="4"/>
        <v>0</v>
      </c>
    </row>
    <row r="72" spans="1:9" s="58" customFormat="1" ht="15.75" thickBot="1" x14ac:dyDescent="0.25">
      <c r="A72" s="206" t="s">
        <v>25</v>
      </c>
      <c r="B72" s="273"/>
      <c r="C72" s="207"/>
      <c r="D72" s="207"/>
      <c r="E72" s="31" t="str">
        <f>A53</f>
        <v>1.3.2</v>
      </c>
      <c r="F72" s="32">
        <f>SUM(F54:F71)</f>
        <v>0</v>
      </c>
      <c r="H72" s="136"/>
      <c r="I72" s="136"/>
    </row>
    <row r="73" spans="1:9" s="58" customFormat="1" ht="15.75" thickBot="1" x14ac:dyDescent="0.25">
      <c r="A73" s="204" t="s">
        <v>26</v>
      </c>
      <c r="B73" s="223"/>
      <c r="C73" s="223"/>
      <c r="D73" s="223"/>
      <c r="E73" s="109">
        <f>A49</f>
        <v>1.3</v>
      </c>
      <c r="F73" s="110">
        <f>SUM(F52,F72)</f>
        <v>0</v>
      </c>
      <c r="H73" s="136"/>
      <c r="I73" s="136"/>
    </row>
    <row r="74" spans="1:9" s="58" customFormat="1" ht="15.75" thickBot="1" x14ac:dyDescent="0.25">
      <c r="A74" s="95">
        <v>1.4</v>
      </c>
      <c r="B74" s="243" t="s">
        <v>572</v>
      </c>
      <c r="C74" s="244"/>
      <c r="D74" s="244"/>
      <c r="E74" s="244"/>
      <c r="F74" s="245"/>
      <c r="H74" s="136"/>
      <c r="I74" s="136"/>
    </row>
    <row r="75" spans="1:9" ht="15" x14ac:dyDescent="0.2">
      <c r="A75" s="200" t="s">
        <v>34</v>
      </c>
      <c r="B75" s="26" t="s">
        <v>576</v>
      </c>
      <c r="C75" s="185" t="s">
        <v>45</v>
      </c>
      <c r="D75" s="184">
        <f>D71</f>
        <v>69</v>
      </c>
      <c r="E75" s="43">
        <v>0</v>
      </c>
      <c r="F75" s="29">
        <f t="shared" ref="F75:F76" si="6">D75*E75</f>
        <v>0</v>
      </c>
    </row>
    <row r="76" spans="1:9" ht="15.75" thickBot="1" x14ac:dyDescent="0.25">
      <c r="A76" s="201" t="s">
        <v>127</v>
      </c>
      <c r="B76" s="26" t="s">
        <v>577</v>
      </c>
      <c r="C76" s="185" t="s">
        <v>45</v>
      </c>
      <c r="D76" s="184">
        <f>D75</f>
        <v>69</v>
      </c>
      <c r="E76" s="43">
        <v>0</v>
      </c>
      <c r="F76" s="29">
        <f t="shared" si="6"/>
        <v>0</v>
      </c>
    </row>
    <row r="77" spans="1:9" s="58" customFormat="1" ht="15.75" thickBot="1" x14ac:dyDescent="0.25">
      <c r="A77" s="266" t="s">
        <v>26</v>
      </c>
      <c r="B77" s="267"/>
      <c r="C77" s="267"/>
      <c r="D77" s="267"/>
      <c r="E77" s="109">
        <f>A74</f>
        <v>1.4</v>
      </c>
      <c r="F77" s="110">
        <f>SUM(F75:F76)</f>
        <v>0</v>
      </c>
      <c r="H77" s="136"/>
      <c r="I77" s="136"/>
    </row>
    <row r="78" spans="1:9" s="58" customFormat="1" ht="16.5" thickTop="1" thickBot="1" x14ac:dyDescent="0.25">
      <c r="A78" s="95">
        <v>1.5</v>
      </c>
      <c r="B78" s="243" t="s">
        <v>573</v>
      </c>
      <c r="C78" s="244"/>
      <c r="D78" s="244"/>
      <c r="E78" s="244"/>
      <c r="F78" s="245"/>
      <c r="H78" s="136"/>
      <c r="I78" s="136"/>
    </row>
    <row r="79" spans="1:9" s="58" customFormat="1" ht="15" x14ac:dyDescent="0.2">
      <c r="A79" s="240" t="s">
        <v>574</v>
      </c>
      <c r="B79" s="208" t="s">
        <v>126</v>
      </c>
      <c r="C79" s="209"/>
      <c r="D79" s="209"/>
      <c r="E79" s="209"/>
      <c r="F79" s="210"/>
      <c r="H79" s="136"/>
      <c r="I79" s="136"/>
    </row>
    <row r="80" spans="1:9" ht="15" x14ac:dyDescent="0.2">
      <c r="A80" s="306"/>
      <c r="B80" s="26" t="s">
        <v>128</v>
      </c>
      <c r="C80" s="27" t="s">
        <v>16</v>
      </c>
      <c r="D80" s="125">
        <v>1</v>
      </c>
      <c r="E80" s="43">
        <v>0</v>
      </c>
      <c r="F80" s="29">
        <f t="shared" ref="F80:F94" si="7">D80*E80</f>
        <v>0</v>
      </c>
    </row>
    <row r="81" spans="1:9" ht="15" x14ac:dyDescent="0.2">
      <c r="A81" s="306"/>
      <c r="B81" s="26" t="s">
        <v>129</v>
      </c>
      <c r="C81" s="27" t="s">
        <v>16</v>
      </c>
      <c r="D81" s="125">
        <v>1</v>
      </c>
      <c r="E81" s="43">
        <v>0</v>
      </c>
      <c r="F81" s="29">
        <f t="shared" si="7"/>
        <v>0</v>
      </c>
    </row>
    <row r="82" spans="1:9" ht="15" x14ac:dyDescent="0.2">
      <c r="A82" s="306"/>
      <c r="B82" s="26" t="s">
        <v>130</v>
      </c>
      <c r="C82" s="27" t="s">
        <v>16</v>
      </c>
      <c r="D82" s="125">
        <v>1</v>
      </c>
      <c r="E82" s="43">
        <v>0</v>
      </c>
      <c r="F82" s="29">
        <f t="shared" si="7"/>
        <v>0</v>
      </c>
    </row>
    <row r="83" spans="1:9" ht="15" x14ac:dyDescent="0.2">
      <c r="A83" s="306"/>
      <c r="B83" s="26" t="s">
        <v>131</v>
      </c>
      <c r="C83" s="27" t="s">
        <v>16</v>
      </c>
      <c r="D83" s="125">
        <v>1</v>
      </c>
      <c r="E83" s="43">
        <v>0</v>
      </c>
      <c r="F83" s="29">
        <f t="shared" si="7"/>
        <v>0</v>
      </c>
    </row>
    <row r="84" spans="1:9" ht="15" x14ac:dyDescent="0.2">
      <c r="A84" s="306"/>
      <c r="B84" s="26" t="s">
        <v>132</v>
      </c>
      <c r="C84" s="27" t="s">
        <v>16</v>
      </c>
      <c r="D84" s="125">
        <v>1</v>
      </c>
      <c r="E84" s="43">
        <v>0</v>
      </c>
      <c r="F84" s="29">
        <f t="shared" si="7"/>
        <v>0</v>
      </c>
    </row>
    <row r="85" spans="1:9" ht="15" x14ac:dyDescent="0.2">
      <c r="A85" s="306"/>
      <c r="B85" s="26" t="s">
        <v>133</v>
      </c>
      <c r="C85" s="27" t="s">
        <v>16</v>
      </c>
      <c r="D85" s="125">
        <v>1</v>
      </c>
      <c r="E85" s="43">
        <v>0</v>
      </c>
      <c r="F85" s="29">
        <f t="shared" si="7"/>
        <v>0</v>
      </c>
    </row>
    <row r="86" spans="1:9" ht="15" x14ac:dyDescent="0.2">
      <c r="A86" s="306"/>
      <c r="B86" s="26" t="s">
        <v>134</v>
      </c>
      <c r="C86" s="27" t="s">
        <v>16</v>
      </c>
      <c r="D86" s="125">
        <v>1</v>
      </c>
      <c r="E86" s="43">
        <v>0</v>
      </c>
      <c r="F86" s="29">
        <f t="shared" si="7"/>
        <v>0</v>
      </c>
    </row>
    <row r="87" spans="1:9" ht="15" x14ac:dyDescent="0.2">
      <c r="A87" s="306"/>
      <c r="B87" s="26" t="s">
        <v>135</v>
      </c>
      <c r="C87" s="27" t="s">
        <v>16</v>
      </c>
      <c r="D87" s="125">
        <v>1</v>
      </c>
      <c r="E87" s="43">
        <v>0</v>
      </c>
      <c r="F87" s="29">
        <f t="shared" si="7"/>
        <v>0</v>
      </c>
    </row>
    <row r="88" spans="1:9" ht="15" x14ac:dyDescent="0.2">
      <c r="A88" s="306"/>
      <c r="B88" s="26" t="s">
        <v>136</v>
      </c>
      <c r="C88" s="27" t="s">
        <v>16</v>
      </c>
      <c r="D88" s="125">
        <v>1</v>
      </c>
      <c r="E88" s="43">
        <v>0</v>
      </c>
      <c r="F88" s="29">
        <f t="shared" si="7"/>
        <v>0</v>
      </c>
    </row>
    <row r="89" spans="1:9" ht="15" x14ac:dyDescent="0.2">
      <c r="A89" s="306"/>
      <c r="B89" s="26" t="s">
        <v>137</v>
      </c>
      <c r="C89" s="27" t="s">
        <v>16</v>
      </c>
      <c r="D89" s="125">
        <v>1</v>
      </c>
      <c r="E89" s="43">
        <v>0</v>
      </c>
      <c r="F89" s="29">
        <f t="shared" si="7"/>
        <v>0</v>
      </c>
    </row>
    <row r="90" spans="1:9" ht="15" x14ac:dyDescent="0.2">
      <c r="A90" s="306"/>
      <c r="B90" s="26" t="s">
        <v>138</v>
      </c>
      <c r="C90" s="27" t="s">
        <v>16</v>
      </c>
      <c r="D90" s="125">
        <v>1</v>
      </c>
      <c r="E90" s="43">
        <v>0</v>
      </c>
      <c r="F90" s="29">
        <f t="shared" si="7"/>
        <v>0</v>
      </c>
    </row>
    <row r="91" spans="1:9" s="9" customFormat="1" ht="15" x14ac:dyDescent="0.2">
      <c r="A91" s="306"/>
      <c r="B91" s="44" t="s">
        <v>63</v>
      </c>
      <c r="C91" s="27" t="s">
        <v>16</v>
      </c>
      <c r="D91" s="125">
        <v>1</v>
      </c>
      <c r="E91" s="28">
        <v>0</v>
      </c>
      <c r="F91" s="29">
        <f t="shared" si="7"/>
        <v>0</v>
      </c>
      <c r="H91" s="135"/>
      <c r="I91" s="135"/>
    </row>
    <row r="92" spans="1:9" ht="15" x14ac:dyDescent="0.2">
      <c r="A92" s="306"/>
      <c r="B92" s="26" t="s">
        <v>64</v>
      </c>
      <c r="C92" s="27" t="s">
        <v>16</v>
      </c>
      <c r="D92" s="125">
        <v>1</v>
      </c>
      <c r="E92" s="43">
        <v>0</v>
      </c>
      <c r="F92" s="29">
        <f t="shared" si="7"/>
        <v>0</v>
      </c>
    </row>
    <row r="93" spans="1:9" s="1" customFormat="1" ht="25.5" x14ac:dyDescent="0.25">
      <c r="A93" s="306"/>
      <c r="B93" s="33" t="s">
        <v>119</v>
      </c>
      <c r="C93" s="248" t="s">
        <v>16</v>
      </c>
      <c r="D93" s="274">
        <v>1</v>
      </c>
      <c r="E93" s="344">
        <v>0</v>
      </c>
      <c r="F93" s="362">
        <f t="shared" si="7"/>
        <v>0</v>
      </c>
      <c r="H93" s="138"/>
      <c r="I93" s="138"/>
    </row>
    <row r="94" spans="1:9" s="1" customFormat="1" ht="18.75" thickBot="1" x14ac:dyDescent="0.3">
      <c r="A94" s="302"/>
      <c r="B94" s="94" t="s">
        <v>91</v>
      </c>
      <c r="C94" s="346"/>
      <c r="D94" s="347"/>
      <c r="E94" s="345"/>
      <c r="F94" s="363">
        <f t="shared" si="7"/>
        <v>0</v>
      </c>
      <c r="H94" s="138"/>
      <c r="I94" s="138"/>
    </row>
    <row r="95" spans="1:9" s="58" customFormat="1" ht="15.75" thickBot="1" x14ac:dyDescent="0.25">
      <c r="A95" s="206" t="s">
        <v>25</v>
      </c>
      <c r="B95" s="207"/>
      <c r="C95" s="207"/>
      <c r="D95" s="207"/>
      <c r="E95" s="31" t="str">
        <f>A79</f>
        <v>1.5.1</v>
      </c>
      <c r="F95" s="32">
        <f>SUM(F80:F94)</f>
        <v>0</v>
      </c>
      <c r="H95" s="136"/>
      <c r="I95" s="136"/>
    </row>
    <row r="96" spans="1:9" s="58" customFormat="1" ht="15" x14ac:dyDescent="0.2">
      <c r="A96" s="240" t="s">
        <v>575</v>
      </c>
      <c r="B96" s="208" t="s">
        <v>84</v>
      </c>
      <c r="C96" s="209"/>
      <c r="D96" s="209"/>
      <c r="E96" s="209"/>
      <c r="F96" s="210"/>
      <c r="H96" s="136"/>
      <c r="I96" s="136"/>
    </row>
    <row r="97" spans="1:9" ht="15" x14ac:dyDescent="0.2">
      <c r="A97" s="306"/>
      <c r="B97" s="26" t="s">
        <v>139</v>
      </c>
      <c r="C97" s="27" t="s">
        <v>45</v>
      </c>
      <c r="D97" s="125">
        <f>D32</f>
        <v>69</v>
      </c>
      <c r="E97" s="43">
        <v>0</v>
      </c>
      <c r="F97" s="29">
        <f t="shared" ref="F97:F111" si="8">D97*E97</f>
        <v>0</v>
      </c>
    </row>
    <row r="98" spans="1:9" ht="15" x14ac:dyDescent="0.2">
      <c r="A98" s="306"/>
      <c r="B98" s="26" t="s">
        <v>140</v>
      </c>
      <c r="C98" s="27" t="s">
        <v>45</v>
      </c>
      <c r="D98" s="125">
        <f>D97</f>
        <v>69</v>
      </c>
      <c r="E98" s="43">
        <v>0</v>
      </c>
      <c r="F98" s="29">
        <f t="shared" si="8"/>
        <v>0</v>
      </c>
    </row>
    <row r="99" spans="1:9" ht="15" x14ac:dyDescent="0.2">
      <c r="A99" s="306"/>
      <c r="B99" s="26" t="s">
        <v>141</v>
      </c>
      <c r="C99" s="27" t="s">
        <v>45</v>
      </c>
      <c r="D99" s="150">
        <f t="shared" ref="D99:D108" si="9">D98</f>
        <v>69</v>
      </c>
      <c r="E99" s="43">
        <v>0</v>
      </c>
      <c r="F99" s="29">
        <f t="shared" si="8"/>
        <v>0</v>
      </c>
    </row>
    <row r="100" spans="1:9" ht="15" x14ac:dyDescent="0.2">
      <c r="A100" s="306"/>
      <c r="B100" s="26" t="s">
        <v>142</v>
      </c>
      <c r="C100" s="27" t="s">
        <v>45</v>
      </c>
      <c r="D100" s="150">
        <f t="shared" si="9"/>
        <v>69</v>
      </c>
      <c r="E100" s="43">
        <v>0</v>
      </c>
      <c r="F100" s="29">
        <f t="shared" si="8"/>
        <v>0</v>
      </c>
    </row>
    <row r="101" spans="1:9" ht="15" x14ac:dyDescent="0.2">
      <c r="A101" s="306"/>
      <c r="B101" s="26" t="s">
        <v>143</v>
      </c>
      <c r="C101" s="27" t="s">
        <v>45</v>
      </c>
      <c r="D101" s="150">
        <f t="shared" si="9"/>
        <v>69</v>
      </c>
      <c r="E101" s="43">
        <v>0</v>
      </c>
      <c r="F101" s="29">
        <f t="shared" si="8"/>
        <v>0</v>
      </c>
    </row>
    <row r="102" spans="1:9" ht="15" x14ac:dyDescent="0.2">
      <c r="A102" s="306"/>
      <c r="B102" s="26" t="s">
        <v>144</v>
      </c>
      <c r="C102" s="27" t="s">
        <v>45</v>
      </c>
      <c r="D102" s="150">
        <f t="shared" si="9"/>
        <v>69</v>
      </c>
      <c r="E102" s="43">
        <v>0</v>
      </c>
      <c r="F102" s="29">
        <f t="shared" si="8"/>
        <v>0</v>
      </c>
    </row>
    <row r="103" spans="1:9" ht="15" x14ac:dyDescent="0.2">
      <c r="A103" s="306"/>
      <c r="B103" s="26" t="s">
        <v>145</v>
      </c>
      <c r="C103" s="27" t="s">
        <v>45</v>
      </c>
      <c r="D103" s="150">
        <f t="shared" si="9"/>
        <v>69</v>
      </c>
      <c r="E103" s="43">
        <v>0</v>
      </c>
      <c r="F103" s="29">
        <f t="shared" si="8"/>
        <v>0</v>
      </c>
    </row>
    <row r="104" spans="1:9" ht="15" x14ac:dyDescent="0.2">
      <c r="A104" s="306"/>
      <c r="B104" s="26" t="s">
        <v>146</v>
      </c>
      <c r="C104" s="27" t="s">
        <v>45</v>
      </c>
      <c r="D104" s="150">
        <f t="shared" si="9"/>
        <v>69</v>
      </c>
      <c r="E104" s="43">
        <v>0</v>
      </c>
      <c r="F104" s="29">
        <f t="shared" si="8"/>
        <v>0</v>
      </c>
    </row>
    <row r="105" spans="1:9" ht="15" x14ac:dyDescent="0.2">
      <c r="A105" s="306"/>
      <c r="B105" s="26" t="s">
        <v>147</v>
      </c>
      <c r="C105" s="27" t="s">
        <v>45</v>
      </c>
      <c r="D105" s="150">
        <f t="shared" si="9"/>
        <v>69</v>
      </c>
      <c r="E105" s="43">
        <v>0</v>
      </c>
      <c r="F105" s="29">
        <f t="shared" si="8"/>
        <v>0</v>
      </c>
    </row>
    <row r="106" spans="1:9" ht="15" x14ac:dyDescent="0.2">
      <c r="A106" s="306"/>
      <c r="B106" s="26" t="s">
        <v>148</v>
      </c>
      <c r="C106" s="27" t="s">
        <v>45</v>
      </c>
      <c r="D106" s="150">
        <f t="shared" si="9"/>
        <v>69</v>
      </c>
      <c r="E106" s="43">
        <v>0</v>
      </c>
      <c r="F106" s="29">
        <f t="shared" si="8"/>
        <v>0</v>
      </c>
    </row>
    <row r="107" spans="1:9" ht="15" x14ac:dyDescent="0.2">
      <c r="A107" s="306"/>
      <c r="B107" s="26" t="s">
        <v>149</v>
      </c>
      <c r="C107" s="27" t="s">
        <v>45</v>
      </c>
      <c r="D107" s="150">
        <f t="shared" si="9"/>
        <v>69</v>
      </c>
      <c r="E107" s="43">
        <v>0</v>
      </c>
      <c r="F107" s="29">
        <f t="shared" si="8"/>
        <v>0</v>
      </c>
    </row>
    <row r="108" spans="1:9" s="9" customFormat="1" ht="15" x14ac:dyDescent="0.2">
      <c r="A108" s="306"/>
      <c r="B108" s="44" t="s">
        <v>63</v>
      </c>
      <c r="C108" s="27" t="s">
        <v>45</v>
      </c>
      <c r="D108" s="150">
        <f t="shared" si="9"/>
        <v>69</v>
      </c>
      <c r="E108" s="28">
        <v>0</v>
      </c>
      <c r="F108" s="29">
        <f t="shared" si="8"/>
        <v>0</v>
      </c>
      <c r="H108" s="135"/>
      <c r="I108" s="135"/>
    </row>
    <row r="109" spans="1:9" ht="15" x14ac:dyDescent="0.2">
      <c r="A109" s="306"/>
      <c r="B109" s="26" t="s">
        <v>64</v>
      </c>
      <c r="C109" s="27" t="s">
        <v>45</v>
      </c>
      <c r="D109" s="150">
        <f>D108</f>
        <v>69</v>
      </c>
      <c r="E109" s="43">
        <v>0</v>
      </c>
      <c r="F109" s="29">
        <f t="shared" si="8"/>
        <v>0</v>
      </c>
    </row>
    <row r="110" spans="1:9" s="1" customFormat="1" ht="25.5" x14ac:dyDescent="0.25">
      <c r="A110" s="306"/>
      <c r="B110" s="33" t="s">
        <v>151</v>
      </c>
      <c r="C110" s="248" t="s">
        <v>45</v>
      </c>
      <c r="D110" s="274">
        <f>D109</f>
        <v>69</v>
      </c>
      <c r="E110" s="344">
        <v>0</v>
      </c>
      <c r="F110" s="362">
        <f t="shared" si="8"/>
        <v>0</v>
      </c>
      <c r="H110" s="138"/>
      <c r="I110" s="138"/>
    </row>
    <row r="111" spans="1:9" s="1" customFormat="1" ht="18.75" thickBot="1" x14ac:dyDescent="0.3">
      <c r="A111" s="302"/>
      <c r="B111" s="94" t="s">
        <v>91</v>
      </c>
      <c r="C111" s="346"/>
      <c r="D111" s="347"/>
      <c r="E111" s="345"/>
      <c r="F111" s="363">
        <f t="shared" si="8"/>
        <v>0</v>
      </c>
      <c r="H111" s="138"/>
      <c r="I111" s="138"/>
    </row>
    <row r="112" spans="1:9" s="58" customFormat="1" ht="15.75" thickBot="1" x14ac:dyDescent="0.25">
      <c r="A112" s="206" t="s">
        <v>25</v>
      </c>
      <c r="B112" s="207"/>
      <c r="C112" s="207"/>
      <c r="D112" s="207"/>
      <c r="E112" s="31" t="str">
        <f>A96</f>
        <v>1.5.2</v>
      </c>
      <c r="F112" s="32">
        <f>SUM(F97:F111)</f>
        <v>0</v>
      </c>
      <c r="H112" s="136"/>
      <c r="I112" s="136"/>
    </row>
    <row r="113" spans="1:9" s="58" customFormat="1" ht="15.75" thickBot="1" x14ac:dyDescent="0.25">
      <c r="A113" s="266" t="s">
        <v>26</v>
      </c>
      <c r="B113" s="267"/>
      <c r="C113" s="267"/>
      <c r="D113" s="267"/>
      <c r="E113" s="109">
        <f>A78</f>
        <v>1.5</v>
      </c>
      <c r="F113" s="110">
        <f>SUM(F112,F95)</f>
        <v>0</v>
      </c>
      <c r="H113" s="136"/>
      <c r="I113" s="136"/>
    </row>
    <row r="114" spans="1:9" s="9" customFormat="1" ht="17.25" thickTop="1" thickBot="1" x14ac:dyDescent="0.25">
      <c r="A114" s="369" t="s">
        <v>117</v>
      </c>
      <c r="B114" s="370"/>
      <c r="C114" s="370"/>
      <c r="D114" s="370"/>
      <c r="E114" s="371"/>
      <c r="F114" s="111">
        <f>SUM(F40,F48,F73,F113,F77)</f>
        <v>0</v>
      </c>
      <c r="H114" s="135"/>
      <c r="I114" s="135"/>
    </row>
    <row r="115" spans="1:9" s="9" customFormat="1" ht="17.25" thickTop="1" thickBot="1" x14ac:dyDescent="0.25">
      <c r="A115" s="341"/>
      <c r="B115" s="342"/>
      <c r="C115" s="250" t="s">
        <v>10</v>
      </c>
      <c r="D115" s="251"/>
      <c r="E115" s="251"/>
      <c r="F115" s="252"/>
      <c r="H115" s="135"/>
      <c r="I115" s="135"/>
    </row>
    <row r="116" spans="1:9" s="9" customFormat="1" ht="33" thickTop="1" thickBot="1" x14ac:dyDescent="0.25">
      <c r="A116" s="116" t="s">
        <v>11</v>
      </c>
      <c r="B116" s="117" t="s">
        <v>77</v>
      </c>
      <c r="C116" s="117" t="s">
        <v>12</v>
      </c>
      <c r="D116" s="117" t="s">
        <v>13</v>
      </c>
      <c r="E116" s="118" t="s">
        <v>14</v>
      </c>
      <c r="F116" s="119" t="s">
        <v>15</v>
      </c>
      <c r="H116" s="135"/>
      <c r="I116" s="135"/>
    </row>
    <row r="117" spans="1:9" s="112" customFormat="1" ht="17.25" thickTop="1" thickBot="1" x14ac:dyDescent="0.25">
      <c r="A117" s="382" t="s">
        <v>304</v>
      </c>
      <c r="B117" s="383"/>
      <c r="C117" s="383"/>
      <c r="D117" s="383"/>
      <c r="E117" s="383"/>
      <c r="F117" s="384"/>
      <c r="H117" s="140"/>
      <c r="I117" s="140"/>
    </row>
    <row r="118" spans="1:9" s="112" customFormat="1" ht="15" x14ac:dyDescent="0.2">
      <c r="A118" s="95">
        <v>2.1</v>
      </c>
      <c r="B118" s="208" t="s">
        <v>301</v>
      </c>
      <c r="C118" s="209"/>
      <c r="D118" s="209"/>
      <c r="E118" s="209"/>
      <c r="F118" s="210"/>
      <c r="H118" s="140"/>
      <c r="I118" s="140"/>
    </row>
    <row r="119" spans="1:9" s="45" customFormat="1" ht="25.5" x14ac:dyDescent="0.2">
      <c r="A119" s="196" t="s">
        <v>0</v>
      </c>
      <c r="B119" s="25" t="s">
        <v>299</v>
      </c>
      <c r="C119" s="48" t="s">
        <v>18</v>
      </c>
      <c r="D119" s="67">
        <f>158+3</f>
        <v>161</v>
      </c>
      <c r="E119" s="49">
        <v>0</v>
      </c>
      <c r="F119" s="50">
        <f t="shared" ref="F119:F121" si="10">D119*E119</f>
        <v>0</v>
      </c>
      <c r="H119" s="141"/>
      <c r="I119" s="141"/>
    </row>
    <row r="120" spans="1:9" s="58" customFormat="1" ht="39.75" x14ac:dyDescent="0.2">
      <c r="A120" s="197" t="s">
        <v>66</v>
      </c>
      <c r="B120" s="25" t="s">
        <v>300</v>
      </c>
      <c r="C120" s="48" t="s">
        <v>18</v>
      </c>
      <c r="D120" s="22">
        <v>1</v>
      </c>
      <c r="E120" s="49">
        <v>0</v>
      </c>
      <c r="F120" s="50">
        <f>D120*E120</f>
        <v>0</v>
      </c>
      <c r="H120" s="136"/>
      <c r="I120" s="136"/>
    </row>
    <row r="121" spans="1:9" s="45" customFormat="1" ht="51.75" thickBot="1" x14ac:dyDescent="0.25">
      <c r="A121" s="196" t="s">
        <v>181</v>
      </c>
      <c r="B121" s="25" t="s">
        <v>302</v>
      </c>
      <c r="C121" s="61" t="s">
        <v>18</v>
      </c>
      <c r="D121" s="124">
        <f>D119</f>
        <v>161</v>
      </c>
      <c r="E121" s="65">
        <v>0</v>
      </c>
      <c r="F121" s="66">
        <f t="shared" si="10"/>
        <v>0</v>
      </c>
      <c r="H121" s="141"/>
      <c r="I121" s="141"/>
    </row>
    <row r="122" spans="1:9" s="112" customFormat="1" ht="15.75" thickBot="1" x14ac:dyDescent="0.25">
      <c r="A122" s="204" t="s">
        <v>26</v>
      </c>
      <c r="B122" s="223"/>
      <c r="C122" s="223"/>
      <c r="D122" s="223"/>
      <c r="E122" s="109">
        <f>A118</f>
        <v>2.1</v>
      </c>
      <c r="F122" s="110">
        <f>SUM(F119:F121)</f>
        <v>0</v>
      </c>
      <c r="H122" s="140"/>
      <c r="I122" s="140"/>
    </row>
    <row r="123" spans="1:9" s="112" customFormat="1" ht="15" x14ac:dyDescent="0.2">
      <c r="A123" s="95">
        <v>2.2000000000000002</v>
      </c>
      <c r="B123" s="208" t="s">
        <v>303</v>
      </c>
      <c r="C123" s="209"/>
      <c r="D123" s="209"/>
      <c r="E123" s="209"/>
      <c r="F123" s="210"/>
      <c r="H123" s="140"/>
      <c r="I123" s="140"/>
    </row>
    <row r="124" spans="1:9" s="45" customFormat="1" ht="38.25" x14ac:dyDescent="0.2">
      <c r="A124" s="196" t="s">
        <v>40</v>
      </c>
      <c r="B124" s="25" t="s">
        <v>365</v>
      </c>
      <c r="C124" s="48" t="s">
        <v>18</v>
      </c>
      <c r="D124" s="129">
        <v>51</v>
      </c>
      <c r="E124" s="49">
        <v>0</v>
      </c>
      <c r="F124" s="50">
        <f>D124*E124</f>
        <v>0</v>
      </c>
      <c r="H124" s="141"/>
      <c r="I124" s="141"/>
    </row>
    <row r="125" spans="1:9" s="9" customFormat="1" ht="39" thickBot="1" x14ac:dyDescent="0.25">
      <c r="A125" s="196" t="s">
        <v>67</v>
      </c>
      <c r="B125" s="25" t="s">
        <v>366</v>
      </c>
      <c r="C125" s="48" t="s">
        <v>18</v>
      </c>
      <c r="D125" s="67">
        <v>13</v>
      </c>
      <c r="E125" s="49">
        <v>0</v>
      </c>
      <c r="F125" s="50">
        <f>D125*E125</f>
        <v>0</v>
      </c>
      <c r="H125" s="135"/>
      <c r="I125" s="135"/>
    </row>
    <row r="126" spans="1:9" s="112" customFormat="1" ht="15.75" thickBot="1" x14ac:dyDescent="0.25">
      <c r="A126" s="204" t="s">
        <v>26</v>
      </c>
      <c r="B126" s="223"/>
      <c r="C126" s="223"/>
      <c r="D126" s="223"/>
      <c r="E126" s="109">
        <f>A123</f>
        <v>2.2000000000000002</v>
      </c>
      <c r="F126" s="110">
        <f>SUM(F124:F125)</f>
        <v>0</v>
      </c>
      <c r="H126" s="140"/>
      <c r="I126" s="140"/>
    </row>
    <row r="127" spans="1:9" s="9" customFormat="1" ht="17.25" thickTop="1" thickBot="1" x14ac:dyDescent="0.25">
      <c r="A127" s="319" t="s">
        <v>120</v>
      </c>
      <c r="B127" s="320"/>
      <c r="C127" s="320"/>
      <c r="D127" s="320"/>
      <c r="E127" s="321"/>
      <c r="F127" s="113">
        <f>SUM(F122,F126)</f>
        <v>0</v>
      </c>
      <c r="H127" s="135"/>
      <c r="I127" s="135"/>
    </row>
    <row r="128" spans="1:9" s="9" customFormat="1" ht="17.25" thickTop="1" thickBot="1" x14ac:dyDescent="0.25">
      <c r="A128" s="367"/>
      <c r="B128" s="368"/>
      <c r="C128" s="299" t="s">
        <v>10</v>
      </c>
      <c r="D128" s="300"/>
      <c r="E128" s="300"/>
      <c r="F128" s="301"/>
      <c r="H128" s="135"/>
      <c r="I128" s="135"/>
    </row>
    <row r="129" spans="1:10" s="9" customFormat="1" ht="33" thickTop="1" thickBot="1" x14ac:dyDescent="0.25">
      <c r="A129" s="5" t="s">
        <v>11</v>
      </c>
      <c r="B129" s="6" t="s">
        <v>77</v>
      </c>
      <c r="C129" s="6" t="s">
        <v>12</v>
      </c>
      <c r="D129" s="6" t="s">
        <v>13</v>
      </c>
      <c r="E129" s="7" t="s">
        <v>14</v>
      </c>
      <c r="F129" s="8" t="s">
        <v>15</v>
      </c>
      <c r="H129" s="135"/>
      <c r="I129" s="135"/>
    </row>
    <row r="130" spans="1:10" s="68" customFormat="1" ht="17.25" thickTop="1" thickBot="1" x14ac:dyDescent="0.25">
      <c r="A130" s="333" t="s">
        <v>185</v>
      </c>
      <c r="B130" s="334"/>
      <c r="C130" s="334"/>
      <c r="D130" s="334"/>
      <c r="E130" s="334"/>
      <c r="F130" s="335"/>
      <c r="H130" s="139"/>
      <c r="I130" s="139"/>
    </row>
    <row r="131" spans="1:10" s="58" customFormat="1" ht="15" x14ac:dyDescent="0.2">
      <c r="A131" s="95">
        <v>3.1</v>
      </c>
      <c r="B131" s="208" t="s">
        <v>254</v>
      </c>
      <c r="C131" s="209"/>
      <c r="D131" s="209"/>
      <c r="E131" s="209"/>
      <c r="F131" s="210"/>
      <c r="H131" s="136"/>
      <c r="I131" s="136"/>
    </row>
    <row r="132" spans="1:10" s="9" customFormat="1" ht="25.5" x14ac:dyDescent="0.2">
      <c r="A132" s="196" t="s">
        <v>27</v>
      </c>
      <c r="B132" s="47" t="s">
        <v>305</v>
      </c>
      <c r="C132" s="48" t="s">
        <v>18</v>
      </c>
      <c r="D132" s="132">
        <f>SUM(D124:D125)-D133</f>
        <v>64</v>
      </c>
      <c r="E132" s="49">
        <v>0</v>
      </c>
      <c r="F132" s="50">
        <f>D132*E132</f>
        <v>0</v>
      </c>
      <c r="H132" s="135"/>
      <c r="I132" s="135"/>
    </row>
    <row r="133" spans="1:10" s="9" customFormat="1" ht="25.5" x14ac:dyDescent="0.2">
      <c r="A133" s="46" t="s">
        <v>70</v>
      </c>
      <c r="B133" s="47" t="s">
        <v>186</v>
      </c>
      <c r="C133" s="48" t="s">
        <v>18</v>
      </c>
      <c r="D133" s="132">
        <v>0</v>
      </c>
      <c r="E133" s="49">
        <v>0</v>
      </c>
      <c r="F133" s="50">
        <f>D133*E133</f>
        <v>0</v>
      </c>
      <c r="G133" s="68"/>
      <c r="H133" s="135"/>
      <c r="I133" s="135"/>
    </row>
    <row r="134" spans="1:10" s="9" customFormat="1" ht="15.75" thickBot="1" x14ac:dyDescent="0.25">
      <c r="A134" s="46" t="s">
        <v>71</v>
      </c>
      <c r="B134" s="47" t="s">
        <v>182</v>
      </c>
      <c r="C134" s="48" t="s">
        <v>18</v>
      </c>
      <c r="D134" s="132">
        <v>64</v>
      </c>
      <c r="E134" s="49">
        <v>0</v>
      </c>
      <c r="F134" s="50">
        <f>D134*E134</f>
        <v>0</v>
      </c>
      <c r="G134" s="68"/>
      <c r="H134" s="146"/>
      <c r="I134" s="146"/>
      <c r="J134" s="145"/>
    </row>
    <row r="135" spans="1:10" s="112" customFormat="1" ht="15.75" thickBot="1" x14ac:dyDescent="0.25">
      <c r="A135" s="204" t="s">
        <v>26</v>
      </c>
      <c r="B135" s="223"/>
      <c r="C135" s="223"/>
      <c r="D135" s="223"/>
      <c r="E135" s="109">
        <f>A131</f>
        <v>3.1</v>
      </c>
      <c r="F135" s="110">
        <f>SUM(F132:F134)</f>
        <v>0</v>
      </c>
      <c r="H135" s="140"/>
      <c r="I135" s="140"/>
    </row>
    <row r="136" spans="1:10" s="58" customFormat="1" ht="34.5" customHeight="1" x14ac:dyDescent="0.2">
      <c r="A136" s="95">
        <v>3.2</v>
      </c>
      <c r="B136" s="208" t="s">
        <v>368</v>
      </c>
      <c r="C136" s="209"/>
      <c r="D136" s="209"/>
      <c r="E136" s="209"/>
      <c r="F136" s="210"/>
      <c r="G136" s="112"/>
      <c r="H136" s="136"/>
      <c r="I136" s="136"/>
    </row>
    <row r="137" spans="1:10" s="9" customFormat="1" ht="25.5" x14ac:dyDescent="0.2">
      <c r="A137" s="46" t="s">
        <v>24</v>
      </c>
      <c r="B137" s="47" t="s">
        <v>369</v>
      </c>
      <c r="C137" s="48" t="s">
        <v>18</v>
      </c>
      <c r="D137" s="67">
        <v>0</v>
      </c>
      <c r="E137" s="49">
        <v>0</v>
      </c>
      <c r="F137" s="50">
        <f>D137*E137</f>
        <v>0</v>
      </c>
      <c r="G137" s="68"/>
      <c r="H137" s="135"/>
      <c r="I137" s="135"/>
    </row>
    <row r="138" spans="1:10" s="9" customFormat="1" ht="25.5" x14ac:dyDescent="0.2">
      <c r="A138" s="196" t="s">
        <v>24</v>
      </c>
      <c r="B138" s="47" t="s">
        <v>372</v>
      </c>
      <c r="C138" s="48" t="s">
        <v>18</v>
      </c>
      <c r="D138" s="67">
        <f>D125</f>
        <v>13</v>
      </c>
      <c r="E138" s="49">
        <v>0</v>
      </c>
      <c r="F138" s="50">
        <f>D138*E138</f>
        <v>0</v>
      </c>
      <c r="G138" s="68"/>
      <c r="H138" s="135"/>
      <c r="I138" s="135"/>
    </row>
    <row r="139" spans="1:10" s="9" customFormat="1" ht="25.5" x14ac:dyDescent="0.2">
      <c r="A139" s="196" t="s">
        <v>1</v>
      </c>
      <c r="B139" s="47" t="s">
        <v>370</v>
      </c>
      <c r="C139" s="48" t="s">
        <v>18</v>
      </c>
      <c r="D139" s="67">
        <f>D138</f>
        <v>13</v>
      </c>
      <c r="E139" s="49">
        <v>0</v>
      </c>
      <c r="F139" s="50">
        <f>D139*E139</f>
        <v>0</v>
      </c>
      <c r="G139" s="68"/>
      <c r="H139" s="135"/>
      <c r="I139" s="135"/>
    </row>
    <row r="140" spans="1:10" s="9" customFormat="1" ht="26.25" thickBot="1" x14ac:dyDescent="0.25">
      <c r="A140" s="196" t="s">
        <v>187</v>
      </c>
      <c r="B140" s="47" t="s">
        <v>371</v>
      </c>
      <c r="C140" s="48" t="s">
        <v>18</v>
      </c>
      <c r="D140" s="67">
        <v>0</v>
      </c>
      <c r="E140" s="49">
        <v>0</v>
      </c>
      <c r="F140" s="50">
        <f>D140*E140</f>
        <v>0</v>
      </c>
      <c r="G140" s="68"/>
      <c r="H140" s="135"/>
      <c r="I140" s="135"/>
    </row>
    <row r="141" spans="1:10" s="112" customFormat="1" ht="15.75" thickBot="1" x14ac:dyDescent="0.25">
      <c r="A141" s="204" t="s">
        <v>26</v>
      </c>
      <c r="B141" s="223"/>
      <c r="C141" s="223"/>
      <c r="D141" s="223"/>
      <c r="E141" s="109">
        <f>A136</f>
        <v>3.2</v>
      </c>
      <c r="F141" s="110">
        <f>SUM(F137:F140)</f>
        <v>0</v>
      </c>
      <c r="H141" s="140"/>
      <c r="I141" s="140"/>
    </row>
    <row r="142" spans="1:10" s="58" customFormat="1" ht="29.45" customHeight="1" x14ac:dyDescent="0.2">
      <c r="A142" s="95">
        <v>3.3</v>
      </c>
      <c r="B142" s="208" t="s">
        <v>373</v>
      </c>
      <c r="C142" s="209"/>
      <c r="D142" s="209"/>
      <c r="E142" s="209"/>
      <c r="F142" s="210"/>
      <c r="G142" s="112"/>
      <c r="H142" s="136"/>
      <c r="I142" s="136"/>
    </row>
    <row r="143" spans="1:10" s="9" customFormat="1" ht="25.5" x14ac:dyDescent="0.2">
      <c r="A143" s="196" t="s">
        <v>37</v>
      </c>
      <c r="B143" s="47" t="s">
        <v>395</v>
      </c>
      <c r="C143" s="48" t="s">
        <v>18</v>
      </c>
      <c r="D143" s="67">
        <f>D132-D138</f>
        <v>51</v>
      </c>
      <c r="E143" s="49">
        <v>0</v>
      </c>
      <c r="F143" s="50">
        <f>D143*E143</f>
        <v>0</v>
      </c>
      <c r="G143" s="68"/>
      <c r="H143" s="135"/>
      <c r="I143" s="135"/>
    </row>
    <row r="144" spans="1:10" s="9" customFormat="1" ht="25.5" x14ac:dyDescent="0.2">
      <c r="A144" s="196" t="s">
        <v>38</v>
      </c>
      <c r="B144" s="47" t="s">
        <v>396</v>
      </c>
      <c r="C144" s="48" t="s">
        <v>18</v>
      </c>
      <c r="D144" s="67">
        <v>0</v>
      </c>
      <c r="E144" s="49">
        <v>0</v>
      </c>
      <c r="F144" s="50">
        <f>D144*E144</f>
        <v>0</v>
      </c>
      <c r="G144" s="68"/>
      <c r="H144" s="135"/>
      <c r="I144" s="135"/>
    </row>
    <row r="145" spans="1:10" s="9" customFormat="1" ht="26.25" thickBot="1" x14ac:dyDescent="0.25">
      <c r="A145" s="46" t="s">
        <v>39</v>
      </c>
      <c r="B145" s="47" t="s">
        <v>367</v>
      </c>
      <c r="C145" s="48" t="s">
        <v>18</v>
      </c>
      <c r="D145" s="67">
        <f>D134</f>
        <v>64</v>
      </c>
      <c r="E145" s="49">
        <v>0</v>
      </c>
      <c r="F145" s="50">
        <f>D145*E145</f>
        <v>0</v>
      </c>
      <c r="G145" s="68"/>
      <c r="H145" s="146"/>
      <c r="I145" s="146"/>
      <c r="J145" s="145"/>
    </row>
    <row r="146" spans="1:10" s="112" customFormat="1" ht="15.75" thickBot="1" x14ac:dyDescent="0.25">
      <c r="A146" s="204" t="s">
        <v>26</v>
      </c>
      <c r="B146" s="223"/>
      <c r="C146" s="223"/>
      <c r="D146" s="223"/>
      <c r="E146" s="109">
        <f>A142</f>
        <v>3.3</v>
      </c>
      <c r="F146" s="110">
        <f>SUM(F143:F145)</f>
        <v>0</v>
      </c>
      <c r="H146" s="140"/>
      <c r="I146" s="140"/>
    </row>
    <row r="147" spans="1:10" s="58" customFormat="1" ht="36.6" customHeight="1" x14ac:dyDescent="0.2">
      <c r="A147" s="95">
        <v>3.4</v>
      </c>
      <c r="B147" s="208" t="s">
        <v>309</v>
      </c>
      <c r="C147" s="209"/>
      <c r="D147" s="209"/>
      <c r="E147" s="209"/>
      <c r="F147" s="210"/>
      <c r="G147" s="112"/>
      <c r="H147" s="136"/>
      <c r="I147" s="136"/>
    </row>
    <row r="148" spans="1:10" s="58" customFormat="1" ht="30.6" customHeight="1" x14ac:dyDescent="0.2">
      <c r="A148" s="211" t="s">
        <v>188</v>
      </c>
      <c r="B148" s="214" t="s">
        <v>380</v>
      </c>
      <c r="C148" s="215"/>
      <c r="D148" s="215"/>
      <c r="E148" s="215"/>
      <c r="F148" s="216"/>
      <c r="G148" s="112"/>
      <c r="H148" s="136"/>
      <c r="I148" s="136"/>
    </row>
    <row r="149" spans="1:10" s="9" customFormat="1" ht="38.25" x14ac:dyDescent="0.2">
      <c r="A149" s="212"/>
      <c r="B149" s="47" t="s">
        <v>374</v>
      </c>
      <c r="C149" s="48" t="s">
        <v>19</v>
      </c>
      <c r="D149" s="67">
        <f>0.88+0.58+0.05+0.23+1.6+0.36+0.19+0.22+0.21+4.9+1.79+1.4+0.38+0.4+0.54</f>
        <v>13.73</v>
      </c>
      <c r="E149" s="49">
        <v>0</v>
      </c>
      <c r="F149" s="50">
        <f>D149*E149</f>
        <v>0</v>
      </c>
      <c r="H149" s="135"/>
      <c r="I149" s="135"/>
    </row>
    <row r="150" spans="1:10" s="9" customFormat="1" ht="25.5" x14ac:dyDescent="0.2">
      <c r="A150" s="212"/>
      <c r="B150" s="47" t="s">
        <v>375</v>
      </c>
      <c r="C150" s="48" t="s">
        <v>5</v>
      </c>
      <c r="D150" s="67">
        <v>15</v>
      </c>
      <c r="E150" s="49">
        <v>0</v>
      </c>
      <c r="F150" s="50">
        <f>D150*E150</f>
        <v>0</v>
      </c>
      <c r="H150" s="135"/>
      <c r="I150" s="135"/>
    </row>
    <row r="151" spans="1:10" s="9" customFormat="1" ht="26.25" thickBot="1" x14ac:dyDescent="0.25">
      <c r="A151" s="213"/>
      <c r="B151" s="47" t="s">
        <v>376</v>
      </c>
      <c r="C151" s="48" t="s">
        <v>19</v>
      </c>
      <c r="D151" s="67">
        <f>ROUNDUP(0.47+1.1+1.6+0.43+10.23+1+2.3+1.6+1.48+3.02+4.3+4.261+4.07+2.43,0)</f>
        <v>39</v>
      </c>
      <c r="E151" s="49">
        <v>0</v>
      </c>
      <c r="F151" s="50">
        <f>D151*E151</f>
        <v>0</v>
      </c>
      <c r="H151" s="135"/>
      <c r="I151" s="135"/>
    </row>
    <row r="152" spans="1:10" ht="14.45" customHeight="1" thickBot="1" x14ac:dyDescent="0.25">
      <c r="A152" s="206" t="s">
        <v>25</v>
      </c>
      <c r="B152" s="207"/>
      <c r="C152" s="207"/>
      <c r="D152" s="207"/>
      <c r="E152" s="31" t="str">
        <f>A148</f>
        <v>3.4.1</v>
      </c>
      <c r="F152" s="32">
        <f>SUM(F149:F151)</f>
        <v>0</v>
      </c>
    </row>
    <row r="153" spans="1:10" s="9" customFormat="1" ht="15.75" thickBot="1" x14ac:dyDescent="0.25">
      <c r="A153" s="204" t="s">
        <v>26</v>
      </c>
      <c r="B153" s="223"/>
      <c r="C153" s="223"/>
      <c r="D153" s="223"/>
      <c r="E153" s="109">
        <f>A147</f>
        <v>3.4</v>
      </c>
      <c r="F153" s="153">
        <f>F152</f>
        <v>0</v>
      </c>
      <c r="H153" s="135"/>
      <c r="I153" s="135"/>
    </row>
    <row r="154" spans="1:10" s="9" customFormat="1" ht="34.9" customHeight="1" x14ac:dyDescent="0.2">
      <c r="A154" s="95">
        <v>3.5</v>
      </c>
      <c r="B154" s="208" t="s">
        <v>377</v>
      </c>
      <c r="C154" s="209"/>
      <c r="D154" s="209"/>
      <c r="E154" s="209"/>
      <c r="F154" s="210"/>
      <c r="H154" s="135"/>
      <c r="I154" s="135"/>
    </row>
    <row r="155" spans="1:10" s="45" customFormat="1" ht="15" x14ac:dyDescent="0.2">
      <c r="A155" s="196" t="s">
        <v>189</v>
      </c>
      <c r="B155" s="25" t="s">
        <v>388</v>
      </c>
      <c r="C155" s="48" t="s">
        <v>18</v>
      </c>
      <c r="D155" s="67">
        <v>0</v>
      </c>
      <c r="E155" s="49">
        <v>0</v>
      </c>
      <c r="F155" s="50">
        <f t="shared" ref="F155:F162" si="11">D155*E155</f>
        <v>0</v>
      </c>
      <c r="H155" s="141"/>
      <c r="I155" s="141"/>
    </row>
    <row r="156" spans="1:10" s="9" customFormat="1" ht="15" x14ac:dyDescent="0.2">
      <c r="A156" s="196" t="s">
        <v>190</v>
      </c>
      <c r="B156" s="25" t="s">
        <v>378</v>
      </c>
      <c r="C156" s="48" t="s">
        <v>16</v>
      </c>
      <c r="D156" s="67">
        <v>0</v>
      </c>
      <c r="E156" s="49">
        <v>0</v>
      </c>
      <c r="F156" s="50">
        <f>D156*E156</f>
        <v>0</v>
      </c>
      <c r="H156" s="135"/>
      <c r="I156" s="135"/>
    </row>
    <row r="157" spans="1:10" s="1" customFormat="1" ht="25.5" x14ac:dyDescent="0.25">
      <c r="A157" s="196" t="s">
        <v>255</v>
      </c>
      <c r="B157" s="25" t="s">
        <v>389</v>
      </c>
      <c r="C157" s="48" t="s">
        <v>18</v>
      </c>
      <c r="D157" s="67">
        <v>10</v>
      </c>
      <c r="E157" s="49">
        <v>0</v>
      </c>
      <c r="F157" s="50">
        <f t="shared" si="11"/>
        <v>0</v>
      </c>
      <c r="H157" s="138"/>
      <c r="I157" s="138"/>
    </row>
    <row r="158" spans="1:10" s="58" customFormat="1" ht="25.5" x14ac:dyDescent="0.2">
      <c r="A158" s="196" t="s">
        <v>256</v>
      </c>
      <c r="B158" s="25" t="s">
        <v>390</v>
      </c>
      <c r="C158" s="48" t="s">
        <v>18</v>
      </c>
      <c r="D158" s="67">
        <v>10</v>
      </c>
      <c r="E158" s="49">
        <v>0</v>
      </c>
      <c r="F158" s="50">
        <f t="shared" si="11"/>
        <v>0</v>
      </c>
      <c r="H158" s="136"/>
      <c r="I158" s="136"/>
    </row>
    <row r="159" spans="1:10" s="9" customFormat="1" ht="25.5" x14ac:dyDescent="0.2">
      <c r="A159" s="196" t="s">
        <v>257</v>
      </c>
      <c r="B159" s="25" t="s">
        <v>391</v>
      </c>
      <c r="C159" s="48" t="s">
        <v>18</v>
      </c>
      <c r="D159" s="67">
        <v>6</v>
      </c>
      <c r="E159" s="49">
        <v>0</v>
      </c>
      <c r="F159" s="50">
        <f t="shared" si="11"/>
        <v>0</v>
      </c>
      <c r="H159" s="135"/>
      <c r="I159" s="135"/>
    </row>
    <row r="160" spans="1:10" s="9" customFormat="1" ht="15" x14ac:dyDescent="0.2">
      <c r="A160" s="196" t="s">
        <v>258</v>
      </c>
      <c r="B160" s="25" t="s">
        <v>392</v>
      </c>
      <c r="C160" s="48" t="s">
        <v>18</v>
      </c>
      <c r="D160" s="67">
        <f>SUM(D157:D159)*2</f>
        <v>52</v>
      </c>
      <c r="E160" s="49">
        <v>0</v>
      </c>
      <c r="F160" s="50">
        <f t="shared" si="11"/>
        <v>0</v>
      </c>
      <c r="H160" s="135"/>
      <c r="I160" s="135"/>
    </row>
    <row r="161" spans="1:9" s="9" customFormat="1" ht="15" x14ac:dyDescent="0.2">
      <c r="A161" s="196" t="s">
        <v>259</v>
      </c>
      <c r="B161" s="25" t="s">
        <v>393</v>
      </c>
      <c r="C161" s="48" t="s">
        <v>379</v>
      </c>
      <c r="D161" s="67">
        <f>1230*15</f>
        <v>18450</v>
      </c>
      <c r="E161" s="49">
        <v>0</v>
      </c>
      <c r="F161" s="50">
        <f t="shared" si="11"/>
        <v>0</v>
      </c>
      <c r="H161" s="135"/>
      <c r="I161" s="135"/>
    </row>
    <row r="162" spans="1:9" s="68" customFormat="1" ht="15.75" thickBot="1" x14ac:dyDescent="0.25">
      <c r="A162" s="196" t="s">
        <v>260</v>
      </c>
      <c r="B162" s="25" t="s">
        <v>394</v>
      </c>
      <c r="C162" s="48" t="s">
        <v>379</v>
      </c>
      <c r="D162" s="67">
        <f>90*15</f>
        <v>1350</v>
      </c>
      <c r="E162" s="49">
        <v>0</v>
      </c>
      <c r="F162" s="50">
        <f t="shared" si="11"/>
        <v>0</v>
      </c>
      <c r="H162" s="139"/>
      <c r="I162" s="139"/>
    </row>
    <row r="163" spans="1:9" s="9" customFormat="1" ht="15.75" thickBot="1" x14ac:dyDescent="0.25">
      <c r="A163" s="253" t="s">
        <v>26</v>
      </c>
      <c r="B163" s="254"/>
      <c r="C163" s="254"/>
      <c r="D163" s="254"/>
      <c r="E163" s="109">
        <f>A154</f>
        <v>3.5</v>
      </c>
      <c r="F163" s="110">
        <f>SUM(F155:F162)</f>
        <v>0</v>
      </c>
      <c r="H163" s="135"/>
      <c r="I163" s="135"/>
    </row>
    <row r="164" spans="1:9" s="58" customFormat="1" ht="36.6" customHeight="1" thickTop="1" x14ac:dyDescent="0.2">
      <c r="A164" s="95">
        <v>3.7</v>
      </c>
      <c r="B164" s="208" t="s">
        <v>653</v>
      </c>
      <c r="C164" s="209"/>
      <c r="D164" s="209"/>
      <c r="E164" s="209"/>
      <c r="F164" s="210"/>
      <c r="G164" s="112"/>
      <c r="H164" s="136"/>
      <c r="I164" s="136"/>
    </row>
    <row r="165" spans="1:9" s="58" customFormat="1" ht="13.9" customHeight="1" x14ac:dyDescent="0.2">
      <c r="A165" s="195" t="s">
        <v>397</v>
      </c>
      <c r="B165" s="47" t="s">
        <v>652</v>
      </c>
      <c r="C165" s="48" t="s">
        <v>17</v>
      </c>
      <c r="D165" s="67">
        <v>100</v>
      </c>
      <c r="E165" s="49">
        <v>0</v>
      </c>
      <c r="F165" s="50">
        <f>D165*E165</f>
        <v>0</v>
      </c>
      <c r="G165" s="112"/>
      <c r="H165" s="136"/>
      <c r="I165" s="136"/>
    </row>
    <row r="166" spans="1:9" s="58" customFormat="1" ht="13.9" customHeight="1" x14ac:dyDescent="0.2">
      <c r="A166" s="195" t="s">
        <v>398</v>
      </c>
      <c r="B166" s="47" t="s">
        <v>399</v>
      </c>
      <c r="C166" s="48" t="s">
        <v>379</v>
      </c>
      <c r="D166" s="67">
        <f>3*700</f>
        <v>2100</v>
      </c>
      <c r="E166" s="49">
        <v>0</v>
      </c>
      <c r="F166" s="50">
        <f>D166*E166</f>
        <v>0</v>
      </c>
      <c r="G166" s="112"/>
      <c r="H166" s="136"/>
      <c r="I166" s="136"/>
    </row>
    <row r="167" spans="1:9" s="9" customFormat="1" ht="15" x14ac:dyDescent="0.2">
      <c r="A167" s="195" t="s">
        <v>400</v>
      </c>
      <c r="B167" s="47" t="s">
        <v>401</v>
      </c>
      <c r="C167" s="48" t="s">
        <v>97</v>
      </c>
      <c r="D167" s="67">
        <f>3*100*0.1</f>
        <v>30</v>
      </c>
      <c r="E167" s="49">
        <v>0</v>
      </c>
      <c r="F167" s="50">
        <f>D167*E167</f>
        <v>0</v>
      </c>
      <c r="H167" s="135"/>
      <c r="I167" s="135"/>
    </row>
    <row r="168" spans="1:9" s="58" customFormat="1" ht="13.9" customHeight="1" x14ac:dyDescent="0.2">
      <c r="A168" s="217" t="s">
        <v>402</v>
      </c>
      <c r="B168" s="214" t="s">
        <v>407</v>
      </c>
      <c r="C168" s="215"/>
      <c r="D168" s="215"/>
      <c r="E168" s="215"/>
      <c r="F168" s="216"/>
      <c r="G168" s="112"/>
      <c r="H168" s="136"/>
      <c r="I168" s="136"/>
    </row>
    <row r="169" spans="1:9" s="9" customFormat="1" ht="15" x14ac:dyDescent="0.2">
      <c r="A169" s="218"/>
      <c r="B169" s="47" t="s">
        <v>381</v>
      </c>
      <c r="C169" s="48" t="s">
        <v>97</v>
      </c>
      <c r="D169" s="129">
        <f>3*100*0.15</f>
        <v>45</v>
      </c>
      <c r="E169" s="49">
        <v>0</v>
      </c>
      <c r="F169" s="50">
        <f>D169*E169</f>
        <v>0</v>
      </c>
      <c r="H169" s="135"/>
      <c r="I169" s="135"/>
    </row>
    <row r="170" spans="1:9" s="9" customFormat="1" ht="15" x14ac:dyDescent="0.2">
      <c r="A170" s="219"/>
      <c r="B170" s="47" t="s">
        <v>382</v>
      </c>
      <c r="C170" s="48" t="s">
        <v>97</v>
      </c>
      <c r="D170" s="67">
        <f>0</f>
        <v>0</v>
      </c>
      <c r="E170" s="49">
        <v>0</v>
      </c>
      <c r="F170" s="50">
        <f>D170*E170</f>
        <v>0</v>
      </c>
      <c r="H170" s="135"/>
      <c r="I170" s="135"/>
    </row>
    <row r="171" spans="1:9" s="58" customFormat="1" ht="15" x14ac:dyDescent="0.2">
      <c r="A171" s="217" t="s">
        <v>404</v>
      </c>
      <c r="B171" s="214" t="s">
        <v>403</v>
      </c>
      <c r="C171" s="215"/>
      <c r="D171" s="215"/>
      <c r="E171" s="215"/>
      <c r="F171" s="216"/>
      <c r="G171" s="112"/>
      <c r="H171" s="136"/>
      <c r="I171" s="136"/>
    </row>
    <row r="172" spans="1:9" s="9" customFormat="1" ht="15" x14ac:dyDescent="0.2">
      <c r="A172" s="219"/>
      <c r="B172" s="47" t="s">
        <v>383</v>
      </c>
      <c r="C172" s="48" t="s">
        <v>97</v>
      </c>
      <c r="D172" s="67">
        <f>3*100*0.4</f>
        <v>120</v>
      </c>
      <c r="E172" s="49">
        <v>0</v>
      </c>
      <c r="F172" s="50">
        <f>D172*E172</f>
        <v>0</v>
      </c>
      <c r="H172" s="135"/>
      <c r="I172" s="135"/>
    </row>
    <row r="173" spans="1:9" s="58" customFormat="1" ht="15" x14ac:dyDescent="0.2">
      <c r="A173" s="217" t="s">
        <v>405</v>
      </c>
      <c r="B173" s="214" t="s">
        <v>406</v>
      </c>
      <c r="C173" s="215"/>
      <c r="D173" s="215"/>
      <c r="E173" s="215"/>
      <c r="F173" s="216"/>
      <c r="G173" s="112"/>
      <c r="H173" s="136"/>
      <c r="I173" s="136"/>
    </row>
    <row r="174" spans="1:9" s="9" customFormat="1" ht="15" x14ac:dyDescent="0.2">
      <c r="A174" s="218"/>
      <c r="B174" s="47" t="s">
        <v>384</v>
      </c>
      <c r="C174" s="48" t="s">
        <v>97</v>
      </c>
      <c r="D174" s="67">
        <f>D172*0.5</f>
        <v>60</v>
      </c>
      <c r="E174" s="49">
        <v>0</v>
      </c>
      <c r="F174" s="50">
        <f>D174*E174</f>
        <v>0</v>
      </c>
      <c r="H174" s="135"/>
      <c r="I174" s="135"/>
    </row>
    <row r="175" spans="1:9" s="9" customFormat="1" ht="15" x14ac:dyDescent="0.2">
      <c r="A175" s="219"/>
      <c r="B175" s="47" t="s">
        <v>385</v>
      </c>
      <c r="C175" s="48" t="s">
        <v>97</v>
      </c>
      <c r="D175" s="67">
        <v>0</v>
      </c>
      <c r="E175" s="49">
        <v>0</v>
      </c>
      <c r="F175" s="50">
        <f>D175*E175</f>
        <v>0</v>
      </c>
      <c r="H175" s="135"/>
      <c r="I175" s="135"/>
    </row>
    <row r="176" spans="1:9" s="58" customFormat="1" ht="15" x14ac:dyDescent="0.2">
      <c r="A176" s="217" t="s">
        <v>409</v>
      </c>
      <c r="B176" s="214" t="s">
        <v>408</v>
      </c>
      <c r="C176" s="215"/>
      <c r="D176" s="215"/>
      <c r="E176" s="215"/>
      <c r="F176" s="216"/>
      <c r="G176" s="112"/>
      <c r="H176" s="136"/>
      <c r="I176" s="136"/>
    </row>
    <row r="177" spans="1:9" s="9" customFormat="1" ht="15" x14ac:dyDescent="0.2">
      <c r="A177" s="218"/>
      <c r="B177" s="47" t="s">
        <v>386</v>
      </c>
      <c r="C177" s="48" t="s">
        <v>97</v>
      </c>
      <c r="D177" s="67">
        <f>10*3*0.4</f>
        <v>12</v>
      </c>
      <c r="E177" s="49">
        <v>0</v>
      </c>
      <c r="F177" s="50">
        <f>D177*E177</f>
        <v>0</v>
      </c>
      <c r="H177" s="135"/>
      <c r="I177" s="135"/>
    </row>
    <row r="178" spans="1:9" s="9" customFormat="1" ht="15" x14ac:dyDescent="0.2">
      <c r="A178" s="219"/>
      <c r="B178" s="47" t="s">
        <v>387</v>
      </c>
      <c r="C178" s="48" t="s">
        <v>97</v>
      </c>
      <c r="D178" s="67">
        <v>0</v>
      </c>
      <c r="E178" s="49">
        <v>0</v>
      </c>
      <c r="F178" s="50">
        <f>D178*E178</f>
        <v>0</v>
      </c>
      <c r="H178" s="135"/>
      <c r="I178" s="135"/>
    </row>
    <row r="179" spans="1:9" s="58" customFormat="1" ht="15" x14ac:dyDescent="0.2">
      <c r="A179" s="218" t="s">
        <v>410</v>
      </c>
      <c r="B179" s="214" t="s">
        <v>411</v>
      </c>
      <c r="C179" s="215"/>
      <c r="D179" s="215"/>
      <c r="E179" s="215"/>
      <c r="F179" s="216"/>
      <c r="G179" s="112"/>
      <c r="H179" s="136"/>
      <c r="I179" s="136"/>
    </row>
    <row r="180" spans="1:9" s="9" customFormat="1" ht="15" x14ac:dyDescent="0.2">
      <c r="A180" s="218"/>
      <c r="B180" s="47" t="s">
        <v>412</v>
      </c>
      <c r="C180" s="48" t="s">
        <v>97</v>
      </c>
      <c r="D180" s="67">
        <f>D177</f>
        <v>12</v>
      </c>
      <c r="E180" s="49">
        <v>0</v>
      </c>
      <c r="F180" s="50">
        <f>D180*E180</f>
        <v>0</v>
      </c>
      <c r="H180" s="135"/>
      <c r="I180" s="135"/>
    </row>
    <row r="181" spans="1:9" s="58" customFormat="1" ht="30.6" customHeight="1" x14ac:dyDescent="0.2">
      <c r="A181" s="195" t="s">
        <v>414</v>
      </c>
      <c r="B181" s="47" t="s">
        <v>413</v>
      </c>
      <c r="C181" s="48" t="s">
        <v>97</v>
      </c>
      <c r="D181" s="67">
        <v>0</v>
      </c>
      <c r="E181" s="49">
        <v>0</v>
      </c>
      <c r="F181" s="50">
        <f>D181*E181</f>
        <v>0</v>
      </c>
      <c r="G181" s="112"/>
      <c r="H181" s="136"/>
      <c r="I181" s="136"/>
    </row>
    <row r="182" spans="1:9" s="58" customFormat="1" ht="15" x14ac:dyDescent="0.2">
      <c r="A182" s="217" t="s">
        <v>415</v>
      </c>
      <c r="B182" s="214" t="s">
        <v>416</v>
      </c>
      <c r="C182" s="215"/>
      <c r="D182" s="215"/>
      <c r="E182" s="215"/>
      <c r="F182" s="216"/>
      <c r="G182" s="112"/>
      <c r="H182" s="136"/>
      <c r="I182" s="136"/>
    </row>
    <row r="183" spans="1:9" s="58" customFormat="1" ht="15" x14ac:dyDescent="0.2">
      <c r="A183" s="218"/>
      <c r="B183" s="47" t="s">
        <v>417</v>
      </c>
      <c r="C183" s="48" t="s">
        <v>97</v>
      </c>
      <c r="D183" s="67">
        <v>0</v>
      </c>
      <c r="E183" s="49">
        <v>0</v>
      </c>
      <c r="F183" s="50">
        <f>D183*E183</f>
        <v>0</v>
      </c>
      <c r="G183" s="112"/>
      <c r="H183" s="136"/>
      <c r="I183" s="136"/>
    </row>
    <row r="184" spans="1:9" s="9" customFormat="1" ht="15" x14ac:dyDescent="0.2">
      <c r="A184" s="218"/>
      <c r="B184" s="47" t="s">
        <v>418</v>
      </c>
      <c r="C184" s="48" t="s">
        <v>97</v>
      </c>
      <c r="D184" s="67">
        <v>0</v>
      </c>
      <c r="E184" s="49">
        <v>0</v>
      </c>
      <c r="F184" s="50">
        <f>D184*E184</f>
        <v>0</v>
      </c>
      <c r="H184" s="135"/>
      <c r="I184" s="135"/>
    </row>
    <row r="185" spans="1:9" s="9" customFormat="1" ht="15" x14ac:dyDescent="0.2">
      <c r="A185" s="219"/>
      <c r="B185" s="47" t="s">
        <v>419</v>
      </c>
      <c r="C185" s="48" t="s">
        <v>97</v>
      </c>
      <c r="D185" s="67">
        <v>10</v>
      </c>
      <c r="E185" s="49">
        <v>0</v>
      </c>
      <c r="F185" s="50">
        <f>D185*E185</f>
        <v>0</v>
      </c>
      <c r="H185" s="135"/>
      <c r="I185" s="135"/>
    </row>
    <row r="186" spans="1:9" s="58" customFormat="1" ht="15" x14ac:dyDescent="0.2">
      <c r="A186" s="195" t="s">
        <v>420</v>
      </c>
      <c r="B186" s="47" t="s">
        <v>421</v>
      </c>
      <c r="C186" s="48" t="s">
        <v>97</v>
      </c>
      <c r="D186" s="67">
        <v>0</v>
      </c>
      <c r="E186" s="49">
        <v>0</v>
      </c>
      <c r="F186" s="50">
        <f>D186*E186</f>
        <v>0</v>
      </c>
      <c r="G186" s="112"/>
      <c r="H186" s="136"/>
      <c r="I186" s="136"/>
    </row>
    <row r="187" spans="1:9" s="58" customFormat="1" ht="15" x14ac:dyDescent="0.2">
      <c r="A187" s="195" t="s">
        <v>422</v>
      </c>
      <c r="B187" s="47" t="s">
        <v>423</v>
      </c>
      <c r="C187" s="48" t="s">
        <v>97</v>
      </c>
      <c r="D187" s="67">
        <f>0.5*0.5*60</f>
        <v>15</v>
      </c>
      <c r="E187" s="49">
        <v>0</v>
      </c>
      <c r="F187" s="50">
        <f>D187*E187</f>
        <v>0</v>
      </c>
      <c r="G187" s="112"/>
      <c r="H187" s="136"/>
      <c r="I187" s="136"/>
    </row>
    <row r="188" spans="1:9" s="58" customFormat="1" ht="15" x14ac:dyDescent="0.2">
      <c r="A188" s="217" t="s">
        <v>425</v>
      </c>
      <c r="B188" s="214" t="s">
        <v>424</v>
      </c>
      <c r="C188" s="215"/>
      <c r="D188" s="215"/>
      <c r="E188" s="215"/>
      <c r="F188" s="216"/>
      <c r="G188" s="112"/>
      <c r="H188" s="136"/>
      <c r="I188" s="136"/>
    </row>
    <row r="189" spans="1:9" s="58" customFormat="1" ht="15" x14ac:dyDescent="0.2">
      <c r="A189" s="218"/>
      <c r="B189" s="47" t="s">
        <v>426</v>
      </c>
      <c r="C189" s="48" t="s">
        <v>97</v>
      </c>
      <c r="D189" s="67">
        <v>0</v>
      </c>
      <c r="E189" s="49">
        <v>0</v>
      </c>
      <c r="F189" s="50">
        <f t="shared" ref="F189:F197" si="12">D189*E189</f>
        <v>0</v>
      </c>
      <c r="G189" s="112"/>
      <c r="H189" s="136"/>
      <c r="I189" s="136"/>
    </row>
    <row r="190" spans="1:9" s="9" customFormat="1" ht="15" x14ac:dyDescent="0.2">
      <c r="A190" s="218"/>
      <c r="B190" s="47" t="s">
        <v>427</v>
      </c>
      <c r="C190" s="48" t="s">
        <v>97</v>
      </c>
      <c r="D190" s="67">
        <v>0</v>
      </c>
      <c r="E190" s="49">
        <v>0</v>
      </c>
      <c r="F190" s="50">
        <f t="shared" si="12"/>
        <v>0</v>
      </c>
      <c r="H190" s="135"/>
      <c r="I190" s="135"/>
    </row>
    <row r="191" spans="1:9" s="9" customFormat="1" ht="42" customHeight="1" x14ac:dyDescent="0.2">
      <c r="A191" s="218"/>
      <c r="B191" s="47" t="s">
        <v>659</v>
      </c>
      <c r="C191" s="48" t="s">
        <v>97</v>
      </c>
      <c r="D191" s="67">
        <f>2000*0.15*3+158*3*3*0.15</f>
        <v>1113.3</v>
      </c>
      <c r="E191" s="49">
        <v>0</v>
      </c>
      <c r="F191" s="50">
        <f t="shared" si="12"/>
        <v>0</v>
      </c>
      <c r="H191" s="135"/>
      <c r="I191" s="135"/>
    </row>
    <row r="192" spans="1:9" s="9" customFormat="1" ht="15" x14ac:dyDescent="0.2">
      <c r="A192" s="218"/>
      <c r="B192" s="47" t="s">
        <v>428</v>
      </c>
      <c r="C192" s="48" t="s">
        <v>379</v>
      </c>
      <c r="D192" s="67">
        <f>158*3*3</f>
        <v>1422</v>
      </c>
      <c r="E192" s="49">
        <v>0</v>
      </c>
      <c r="F192" s="50">
        <f t="shared" si="12"/>
        <v>0</v>
      </c>
      <c r="H192" s="135"/>
      <c r="I192" s="135"/>
    </row>
    <row r="193" spans="1:9" s="9" customFormat="1" ht="15" x14ac:dyDescent="0.2">
      <c r="A193" s="218"/>
      <c r="B193" s="47" t="s">
        <v>429</v>
      </c>
      <c r="C193" s="48" t="s">
        <v>379</v>
      </c>
      <c r="D193" s="67">
        <f>158*3*3+SUM(D253:D256)*1*1</f>
        <v>1701</v>
      </c>
      <c r="E193" s="49">
        <v>0</v>
      </c>
      <c r="F193" s="50">
        <f t="shared" si="12"/>
        <v>0</v>
      </c>
      <c r="H193" s="135"/>
      <c r="I193" s="135"/>
    </row>
    <row r="194" spans="1:9" s="9" customFormat="1" ht="15" x14ac:dyDescent="0.2">
      <c r="A194" s="218"/>
      <c r="B194" s="47" t="s">
        <v>430</v>
      </c>
      <c r="C194" s="48" t="s">
        <v>379</v>
      </c>
      <c r="D194" s="67">
        <v>0</v>
      </c>
      <c r="E194" s="49">
        <v>0</v>
      </c>
      <c r="F194" s="50">
        <f t="shared" si="12"/>
        <v>0</v>
      </c>
      <c r="H194" s="135"/>
      <c r="I194" s="135"/>
    </row>
    <row r="195" spans="1:9" s="9" customFormat="1" ht="15" x14ac:dyDescent="0.2">
      <c r="A195" s="218"/>
      <c r="B195" s="47" t="s">
        <v>431</v>
      </c>
      <c r="C195" s="48" t="s">
        <v>379</v>
      </c>
      <c r="D195" s="67">
        <v>0</v>
      </c>
      <c r="E195" s="49">
        <v>0</v>
      </c>
      <c r="F195" s="50">
        <f t="shared" si="12"/>
        <v>0</v>
      </c>
      <c r="H195" s="135"/>
      <c r="I195" s="135"/>
    </row>
    <row r="196" spans="1:9" s="9" customFormat="1" ht="25.5" x14ac:dyDescent="0.2">
      <c r="A196" s="218"/>
      <c r="B196" s="47" t="s">
        <v>432</v>
      </c>
      <c r="C196" s="48" t="s">
        <v>379</v>
      </c>
      <c r="D196" s="67">
        <f>5*5*5</f>
        <v>125</v>
      </c>
      <c r="E196" s="49">
        <v>0</v>
      </c>
      <c r="F196" s="50">
        <f t="shared" ref="F196" si="13">D196*E196</f>
        <v>0</v>
      </c>
      <c r="H196" s="135"/>
      <c r="I196" s="135"/>
    </row>
    <row r="197" spans="1:9" s="9" customFormat="1" ht="15.75" thickBot="1" x14ac:dyDescent="0.25">
      <c r="A197" s="218"/>
      <c r="B197" s="47" t="s">
        <v>654</v>
      </c>
      <c r="C197" s="48" t="s">
        <v>18</v>
      </c>
      <c r="D197" s="67">
        <v>20</v>
      </c>
      <c r="E197" s="49">
        <v>0</v>
      </c>
      <c r="F197" s="50">
        <f t="shared" si="12"/>
        <v>0</v>
      </c>
      <c r="H197" s="135"/>
      <c r="I197" s="135"/>
    </row>
    <row r="198" spans="1:9" s="9" customFormat="1" ht="15.75" thickBot="1" x14ac:dyDescent="0.25">
      <c r="A198" s="204" t="s">
        <v>26</v>
      </c>
      <c r="B198" s="223"/>
      <c r="C198" s="223"/>
      <c r="D198" s="223"/>
      <c r="E198" s="109">
        <f>A164</f>
        <v>3.7</v>
      </c>
      <c r="F198" s="110">
        <f>SUM(F165:F197)</f>
        <v>0</v>
      </c>
      <c r="H198" s="135"/>
      <c r="I198" s="135"/>
    </row>
    <row r="199" spans="1:9" s="9" customFormat="1" ht="17.25" thickTop="1" thickBot="1" x14ac:dyDescent="0.25">
      <c r="A199" s="220" t="s">
        <v>152</v>
      </c>
      <c r="B199" s="221"/>
      <c r="C199" s="221"/>
      <c r="D199" s="221"/>
      <c r="E199" s="222"/>
      <c r="F199" s="120">
        <f>SUM(F135,F141,F146,F153,F163,F198)</f>
        <v>0</v>
      </c>
      <c r="H199" s="135"/>
      <c r="I199" s="135"/>
    </row>
    <row r="200" spans="1:9" s="9" customFormat="1" ht="17.25" thickTop="1" thickBot="1" x14ac:dyDescent="0.25">
      <c r="A200" s="367"/>
      <c r="B200" s="368"/>
      <c r="C200" s="299" t="s">
        <v>10</v>
      </c>
      <c r="D200" s="300"/>
      <c r="E200" s="300"/>
      <c r="F200" s="301"/>
      <c r="H200" s="135"/>
      <c r="I200" s="135"/>
    </row>
    <row r="201" spans="1:9" s="58" customFormat="1" ht="33" thickTop="1" thickBot="1" x14ac:dyDescent="0.25">
      <c r="A201" s="5" t="s">
        <v>11</v>
      </c>
      <c r="B201" s="6" t="s">
        <v>77</v>
      </c>
      <c r="C201" s="6" t="s">
        <v>12</v>
      </c>
      <c r="D201" s="6" t="s">
        <v>13</v>
      </c>
      <c r="E201" s="7" t="s">
        <v>14</v>
      </c>
      <c r="F201" s="8" t="s">
        <v>15</v>
      </c>
      <c r="H201" s="136"/>
      <c r="I201" s="136"/>
    </row>
    <row r="202" spans="1:9" s="45" customFormat="1" ht="17.25" thickTop="1" thickBot="1" x14ac:dyDescent="0.25">
      <c r="A202" s="333" t="s">
        <v>191</v>
      </c>
      <c r="B202" s="334"/>
      <c r="C202" s="334"/>
      <c r="D202" s="334"/>
      <c r="E202" s="334"/>
      <c r="F202" s="335"/>
      <c r="H202" s="141"/>
      <c r="I202" s="141"/>
    </row>
    <row r="203" spans="1:9" s="68" customFormat="1" ht="41.45" customHeight="1" x14ac:dyDescent="0.2">
      <c r="A203" s="95">
        <v>4.0999999999999996</v>
      </c>
      <c r="B203" s="208" t="s">
        <v>645</v>
      </c>
      <c r="C203" s="209"/>
      <c r="D203" s="209"/>
      <c r="E203" s="209"/>
      <c r="F203" s="210"/>
      <c r="H203" s="139"/>
      <c r="I203" s="139"/>
    </row>
    <row r="204" spans="1:9" s="68" customFormat="1" ht="15" x14ac:dyDescent="0.2">
      <c r="A204" s="211" t="s">
        <v>192</v>
      </c>
      <c r="B204" s="291" t="s">
        <v>660</v>
      </c>
      <c r="C204" s="292"/>
      <c r="D204" s="292"/>
      <c r="E204" s="292"/>
      <c r="F204" s="293"/>
      <c r="H204" s="139"/>
      <c r="I204" s="139"/>
    </row>
    <row r="205" spans="1:9" s="68" customFormat="1" ht="25.5" x14ac:dyDescent="0.2">
      <c r="A205" s="212"/>
      <c r="B205" s="25" t="s">
        <v>648</v>
      </c>
      <c r="C205" s="48" t="s">
        <v>16</v>
      </c>
      <c r="D205" s="67">
        <v>1</v>
      </c>
      <c r="E205" s="49">
        <v>0</v>
      </c>
      <c r="F205" s="50">
        <f t="shared" ref="F205:F209" si="14">D205*E205</f>
        <v>0</v>
      </c>
      <c r="H205" s="139"/>
      <c r="I205" s="139"/>
    </row>
    <row r="206" spans="1:9" s="68" customFormat="1" ht="25.5" x14ac:dyDescent="0.2">
      <c r="A206" s="212"/>
      <c r="B206" s="25" t="s">
        <v>647</v>
      </c>
      <c r="C206" s="48" t="s">
        <v>16</v>
      </c>
      <c r="D206" s="67">
        <v>1</v>
      </c>
      <c r="E206" s="49">
        <v>0</v>
      </c>
      <c r="F206" s="50">
        <f t="shared" si="14"/>
        <v>0</v>
      </c>
      <c r="H206" s="139"/>
      <c r="I206" s="139"/>
    </row>
    <row r="207" spans="1:9" s="68" customFormat="1" ht="36" customHeight="1" x14ac:dyDescent="0.2">
      <c r="A207" s="212"/>
      <c r="B207" s="25" t="s">
        <v>649</v>
      </c>
      <c r="C207" s="48" t="s">
        <v>16</v>
      </c>
      <c r="D207" s="67">
        <v>1</v>
      </c>
      <c r="E207" s="49">
        <v>0</v>
      </c>
      <c r="F207" s="50">
        <f t="shared" ref="F207:F208" si="15">D207*E207</f>
        <v>0</v>
      </c>
      <c r="H207" s="139"/>
      <c r="I207" s="139"/>
    </row>
    <row r="208" spans="1:9" s="68" customFormat="1" ht="31.9" customHeight="1" x14ac:dyDescent="0.2">
      <c r="A208" s="212"/>
      <c r="B208" s="25" t="s">
        <v>650</v>
      </c>
      <c r="C208" s="48" t="s">
        <v>16</v>
      </c>
      <c r="D208" s="67">
        <v>1</v>
      </c>
      <c r="E208" s="49">
        <v>0</v>
      </c>
      <c r="F208" s="50">
        <f t="shared" si="15"/>
        <v>0</v>
      </c>
      <c r="H208" s="139"/>
      <c r="I208" s="139"/>
    </row>
    <row r="209" spans="1:9" s="68" customFormat="1" ht="26.25" thickBot="1" x14ac:dyDescent="0.25">
      <c r="A209" s="261"/>
      <c r="B209" s="25" t="s">
        <v>651</v>
      </c>
      <c r="C209" s="48" t="s">
        <v>16</v>
      </c>
      <c r="D209" s="67">
        <v>1</v>
      </c>
      <c r="E209" s="49">
        <v>0</v>
      </c>
      <c r="F209" s="50">
        <f t="shared" si="14"/>
        <v>0</v>
      </c>
      <c r="H209" s="139"/>
      <c r="I209" s="139"/>
    </row>
    <row r="210" spans="1:9" ht="15.75" thickBot="1" x14ac:dyDescent="0.25">
      <c r="A210" s="206" t="s">
        <v>25</v>
      </c>
      <c r="B210" s="207"/>
      <c r="C210" s="207"/>
      <c r="D210" s="207"/>
      <c r="E210" s="31" t="str">
        <f>A204</f>
        <v>4.1.1</v>
      </c>
      <c r="F210" s="32">
        <f>SUM(F205:F209)</f>
        <v>0</v>
      </c>
    </row>
    <row r="211" spans="1:9" s="68" customFormat="1" ht="25.5" x14ac:dyDescent="0.2">
      <c r="A211" s="191" t="s">
        <v>193</v>
      </c>
      <c r="B211" s="25" t="s">
        <v>310</v>
      </c>
      <c r="C211" s="48" t="s">
        <v>18</v>
      </c>
      <c r="D211" s="67">
        <f>158+3</f>
        <v>161</v>
      </c>
      <c r="E211" s="49">
        <v>0</v>
      </c>
      <c r="F211" s="50">
        <f t="shared" ref="F211:F224" si="16">D211*E211</f>
        <v>0</v>
      </c>
      <c r="H211" s="139"/>
      <c r="I211" s="139"/>
    </row>
    <row r="212" spans="1:9" s="68" customFormat="1" ht="15" x14ac:dyDescent="0.2">
      <c r="A212" s="217" t="s">
        <v>229</v>
      </c>
      <c r="B212" s="287" t="s">
        <v>560</v>
      </c>
      <c r="C212" s="288"/>
      <c r="D212" s="288"/>
      <c r="E212" s="288"/>
      <c r="F212" s="289"/>
      <c r="H212" s="139"/>
      <c r="I212" s="139"/>
    </row>
    <row r="213" spans="1:9" s="68" customFormat="1" ht="15" x14ac:dyDescent="0.2">
      <c r="A213" s="218"/>
      <c r="B213" s="25" t="s">
        <v>561</v>
      </c>
      <c r="C213" s="48" t="s">
        <v>18</v>
      </c>
      <c r="D213" s="67">
        <f>$D$211</f>
        <v>161</v>
      </c>
      <c r="E213" s="49">
        <v>0</v>
      </c>
      <c r="F213" s="50">
        <f t="shared" ref="F213:F218" si="17">D213*E213</f>
        <v>0</v>
      </c>
      <c r="H213" s="139"/>
      <c r="I213" s="139"/>
    </row>
    <row r="214" spans="1:9" s="68" customFormat="1" ht="28.9" customHeight="1" x14ac:dyDescent="0.2">
      <c r="A214" s="218"/>
      <c r="B214" s="25" t="s">
        <v>562</v>
      </c>
      <c r="C214" s="48" t="s">
        <v>18</v>
      </c>
      <c r="D214" s="67">
        <f t="shared" ref="D214:D221" si="18">$D$211</f>
        <v>161</v>
      </c>
      <c r="E214" s="49">
        <v>0</v>
      </c>
      <c r="F214" s="50">
        <f t="shared" si="17"/>
        <v>0</v>
      </c>
      <c r="H214" s="139"/>
      <c r="I214" s="139"/>
    </row>
    <row r="215" spans="1:9" s="68" customFormat="1" ht="15" x14ac:dyDescent="0.2">
      <c r="A215" s="218"/>
      <c r="B215" s="25" t="s">
        <v>563</v>
      </c>
      <c r="C215" s="48" t="s">
        <v>18</v>
      </c>
      <c r="D215" s="67">
        <v>0</v>
      </c>
      <c r="E215" s="49">
        <v>0</v>
      </c>
      <c r="F215" s="50">
        <f t="shared" si="17"/>
        <v>0</v>
      </c>
      <c r="H215" s="139"/>
      <c r="I215" s="139"/>
    </row>
    <row r="216" spans="1:9" s="68" customFormat="1" ht="15" x14ac:dyDescent="0.2">
      <c r="A216" s="218"/>
      <c r="B216" s="25" t="s">
        <v>564</v>
      </c>
      <c r="C216" s="48" t="s">
        <v>18</v>
      </c>
      <c r="D216" s="67">
        <v>0</v>
      </c>
      <c r="E216" s="49">
        <v>0</v>
      </c>
      <c r="F216" s="50">
        <f t="shared" si="17"/>
        <v>0</v>
      </c>
      <c r="H216" s="139"/>
      <c r="I216" s="139"/>
    </row>
    <row r="217" spans="1:9" s="68" customFormat="1" ht="27" customHeight="1" x14ac:dyDescent="0.2">
      <c r="A217" s="218"/>
      <c r="B217" s="25" t="s">
        <v>565</v>
      </c>
      <c r="C217" s="48" t="s">
        <v>18</v>
      </c>
      <c r="D217" s="67">
        <v>60</v>
      </c>
      <c r="E217" s="49">
        <v>0</v>
      </c>
      <c r="F217" s="50">
        <f t="shared" si="17"/>
        <v>0</v>
      </c>
      <c r="H217" s="139"/>
      <c r="I217" s="139"/>
    </row>
    <row r="218" spans="1:9" s="68" customFormat="1" ht="15" x14ac:dyDescent="0.2">
      <c r="A218" s="218"/>
      <c r="B218" s="25" t="s">
        <v>566</v>
      </c>
      <c r="C218" s="48" t="s">
        <v>18</v>
      </c>
      <c r="D218" s="67">
        <v>60</v>
      </c>
      <c r="E218" s="49">
        <v>0</v>
      </c>
      <c r="F218" s="50">
        <f t="shared" si="17"/>
        <v>0</v>
      </c>
      <c r="H218" s="139"/>
      <c r="I218" s="139"/>
    </row>
    <row r="219" spans="1:9" s="68" customFormat="1" ht="15" x14ac:dyDescent="0.2">
      <c r="A219" s="218"/>
      <c r="B219" s="25" t="s">
        <v>567</v>
      </c>
      <c r="C219" s="48" t="s">
        <v>18</v>
      </c>
      <c r="D219" s="67">
        <v>60</v>
      </c>
      <c r="E219" s="49">
        <v>0</v>
      </c>
      <c r="F219" s="50">
        <f t="shared" si="16"/>
        <v>0</v>
      </c>
      <c r="H219" s="139"/>
      <c r="I219" s="139"/>
    </row>
    <row r="220" spans="1:9" s="68" customFormat="1" ht="15" x14ac:dyDescent="0.2">
      <c r="A220" s="218"/>
      <c r="B220" s="25" t="s">
        <v>568</v>
      </c>
      <c r="C220" s="48" t="s">
        <v>18</v>
      </c>
      <c r="D220" s="67">
        <v>0</v>
      </c>
      <c r="E220" s="49">
        <v>0</v>
      </c>
      <c r="F220" s="50">
        <f t="shared" si="16"/>
        <v>0</v>
      </c>
      <c r="H220" s="139"/>
      <c r="I220" s="139"/>
    </row>
    <row r="221" spans="1:9" s="68" customFormat="1" ht="15" x14ac:dyDescent="0.2">
      <c r="A221" s="218"/>
      <c r="B221" s="25" t="s">
        <v>655</v>
      </c>
      <c r="C221" s="48" t="s">
        <v>18</v>
      </c>
      <c r="D221" s="67">
        <f t="shared" si="18"/>
        <v>161</v>
      </c>
      <c r="E221" s="49">
        <v>0</v>
      </c>
      <c r="F221" s="50">
        <f t="shared" si="16"/>
        <v>0</v>
      </c>
      <c r="H221" s="139"/>
      <c r="I221" s="139"/>
    </row>
    <row r="222" spans="1:9" s="68" customFormat="1" ht="15" x14ac:dyDescent="0.2">
      <c r="A222" s="218"/>
      <c r="B222" s="25" t="s">
        <v>656</v>
      </c>
      <c r="C222" s="48" t="s">
        <v>18</v>
      </c>
      <c r="D222" s="67">
        <f>158+3</f>
        <v>161</v>
      </c>
      <c r="E222" s="49">
        <v>0</v>
      </c>
      <c r="F222" s="50">
        <f t="shared" si="16"/>
        <v>0</v>
      </c>
      <c r="H222" s="139"/>
      <c r="I222" s="139"/>
    </row>
    <row r="223" spans="1:9" s="68" customFormat="1" ht="25.5" x14ac:dyDescent="0.2">
      <c r="A223" s="219"/>
      <c r="B223" s="25" t="s">
        <v>569</v>
      </c>
      <c r="C223" s="48" t="s">
        <v>18</v>
      </c>
      <c r="D223" s="67">
        <v>3</v>
      </c>
      <c r="E223" s="49">
        <v>0</v>
      </c>
      <c r="F223" s="50">
        <f t="shared" si="16"/>
        <v>0</v>
      </c>
      <c r="H223" s="139"/>
      <c r="I223" s="139"/>
    </row>
    <row r="224" spans="1:9" s="68" customFormat="1" ht="39" thickBot="1" x14ac:dyDescent="0.25">
      <c r="A224" s="195" t="s">
        <v>646</v>
      </c>
      <c r="B224" s="25" t="s">
        <v>311</v>
      </c>
      <c r="C224" s="48" t="s">
        <v>18</v>
      </c>
      <c r="D224" s="67">
        <f>D211</f>
        <v>161</v>
      </c>
      <c r="E224" s="49">
        <v>0</v>
      </c>
      <c r="F224" s="50">
        <f t="shared" si="16"/>
        <v>0</v>
      </c>
      <c r="H224" s="139"/>
      <c r="I224" s="139"/>
    </row>
    <row r="225" spans="1:9" s="58" customFormat="1" ht="15.75" thickBot="1" x14ac:dyDescent="0.25">
      <c r="A225" s="294" t="s">
        <v>26</v>
      </c>
      <c r="B225" s="295"/>
      <c r="C225" s="295"/>
      <c r="D225" s="295"/>
      <c r="E225" s="152">
        <f>A203</f>
        <v>4.0999999999999996</v>
      </c>
      <c r="F225" s="153">
        <f>SUM(F211:F224)+F210</f>
        <v>0</v>
      </c>
      <c r="H225" s="136"/>
      <c r="I225" s="136"/>
    </row>
    <row r="226" spans="1:9" s="58" customFormat="1" ht="31.5" customHeight="1" x14ac:dyDescent="0.2">
      <c r="A226" s="95">
        <v>4.2</v>
      </c>
      <c r="B226" s="208" t="s">
        <v>238</v>
      </c>
      <c r="C226" s="209"/>
      <c r="D226" s="209"/>
      <c r="E226" s="209"/>
      <c r="F226" s="210"/>
      <c r="H226" s="136"/>
      <c r="I226" s="136"/>
    </row>
    <row r="227" spans="1:9" ht="25.5" x14ac:dyDescent="0.2">
      <c r="A227" s="46" t="s">
        <v>42</v>
      </c>
      <c r="B227" s="25" t="s">
        <v>640</v>
      </c>
      <c r="C227" s="48" t="s">
        <v>18</v>
      </c>
      <c r="D227" s="67">
        <f>107+1</f>
        <v>108</v>
      </c>
      <c r="E227" s="49">
        <v>0</v>
      </c>
      <c r="F227" s="50">
        <f>D227*E227</f>
        <v>0</v>
      </c>
    </row>
    <row r="228" spans="1:9" ht="15" x14ac:dyDescent="0.2">
      <c r="A228" s="46" t="s">
        <v>230</v>
      </c>
      <c r="B228" s="25" t="s">
        <v>639</v>
      </c>
      <c r="C228" s="48" t="s">
        <v>18</v>
      </c>
      <c r="D228" s="67">
        <f>47-D229+2</f>
        <v>28</v>
      </c>
      <c r="E228" s="49">
        <v>0</v>
      </c>
      <c r="F228" s="50">
        <f t="shared" ref="F228:F232" si="19">D228*E228</f>
        <v>0</v>
      </c>
    </row>
    <row r="229" spans="1:9" ht="15" x14ac:dyDescent="0.2">
      <c r="A229" s="195" t="s">
        <v>231</v>
      </c>
      <c r="B229" s="25" t="s">
        <v>641</v>
      </c>
      <c r="C229" s="48" t="s">
        <v>18</v>
      </c>
      <c r="D229" s="67">
        <f>SUM(D287,D289,D292,D294,D296,D298,D300,D302)</f>
        <v>21</v>
      </c>
      <c r="E229" s="49">
        <v>0</v>
      </c>
      <c r="F229" s="50">
        <f t="shared" si="19"/>
        <v>0</v>
      </c>
    </row>
    <row r="230" spans="1:9" ht="25.5" x14ac:dyDescent="0.2">
      <c r="A230" s="195" t="s">
        <v>636</v>
      </c>
      <c r="B230" s="25" t="s">
        <v>642</v>
      </c>
      <c r="C230" s="48" t="s">
        <v>18</v>
      </c>
      <c r="D230" s="67">
        <v>1</v>
      </c>
      <c r="E230" s="49">
        <v>0</v>
      </c>
      <c r="F230" s="50">
        <f t="shared" si="19"/>
        <v>0</v>
      </c>
    </row>
    <row r="231" spans="1:9" ht="25.5" x14ac:dyDescent="0.2">
      <c r="A231" s="195" t="s">
        <v>637</v>
      </c>
      <c r="B231" s="25" t="s">
        <v>643</v>
      </c>
      <c r="C231" s="48" t="s">
        <v>18</v>
      </c>
      <c r="D231" s="67">
        <f>SUM(D304,D306)</f>
        <v>1</v>
      </c>
      <c r="E231" s="49">
        <v>0</v>
      </c>
      <c r="F231" s="50">
        <f t="shared" si="19"/>
        <v>0</v>
      </c>
    </row>
    <row r="232" spans="1:9" ht="26.25" thickBot="1" x14ac:dyDescent="0.25">
      <c r="A232" s="190" t="s">
        <v>638</v>
      </c>
      <c r="B232" s="25" t="s">
        <v>644</v>
      </c>
      <c r="C232" s="48" t="s">
        <v>18</v>
      </c>
      <c r="D232" s="67">
        <v>2</v>
      </c>
      <c r="E232" s="49">
        <v>0</v>
      </c>
      <c r="F232" s="50">
        <f t="shared" si="19"/>
        <v>0</v>
      </c>
    </row>
    <row r="233" spans="1:9" s="58" customFormat="1" ht="15.75" thickBot="1" x14ac:dyDescent="0.25">
      <c r="A233" s="294" t="s">
        <v>26</v>
      </c>
      <c r="B233" s="295"/>
      <c r="C233" s="295"/>
      <c r="D233" s="295"/>
      <c r="E233" s="152">
        <f>A226</f>
        <v>4.2</v>
      </c>
      <c r="F233" s="153">
        <f>SUM(F227:F232)</f>
        <v>0</v>
      </c>
      <c r="H233" s="136"/>
      <c r="I233" s="136"/>
    </row>
    <row r="234" spans="1:9" s="58" customFormat="1" ht="30" customHeight="1" x14ac:dyDescent="0.2">
      <c r="A234" s="95">
        <v>4.3</v>
      </c>
      <c r="B234" s="208" t="s">
        <v>313</v>
      </c>
      <c r="C234" s="209"/>
      <c r="D234" s="209"/>
      <c r="E234" s="209"/>
      <c r="F234" s="210"/>
      <c r="H234" s="136"/>
      <c r="I234" s="136"/>
    </row>
    <row r="235" spans="1:9" s="58" customFormat="1" ht="39" customHeight="1" x14ac:dyDescent="0.2">
      <c r="A235" s="211" t="s">
        <v>41</v>
      </c>
      <c r="B235" s="296" t="s">
        <v>661</v>
      </c>
      <c r="C235" s="297"/>
      <c r="D235" s="297"/>
      <c r="E235" s="297"/>
      <c r="F235" s="298"/>
      <c r="H235" s="136"/>
      <c r="I235" s="136"/>
    </row>
    <row r="236" spans="1:9" s="58" customFormat="1" ht="15" x14ac:dyDescent="0.2">
      <c r="A236" s="212"/>
      <c r="B236" s="25" t="s">
        <v>306</v>
      </c>
      <c r="C236" s="48" t="s">
        <v>97</v>
      </c>
      <c r="D236" s="169">
        <f>495+2.4*3</f>
        <v>502.2</v>
      </c>
      <c r="E236" s="49">
        <v>0</v>
      </c>
      <c r="F236" s="50">
        <f t="shared" ref="F236:F238" si="20">D236*E236</f>
        <v>0</v>
      </c>
      <c r="H236" s="136"/>
      <c r="I236" s="136"/>
    </row>
    <row r="237" spans="1:9" s="58" customFormat="1" ht="15" x14ac:dyDescent="0.2">
      <c r="A237" s="212"/>
      <c r="B237" s="25" t="s">
        <v>307</v>
      </c>
      <c r="C237" s="48" t="s">
        <v>97</v>
      </c>
      <c r="D237" s="169">
        <f>250+1.4*3</f>
        <v>254.2</v>
      </c>
      <c r="E237" s="49">
        <v>0</v>
      </c>
      <c r="F237" s="50">
        <f t="shared" si="20"/>
        <v>0</v>
      </c>
      <c r="H237" s="136"/>
      <c r="I237" s="136"/>
    </row>
    <row r="238" spans="1:9" ht="15.75" thickBot="1" x14ac:dyDescent="0.25">
      <c r="A238" s="212"/>
      <c r="B238" s="25" t="s">
        <v>308</v>
      </c>
      <c r="C238" s="48" t="s">
        <v>97</v>
      </c>
      <c r="D238" s="169">
        <f>85+3</f>
        <v>88</v>
      </c>
      <c r="E238" s="49">
        <v>0</v>
      </c>
      <c r="F238" s="50">
        <f t="shared" si="20"/>
        <v>0</v>
      </c>
    </row>
    <row r="239" spans="1:9" s="58" customFormat="1" ht="14.45" customHeight="1" thickBot="1" x14ac:dyDescent="0.25">
      <c r="A239" s="206" t="s">
        <v>25</v>
      </c>
      <c r="B239" s="207"/>
      <c r="C239" s="207"/>
      <c r="D239" s="207"/>
      <c r="E239" s="31" t="str">
        <f>A235</f>
        <v>4.3.1</v>
      </c>
      <c r="F239" s="32">
        <f>SUM(F236:F238)</f>
        <v>0</v>
      </c>
      <c r="H239" s="136"/>
      <c r="I239" s="136"/>
    </row>
    <row r="240" spans="1:9" ht="15" x14ac:dyDescent="0.2">
      <c r="A240" s="290" t="s">
        <v>73</v>
      </c>
      <c r="B240" s="268" t="s">
        <v>312</v>
      </c>
      <c r="C240" s="269"/>
      <c r="D240" s="269"/>
      <c r="E240" s="269"/>
      <c r="F240" s="270"/>
    </row>
    <row r="241" spans="1:9" ht="15" x14ac:dyDescent="0.2">
      <c r="A241" s="212"/>
      <c r="B241" s="25" t="s">
        <v>224</v>
      </c>
      <c r="C241" s="48" t="s">
        <v>97</v>
      </c>
      <c r="D241" s="129">
        <v>14.5</v>
      </c>
      <c r="E241" s="49">
        <v>0</v>
      </c>
      <c r="F241" s="50">
        <f>D241*E241</f>
        <v>0</v>
      </c>
    </row>
    <row r="242" spans="1:9" s="58" customFormat="1" ht="15.75" thickBot="1" x14ac:dyDescent="0.25">
      <c r="A242" s="212"/>
      <c r="B242" s="25" t="s">
        <v>223</v>
      </c>
      <c r="C242" s="48" t="s">
        <v>97</v>
      </c>
      <c r="D242" s="129">
        <v>10</v>
      </c>
      <c r="E242" s="49">
        <v>0</v>
      </c>
      <c r="F242" s="50">
        <f>D242*E242</f>
        <v>0</v>
      </c>
      <c r="H242" s="136"/>
      <c r="I242" s="136"/>
    </row>
    <row r="243" spans="1:9" s="58" customFormat="1" ht="15.75" thickBot="1" x14ac:dyDescent="0.25">
      <c r="A243" s="206" t="s">
        <v>25</v>
      </c>
      <c r="B243" s="207"/>
      <c r="C243" s="207"/>
      <c r="D243" s="207"/>
      <c r="E243" s="31" t="str">
        <f>A240</f>
        <v>4.3.4</v>
      </c>
      <c r="F243" s="32">
        <f>SUM(F241:F242)</f>
        <v>0</v>
      </c>
      <c r="H243" s="136"/>
      <c r="I243" s="136"/>
    </row>
    <row r="244" spans="1:9" ht="15.75" thickBot="1" x14ac:dyDescent="0.25">
      <c r="A244" s="204" t="s">
        <v>26</v>
      </c>
      <c r="B244" s="223"/>
      <c r="C244" s="223"/>
      <c r="D244" s="223"/>
      <c r="E244" s="109">
        <f>A234</f>
        <v>4.3</v>
      </c>
      <c r="F244" s="110">
        <f>SUM(F239,F243)</f>
        <v>0</v>
      </c>
    </row>
    <row r="245" spans="1:9" ht="31.15" customHeight="1" x14ac:dyDescent="0.2">
      <c r="A245" s="95">
        <v>4.4000000000000004</v>
      </c>
      <c r="B245" s="208" t="s">
        <v>314</v>
      </c>
      <c r="C245" s="209"/>
      <c r="D245" s="209"/>
      <c r="E245" s="209"/>
      <c r="F245" s="210"/>
    </row>
    <row r="246" spans="1:9" s="58" customFormat="1" ht="28.9" customHeight="1" x14ac:dyDescent="0.2">
      <c r="A246" s="211" t="s">
        <v>194</v>
      </c>
      <c r="B246" s="296" t="s">
        <v>315</v>
      </c>
      <c r="C246" s="297"/>
      <c r="D246" s="297"/>
      <c r="E246" s="297"/>
      <c r="F246" s="298"/>
      <c r="H246" s="137"/>
      <c r="I246" s="137"/>
    </row>
    <row r="247" spans="1:9" ht="15" x14ac:dyDescent="0.2">
      <c r="A247" s="212"/>
      <c r="B247" s="25" t="s">
        <v>316</v>
      </c>
      <c r="C247" s="48" t="s">
        <v>18</v>
      </c>
      <c r="D247" s="67">
        <v>5</v>
      </c>
      <c r="E247" s="49">
        <v>0</v>
      </c>
      <c r="F247" s="50">
        <f>D247*E247</f>
        <v>0</v>
      </c>
    </row>
    <row r="248" spans="1:9" ht="15.75" thickBot="1" x14ac:dyDescent="0.25">
      <c r="A248" s="212"/>
      <c r="B248" s="25" t="s">
        <v>345</v>
      </c>
      <c r="C248" s="48" t="s">
        <v>18</v>
      </c>
      <c r="D248" s="67">
        <v>5</v>
      </c>
      <c r="E248" s="49">
        <v>0</v>
      </c>
      <c r="F248" s="50">
        <f>D248*E248</f>
        <v>0</v>
      </c>
    </row>
    <row r="249" spans="1:9" ht="15.75" thickBot="1" x14ac:dyDescent="0.25">
      <c r="A249" s="206" t="s">
        <v>25</v>
      </c>
      <c r="B249" s="207"/>
      <c r="C249" s="207"/>
      <c r="D249" s="207"/>
      <c r="E249" s="31" t="str">
        <f>A246</f>
        <v>4.4.1</v>
      </c>
      <c r="F249" s="32">
        <f>SUM(F247:F248)</f>
        <v>0</v>
      </c>
    </row>
    <row r="250" spans="1:9" s="58" customFormat="1" ht="15.75" thickBot="1" x14ac:dyDescent="0.25">
      <c r="A250" s="204" t="s">
        <v>26</v>
      </c>
      <c r="B250" s="223"/>
      <c r="C250" s="223"/>
      <c r="D250" s="223"/>
      <c r="E250" s="109">
        <f>A245</f>
        <v>4.4000000000000004</v>
      </c>
      <c r="F250" s="110">
        <f>SUM(F249)</f>
        <v>0</v>
      </c>
      <c r="H250" s="136"/>
      <c r="I250" s="136"/>
    </row>
    <row r="251" spans="1:9" s="58" customFormat="1" ht="33" customHeight="1" x14ac:dyDescent="0.2">
      <c r="A251" s="95">
        <v>4.5</v>
      </c>
      <c r="B251" s="208" t="s">
        <v>627</v>
      </c>
      <c r="C251" s="209"/>
      <c r="D251" s="209"/>
      <c r="E251" s="209"/>
      <c r="F251" s="210"/>
      <c r="H251" s="136"/>
      <c r="I251" s="136"/>
    </row>
    <row r="252" spans="1:9" ht="15" x14ac:dyDescent="0.2">
      <c r="A252" s="263" t="s">
        <v>195</v>
      </c>
      <c r="B252" s="296" t="s">
        <v>317</v>
      </c>
      <c r="C252" s="297"/>
      <c r="D252" s="297"/>
      <c r="E252" s="297"/>
      <c r="F252" s="298"/>
      <c r="H252" s="137" t="s">
        <v>173</v>
      </c>
    </row>
    <row r="253" spans="1:9" ht="15" x14ac:dyDescent="0.2">
      <c r="A253" s="263"/>
      <c r="B253" s="25" t="s">
        <v>318</v>
      </c>
      <c r="C253" s="48" t="s">
        <v>18</v>
      </c>
      <c r="D253" s="67">
        <f>265-SUM(D254:D256)+2*7</f>
        <v>162</v>
      </c>
      <c r="E253" s="49">
        <v>0</v>
      </c>
      <c r="F253" s="50">
        <f>D253*E253</f>
        <v>0</v>
      </c>
    </row>
    <row r="254" spans="1:9" ht="14.45" customHeight="1" x14ac:dyDescent="0.2">
      <c r="A254" s="263"/>
      <c r="B254" s="25" t="s">
        <v>319</v>
      </c>
      <c r="C254" s="48" t="s">
        <v>18</v>
      </c>
      <c r="D254" s="67">
        <v>27</v>
      </c>
      <c r="E254" s="49">
        <v>0</v>
      </c>
      <c r="F254" s="50">
        <f>D254*E254</f>
        <v>0</v>
      </c>
    </row>
    <row r="255" spans="1:9" ht="15" x14ac:dyDescent="0.2">
      <c r="A255" s="263"/>
      <c r="B255" s="25" t="s">
        <v>657</v>
      </c>
      <c r="C255" s="48" t="s">
        <v>18</v>
      </c>
      <c r="D255" s="67">
        <v>25</v>
      </c>
      <c r="E255" s="49">
        <v>0</v>
      </c>
      <c r="F255" s="50">
        <f>D255*E255</f>
        <v>0</v>
      </c>
    </row>
    <row r="256" spans="1:9" s="58" customFormat="1" ht="15.75" thickBot="1" x14ac:dyDescent="0.25">
      <c r="A256" s="385"/>
      <c r="B256" s="52" t="s">
        <v>658</v>
      </c>
      <c r="C256" s="53" t="s">
        <v>18</v>
      </c>
      <c r="D256" s="69">
        <v>65</v>
      </c>
      <c r="E256" s="55">
        <v>0</v>
      </c>
      <c r="F256" s="56">
        <f>D256*E256</f>
        <v>0</v>
      </c>
      <c r="H256" s="136" t="s">
        <v>173</v>
      </c>
      <c r="I256" s="136"/>
    </row>
    <row r="257" spans="1:9" s="58" customFormat="1" ht="15.75" thickBot="1" x14ac:dyDescent="0.25">
      <c r="A257" s="206" t="s">
        <v>25</v>
      </c>
      <c r="B257" s="207"/>
      <c r="C257" s="207"/>
      <c r="D257" s="207"/>
      <c r="E257" s="31" t="str">
        <f>A252</f>
        <v>4.5.1</v>
      </c>
      <c r="F257" s="32">
        <f>SUM(F253:F256)</f>
        <v>0</v>
      </c>
      <c r="H257" s="136"/>
      <c r="I257" s="136"/>
    </row>
    <row r="258" spans="1:9" s="9" customFormat="1" ht="15.75" thickBot="1" x14ac:dyDescent="0.25">
      <c r="A258" s="204" t="s">
        <v>26</v>
      </c>
      <c r="B258" s="223"/>
      <c r="C258" s="223"/>
      <c r="D258" s="223"/>
      <c r="E258" s="109">
        <f>A251</f>
        <v>4.5</v>
      </c>
      <c r="F258" s="110">
        <f>SUM(F257)</f>
        <v>0</v>
      </c>
      <c r="H258" s="135"/>
      <c r="I258" s="135"/>
    </row>
    <row r="259" spans="1:9" s="9" customFormat="1" ht="15" x14ac:dyDescent="0.2">
      <c r="A259" s="95">
        <v>4.5999999999999996</v>
      </c>
      <c r="B259" s="208" t="s">
        <v>239</v>
      </c>
      <c r="C259" s="209"/>
      <c r="D259" s="209"/>
      <c r="E259" s="209"/>
      <c r="F259" s="210"/>
      <c r="H259" s="135"/>
      <c r="I259" s="135"/>
    </row>
    <row r="260" spans="1:9" s="9" customFormat="1" ht="15" x14ac:dyDescent="0.2">
      <c r="A260" s="46" t="s">
        <v>196</v>
      </c>
      <c r="B260" s="25" t="s">
        <v>98</v>
      </c>
      <c r="C260" s="48" t="s">
        <v>18</v>
      </c>
      <c r="D260" s="22">
        <f>SUM(D227:D228)+D230*3+D232*2</f>
        <v>143</v>
      </c>
      <c r="E260" s="49">
        <v>0</v>
      </c>
      <c r="F260" s="50">
        <f>D260*E260</f>
        <v>0</v>
      </c>
      <c r="H260" s="135"/>
      <c r="I260" s="135"/>
    </row>
    <row r="261" spans="1:9" s="58" customFormat="1" ht="15.75" thickBot="1" x14ac:dyDescent="0.25">
      <c r="A261" s="46" t="s">
        <v>197</v>
      </c>
      <c r="B261" s="25" t="s">
        <v>261</v>
      </c>
      <c r="C261" s="48" t="s">
        <v>18</v>
      </c>
      <c r="D261" s="22">
        <f>SUM(D253:D256)</f>
        <v>279</v>
      </c>
      <c r="E261" s="49">
        <v>0</v>
      </c>
      <c r="F261" s="50">
        <f>D261*E261</f>
        <v>0</v>
      </c>
      <c r="H261" s="136"/>
      <c r="I261" s="136"/>
    </row>
    <row r="262" spans="1:9" s="58" customFormat="1" ht="15.75" thickBot="1" x14ac:dyDescent="0.25">
      <c r="A262" s="253" t="s">
        <v>26</v>
      </c>
      <c r="B262" s="254"/>
      <c r="C262" s="254"/>
      <c r="D262" s="254"/>
      <c r="E262" s="109">
        <f>A259</f>
        <v>4.5999999999999996</v>
      </c>
      <c r="F262" s="110">
        <f>SUM(F260:F261)</f>
        <v>0</v>
      </c>
      <c r="H262" s="136"/>
      <c r="I262" s="136"/>
    </row>
    <row r="263" spans="1:9" ht="17.25" thickTop="1" thickBot="1" x14ac:dyDescent="0.25">
      <c r="A263" s="220" t="s">
        <v>121</v>
      </c>
      <c r="B263" s="221"/>
      <c r="C263" s="221"/>
      <c r="D263" s="221"/>
      <c r="E263" s="222"/>
      <c r="F263" s="120">
        <f>SUM(F225,F233,F244,F250,F258,F262)</f>
        <v>0</v>
      </c>
    </row>
    <row r="264" spans="1:9" ht="17.25" thickTop="1" thickBot="1" x14ac:dyDescent="0.25">
      <c r="A264" s="341"/>
      <c r="B264" s="342"/>
      <c r="C264" s="250" t="s">
        <v>10</v>
      </c>
      <c r="D264" s="251"/>
      <c r="E264" s="251"/>
      <c r="F264" s="252"/>
    </row>
    <row r="265" spans="1:9" ht="33" thickTop="1" thickBot="1" x14ac:dyDescent="0.25">
      <c r="A265" s="5" t="s">
        <v>11</v>
      </c>
      <c r="B265" s="6" t="s">
        <v>77</v>
      </c>
      <c r="C265" s="6" t="s">
        <v>12</v>
      </c>
      <c r="D265" s="6" t="s">
        <v>13</v>
      </c>
      <c r="E265" s="7" t="s">
        <v>14</v>
      </c>
      <c r="F265" s="8" t="s">
        <v>15</v>
      </c>
    </row>
    <row r="266" spans="1:9" ht="17.25" thickTop="1" thickBot="1" x14ac:dyDescent="0.25">
      <c r="A266" s="333" t="s">
        <v>198</v>
      </c>
      <c r="B266" s="334"/>
      <c r="C266" s="334"/>
      <c r="D266" s="334"/>
      <c r="E266" s="334"/>
      <c r="F266" s="335"/>
    </row>
    <row r="267" spans="1:9" s="58" customFormat="1" ht="30.6" customHeight="1" x14ac:dyDescent="0.2">
      <c r="A267" s="95">
        <v>5.0999999999999996</v>
      </c>
      <c r="B267" s="208" t="s">
        <v>330</v>
      </c>
      <c r="C267" s="209"/>
      <c r="D267" s="209"/>
      <c r="E267" s="209"/>
      <c r="F267" s="210"/>
      <c r="H267" s="136"/>
      <c r="I267" s="136"/>
    </row>
    <row r="268" spans="1:9" s="9" customFormat="1" ht="29.45" customHeight="1" x14ac:dyDescent="0.2">
      <c r="A268" s="261" t="s">
        <v>199</v>
      </c>
      <c r="B268" s="327" t="s">
        <v>325</v>
      </c>
      <c r="C268" s="328"/>
      <c r="D268" s="328"/>
      <c r="E268" s="328"/>
      <c r="F268" s="329"/>
      <c r="H268" s="135"/>
      <c r="I268" s="135"/>
    </row>
    <row r="269" spans="1:9" s="58" customFormat="1" ht="15" x14ac:dyDescent="0.2">
      <c r="A269" s="263"/>
      <c r="B269" s="25" t="s">
        <v>99</v>
      </c>
      <c r="C269" s="48" t="s">
        <v>18</v>
      </c>
      <c r="D269" s="71">
        <f>D253+D256</f>
        <v>227</v>
      </c>
      <c r="E269" s="49">
        <v>0</v>
      </c>
      <c r="F269" s="50">
        <f t="shared" ref="F269:F274" si="21">D269*E269</f>
        <v>0</v>
      </c>
      <c r="H269" s="136"/>
      <c r="I269" s="136"/>
    </row>
    <row r="270" spans="1:9" s="58" customFormat="1" ht="15" x14ac:dyDescent="0.2">
      <c r="A270" s="263"/>
      <c r="B270" s="25" t="s">
        <v>320</v>
      </c>
      <c r="C270" s="48" t="s">
        <v>18</v>
      </c>
      <c r="D270" s="71">
        <f>D254</f>
        <v>27</v>
      </c>
      <c r="E270" s="49">
        <v>0</v>
      </c>
      <c r="F270" s="50">
        <f t="shared" ref="F270" si="22">D270*E270</f>
        <v>0</v>
      </c>
      <c r="H270" s="136"/>
      <c r="I270" s="136"/>
    </row>
    <row r="271" spans="1:9" s="58" customFormat="1" ht="15" x14ac:dyDescent="0.2">
      <c r="A271" s="263"/>
      <c r="B271" s="25" t="s">
        <v>338</v>
      </c>
      <c r="C271" s="48" t="s">
        <v>18</v>
      </c>
      <c r="D271" s="71">
        <f>D255</f>
        <v>25</v>
      </c>
      <c r="E271" s="49">
        <v>0</v>
      </c>
      <c r="F271" s="50">
        <f t="shared" ref="F271" si="23">D271*E271</f>
        <v>0</v>
      </c>
      <c r="H271" s="136"/>
      <c r="I271" s="136"/>
    </row>
    <row r="272" spans="1:9" s="58" customFormat="1" ht="35.25" customHeight="1" x14ac:dyDescent="0.2">
      <c r="A272" s="263"/>
      <c r="B272" s="25" t="s">
        <v>680</v>
      </c>
      <c r="C272" s="48" t="s">
        <v>18</v>
      </c>
      <c r="D272" s="71">
        <f>SUM(D269:D271)</f>
        <v>279</v>
      </c>
      <c r="E272" s="49">
        <v>0</v>
      </c>
      <c r="F272" s="50">
        <f>D272*E272</f>
        <v>0</v>
      </c>
      <c r="H272" s="136"/>
      <c r="I272" s="136"/>
    </row>
    <row r="273" spans="1:9" s="58" customFormat="1" ht="37.5" customHeight="1" x14ac:dyDescent="0.2">
      <c r="A273" s="263"/>
      <c r="B273" s="25" t="s">
        <v>681</v>
      </c>
      <c r="C273" s="48" t="s">
        <v>18</v>
      </c>
      <c r="D273" s="71">
        <f>D272</f>
        <v>279</v>
      </c>
      <c r="E273" s="49">
        <v>0</v>
      </c>
      <c r="F273" s="50">
        <f>D273*E273</f>
        <v>0</v>
      </c>
      <c r="H273" s="136"/>
      <c r="I273" s="136"/>
    </row>
    <row r="274" spans="1:9" ht="15.75" thickBot="1" x14ac:dyDescent="0.25">
      <c r="A274" s="263"/>
      <c r="B274" s="25" t="s">
        <v>682</v>
      </c>
      <c r="C274" s="48" t="s">
        <v>17</v>
      </c>
      <c r="D274" s="71">
        <f>6400+20*7*2</f>
        <v>6680</v>
      </c>
      <c r="E274" s="49">
        <v>0</v>
      </c>
      <c r="F274" s="50">
        <f t="shared" si="21"/>
        <v>0</v>
      </c>
    </row>
    <row r="275" spans="1:9" ht="14.45" customHeight="1" thickBot="1" x14ac:dyDescent="0.25">
      <c r="A275" s="264" t="s">
        <v>25</v>
      </c>
      <c r="B275" s="265"/>
      <c r="C275" s="265"/>
      <c r="D275" s="265"/>
      <c r="E275" s="73" t="str">
        <f>A268</f>
        <v>5.1.1</v>
      </c>
      <c r="F275" s="74">
        <f>SUM(F269:F274)</f>
        <v>0</v>
      </c>
    </row>
    <row r="276" spans="1:9" s="9" customFormat="1" ht="19.149999999999999" customHeight="1" x14ac:dyDescent="0.2">
      <c r="A276" s="219" t="s">
        <v>323</v>
      </c>
      <c r="B276" s="327" t="s">
        <v>326</v>
      </c>
      <c r="C276" s="328"/>
      <c r="D276" s="328"/>
      <c r="E276" s="328"/>
      <c r="F276" s="329"/>
      <c r="H276" s="135"/>
      <c r="I276" s="135"/>
    </row>
    <row r="277" spans="1:9" s="58" customFormat="1" ht="37.15" customHeight="1" x14ac:dyDescent="0.2">
      <c r="A277" s="263"/>
      <c r="B277" s="25" t="s">
        <v>321</v>
      </c>
      <c r="C277" s="48" t="s">
        <v>18</v>
      </c>
      <c r="D277" s="67">
        <v>131</v>
      </c>
      <c r="E277" s="49">
        <v>0</v>
      </c>
      <c r="F277" s="50">
        <f t="shared" ref="F277" si="24">D277*E277</f>
        <v>0</v>
      </c>
      <c r="H277" s="136"/>
      <c r="I277" s="136"/>
    </row>
    <row r="278" spans="1:9" ht="15.75" thickBot="1" x14ac:dyDescent="0.25">
      <c r="A278" s="263"/>
      <c r="B278" s="25" t="s">
        <v>322</v>
      </c>
      <c r="C278" s="48" t="s">
        <v>17</v>
      </c>
      <c r="D278" s="67">
        <v>3705</v>
      </c>
      <c r="E278" s="49">
        <v>0</v>
      </c>
      <c r="F278" s="50">
        <f t="shared" ref="F278" si="25">D278*E278</f>
        <v>0</v>
      </c>
    </row>
    <row r="279" spans="1:9" ht="15.75" thickBot="1" x14ac:dyDescent="0.25">
      <c r="A279" s="206" t="s">
        <v>25</v>
      </c>
      <c r="B279" s="207"/>
      <c r="C279" s="207"/>
      <c r="D279" s="207"/>
      <c r="E279" s="31" t="str">
        <f>A276</f>
        <v>5.1.2</v>
      </c>
      <c r="F279" s="32">
        <f>SUM(F277:F278)</f>
        <v>0</v>
      </c>
    </row>
    <row r="280" spans="1:9" s="45" customFormat="1" ht="15.75" thickBot="1" x14ac:dyDescent="0.25">
      <c r="A280" s="217" t="s">
        <v>324</v>
      </c>
      <c r="B280" s="348" t="s">
        <v>327</v>
      </c>
      <c r="C280" s="349"/>
      <c r="D280" s="349"/>
      <c r="E280" s="349"/>
      <c r="F280" s="350"/>
      <c r="H280" s="141"/>
      <c r="I280" s="137"/>
    </row>
    <row r="281" spans="1:9" s="45" customFormat="1" ht="25.5" x14ac:dyDescent="0.2">
      <c r="A281" s="212"/>
      <c r="B281" s="25" t="s">
        <v>589</v>
      </c>
      <c r="C281" s="61" t="s">
        <v>18</v>
      </c>
      <c r="D281" s="165">
        <v>5</v>
      </c>
      <c r="E281" s="65">
        <v>0</v>
      </c>
      <c r="F281" s="66">
        <f t="shared" ref="F281:F288" si="26">D281*E281</f>
        <v>0</v>
      </c>
      <c r="H281" s="141"/>
      <c r="I281" s="137"/>
    </row>
    <row r="282" spans="1:9" s="45" customFormat="1" ht="25.5" x14ac:dyDescent="0.2">
      <c r="A282" s="212"/>
      <c r="B282" s="25" t="s">
        <v>590</v>
      </c>
      <c r="C282" s="48" t="s">
        <v>18</v>
      </c>
      <c r="D282" s="71">
        <v>32</v>
      </c>
      <c r="E282" s="49">
        <v>0</v>
      </c>
      <c r="F282" s="50">
        <f t="shared" si="26"/>
        <v>0</v>
      </c>
      <c r="H282" s="141"/>
      <c r="I282" s="137"/>
    </row>
    <row r="283" spans="1:9" s="58" customFormat="1" ht="25.5" x14ac:dyDescent="0.2">
      <c r="A283" s="212"/>
      <c r="B283" s="25" t="s">
        <v>591</v>
      </c>
      <c r="C283" s="48" t="s">
        <v>18</v>
      </c>
      <c r="D283" s="71">
        <f>48+1</f>
        <v>49</v>
      </c>
      <c r="E283" s="49">
        <v>0</v>
      </c>
      <c r="F283" s="50">
        <f t="shared" si="26"/>
        <v>0</v>
      </c>
      <c r="H283" s="136"/>
      <c r="I283" s="137"/>
    </row>
    <row r="284" spans="1:9" ht="25.5" x14ac:dyDescent="0.2">
      <c r="A284" s="212"/>
      <c r="B284" s="25" t="s">
        <v>592</v>
      </c>
      <c r="C284" s="61" t="s">
        <v>18</v>
      </c>
      <c r="D284" s="165">
        <v>14</v>
      </c>
      <c r="E284" s="65">
        <v>0</v>
      </c>
      <c r="F284" s="66">
        <f t="shared" si="26"/>
        <v>0</v>
      </c>
    </row>
    <row r="285" spans="1:9" ht="25.5" x14ac:dyDescent="0.2">
      <c r="A285" s="212"/>
      <c r="B285" s="25" t="s">
        <v>593</v>
      </c>
      <c r="C285" s="48" t="s">
        <v>18</v>
      </c>
      <c r="D285" s="71">
        <v>7</v>
      </c>
      <c r="E285" s="49">
        <v>0</v>
      </c>
      <c r="F285" s="50">
        <f t="shared" si="26"/>
        <v>0</v>
      </c>
    </row>
    <row r="286" spans="1:9" ht="26.25" thickBot="1" x14ac:dyDescent="0.25">
      <c r="A286" s="212"/>
      <c r="B286" s="52" t="s">
        <v>588</v>
      </c>
      <c r="C286" s="53" t="s">
        <v>18</v>
      </c>
      <c r="D286" s="72">
        <v>1</v>
      </c>
      <c r="E286" s="55">
        <v>0</v>
      </c>
      <c r="F286" s="56">
        <f t="shared" si="26"/>
        <v>0</v>
      </c>
    </row>
    <row r="287" spans="1:9" s="58" customFormat="1" ht="25.5" x14ac:dyDescent="0.2">
      <c r="A287" s="212"/>
      <c r="B287" s="155" t="s">
        <v>608</v>
      </c>
      <c r="C287" s="61" t="s">
        <v>18</v>
      </c>
      <c r="D287" s="165">
        <v>1</v>
      </c>
      <c r="E287" s="65">
        <v>0</v>
      </c>
      <c r="F287" s="66">
        <f t="shared" ref="F287" si="27">D287*E287</f>
        <v>0</v>
      </c>
      <c r="H287" s="136"/>
      <c r="I287" s="136"/>
    </row>
    <row r="288" spans="1:9" s="58" customFormat="1" ht="25.5" x14ac:dyDescent="0.2">
      <c r="A288" s="212"/>
      <c r="B288" s="25" t="s">
        <v>599</v>
      </c>
      <c r="C288" s="61" t="s">
        <v>18</v>
      </c>
      <c r="D288" s="165">
        <f>2-D287</f>
        <v>1</v>
      </c>
      <c r="E288" s="65">
        <v>0</v>
      </c>
      <c r="F288" s="66">
        <f t="shared" si="26"/>
        <v>0</v>
      </c>
      <c r="H288" s="136"/>
      <c r="I288" s="136"/>
    </row>
    <row r="289" spans="1:9" s="58" customFormat="1" ht="25.5" x14ac:dyDescent="0.2">
      <c r="A289" s="212"/>
      <c r="B289" s="47" t="s">
        <v>609</v>
      </c>
      <c r="C289" s="61" t="s">
        <v>18</v>
      </c>
      <c r="D289" s="165">
        <v>12</v>
      </c>
      <c r="E289" s="65">
        <v>0</v>
      </c>
      <c r="F289" s="66">
        <f t="shared" ref="F289:F292" si="28">D289*E289</f>
        <v>0</v>
      </c>
      <c r="H289" s="136"/>
      <c r="I289" s="136"/>
    </row>
    <row r="290" spans="1:9" s="58" customFormat="1" ht="25.5" x14ac:dyDescent="0.2">
      <c r="A290" s="212"/>
      <c r="B290" s="25" t="s">
        <v>600</v>
      </c>
      <c r="C290" s="61" t="s">
        <v>18</v>
      </c>
      <c r="D290" s="165">
        <f>12-D289</f>
        <v>0</v>
      </c>
      <c r="E290" s="65">
        <v>0</v>
      </c>
      <c r="F290" s="66">
        <f t="shared" si="28"/>
        <v>0</v>
      </c>
      <c r="H290" s="136"/>
      <c r="I290" s="136"/>
    </row>
    <row r="291" spans="1:9" s="58" customFormat="1" ht="25.5" x14ac:dyDescent="0.2">
      <c r="A291" s="212"/>
      <c r="B291" s="25" t="s">
        <v>601</v>
      </c>
      <c r="C291" s="61" t="s">
        <v>18</v>
      </c>
      <c r="D291" s="165">
        <v>1</v>
      </c>
      <c r="E291" s="65">
        <v>0</v>
      </c>
      <c r="F291" s="66">
        <f t="shared" si="28"/>
        <v>0</v>
      </c>
      <c r="H291" s="136"/>
      <c r="I291" s="136"/>
    </row>
    <row r="292" spans="1:9" s="58" customFormat="1" ht="25.5" x14ac:dyDescent="0.2">
      <c r="A292" s="212"/>
      <c r="B292" s="47" t="s">
        <v>610</v>
      </c>
      <c r="C292" s="61" t="s">
        <v>18</v>
      </c>
      <c r="D292" s="165">
        <v>1</v>
      </c>
      <c r="E292" s="65">
        <v>0</v>
      </c>
      <c r="F292" s="66">
        <f t="shared" si="28"/>
        <v>0</v>
      </c>
      <c r="H292" s="136"/>
      <c r="I292" s="136"/>
    </row>
    <row r="293" spans="1:9" s="58" customFormat="1" ht="25.5" x14ac:dyDescent="0.2">
      <c r="A293" s="212"/>
      <c r="B293" s="25" t="s">
        <v>602</v>
      </c>
      <c r="C293" s="61" t="s">
        <v>18</v>
      </c>
      <c r="D293" s="165">
        <f>1-D292</f>
        <v>0</v>
      </c>
      <c r="E293" s="65">
        <v>0</v>
      </c>
      <c r="F293" s="66">
        <f t="shared" ref="F293" si="29">D293*E293</f>
        <v>0</v>
      </c>
      <c r="H293" s="136"/>
      <c r="I293" s="136"/>
    </row>
    <row r="294" spans="1:9" s="58" customFormat="1" ht="25.5" x14ac:dyDescent="0.2">
      <c r="A294" s="212"/>
      <c r="B294" s="47" t="s">
        <v>611</v>
      </c>
      <c r="C294" s="61" t="s">
        <v>18</v>
      </c>
      <c r="D294" s="165">
        <v>6</v>
      </c>
      <c r="E294" s="65">
        <v>0</v>
      </c>
      <c r="F294" s="66">
        <f t="shared" ref="F294:F309" si="30">D294*E294</f>
        <v>0</v>
      </c>
      <c r="H294" s="136"/>
      <c r="I294" s="136"/>
    </row>
    <row r="295" spans="1:9" s="58" customFormat="1" ht="25.5" x14ac:dyDescent="0.2">
      <c r="A295" s="212"/>
      <c r="B295" s="25" t="s">
        <v>603</v>
      </c>
      <c r="C295" s="61" t="s">
        <v>18</v>
      </c>
      <c r="D295" s="165">
        <f>8-D294+2</f>
        <v>4</v>
      </c>
      <c r="E295" s="65">
        <v>0</v>
      </c>
      <c r="F295" s="66">
        <f t="shared" si="30"/>
        <v>0</v>
      </c>
      <c r="H295" s="136"/>
      <c r="I295" s="136"/>
    </row>
    <row r="296" spans="1:9" s="58" customFormat="1" ht="25.5" x14ac:dyDescent="0.2">
      <c r="A296" s="212"/>
      <c r="B296" s="47" t="s">
        <v>613</v>
      </c>
      <c r="C296" s="61" t="s">
        <v>18</v>
      </c>
      <c r="D296" s="165">
        <v>0</v>
      </c>
      <c r="E296" s="65">
        <v>0</v>
      </c>
      <c r="F296" s="66">
        <f t="shared" si="30"/>
        <v>0</v>
      </c>
      <c r="H296" s="136"/>
      <c r="I296" s="136"/>
    </row>
    <row r="297" spans="1:9" s="58" customFormat="1" ht="25.5" x14ac:dyDescent="0.2">
      <c r="A297" s="212"/>
      <c r="B297" s="25" t="s">
        <v>604</v>
      </c>
      <c r="C297" s="61" t="s">
        <v>18</v>
      </c>
      <c r="D297" s="165">
        <f>4-D296</f>
        <v>4</v>
      </c>
      <c r="E297" s="65">
        <v>0</v>
      </c>
      <c r="F297" s="66">
        <f t="shared" si="30"/>
        <v>0</v>
      </c>
      <c r="H297" s="136"/>
      <c r="I297" s="136"/>
    </row>
    <row r="298" spans="1:9" s="58" customFormat="1" ht="25.5" x14ac:dyDescent="0.2">
      <c r="A298" s="212"/>
      <c r="B298" s="47" t="s">
        <v>612</v>
      </c>
      <c r="C298" s="61" t="s">
        <v>18</v>
      </c>
      <c r="D298" s="165">
        <v>0</v>
      </c>
      <c r="E298" s="65">
        <v>0</v>
      </c>
      <c r="F298" s="66">
        <f t="shared" si="30"/>
        <v>0</v>
      </c>
      <c r="H298" s="136"/>
      <c r="I298" s="136"/>
    </row>
    <row r="299" spans="1:9" s="58" customFormat="1" ht="25.5" x14ac:dyDescent="0.2">
      <c r="A299" s="212"/>
      <c r="B299" s="25" t="s">
        <v>605</v>
      </c>
      <c r="C299" s="61" t="s">
        <v>18</v>
      </c>
      <c r="D299" s="165">
        <f>7-D298</f>
        <v>7</v>
      </c>
      <c r="E299" s="65">
        <v>0</v>
      </c>
      <c r="F299" s="66">
        <f t="shared" si="30"/>
        <v>0</v>
      </c>
      <c r="H299" s="136"/>
      <c r="I299" s="136"/>
    </row>
    <row r="300" spans="1:9" s="58" customFormat="1" ht="25.5" x14ac:dyDescent="0.2">
      <c r="A300" s="212"/>
      <c r="B300" s="47" t="s">
        <v>614</v>
      </c>
      <c r="C300" s="61" t="s">
        <v>18</v>
      </c>
      <c r="D300" s="165">
        <v>1</v>
      </c>
      <c r="E300" s="65">
        <v>0</v>
      </c>
      <c r="F300" s="66">
        <f t="shared" si="30"/>
        <v>0</v>
      </c>
      <c r="H300" s="136"/>
      <c r="I300" s="136"/>
    </row>
    <row r="301" spans="1:9" s="58" customFormat="1" ht="25.5" x14ac:dyDescent="0.2">
      <c r="A301" s="212"/>
      <c r="B301" s="25" t="s">
        <v>606</v>
      </c>
      <c r="C301" s="61" t="s">
        <v>18</v>
      </c>
      <c r="D301" s="165">
        <f>10-D300</f>
        <v>9</v>
      </c>
      <c r="E301" s="65">
        <v>0</v>
      </c>
      <c r="F301" s="66">
        <f t="shared" ref="F301:F307" si="31">D301*E301</f>
        <v>0</v>
      </c>
      <c r="H301" s="136"/>
      <c r="I301" s="136"/>
    </row>
    <row r="302" spans="1:9" s="58" customFormat="1" ht="25.5" x14ac:dyDescent="0.2">
      <c r="A302" s="212"/>
      <c r="B302" s="47" t="s">
        <v>615</v>
      </c>
      <c r="C302" s="61" t="s">
        <v>18</v>
      </c>
      <c r="D302" s="165">
        <v>0</v>
      </c>
      <c r="E302" s="65">
        <v>0</v>
      </c>
      <c r="F302" s="66">
        <f t="shared" si="31"/>
        <v>0</v>
      </c>
      <c r="H302" s="136"/>
      <c r="I302" s="136"/>
    </row>
    <row r="303" spans="1:9" s="58" customFormat="1" ht="26.25" thickBot="1" x14ac:dyDescent="0.25">
      <c r="A303" s="212"/>
      <c r="B303" s="52" t="s">
        <v>607</v>
      </c>
      <c r="C303" s="53" t="s">
        <v>18</v>
      </c>
      <c r="D303" s="72">
        <f>2-D302</f>
        <v>2</v>
      </c>
      <c r="E303" s="55">
        <v>0</v>
      </c>
      <c r="F303" s="56">
        <f t="shared" si="31"/>
        <v>0</v>
      </c>
      <c r="H303" s="136"/>
      <c r="I303" s="136"/>
    </row>
    <row r="304" spans="1:9" s="58" customFormat="1" ht="25.5" x14ac:dyDescent="0.2">
      <c r="A304" s="212"/>
      <c r="B304" s="155" t="s">
        <v>618</v>
      </c>
      <c r="C304" s="61" t="s">
        <v>18</v>
      </c>
      <c r="D304" s="165">
        <v>1</v>
      </c>
      <c r="E304" s="65">
        <v>0</v>
      </c>
      <c r="F304" s="66">
        <f t="shared" si="31"/>
        <v>0</v>
      </c>
      <c r="H304" s="136"/>
      <c r="I304" s="136"/>
    </row>
    <row r="305" spans="1:9" s="58" customFormat="1" ht="25.5" x14ac:dyDescent="0.2">
      <c r="A305" s="212"/>
      <c r="B305" s="25" t="s">
        <v>619</v>
      </c>
      <c r="C305" s="48" t="s">
        <v>18</v>
      </c>
      <c r="D305" s="71">
        <f>1-D304</f>
        <v>0</v>
      </c>
      <c r="E305" s="65">
        <v>0</v>
      </c>
      <c r="F305" s="66">
        <f t="shared" si="31"/>
        <v>0</v>
      </c>
      <c r="H305" s="136"/>
      <c r="I305" s="136"/>
    </row>
    <row r="306" spans="1:9" s="58" customFormat="1" ht="25.5" x14ac:dyDescent="0.2">
      <c r="A306" s="212"/>
      <c r="B306" s="47" t="s">
        <v>620</v>
      </c>
      <c r="C306" s="61" t="s">
        <v>18</v>
      </c>
      <c r="D306" s="165">
        <v>0</v>
      </c>
      <c r="E306" s="65">
        <v>0</v>
      </c>
      <c r="F306" s="66">
        <f t="shared" si="31"/>
        <v>0</v>
      </c>
      <c r="H306" s="136"/>
      <c r="I306" s="136"/>
    </row>
    <row r="307" spans="1:9" s="58" customFormat="1" ht="26.25" thickBot="1" x14ac:dyDescent="0.25">
      <c r="A307" s="212"/>
      <c r="B307" s="52" t="s">
        <v>621</v>
      </c>
      <c r="C307" s="53" t="s">
        <v>18</v>
      </c>
      <c r="D307" s="72">
        <f>1-D306</f>
        <v>1</v>
      </c>
      <c r="E307" s="55">
        <v>0</v>
      </c>
      <c r="F307" s="56">
        <f t="shared" si="31"/>
        <v>0</v>
      </c>
      <c r="H307" s="136"/>
      <c r="I307" s="136"/>
    </row>
    <row r="308" spans="1:9" s="58" customFormat="1" ht="15.75" thickBot="1" x14ac:dyDescent="0.25">
      <c r="A308" s="212"/>
      <c r="B308" s="30" t="s">
        <v>616</v>
      </c>
      <c r="C308" s="61" t="s">
        <v>18</v>
      </c>
      <c r="D308" s="165">
        <v>1</v>
      </c>
      <c r="E308" s="65">
        <v>0</v>
      </c>
      <c r="F308" s="66">
        <f t="shared" si="30"/>
        <v>0</v>
      </c>
      <c r="H308" s="136"/>
      <c r="I308" s="136"/>
    </row>
    <row r="309" spans="1:9" s="58" customFormat="1" ht="26.25" thickBot="1" x14ac:dyDescent="0.25">
      <c r="A309" s="212"/>
      <c r="B309" s="30" t="s">
        <v>617</v>
      </c>
      <c r="C309" s="61" t="s">
        <v>18</v>
      </c>
      <c r="D309" s="165">
        <v>1</v>
      </c>
      <c r="E309" s="65">
        <v>0</v>
      </c>
      <c r="F309" s="66">
        <f t="shared" si="30"/>
        <v>0</v>
      </c>
      <c r="H309" s="136"/>
      <c r="I309" s="136"/>
    </row>
    <row r="310" spans="1:9" ht="15.75" thickBot="1" x14ac:dyDescent="0.25">
      <c r="A310" s="264" t="s">
        <v>25</v>
      </c>
      <c r="B310" s="265"/>
      <c r="C310" s="265"/>
      <c r="D310" s="265"/>
      <c r="E310" s="73" t="str">
        <f>A280</f>
        <v>5.1.3</v>
      </c>
      <c r="F310" s="74">
        <f>SUM(F281:F309)</f>
        <v>0</v>
      </c>
    </row>
    <row r="311" spans="1:9" ht="33" customHeight="1" x14ac:dyDescent="0.2">
      <c r="A311" s="260" t="s">
        <v>328</v>
      </c>
      <c r="B311" s="312" t="s">
        <v>329</v>
      </c>
      <c r="C311" s="313"/>
      <c r="D311" s="313"/>
      <c r="E311" s="313"/>
      <c r="F311" s="314"/>
    </row>
    <row r="312" spans="1:9" ht="15" x14ac:dyDescent="0.2">
      <c r="A312" s="263"/>
      <c r="B312" s="25" t="s">
        <v>585</v>
      </c>
      <c r="C312" s="48" t="s">
        <v>18</v>
      </c>
      <c r="D312" s="71">
        <f>SUM(D281:D286)</f>
        <v>108</v>
      </c>
      <c r="E312" s="49">
        <v>0</v>
      </c>
      <c r="F312" s="50">
        <f>D312*E312</f>
        <v>0</v>
      </c>
    </row>
    <row r="313" spans="1:9" ht="25.5" x14ac:dyDescent="0.2">
      <c r="A313" s="263"/>
      <c r="B313" s="25" t="s">
        <v>586</v>
      </c>
      <c r="C313" s="48" t="s">
        <v>18</v>
      </c>
      <c r="D313" s="71">
        <v>3</v>
      </c>
      <c r="E313" s="49">
        <v>0</v>
      </c>
      <c r="F313" s="50">
        <f>D313*E313</f>
        <v>0</v>
      </c>
    </row>
    <row r="314" spans="1:9" ht="25.5" x14ac:dyDescent="0.2">
      <c r="A314" s="263"/>
      <c r="B314" s="25" t="s">
        <v>587</v>
      </c>
      <c r="C314" s="48" t="s">
        <v>18</v>
      </c>
      <c r="D314" s="71">
        <f>D312-D313</f>
        <v>105</v>
      </c>
      <c r="E314" s="49">
        <v>0</v>
      </c>
      <c r="F314" s="50">
        <f>D314*E314</f>
        <v>0</v>
      </c>
    </row>
    <row r="315" spans="1:9" ht="15.75" thickBot="1" x14ac:dyDescent="0.25">
      <c r="A315" s="211"/>
      <c r="B315" s="25" t="s">
        <v>100</v>
      </c>
      <c r="C315" s="48" t="s">
        <v>18</v>
      </c>
      <c r="D315" s="71">
        <f>25*5</f>
        <v>125</v>
      </c>
      <c r="E315" s="49">
        <v>0</v>
      </c>
      <c r="F315" s="50">
        <f>D315*E315</f>
        <v>0</v>
      </c>
    </row>
    <row r="316" spans="1:9" s="58" customFormat="1" ht="15.75" thickBot="1" x14ac:dyDescent="0.25">
      <c r="A316" s="264" t="s">
        <v>25</v>
      </c>
      <c r="B316" s="265"/>
      <c r="C316" s="265"/>
      <c r="D316" s="265"/>
      <c r="E316" s="73" t="str">
        <f>A311</f>
        <v>5.1.4</v>
      </c>
      <c r="F316" s="74">
        <f>SUM(F312:F315)</f>
        <v>0</v>
      </c>
      <c r="H316" s="136"/>
      <c r="I316" s="136"/>
    </row>
    <row r="317" spans="1:9" ht="15.75" thickBot="1" x14ac:dyDescent="0.25">
      <c r="A317" s="204" t="s">
        <v>26</v>
      </c>
      <c r="B317" s="223"/>
      <c r="C317" s="223"/>
      <c r="D317" s="223"/>
      <c r="E317" s="109">
        <f>A267</f>
        <v>5.0999999999999996</v>
      </c>
      <c r="F317" s="110">
        <f>SUM(F275,F279,F310,F316)</f>
        <v>0</v>
      </c>
    </row>
    <row r="318" spans="1:9" ht="15" x14ac:dyDescent="0.2">
      <c r="A318" s="95">
        <v>5.2</v>
      </c>
      <c r="B318" s="208" t="s">
        <v>331</v>
      </c>
      <c r="C318" s="209"/>
      <c r="D318" s="209"/>
      <c r="E318" s="209"/>
      <c r="F318" s="210"/>
    </row>
    <row r="319" spans="1:9" s="45" customFormat="1" ht="15" x14ac:dyDescent="0.2">
      <c r="A319" s="262" t="s">
        <v>200</v>
      </c>
      <c r="B319" s="327" t="s">
        <v>153</v>
      </c>
      <c r="C319" s="328"/>
      <c r="D319" s="328"/>
      <c r="E319" s="328"/>
      <c r="F319" s="329"/>
      <c r="H319" s="141"/>
      <c r="I319" s="141"/>
    </row>
    <row r="320" spans="1:9" s="45" customFormat="1" ht="25.5" x14ac:dyDescent="0.2">
      <c r="A320" s="263"/>
      <c r="B320" s="25" t="s">
        <v>346</v>
      </c>
      <c r="C320" s="48" t="s">
        <v>18</v>
      </c>
      <c r="D320" s="22">
        <f>SUM(D281:D286)</f>
        <v>108</v>
      </c>
      <c r="E320" s="49">
        <v>0</v>
      </c>
      <c r="F320" s="50">
        <f t="shared" ref="F320:F325" si="32">D320*E320</f>
        <v>0</v>
      </c>
      <c r="H320" s="141"/>
      <c r="I320" s="141"/>
    </row>
    <row r="321" spans="1:9" s="45" customFormat="1" ht="15" x14ac:dyDescent="0.2">
      <c r="A321" s="263"/>
      <c r="B321" s="25" t="s">
        <v>594</v>
      </c>
      <c r="C321" s="48" t="s">
        <v>18</v>
      </c>
      <c r="D321" s="22">
        <f>SUM(D288,D290,D291,D293,D295,D297,D299,D301,D303)</f>
        <v>28</v>
      </c>
      <c r="E321" s="49">
        <v>0</v>
      </c>
      <c r="F321" s="50">
        <f t="shared" si="32"/>
        <v>0</v>
      </c>
      <c r="H321" s="141"/>
      <c r="I321" s="141"/>
    </row>
    <row r="322" spans="1:9" s="45" customFormat="1" ht="15" x14ac:dyDescent="0.2">
      <c r="A322" s="263"/>
      <c r="B322" s="25" t="s">
        <v>595</v>
      </c>
      <c r="C322" s="48" t="s">
        <v>18</v>
      </c>
      <c r="D322" s="22">
        <f>SUM(D287,D289,D292,D294,D296,D298,D300,D302)</f>
        <v>21</v>
      </c>
      <c r="E322" s="49">
        <v>0</v>
      </c>
      <c r="F322" s="50">
        <f t="shared" si="32"/>
        <v>0</v>
      </c>
      <c r="H322" s="141"/>
      <c r="I322" s="141"/>
    </row>
    <row r="323" spans="1:9" s="45" customFormat="1" ht="15" x14ac:dyDescent="0.2">
      <c r="A323" s="263"/>
      <c r="B323" s="25" t="s">
        <v>597</v>
      </c>
      <c r="C323" s="48" t="s">
        <v>18</v>
      </c>
      <c r="D323" s="22">
        <f>SUM(D305,D307)</f>
        <v>1</v>
      </c>
      <c r="E323" s="49">
        <v>0</v>
      </c>
      <c r="F323" s="50">
        <f t="shared" si="32"/>
        <v>0</v>
      </c>
      <c r="H323" s="141"/>
      <c r="I323" s="141"/>
    </row>
    <row r="324" spans="1:9" s="45" customFormat="1" ht="15" x14ac:dyDescent="0.2">
      <c r="A324" s="263"/>
      <c r="B324" s="25" t="s">
        <v>598</v>
      </c>
      <c r="C324" s="48" t="s">
        <v>18</v>
      </c>
      <c r="D324" s="22">
        <f>SUM(D304,D306)</f>
        <v>1</v>
      </c>
      <c r="E324" s="49">
        <v>0</v>
      </c>
      <c r="F324" s="50">
        <f t="shared" si="32"/>
        <v>0</v>
      </c>
      <c r="H324" s="141"/>
      <c r="I324" s="141"/>
    </row>
    <row r="325" spans="1:9" ht="15.75" thickBot="1" x14ac:dyDescent="0.25">
      <c r="A325" s="263"/>
      <c r="B325" s="25" t="s">
        <v>596</v>
      </c>
      <c r="C325" s="48" t="s">
        <v>18</v>
      </c>
      <c r="D325" s="22">
        <f>SUM(D308:D309)</f>
        <v>2</v>
      </c>
      <c r="E325" s="49">
        <v>0</v>
      </c>
      <c r="F325" s="50">
        <f t="shared" si="32"/>
        <v>0</v>
      </c>
    </row>
    <row r="326" spans="1:9" s="58" customFormat="1" ht="15.75" thickBot="1" x14ac:dyDescent="0.25">
      <c r="A326" s="206" t="s">
        <v>25</v>
      </c>
      <c r="B326" s="207"/>
      <c r="C326" s="207"/>
      <c r="D326" s="207"/>
      <c r="E326" s="31" t="str">
        <f>A319</f>
        <v>5.2.1</v>
      </c>
      <c r="F326" s="32">
        <f>SUM(F320:F325)</f>
        <v>0</v>
      </c>
      <c r="H326" s="136"/>
      <c r="I326" s="136"/>
    </row>
    <row r="327" spans="1:9" s="58" customFormat="1" ht="15" x14ac:dyDescent="0.2">
      <c r="A327" s="260" t="s">
        <v>201</v>
      </c>
      <c r="B327" s="312" t="s">
        <v>154</v>
      </c>
      <c r="C327" s="313"/>
      <c r="D327" s="313"/>
      <c r="E327" s="313"/>
      <c r="F327" s="314"/>
      <c r="H327" s="136"/>
      <c r="I327" s="136"/>
    </row>
    <row r="328" spans="1:9" ht="25.5" x14ac:dyDescent="0.2">
      <c r="A328" s="261"/>
      <c r="B328" s="25" t="s">
        <v>346</v>
      </c>
      <c r="C328" s="48" t="s">
        <v>18</v>
      </c>
      <c r="D328" s="22">
        <f>D320</f>
        <v>108</v>
      </c>
      <c r="E328" s="49">
        <v>0</v>
      </c>
      <c r="F328" s="50">
        <f>D328*E328</f>
        <v>0</v>
      </c>
    </row>
    <row r="329" spans="1:9" ht="15" x14ac:dyDescent="0.2">
      <c r="A329" s="261"/>
      <c r="B329" s="25" t="s">
        <v>594</v>
      </c>
      <c r="C329" s="48" t="s">
        <v>18</v>
      </c>
      <c r="D329" s="22">
        <f t="shared" ref="D329:D333" si="33">D321</f>
        <v>28</v>
      </c>
      <c r="E329" s="49">
        <v>0</v>
      </c>
      <c r="F329" s="50">
        <f>D329*E329</f>
        <v>0</v>
      </c>
    </row>
    <row r="330" spans="1:9" ht="15" x14ac:dyDescent="0.2">
      <c r="A330" s="261"/>
      <c r="B330" s="25" t="s">
        <v>595</v>
      </c>
      <c r="C330" s="48" t="s">
        <v>18</v>
      </c>
      <c r="D330" s="22">
        <f t="shared" si="33"/>
        <v>21</v>
      </c>
      <c r="E330" s="49">
        <v>0</v>
      </c>
      <c r="F330" s="50">
        <f t="shared" ref="F330:F331" si="34">D330*E330</f>
        <v>0</v>
      </c>
    </row>
    <row r="331" spans="1:9" ht="15" x14ac:dyDescent="0.2">
      <c r="A331" s="261"/>
      <c r="B331" s="25" t="s">
        <v>597</v>
      </c>
      <c r="C331" s="48" t="s">
        <v>18</v>
      </c>
      <c r="D331" s="22">
        <f t="shared" si="33"/>
        <v>1</v>
      </c>
      <c r="E331" s="49">
        <v>0</v>
      </c>
      <c r="F331" s="50">
        <f t="shared" si="34"/>
        <v>0</v>
      </c>
    </row>
    <row r="332" spans="1:9" ht="15" x14ac:dyDescent="0.2">
      <c r="A332" s="261"/>
      <c r="B332" s="25" t="s">
        <v>598</v>
      </c>
      <c r="C332" s="48" t="s">
        <v>18</v>
      </c>
      <c r="D332" s="22">
        <f t="shared" si="33"/>
        <v>1</v>
      </c>
      <c r="E332" s="49">
        <v>0</v>
      </c>
      <c r="F332" s="50">
        <f>D332*E332</f>
        <v>0</v>
      </c>
    </row>
    <row r="333" spans="1:9" ht="15.75" thickBot="1" x14ac:dyDescent="0.25">
      <c r="A333" s="261"/>
      <c r="B333" s="25" t="s">
        <v>596</v>
      </c>
      <c r="C333" s="48" t="s">
        <v>18</v>
      </c>
      <c r="D333" s="22">
        <f t="shared" si="33"/>
        <v>2</v>
      </c>
      <c r="E333" s="49">
        <v>0</v>
      </c>
      <c r="F333" s="50">
        <f>D333*E333</f>
        <v>0</v>
      </c>
    </row>
    <row r="334" spans="1:9" s="9" customFormat="1" ht="15.75" thickBot="1" x14ac:dyDescent="0.25">
      <c r="A334" s="206" t="s">
        <v>25</v>
      </c>
      <c r="B334" s="207"/>
      <c r="C334" s="207"/>
      <c r="D334" s="207"/>
      <c r="E334" s="31" t="str">
        <f>A327</f>
        <v>5.2.2</v>
      </c>
      <c r="F334" s="32">
        <f>SUM(F328:F333)</f>
        <v>0</v>
      </c>
      <c r="H334" s="135"/>
      <c r="I334" s="135"/>
    </row>
    <row r="335" spans="1:9" ht="15.75" thickBot="1" x14ac:dyDescent="0.25">
      <c r="A335" s="204" t="s">
        <v>26</v>
      </c>
      <c r="B335" s="223"/>
      <c r="C335" s="223"/>
      <c r="D335" s="223"/>
      <c r="E335" s="109">
        <f>A318</f>
        <v>5.2</v>
      </c>
      <c r="F335" s="110">
        <f>SUM(F326,F334)</f>
        <v>0</v>
      </c>
    </row>
    <row r="336" spans="1:9" ht="32.450000000000003" customHeight="1" thickBot="1" x14ac:dyDescent="0.25">
      <c r="A336" s="95">
        <v>5.3</v>
      </c>
      <c r="B336" s="208" t="s">
        <v>332</v>
      </c>
      <c r="C336" s="209"/>
      <c r="D336" s="209"/>
      <c r="E336" s="209"/>
      <c r="F336" s="210"/>
    </row>
    <row r="337" spans="1:9" ht="15" x14ac:dyDescent="0.2">
      <c r="A337" s="338" t="s">
        <v>202</v>
      </c>
      <c r="B337" s="312" t="s">
        <v>339</v>
      </c>
      <c r="C337" s="313"/>
      <c r="D337" s="313"/>
      <c r="E337" s="313"/>
      <c r="F337" s="314"/>
    </row>
    <row r="338" spans="1:9" ht="15" x14ac:dyDescent="0.2">
      <c r="A338" s="339"/>
      <c r="B338" s="25" t="s">
        <v>334</v>
      </c>
      <c r="C338" s="48" t="s">
        <v>18</v>
      </c>
      <c r="D338" s="67">
        <f>D253</f>
        <v>162</v>
      </c>
      <c r="E338" s="49">
        <v>0</v>
      </c>
      <c r="F338" s="50">
        <f>D338*E338</f>
        <v>0</v>
      </c>
    </row>
    <row r="339" spans="1:9" ht="14.45" customHeight="1" x14ac:dyDescent="0.2">
      <c r="A339" s="339"/>
      <c r="B339" s="25" t="s">
        <v>335</v>
      </c>
      <c r="C339" s="48" t="s">
        <v>18</v>
      </c>
      <c r="D339" s="67">
        <f>D254</f>
        <v>27</v>
      </c>
      <c r="E339" s="49">
        <v>0</v>
      </c>
      <c r="F339" s="50">
        <f>D339*E339</f>
        <v>0</v>
      </c>
    </row>
    <row r="340" spans="1:9" ht="15" x14ac:dyDescent="0.2">
      <c r="A340" s="339"/>
      <c r="B340" s="25" t="s">
        <v>336</v>
      </c>
      <c r="C340" s="48" t="s">
        <v>18</v>
      </c>
      <c r="D340" s="67">
        <f>D255</f>
        <v>25</v>
      </c>
      <c r="E340" s="49">
        <v>0</v>
      </c>
      <c r="F340" s="50">
        <f>D340*E340</f>
        <v>0</v>
      </c>
    </row>
    <row r="341" spans="1:9" s="58" customFormat="1" ht="15.75" thickBot="1" x14ac:dyDescent="0.25">
      <c r="A341" s="339"/>
      <c r="B341" s="25" t="s">
        <v>337</v>
      </c>
      <c r="C341" s="48" t="s">
        <v>18</v>
      </c>
      <c r="D341" s="67">
        <f>D256</f>
        <v>65</v>
      </c>
      <c r="E341" s="49">
        <v>0</v>
      </c>
      <c r="F341" s="50">
        <f>D341*E341</f>
        <v>0</v>
      </c>
      <c r="H341" s="136" t="s">
        <v>173</v>
      </c>
      <c r="I341" s="136"/>
    </row>
    <row r="342" spans="1:9" s="9" customFormat="1" ht="15.75" thickBot="1" x14ac:dyDescent="0.25">
      <c r="A342" s="206" t="s">
        <v>25</v>
      </c>
      <c r="B342" s="207"/>
      <c r="C342" s="207"/>
      <c r="D342" s="207"/>
      <c r="E342" s="31" t="str">
        <f>A337</f>
        <v>5.3.1</v>
      </c>
      <c r="F342" s="32">
        <f>SUM(F338:F341)</f>
        <v>0</v>
      </c>
      <c r="H342" s="135"/>
      <c r="I342" s="135"/>
    </row>
    <row r="343" spans="1:9" ht="15" x14ac:dyDescent="0.2">
      <c r="A343" s="338" t="s">
        <v>203</v>
      </c>
      <c r="B343" s="312" t="s">
        <v>628</v>
      </c>
      <c r="C343" s="313"/>
      <c r="D343" s="313"/>
      <c r="E343" s="313"/>
      <c r="F343" s="314"/>
    </row>
    <row r="344" spans="1:9" s="58" customFormat="1" ht="26.25" thickBot="1" x14ac:dyDescent="0.25">
      <c r="A344" s="339"/>
      <c r="B344" s="25" t="s">
        <v>340</v>
      </c>
      <c r="C344" s="61" t="s">
        <v>18</v>
      </c>
      <c r="D344" s="17">
        <f>D277</f>
        <v>131</v>
      </c>
      <c r="E344" s="65">
        <v>0</v>
      </c>
      <c r="F344" s="66">
        <f>D344*E344</f>
        <v>0</v>
      </c>
      <c r="H344" s="136"/>
      <c r="I344" s="136"/>
    </row>
    <row r="345" spans="1:9" s="9" customFormat="1" ht="15.75" thickBot="1" x14ac:dyDescent="0.25">
      <c r="A345" s="206" t="s">
        <v>25</v>
      </c>
      <c r="B345" s="207"/>
      <c r="C345" s="207"/>
      <c r="D345" s="207"/>
      <c r="E345" s="31" t="str">
        <f>A343</f>
        <v>5.3.2</v>
      </c>
      <c r="F345" s="32">
        <f>SUM(F344:F344)</f>
        <v>0</v>
      </c>
      <c r="H345" s="135"/>
      <c r="I345" s="135"/>
    </row>
    <row r="346" spans="1:9" ht="15" x14ac:dyDescent="0.2">
      <c r="A346" s="338" t="s">
        <v>333</v>
      </c>
      <c r="B346" s="312" t="s">
        <v>629</v>
      </c>
      <c r="C346" s="313"/>
      <c r="D346" s="313"/>
      <c r="E346" s="313"/>
      <c r="F346" s="314"/>
    </row>
    <row r="347" spans="1:9" s="58" customFormat="1" ht="26.25" thickBot="1" x14ac:dyDescent="0.25">
      <c r="A347" s="339"/>
      <c r="B347" s="25" t="s">
        <v>630</v>
      </c>
      <c r="C347" s="61" t="s">
        <v>18</v>
      </c>
      <c r="D347" s="17">
        <f>D344</f>
        <v>131</v>
      </c>
      <c r="E347" s="65">
        <v>0</v>
      </c>
      <c r="F347" s="66">
        <f>D347*E347</f>
        <v>0</v>
      </c>
      <c r="H347" s="136"/>
      <c r="I347" s="136"/>
    </row>
    <row r="348" spans="1:9" s="9" customFormat="1" ht="15.75" thickBot="1" x14ac:dyDescent="0.25">
      <c r="A348" s="206" t="s">
        <v>25</v>
      </c>
      <c r="B348" s="207"/>
      <c r="C348" s="207"/>
      <c r="D348" s="207"/>
      <c r="E348" s="31" t="str">
        <f>A346</f>
        <v>5.3.3</v>
      </c>
      <c r="F348" s="32">
        <f>SUM(F347:F347)</f>
        <v>0</v>
      </c>
      <c r="H348" s="135"/>
      <c r="I348" s="135"/>
    </row>
    <row r="349" spans="1:9" s="9" customFormat="1" ht="15" x14ac:dyDescent="0.2">
      <c r="A349" s="338" t="s">
        <v>344</v>
      </c>
      <c r="B349" s="312" t="s">
        <v>74</v>
      </c>
      <c r="C349" s="313"/>
      <c r="D349" s="313"/>
      <c r="E349" s="313"/>
      <c r="F349" s="314"/>
      <c r="H349" s="135"/>
      <c r="I349" s="135"/>
    </row>
    <row r="350" spans="1:9" s="58" customFormat="1" ht="15" x14ac:dyDescent="0.2">
      <c r="A350" s="339"/>
      <c r="B350" s="25" t="s">
        <v>341</v>
      </c>
      <c r="C350" s="48" t="s">
        <v>18</v>
      </c>
      <c r="D350" s="22">
        <f>SUM(D338:D341)</f>
        <v>279</v>
      </c>
      <c r="E350" s="49">
        <v>0</v>
      </c>
      <c r="F350" s="50">
        <f t="shared" ref="F350:F355" si="35">D350*E350</f>
        <v>0</v>
      </c>
      <c r="H350" s="136"/>
      <c r="I350" s="136"/>
    </row>
    <row r="351" spans="1:9" ht="15" x14ac:dyDescent="0.2">
      <c r="A351" s="339"/>
      <c r="B351" s="25" t="s">
        <v>342</v>
      </c>
      <c r="C351" s="48" t="s">
        <v>18</v>
      </c>
      <c r="D351" s="22">
        <f>D344</f>
        <v>131</v>
      </c>
      <c r="E351" s="49">
        <v>0</v>
      </c>
      <c r="F351" s="50">
        <f t="shared" si="35"/>
        <v>0</v>
      </c>
    </row>
    <row r="352" spans="1:9" ht="15" x14ac:dyDescent="0.2">
      <c r="A352" s="339"/>
      <c r="B352" s="25" t="s">
        <v>262</v>
      </c>
      <c r="C352" s="48" t="s">
        <v>18</v>
      </c>
      <c r="D352" s="22">
        <f>D350</f>
        <v>279</v>
      </c>
      <c r="E352" s="49">
        <v>0</v>
      </c>
      <c r="F352" s="50">
        <f t="shared" si="35"/>
        <v>0</v>
      </c>
    </row>
    <row r="353" spans="1:9" s="58" customFormat="1" ht="15" x14ac:dyDescent="0.2">
      <c r="A353" s="322"/>
      <c r="B353" s="25" t="s">
        <v>263</v>
      </c>
      <c r="C353" s="48" t="s">
        <v>18</v>
      </c>
      <c r="D353" s="22">
        <f>D350</f>
        <v>279</v>
      </c>
      <c r="E353" s="49">
        <v>0</v>
      </c>
      <c r="F353" s="50">
        <f>D353*E353</f>
        <v>0</v>
      </c>
      <c r="H353" s="136"/>
      <c r="I353" s="136"/>
    </row>
    <row r="354" spans="1:9" s="9" customFormat="1" ht="15" x14ac:dyDescent="0.2">
      <c r="A354" s="322"/>
      <c r="B354" s="25" t="s">
        <v>264</v>
      </c>
      <c r="C354" s="48" t="s">
        <v>18</v>
      </c>
      <c r="D354" s="22">
        <f>D351</f>
        <v>131</v>
      </c>
      <c r="E354" s="49">
        <v>0</v>
      </c>
      <c r="F354" s="50">
        <f t="shared" si="35"/>
        <v>0</v>
      </c>
      <c r="H354" s="135"/>
      <c r="I354" s="135"/>
    </row>
    <row r="355" spans="1:9" s="9" customFormat="1" ht="26.25" thickBot="1" x14ac:dyDescent="0.25">
      <c r="A355" s="340"/>
      <c r="B355" s="52" t="s">
        <v>265</v>
      </c>
      <c r="C355" s="53" t="s">
        <v>18</v>
      </c>
      <c r="D355" s="54">
        <f>D351</f>
        <v>131</v>
      </c>
      <c r="E355" s="55">
        <v>0</v>
      </c>
      <c r="F355" s="56">
        <f t="shared" si="35"/>
        <v>0</v>
      </c>
      <c r="H355" s="135"/>
      <c r="I355" s="135"/>
    </row>
    <row r="356" spans="1:9" s="58" customFormat="1" ht="15.75" thickBot="1" x14ac:dyDescent="0.25">
      <c r="A356" s="206" t="s">
        <v>25</v>
      </c>
      <c r="B356" s="207"/>
      <c r="C356" s="207"/>
      <c r="D356" s="207"/>
      <c r="E356" s="31" t="str">
        <f>A349</f>
        <v>5.3.4</v>
      </c>
      <c r="F356" s="32">
        <f>SUM(F350:F355)</f>
        <v>0</v>
      </c>
      <c r="H356" s="136"/>
      <c r="I356" s="136"/>
    </row>
    <row r="357" spans="1:9" s="58" customFormat="1" ht="15" x14ac:dyDescent="0.2">
      <c r="A357" s="338" t="s">
        <v>631</v>
      </c>
      <c r="B357" s="312" t="s">
        <v>177</v>
      </c>
      <c r="C357" s="313"/>
      <c r="D357" s="313"/>
      <c r="E357" s="313"/>
      <c r="F357" s="314"/>
      <c r="H357" s="136"/>
      <c r="I357" s="136"/>
    </row>
    <row r="358" spans="1:9" s="58" customFormat="1" ht="30" customHeight="1" x14ac:dyDescent="0.2">
      <c r="A358" s="339"/>
      <c r="B358" s="25" t="s">
        <v>174</v>
      </c>
      <c r="C358" s="48" t="s">
        <v>18</v>
      </c>
      <c r="D358" s="22">
        <f>D271</f>
        <v>25</v>
      </c>
      <c r="E358" s="49">
        <v>0</v>
      </c>
      <c r="F358" s="50">
        <f>D358*E358</f>
        <v>0</v>
      </c>
      <c r="H358" s="136"/>
      <c r="I358" s="136"/>
    </row>
    <row r="359" spans="1:9" ht="25.5" x14ac:dyDescent="0.2">
      <c r="A359" s="339"/>
      <c r="B359" s="25" t="s">
        <v>343</v>
      </c>
      <c r="C359" s="48" t="s">
        <v>18</v>
      </c>
      <c r="D359" s="22">
        <f>ROUNDUP((D350-D358)*0.3,0)*0+D350-D358</f>
        <v>254</v>
      </c>
      <c r="E359" s="49">
        <v>0</v>
      </c>
      <c r="F359" s="50">
        <f>D359*E359</f>
        <v>0</v>
      </c>
    </row>
    <row r="360" spans="1:9" ht="15.75" thickBot="1" x14ac:dyDescent="0.25">
      <c r="A360" s="340"/>
      <c r="B360" s="52" t="s">
        <v>175</v>
      </c>
      <c r="C360" s="53" t="s">
        <v>16</v>
      </c>
      <c r="D360" s="54">
        <v>1</v>
      </c>
      <c r="E360" s="55">
        <v>0</v>
      </c>
      <c r="F360" s="56">
        <f>D360*E360</f>
        <v>0</v>
      </c>
    </row>
    <row r="361" spans="1:9" ht="15.75" thickBot="1" x14ac:dyDescent="0.25">
      <c r="A361" s="206" t="s">
        <v>25</v>
      </c>
      <c r="B361" s="207"/>
      <c r="C361" s="207"/>
      <c r="D361" s="207"/>
      <c r="E361" s="31" t="str">
        <f>A357</f>
        <v>5.3.5</v>
      </c>
      <c r="F361" s="32">
        <f>SUM(F358:F360)</f>
        <v>0</v>
      </c>
    </row>
    <row r="362" spans="1:9" s="58" customFormat="1" ht="15.75" thickBot="1" x14ac:dyDescent="0.25">
      <c r="A362" s="204" t="s">
        <v>26</v>
      </c>
      <c r="B362" s="223"/>
      <c r="C362" s="223"/>
      <c r="D362" s="223"/>
      <c r="E362" s="109">
        <f>A336</f>
        <v>5.3</v>
      </c>
      <c r="F362" s="110">
        <f>SUM(F342,F356,F361,F345,F348)</f>
        <v>0</v>
      </c>
      <c r="H362" s="136"/>
      <c r="I362" s="136"/>
    </row>
    <row r="363" spans="1:9" s="58" customFormat="1" ht="28.9" customHeight="1" x14ac:dyDescent="0.2">
      <c r="A363" s="95">
        <v>5.4</v>
      </c>
      <c r="B363" s="208" t="s">
        <v>360</v>
      </c>
      <c r="C363" s="209"/>
      <c r="D363" s="209"/>
      <c r="E363" s="209"/>
      <c r="F363" s="210"/>
      <c r="H363" s="136"/>
      <c r="I363" s="136"/>
    </row>
    <row r="364" spans="1:9" ht="15" x14ac:dyDescent="0.2">
      <c r="A364" s="218" t="s">
        <v>358</v>
      </c>
      <c r="B364" s="296" t="s">
        <v>495</v>
      </c>
      <c r="C364" s="336"/>
      <c r="D364" s="336"/>
      <c r="E364" s="336"/>
      <c r="F364" s="337"/>
    </row>
    <row r="365" spans="1:9" ht="38.25" x14ac:dyDescent="0.2">
      <c r="A365" s="212"/>
      <c r="B365" s="25" t="s">
        <v>491</v>
      </c>
      <c r="C365" s="48" t="s">
        <v>16</v>
      </c>
      <c r="D365" s="22">
        <v>1</v>
      </c>
      <c r="E365" s="49">
        <v>0</v>
      </c>
      <c r="F365" s="50">
        <f>D365*E365</f>
        <v>0</v>
      </c>
    </row>
    <row r="366" spans="1:9" ht="39" thickBot="1" x14ac:dyDescent="0.25">
      <c r="A366" s="212"/>
      <c r="B366" s="25" t="s">
        <v>492</v>
      </c>
      <c r="C366" s="48" t="s">
        <v>16</v>
      </c>
      <c r="D366" s="22">
        <v>1</v>
      </c>
      <c r="E366" s="49">
        <v>0</v>
      </c>
      <c r="F366" s="50">
        <f>D366*E366</f>
        <v>0</v>
      </c>
    </row>
    <row r="367" spans="1:9" s="58" customFormat="1" ht="15.75" thickBot="1" x14ac:dyDescent="0.25">
      <c r="A367" s="206" t="s">
        <v>25</v>
      </c>
      <c r="B367" s="207"/>
      <c r="C367" s="207"/>
      <c r="D367" s="207"/>
      <c r="E367" s="31" t="str">
        <f>A364</f>
        <v>5.4.1</v>
      </c>
      <c r="F367" s="32">
        <f>SUM(F365:F366)</f>
        <v>0</v>
      </c>
      <c r="H367" s="136"/>
      <c r="I367" s="136"/>
    </row>
    <row r="368" spans="1:9" ht="15" x14ac:dyDescent="0.2">
      <c r="A368" s="218" t="s">
        <v>359</v>
      </c>
      <c r="B368" s="296" t="s">
        <v>584</v>
      </c>
      <c r="C368" s="336"/>
      <c r="D368" s="336"/>
      <c r="E368" s="336"/>
      <c r="F368" s="337"/>
    </row>
    <row r="369" spans="1:9" ht="15.75" thickBot="1" x14ac:dyDescent="0.25">
      <c r="A369" s="212"/>
      <c r="B369" s="25" t="s">
        <v>583</v>
      </c>
      <c r="C369" s="48" t="s">
        <v>97</v>
      </c>
      <c r="D369" s="187">
        <f>ROUNDUP(2*4*4*0.1,0)+ROUNDUP(5*2*2,0)</f>
        <v>24</v>
      </c>
      <c r="E369" s="49">
        <v>0</v>
      </c>
      <c r="F369" s="50">
        <f>D369*E369</f>
        <v>0</v>
      </c>
    </row>
    <row r="370" spans="1:9" s="58" customFormat="1" ht="15.75" thickBot="1" x14ac:dyDescent="0.25">
      <c r="A370" s="206" t="s">
        <v>25</v>
      </c>
      <c r="B370" s="207"/>
      <c r="C370" s="207"/>
      <c r="D370" s="207"/>
      <c r="E370" s="31" t="str">
        <f>A368</f>
        <v>5.4.2</v>
      </c>
      <c r="F370" s="32">
        <f>SUM(F369:F369)</f>
        <v>0</v>
      </c>
      <c r="H370" s="136"/>
      <c r="I370" s="136"/>
    </row>
    <row r="371" spans="1:9" ht="15" x14ac:dyDescent="0.2">
      <c r="A371" s="218" t="s">
        <v>361</v>
      </c>
      <c r="B371" s="296" t="s">
        <v>351</v>
      </c>
      <c r="C371" s="336"/>
      <c r="D371" s="336"/>
      <c r="E371" s="336"/>
      <c r="F371" s="337"/>
    </row>
    <row r="372" spans="1:9" ht="15" x14ac:dyDescent="0.2">
      <c r="A372" s="212"/>
      <c r="B372" s="25" t="s">
        <v>347</v>
      </c>
      <c r="C372" s="48" t="s">
        <v>97</v>
      </c>
      <c r="D372" s="192">
        <f>51.37+0.4*3</f>
        <v>52.57</v>
      </c>
      <c r="E372" s="49">
        <v>0</v>
      </c>
      <c r="F372" s="50">
        <f>D372*E372</f>
        <v>0</v>
      </c>
    </row>
    <row r="373" spans="1:9" ht="15.75" thickBot="1" x14ac:dyDescent="0.25">
      <c r="A373" s="212"/>
      <c r="B373" s="25" t="s">
        <v>349</v>
      </c>
      <c r="C373" s="48" t="s">
        <v>348</v>
      </c>
      <c r="D373" s="22">
        <f>441.43+4.15*3</f>
        <v>453.88</v>
      </c>
      <c r="E373" s="49">
        <v>0</v>
      </c>
      <c r="F373" s="50">
        <f>D373*E373</f>
        <v>0</v>
      </c>
    </row>
    <row r="374" spans="1:9" s="58" customFormat="1" ht="15.75" thickBot="1" x14ac:dyDescent="0.25">
      <c r="A374" s="206" t="s">
        <v>25</v>
      </c>
      <c r="B374" s="207"/>
      <c r="C374" s="207"/>
      <c r="D374" s="207"/>
      <c r="E374" s="31" t="str">
        <f>A371</f>
        <v>5.4.3</v>
      </c>
      <c r="F374" s="32">
        <f>SUM(F372:F373)</f>
        <v>0</v>
      </c>
      <c r="H374" s="136"/>
      <c r="I374" s="136"/>
    </row>
    <row r="375" spans="1:9" ht="15" x14ac:dyDescent="0.2">
      <c r="A375" s="218" t="s">
        <v>362</v>
      </c>
      <c r="B375" s="296" t="s">
        <v>352</v>
      </c>
      <c r="C375" s="336"/>
      <c r="D375" s="336"/>
      <c r="E375" s="336"/>
      <c r="F375" s="337"/>
    </row>
    <row r="376" spans="1:9" ht="25.5" x14ac:dyDescent="0.2">
      <c r="A376" s="218"/>
      <c r="B376" s="25" t="s">
        <v>353</v>
      </c>
      <c r="C376" s="48" t="s">
        <v>16</v>
      </c>
      <c r="D376" s="22">
        <v>1</v>
      </c>
      <c r="E376" s="49">
        <v>0</v>
      </c>
      <c r="F376" s="50">
        <f>D376*E376</f>
        <v>0</v>
      </c>
    </row>
    <row r="377" spans="1:9" ht="15" x14ac:dyDescent="0.2">
      <c r="A377" s="212"/>
      <c r="B377" s="25" t="s">
        <v>683</v>
      </c>
      <c r="C377" s="48" t="s">
        <v>97</v>
      </c>
      <c r="D377" s="22">
        <v>31.71</v>
      </c>
      <c r="E377" s="49">
        <v>0</v>
      </c>
      <c r="F377" s="50">
        <f>D377*E377</f>
        <v>0</v>
      </c>
    </row>
    <row r="378" spans="1:9" ht="15.75" thickBot="1" x14ac:dyDescent="0.25">
      <c r="A378" s="212"/>
      <c r="B378" s="25" t="s">
        <v>684</v>
      </c>
      <c r="C378" s="48" t="s">
        <v>348</v>
      </c>
      <c r="D378" s="22">
        <v>2760.62</v>
      </c>
      <c r="E378" s="49">
        <v>0</v>
      </c>
      <c r="F378" s="50">
        <f>D378*E378</f>
        <v>0</v>
      </c>
    </row>
    <row r="379" spans="1:9" s="58" customFormat="1" ht="15.75" thickBot="1" x14ac:dyDescent="0.25">
      <c r="A379" s="206" t="s">
        <v>25</v>
      </c>
      <c r="B379" s="207"/>
      <c r="C379" s="207"/>
      <c r="D379" s="207"/>
      <c r="E379" s="31" t="str">
        <f>A375</f>
        <v>5.4.4</v>
      </c>
      <c r="F379" s="32">
        <f>SUM(F376:F378)</f>
        <v>0</v>
      </c>
      <c r="H379" s="136"/>
      <c r="I379" s="136"/>
    </row>
    <row r="380" spans="1:9" ht="13.9" customHeight="1" x14ac:dyDescent="0.2">
      <c r="A380" s="218" t="s">
        <v>363</v>
      </c>
      <c r="B380" s="296" t="s">
        <v>623</v>
      </c>
      <c r="C380" s="336"/>
      <c r="D380" s="336"/>
      <c r="E380" s="336"/>
      <c r="F380" s="337"/>
    </row>
    <row r="381" spans="1:9" ht="25.5" x14ac:dyDescent="0.2">
      <c r="A381" s="212"/>
      <c r="B381" s="25" t="s">
        <v>662</v>
      </c>
      <c r="C381" s="48" t="s">
        <v>97</v>
      </c>
      <c r="D381" s="192">
        <f>485+3.6*3</f>
        <v>495.8</v>
      </c>
      <c r="E381" s="49">
        <v>0</v>
      </c>
      <c r="F381" s="50">
        <f>D381*E381</f>
        <v>0</v>
      </c>
    </row>
    <row r="382" spans="1:9" ht="15.75" thickBot="1" x14ac:dyDescent="0.25">
      <c r="A382" s="212"/>
      <c r="B382" s="25" t="s">
        <v>350</v>
      </c>
      <c r="C382" s="48" t="s">
        <v>97</v>
      </c>
      <c r="D382" s="22">
        <v>55</v>
      </c>
      <c r="E382" s="49">
        <v>0</v>
      </c>
      <c r="F382" s="50">
        <f>D382*E382</f>
        <v>0</v>
      </c>
    </row>
    <row r="383" spans="1:9" s="58" customFormat="1" ht="15.75" thickBot="1" x14ac:dyDescent="0.25">
      <c r="A383" s="206" t="s">
        <v>25</v>
      </c>
      <c r="B383" s="207"/>
      <c r="C383" s="207"/>
      <c r="D383" s="207"/>
      <c r="E383" s="31" t="str">
        <f>A380</f>
        <v>5.4.5</v>
      </c>
      <c r="F383" s="32">
        <f>SUM(F381:F382)</f>
        <v>0</v>
      </c>
      <c r="H383" s="136"/>
      <c r="I383" s="136"/>
    </row>
    <row r="384" spans="1:9" ht="32.450000000000003" customHeight="1" x14ac:dyDescent="0.2">
      <c r="A384" s="218" t="s">
        <v>364</v>
      </c>
      <c r="B384" s="257" t="s">
        <v>622</v>
      </c>
      <c r="C384" s="258"/>
      <c r="D384" s="258"/>
      <c r="E384" s="258"/>
      <c r="F384" s="259"/>
    </row>
    <row r="385" spans="1:9" ht="25.5" x14ac:dyDescent="0.2">
      <c r="A385" s="212"/>
      <c r="B385" s="25" t="s">
        <v>663</v>
      </c>
      <c r="C385" s="48" t="s">
        <v>97</v>
      </c>
      <c r="D385" s="22">
        <f>355+3.6*3</f>
        <v>365.8</v>
      </c>
      <c r="E385" s="49">
        <v>0</v>
      </c>
      <c r="F385" s="50">
        <f>D385*E385</f>
        <v>0</v>
      </c>
    </row>
    <row r="386" spans="1:9" s="58" customFormat="1" ht="26.25" thickBot="1" x14ac:dyDescent="0.25">
      <c r="A386" s="212"/>
      <c r="B386" s="25" t="s">
        <v>664</v>
      </c>
      <c r="C386" s="48" t="s">
        <v>97</v>
      </c>
      <c r="D386" s="22">
        <f>475+3.6*3</f>
        <v>485.8</v>
      </c>
      <c r="E386" s="49">
        <v>0</v>
      </c>
      <c r="F386" s="50">
        <f>D386*E386</f>
        <v>0</v>
      </c>
      <c r="H386" s="136"/>
      <c r="I386" s="136"/>
    </row>
    <row r="387" spans="1:9" ht="15.75" thickBot="1" x14ac:dyDescent="0.25">
      <c r="A387" s="206" t="s">
        <v>25</v>
      </c>
      <c r="B387" s="207"/>
      <c r="C387" s="207"/>
      <c r="D387" s="207"/>
      <c r="E387" s="31" t="str">
        <f>A384</f>
        <v>5.4.6</v>
      </c>
      <c r="F387" s="32">
        <f>SUM(F385:F386)</f>
        <v>0</v>
      </c>
    </row>
    <row r="388" spans="1:9" s="58" customFormat="1" ht="15" x14ac:dyDescent="0.2">
      <c r="A388" s="343" t="s">
        <v>493</v>
      </c>
      <c r="B388" s="268" t="s">
        <v>155</v>
      </c>
      <c r="C388" s="269"/>
      <c r="D388" s="269"/>
      <c r="E388" s="269"/>
      <c r="F388" s="270"/>
      <c r="H388" s="136"/>
      <c r="I388" s="136"/>
    </row>
    <row r="389" spans="1:9" s="9" customFormat="1" ht="15" x14ac:dyDescent="0.2">
      <c r="A389" s="212"/>
      <c r="B389" s="25" t="s">
        <v>354</v>
      </c>
      <c r="C389" s="48" t="s">
        <v>18</v>
      </c>
      <c r="D389" s="22">
        <f>D320</f>
        <v>108</v>
      </c>
      <c r="E389" s="49">
        <v>0</v>
      </c>
      <c r="F389" s="50">
        <f>D389*E389</f>
        <v>0</v>
      </c>
      <c r="H389" s="135"/>
      <c r="I389" s="135"/>
    </row>
    <row r="390" spans="1:9" s="1" customFormat="1" ht="18" x14ac:dyDescent="0.25">
      <c r="A390" s="212"/>
      <c r="B390" s="25" t="s">
        <v>355</v>
      </c>
      <c r="C390" s="48" t="s">
        <v>18</v>
      </c>
      <c r="D390" s="22">
        <v>26</v>
      </c>
      <c r="E390" s="49">
        <v>0</v>
      </c>
      <c r="F390" s="50">
        <f>D390*E390</f>
        <v>0</v>
      </c>
      <c r="H390" s="138"/>
      <c r="I390" s="138"/>
    </row>
    <row r="391" spans="1:9" s="1" customFormat="1" ht="18" x14ac:dyDescent="0.25">
      <c r="A391" s="212"/>
      <c r="B391" s="25" t="s">
        <v>357</v>
      </c>
      <c r="C391" s="48" t="s">
        <v>18</v>
      </c>
      <c r="D391" s="22">
        <f>D323*3</f>
        <v>3</v>
      </c>
      <c r="E391" s="49">
        <v>0</v>
      </c>
      <c r="F391" s="50">
        <f>D391*E391</f>
        <v>0</v>
      </c>
      <c r="H391" s="138"/>
      <c r="I391" s="138"/>
    </row>
    <row r="392" spans="1:9" s="1" customFormat="1" ht="18.75" thickBot="1" x14ac:dyDescent="0.3">
      <c r="A392" s="212"/>
      <c r="B392" s="25" t="s">
        <v>356</v>
      </c>
      <c r="C392" s="48" t="s">
        <v>18</v>
      </c>
      <c r="D392" s="22">
        <v>0</v>
      </c>
      <c r="E392" s="49">
        <v>0</v>
      </c>
      <c r="F392" s="50">
        <f>D392*E392</f>
        <v>0</v>
      </c>
      <c r="H392" s="138"/>
      <c r="I392" s="138"/>
    </row>
    <row r="393" spans="1:9" s="9" customFormat="1" ht="15.75" thickBot="1" x14ac:dyDescent="0.25">
      <c r="A393" s="206" t="s">
        <v>25</v>
      </c>
      <c r="B393" s="207"/>
      <c r="C393" s="207"/>
      <c r="D393" s="207"/>
      <c r="E393" s="31" t="str">
        <f>A388</f>
        <v>5.4.7</v>
      </c>
      <c r="F393" s="32">
        <f>SUM(F389:F392)</f>
        <v>0</v>
      </c>
      <c r="H393" s="135"/>
      <c r="I393" s="135"/>
    </row>
    <row r="394" spans="1:9" ht="13.9" customHeight="1" x14ac:dyDescent="0.2">
      <c r="A394" s="218" t="s">
        <v>582</v>
      </c>
      <c r="B394" s="296" t="s">
        <v>494</v>
      </c>
      <c r="C394" s="336"/>
      <c r="D394" s="336"/>
      <c r="E394" s="336"/>
      <c r="F394" s="337"/>
    </row>
    <row r="395" spans="1:9" ht="26.25" thickBot="1" x14ac:dyDescent="0.25">
      <c r="A395" s="212"/>
      <c r="B395" s="25" t="s">
        <v>665</v>
      </c>
      <c r="C395" s="48" t="s">
        <v>97</v>
      </c>
      <c r="D395" s="22">
        <f>D385+D382+D369+ROUNDUP(0.98*(107+1)+0.68*(56+2+2),0)</f>
        <v>591.79999999999995</v>
      </c>
      <c r="E395" s="49">
        <v>0</v>
      </c>
      <c r="F395" s="50">
        <f>D395*E395</f>
        <v>0</v>
      </c>
    </row>
    <row r="396" spans="1:9" s="58" customFormat="1" ht="15.75" thickBot="1" x14ac:dyDescent="0.25">
      <c r="A396" s="206" t="s">
        <v>25</v>
      </c>
      <c r="B396" s="207"/>
      <c r="C396" s="207"/>
      <c r="D396" s="207"/>
      <c r="E396" s="31" t="str">
        <f>A394</f>
        <v>5.4.8</v>
      </c>
      <c r="F396" s="32">
        <f>SUM(F395:F395)</f>
        <v>0</v>
      </c>
      <c r="H396" s="136"/>
      <c r="I396" s="136"/>
    </row>
    <row r="397" spans="1:9" s="58" customFormat="1" ht="15.75" thickBot="1" x14ac:dyDescent="0.25">
      <c r="A397" s="294" t="s">
        <v>26</v>
      </c>
      <c r="B397" s="295"/>
      <c r="C397" s="295"/>
      <c r="D397" s="295"/>
      <c r="E397" s="152">
        <f>A363</f>
        <v>5.4</v>
      </c>
      <c r="F397" s="153">
        <f>SUM(F367,F374,F383,F393,F387,F379,F396,F370)</f>
        <v>0</v>
      </c>
      <c r="H397" s="136"/>
      <c r="I397" s="136"/>
    </row>
    <row r="398" spans="1:9" s="58" customFormat="1" ht="17.25" thickTop="1" thickBot="1" x14ac:dyDescent="0.25">
      <c r="A398" s="220" t="s">
        <v>205</v>
      </c>
      <c r="B398" s="221"/>
      <c r="C398" s="221"/>
      <c r="D398" s="221"/>
      <c r="E398" s="222"/>
      <c r="F398" s="120">
        <f>SUM(F317,F335,F362,F397)</f>
        <v>0</v>
      </c>
      <c r="H398" s="136"/>
      <c r="I398" s="136"/>
    </row>
    <row r="399" spans="1:9" s="58" customFormat="1" ht="17.25" thickTop="1" thickBot="1" x14ac:dyDescent="0.25">
      <c r="A399" s="341"/>
      <c r="B399" s="342"/>
      <c r="C399" s="250" t="s">
        <v>10</v>
      </c>
      <c r="D399" s="251"/>
      <c r="E399" s="251"/>
      <c r="F399" s="252"/>
      <c r="H399" s="136"/>
      <c r="I399" s="136"/>
    </row>
    <row r="400" spans="1:9" s="58" customFormat="1" ht="33" thickTop="1" thickBot="1" x14ac:dyDescent="0.25">
      <c r="A400" s="5" t="s">
        <v>11</v>
      </c>
      <c r="B400" s="6" t="s">
        <v>77</v>
      </c>
      <c r="C400" s="6" t="s">
        <v>12</v>
      </c>
      <c r="D400" s="6" t="s">
        <v>13</v>
      </c>
      <c r="E400" s="7" t="s">
        <v>14</v>
      </c>
      <c r="F400" s="8" t="s">
        <v>15</v>
      </c>
      <c r="H400" s="136"/>
      <c r="I400" s="136"/>
    </row>
    <row r="401" spans="1:9" s="58" customFormat="1" ht="17.25" thickTop="1" thickBot="1" x14ac:dyDescent="0.25">
      <c r="A401" s="333" t="s">
        <v>204</v>
      </c>
      <c r="B401" s="334"/>
      <c r="C401" s="334"/>
      <c r="D401" s="334"/>
      <c r="E401" s="334"/>
      <c r="F401" s="335"/>
      <c r="H401" s="136"/>
      <c r="I401" s="136"/>
    </row>
    <row r="402" spans="1:9" s="58" customFormat="1" ht="36" customHeight="1" x14ac:dyDescent="0.2">
      <c r="A402" s="95">
        <v>6.1</v>
      </c>
      <c r="B402" s="208" t="s">
        <v>436</v>
      </c>
      <c r="C402" s="209"/>
      <c r="D402" s="209"/>
      <c r="E402" s="209"/>
      <c r="F402" s="210"/>
      <c r="H402" s="136"/>
      <c r="I402" s="136"/>
    </row>
    <row r="403" spans="1:9" s="58" customFormat="1" ht="28.9" customHeight="1" x14ac:dyDescent="0.2">
      <c r="A403" s="211" t="s">
        <v>8</v>
      </c>
      <c r="B403" s="327" t="s">
        <v>437</v>
      </c>
      <c r="C403" s="328"/>
      <c r="D403" s="328"/>
      <c r="E403" s="328"/>
      <c r="F403" s="329"/>
      <c r="H403" s="136"/>
      <c r="I403" s="136"/>
    </row>
    <row r="404" spans="1:9" s="58" customFormat="1" ht="15" x14ac:dyDescent="0.2">
      <c r="A404" s="212"/>
      <c r="B404" s="25" t="s">
        <v>433</v>
      </c>
      <c r="C404" s="48" t="s">
        <v>17</v>
      </c>
      <c r="D404" s="71">
        <f>(230+3)*3+10*6*3</f>
        <v>879</v>
      </c>
      <c r="E404" s="49">
        <v>0</v>
      </c>
      <c r="F404" s="50">
        <f>D404*E404</f>
        <v>0</v>
      </c>
      <c r="H404" s="136"/>
      <c r="I404" s="136"/>
    </row>
    <row r="405" spans="1:9" s="58" customFormat="1" ht="25.5" x14ac:dyDescent="0.2">
      <c r="A405" s="212"/>
      <c r="B405" s="25" t="s">
        <v>266</v>
      </c>
      <c r="C405" s="48" t="s">
        <v>18</v>
      </c>
      <c r="D405" s="130">
        <f>214+3</f>
        <v>217</v>
      </c>
      <c r="E405" s="49">
        <v>0</v>
      </c>
      <c r="F405" s="50">
        <f>D405*E405</f>
        <v>0</v>
      </c>
      <c r="H405" s="136"/>
      <c r="I405" s="136"/>
    </row>
    <row r="406" spans="1:9" s="58" customFormat="1" ht="25.5" x14ac:dyDescent="0.2">
      <c r="A406" s="212"/>
      <c r="B406" s="25" t="s">
        <v>267</v>
      </c>
      <c r="C406" s="48" t="s">
        <v>18</v>
      </c>
      <c r="D406" s="71">
        <f>508+6</f>
        <v>514</v>
      </c>
      <c r="E406" s="49">
        <v>0</v>
      </c>
      <c r="F406" s="50">
        <f>D406*E406</f>
        <v>0</v>
      </c>
      <c r="H406" s="136"/>
      <c r="I406" s="136"/>
    </row>
    <row r="407" spans="1:9" s="58" customFormat="1" ht="26.25" thickBot="1" x14ac:dyDescent="0.25">
      <c r="A407" s="212"/>
      <c r="B407" s="25" t="s">
        <v>444</v>
      </c>
      <c r="C407" s="48" t="s">
        <v>18</v>
      </c>
      <c r="D407" s="130">
        <f>10*4</f>
        <v>40</v>
      </c>
      <c r="E407" s="49">
        <v>0</v>
      </c>
      <c r="F407" s="167">
        <f>D407*E407</f>
        <v>0</v>
      </c>
      <c r="H407" s="136"/>
      <c r="I407" s="136"/>
    </row>
    <row r="408" spans="1:9" s="58" customFormat="1" ht="15.75" thickBot="1" x14ac:dyDescent="0.25">
      <c r="A408" s="264" t="s">
        <v>25</v>
      </c>
      <c r="B408" s="265"/>
      <c r="C408" s="265"/>
      <c r="D408" s="265"/>
      <c r="E408" s="73" t="str">
        <f>A403</f>
        <v>6.1.1</v>
      </c>
      <c r="F408" s="74">
        <f>SUM(F404:F407)</f>
        <v>0</v>
      </c>
      <c r="H408" s="136"/>
      <c r="I408" s="136"/>
    </row>
    <row r="409" spans="1:9" s="58" customFormat="1" ht="15.75" thickBot="1" x14ac:dyDescent="0.25">
      <c r="A409" s="294" t="s">
        <v>26</v>
      </c>
      <c r="B409" s="223"/>
      <c r="C409" s="223"/>
      <c r="D409" s="223"/>
      <c r="E409" s="109">
        <f>A402</f>
        <v>6.1</v>
      </c>
      <c r="F409" s="110">
        <f>SUM(F408)</f>
        <v>0</v>
      </c>
      <c r="H409" s="136"/>
      <c r="I409" s="136"/>
    </row>
    <row r="410" spans="1:9" s="58" customFormat="1" ht="28.9" customHeight="1" x14ac:dyDescent="0.2">
      <c r="A410" s="95">
        <v>6.2</v>
      </c>
      <c r="B410" s="208" t="s">
        <v>440</v>
      </c>
      <c r="C410" s="209"/>
      <c r="D410" s="209"/>
      <c r="E410" s="209"/>
      <c r="F410" s="210"/>
      <c r="H410" s="136"/>
      <c r="I410" s="136"/>
    </row>
    <row r="411" spans="1:9" s="58" customFormat="1" ht="15" x14ac:dyDescent="0.2">
      <c r="A411" s="212" t="s">
        <v>206</v>
      </c>
      <c r="B411" s="327" t="s">
        <v>439</v>
      </c>
      <c r="C411" s="328"/>
      <c r="D411" s="328"/>
      <c r="E411" s="328"/>
      <c r="F411" s="329"/>
      <c r="H411" s="136"/>
      <c r="I411" s="136"/>
    </row>
    <row r="412" spans="1:9" ht="15" x14ac:dyDescent="0.2">
      <c r="A412" s="212"/>
      <c r="B412" s="25" t="s">
        <v>433</v>
      </c>
      <c r="C412" s="48" t="s">
        <v>18</v>
      </c>
      <c r="D412" s="67">
        <f>D404</f>
        <v>879</v>
      </c>
      <c r="E412" s="49">
        <v>0</v>
      </c>
      <c r="F412" s="50">
        <f>D412*E412</f>
        <v>0</v>
      </c>
    </row>
    <row r="413" spans="1:9" ht="25.5" x14ac:dyDescent="0.2">
      <c r="A413" s="212"/>
      <c r="B413" s="25" t="s">
        <v>266</v>
      </c>
      <c r="C413" s="48" t="s">
        <v>18</v>
      </c>
      <c r="D413" s="67">
        <f>D405</f>
        <v>217</v>
      </c>
      <c r="E413" s="49">
        <v>0</v>
      </c>
      <c r="F413" s="50">
        <f>D413*E413</f>
        <v>0</v>
      </c>
    </row>
    <row r="414" spans="1:9" ht="25.5" x14ac:dyDescent="0.2">
      <c r="A414" s="212"/>
      <c r="B414" s="25" t="s">
        <v>267</v>
      </c>
      <c r="C414" s="48" t="s">
        <v>18</v>
      </c>
      <c r="D414" s="67">
        <f>D406</f>
        <v>514</v>
      </c>
      <c r="E414" s="49">
        <v>0</v>
      </c>
      <c r="F414" s="50">
        <f>D414*E414</f>
        <v>0</v>
      </c>
    </row>
    <row r="415" spans="1:9" ht="25.5" x14ac:dyDescent="0.2">
      <c r="A415" s="212"/>
      <c r="B415" s="25" t="s">
        <v>444</v>
      </c>
      <c r="C415" s="48" t="s">
        <v>18</v>
      </c>
      <c r="D415" s="67">
        <f>D407</f>
        <v>40</v>
      </c>
      <c r="E415" s="49">
        <v>0</v>
      </c>
      <c r="F415" s="50">
        <f>D415*E415</f>
        <v>0</v>
      </c>
    </row>
    <row r="416" spans="1:9" ht="26.25" thickBot="1" x14ac:dyDescent="0.25">
      <c r="A416" s="213"/>
      <c r="B416" s="30" t="s">
        <v>445</v>
      </c>
      <c r="C416" s="147" t="s">
        <v>348</v>
      </c>
      <c r="D416" s="151">
        <v>315</v>
      </c>
      <c r="E416" s="148">
        <v>0</v>
      </c>
      <c r="F416" s="149">
        <f>D416*E416</f>
        <v>0</v>
      </c>
    </row>
    <row r="417" spans="1:9" ht="15.75" thickBot="1" x14ac:dyDescent="0.25">
      <c r="A417" s="206" t="s">
        <v>25</v>
      </c>
      <c r="B417" s="207"/>
      <c r="C417" s="207"/>
      <c r="D417" s="207"/>
      <c r="E417" s="31" t="str">
        <f>A411</f>
        <v>6.2.1</v>
      </c>
      <c r="F417" s="32">
        <f>SUM(F412:F416)</f>
        <v>0</v>
      </c>
    </row>
    <row r="418" spans="1:9" ht="15" x14ac:dyDescent="0.2">
      <c r="A418" s="261" t="s">
        <v>207</v>
      </c>
      <c r="B418" s="312" t="s">
        <v>9</v>
      </c>
      <c r="C418" s="313"/>
      <c r="D418" s="313"/>
      <c r="E418" s="313"/>
      <c r="F418" s="314"/>
    </row>
    <row r="419" spans="1:9" s="58" customFormat="1" ht="38.25" x14ac:dyDescent="0.2">
      <c r="A419" s="263"/>
      <c r="B419" s="25" t="s">
        <v>434</v>
      </c>
      <c r="C419" s="48" t="s">
        <v>97</v>
      </c>
      <c r="D419" s="75">
        <f>154*0.3*1*2+4*0.3*1*2+10*0.3*0.55+(70+27)*2*0.3*0.55+0.3*3*3</f>
        <v>131.16</v>
      </c>
      <c r="E419" s="49">
        <v>0</v>
      </c>
      <c r="F419" s="50">
        <f t="shared" ref="F419:F426" si="36">D419*E419</f>
        <v>0</v>
      </c>
      <c r="H419" s="136"/>
      <c r="I419" s="136"/>
    </row>
    <row r="420" spans="1:9" s="58" customFormat="1" ht="15" x14ac:dyDescent="0.2">
      <c r="A420" s="263"/>
      <c r="B420" s="25" t="s">
        <v>435</v>
      </c>
      <c r="C420" s="48" t="s">
        <v>18</v>
      </c>
      <c r="D420" s="67">
        <f>154+2*4+2+4+3</f>
        <v>171</v>
      </c>
      <c r="E420" s="49">
        <v>0</v>
      </c>
      <c r="F420" s="50">
        <f t="shared" si="36"/>
        <v>0</v>
      </c>
      <c r="H420" s="136"/>
      <c r="I420" s="136"/>
    </row>
    <row r="421" spans="1:9" s="58" customFormat="1" ht="15" x14ac:dyDescent="0.2">
      <c r="A421" s="263"/>
      <c r="B421" s="25" t="s">
        <v>446</v>
      </c>
      <c r="C421" s="48" t="s">
        <v>18</v>
      </c>
      <c r="D421" s="67">
        <f>D420+2</f>
        <v>173</v>
      </c>
      <c r="E421" s="49">
        <v>0</v>
      </c>
      <c r="F421" s="50">
        <f t="shared" si="36"/>
        <v>0</v>
      </c>
      <c r="H421" s="136"/>
      <c r="I421" s="136"/>
    </row>
    <row r="422" spans="1:9" ht="15" x14ac:dyDescent="0.2">
      <c r="A422" s="263"/>
      <c r="B422" s="25" t="s">
        <v>447</v>
      </c>
      <c r="C422" s="48" t="s">
        <v>18</v>
      </c>
      <c r="D422" s="129">
        <v>4</v>
      </c>
      <c r="E422" s="49">
        <v>0</v>
      </c>
      <c r="F422" s="167">
        <f>D422*E422</f>
        <v>0</v>
      </c>
    </row>
    <row r="423" spans="1:9" ht="38.25" x14ac:dyDescent="0.2">
      <c r="A423" s="263"/>
      <c r="B423" s="25" t="s">
        <v>268</v>
      </c>
      <c r="C423" s="48" t="s">
        <v>18</v>
      </c>
      <c r="D423" s="67">
        <f>D421</f>
        <v>173</v>
      </c>
      <c r="E423" s="49">
        <v>0</v>
      </c>
      <c r="F423" s="50">
        <f t="shared" si="36"/>
        <v>0</v>
      </c>
    </row>
    <row r="424" spans="1:9" ht="25.5" x14ac:dyDescent="0.2">
      <c r="A424" s="263"/>
      <c r="B424" s="25" t="s">
        <v>624</v>
      </c>
      <c r="C424" s="48" t="s">
        <v>97</v>
      </c>
      <c r="D424" s="75">
        <f>154*0.3*0.15*2+4*0.3*0.15*2+10*0.3*0.15+(70+27)*2*0.3*0.15</f>
        <v>23.399999999999995</v>
      </c>
      <c r="E424" s="49">
        <v>0</v>
      </c>
      <c r="F424" s="50">
        <f t="shared" si="36"/>
        <v>0</v>
      </c>
    </row>
    <row r="425" spans="1:9" s="58" customFormat="1" ht="25.5" x14ac:dyDescent="0.2">
      <c r="A425" s="211"/>
      <c r="B425" s="25" t="s">
        <v>448</v>
      </c>
      <c r="C425" s="48" t="s">
        <v>97</v>
      </c>
      <c r="D425" s="75">
        <f>(70+27)*2*0.1*0.3</f>
        <v>5.82</v>
      </c>
      <c r="E425" s="49">
        <v>0</v>
      </c>
      <c r="F425" s="50">
        <f>D425*E425</f>
        <v>0</v>
      </c>
      <c r="H425" s="136"/>
      <c r="I425" s="136"/>
    </row>
    <row r="426" spans="1:9" ht="15.75" thickBot="1" x14ac:dyDescent="0.25">
      <c r="A426" s="385"/>
      <c r="B426" s="52" t="s">
        <v>269</v>
      </c>
      <c r="C426" s="53" t="s">
        <v>97</v>
      </c>
      <c r="D426" s="75">
        <f>D419-D424-D425</f>
        <v>101.94</v>
      </c>
      <c r="E426" s="55">
        <v>0</v>
      </c>
      <c r="F426" s="56">
        <f t="shared" si="36"/>
        <v>0</v>
      </c>
    </row>
    <row r="427" spans="1:9" ht="15.75" thickBot="1" x14ac:dyDescent="0.25">
      <c r="A427" s="206" t="s">
        <v>25</v>
      </c>
      <c r="B427" s="207"/>
      <c r="C427" s="207"/>
      <c r="D427" s="207"/>
      <c r="E427" s="31" t="str">
        <f>A418</f>
        <v>6.2.2</v>
      </c>
      <c r="F427" s="32">
        <f>SUM(F419:F426)</f>
        <v>0</v>
      </c>
    </row>
    <row r="428" spans="1:9" s="58" customFormat="1" ht="15" x14ac:dyDescent="0.2">
      <c r="A428" s="343" t="s">
        <v>208</v>
      </c>
      <c r="B428" s="312" t="s">
        <v>75</v>
      </c>
      <c r="C428" s="313"/>
      <c r="D428" s="313"/>
      <c r="E428" s="313"/>
      <c r="F428" s="314"/>
      <c r="H428" s="136"/>
      <c r="I428" s="136"/>
    </row>
    <row r="429" spans="1:9" s="58" customFormat="1" ht="15" x14ac:dyDescent="0.2">
      <c r="A429" s="212"/>
      <c r="B429" s="25" t="s">
        <v>438</v>
      </c>
      <c r="C429" s="48" t="s">
        <v>18</v>
      </c>
      <c r="D429" s="22">
        <f>158+10</f>
        <v>168</v>
      </c>
      <c r="E429" s="49">
        <v>0</v>
      </c>
      <c r="F429" s="50">
        <f>D429*E429</f>
        <v>0</v>
      </c>
      <c r="H429" s="136"/>
      <c r="I429" s="136"/>
    </row>
    <row r="430" spans="1:9" s="58" customFormat="1" ht="15.75" thickBot="1" x14ac:dyDescent="0.25">
      <c r="A430" s="213"/>
      <c r="B430" s="52" t="s">
        <v>76</v>
      </c>
      <c r="C430" s="53" t="s">
        <v>16</v>
      </c>
      <c r="D430" s="54">
        <v>1</v>
      </c>
      <c r="E430" s="55">
        <v>0</v>
      </c>
      <c r="F430" s="56">
        <f>D430*E430</f>
        <v>0</v>
      </c>
      <c r="H430" s="136"/>
      <c r="I430" s="136"/>
    </row>
    <row r="431" spans="1:9" s="58" customFormat="1" ht="15.75" thickBot="1" x14ac:dyDescent="0.25">
      <c r="A431" s="206" t="s">
        <v>25</v>
      </c>
      <c r="B431" s="207"/>
      <c r="C431" s="207"/>
      <c r="D431" s="207"/>
      <c r="E431" s="31" t="str">
        <f>A428</f>
        <v>6.2.3</v>
      </c>
      <c r="F431" s="32">
        <f>SUM(F429:F430)</f>
        <v>0</v>
      </c>
      <c r="H431" s="136"/>
      <c r="I431" s="136"/>
    </row>
    <row r="432" spans="1:9" ht="15" x14ac:dyDescent="0.2">
      <c r="A432" s="260" t="s">
        <v>209</v>
      </c>
      <c r="B432" s="312" t="s">
        <v>442</v>
      </c>
      <c r="C432" s="313"/>
      <c r="D432" s="313"/>
      <c r="E432" s="313"/>
      <c r="F432" s="314"/>
    </row>
    <row r="433" spans="1:9" s="58" customFormat="1" ht="38.25" x14ac:dyDescent="0.2">
      <c r="A433" s="261"/>
      <c r="B433" s="25" t="s">
        <v>441</v>
      </c>
      <c r="C433" s="48" t="s">
        <v>97</v>
      </c>
      <c r="D433" s="75">
        <f>10*6*3*1*0.3</f>
        <v>54</v>
      </c>
      <c r="E433" s="49">
        <v>0</v>
      </c>
      <c r="F433" s="50">
        <f t="shared" ref="F433:F440" si="37">D433*E433</f>
        <v>0</v>
      </c>
      <c r="H433" s="136"/>
      <c r="I433" s="136"/>
    </row>
    <row r="434" spans="1:9" s="58" customFormat="1" ht="15" x14ac:dyDescent="0.2">
      <c r="A434" s="261"/>
      <c r="B434" s="25" t="s">
        <v>443</v>
      </c>
      <c r="C434" s="48" t="s">
        <v>18</v>
      </c>
      <c r="D434" s="67">
        <f>4*10</f>
        <v>40</v>
      </c>
      <c r="E434" s="49">
        <v>0</v>
      </c>
      <c r="F434" s="50">
        <f t="shared" si="37"/>
        <v>0</v>
      </c>
      <c r="H434" s="136"/>
      <c r="I434" s="136"/>
    </row>
    <row r="435" spans="1:9" s="58" customFormat="1" ht="15" x14ac:dyDescent="0.2">
      <c r="A435" s="261"/>
      <c r="B435" s="25" t="s">
        <v>687</v>
      </c>
      <c r="C435" s="48" t="s">
        <v>18</v>
      </c>
      <c r="D435" s="67">
        <f>10*3</f>
        <v>30</v>
      </c>
      <c r="E435" s="49">
        <v>0</v>
      </c>
      <c r="F435" s="50">
        <f t="shared" si="37"/>
        <v>0</v>
      </c>
      <c r="H435" s="136"/>
      <c r="I435" s="136"/>
    </row>
    <row r="436" spans="1:9" s="58" customFormat="1" ht="15" x14ac:dyDescent="0.2">
      <c r="A436" s="261"/>
      <c r="B436" s="25" t="s">
        <v>688</v>
      </c>
      <c r="C436" s="48" t="s">
        <v>18</v>
      </c>
      <c r="D436" s="67">
        <f>D434</f>
        <v>40</v>
      </c>
      <c r="E436" s="49">
        <v>0</v>
      </c>
      <c r="F436" s="50">
        <f t="shared" ref="F436" si="38">D436*E436</f>
        <v>0</v>
      </c>
      <c r="H436" s="136"/>
      <c r="I436" s="136"/>
    </row>
    <row r="437" spans="1:9" s="58" customFormat="1" ht="31.5" customHeight="1" x14ac:dyDescent="0.2">
      <c r="A437" s="261"/>
      <c r="B437" s="25" t="s">
        <v>689</v>
      </c>
      <c r="C437" s="48" t="s">
        <v>18</v>
      </c>
      <c r="D437" s="67">
        <f>D434</f>
        <v>40</v>
      </c>
      <c r="E437" s="49">
        <v>0</v>
      </c>
      <c r="F437" s="50">
        <f t="shared" si="37"/>
        <v>0</v>
      </c>
      <c r="H437" s="136"/>
      <c r="I437" s="136"/>
    </row>
    <row r="438" spans="1:9" s="58" customFormat="1" ht="15" x14ac:dyDescent="0.2">
      <c r="A438" s="261"/>
      <c r="B438" s="25" t="s">
        <v>625</v>
      </c>
      <c r="C438" s="48" t="s">
        <v>97</v>
      </c>
      <c r="D438" s="75">
        <f>D434*3*PI()*0.05^2</f>
        <v>0.94247779607693805</v>
      </c>
      <c r="E438" s="49">
        <v>0</v>
      </c>
      <c r="F438" s="50">
        <f t="shared" si="37"/>
        <v>0</v>
      </c>
      <c r="H438" s="136"/>
      <c r="I438" s="136"/>
    </row>
    <row r="439" spans="1:9" s="58" customFormat="1" ht="25.5" x14ac:dyDescent="0.2">
      <c r="A439" s="261"/>
      <c r="B439" s="25" t="s">
        <v>626</v>
      </c>
      <c r="C439" s="48" t="s">
        <v>97</v>
      </c>
      <c r="D439" s="75">
        <f>10*6*3*0.15*0.3</f>
        <v>8.1</v>
      </c>
      <c r="E439" s="49">
        <v>0</v>
      </c>
      <c r="F439" s="50">
        <f t="shared" si="37"/>
        <v>0</v>
      </c>
      <c r="H439" s="136"/>
      <c r="I439" s="136"/>
    </row>
    <row r="440" spans="1:9" s="58" customFormat="1" ht="15.75" thickBot="1" x14ac:dyDescent="0.25">
      <c r="A440" s="261"/>
      <c r="B440" s="52" t="s">
        <v>269</v>
      </c>
      <c r="C440" s="53" t="s">
        <v>97</v>
      </c>
      <c r="D440" s="75">
        <f>D433-D439</f>
        <v>45.9</v>
      </c>
      <c r="E440" s="55">
        <v>0</v>
      </c>
      <c r="F440" s="56">
        <f t="shared" si="37"/>
        <v>0</v>
      </c>
      <c r="H440" s="136"/>
      <c r="I440" s="136"/>
    </row>
    <row r="441" spans="1:9" s="9" customFormat="1" ht="15.75" thickBot="1" x14ac:dyDescent="0.25">
      <c r="A441" s="206" t="s">
        <v>25</v>
      </c>
      <c r="B441" s="207"/>
      <c r="C441" s="207"/>
      <c r="D441" s="207"/>
      <c r="E441" s="31" t="str">
        <f>A432</f>
        <v>6.2.4</v>
      </c>
      <c r="F441" s="32">
        <f>SUM(F433:F440)</f>
        <v>0</v>
      </c>
      <c r="H441" s="135"/>
      <c r="I441" s="135"/>
    </row>
    <row r="442" spans="1:9" ht="15.75" thickBot="1" x14ac:dyDescent="0.25">
      <c r="A442" s="204" t="s">
        <v>26</v>
      </c>
      <c r="B442" s="223"/>
      <c r="C442" s="223"/>
      <c r="D442" s="223"/>
      <c r="E442" s="109">
        <f>A410</f>
        <v>6.2</v>
      </c>
      <c r="F442" s="110">
        <f>SUM(F417,F427,F431,F441)</f>
        <v>0</v>
      </c>
    </row>
    <row r="443" spans="1:9" ht="17.25" thickTop="1" thickBot="1" x14ac:dyDescent="0.25">
      <c r="A443" s="330" t="s">
        <v>210</v>
      </c>
      <c r="B443" s="221"/>
      <c r="C443" s="221"/>
      <c r="D443" s="221"/>
      <c r="E443" s="222"/>
      <c r="F443" s="120">
        <f>SUM(F409,F442)</f>
        <v>0</v>
      </c>
    </row>
    <row r="444" spans="1:9" ht="17.25" thickTop="1" thickBot="1" x14ac:dyDescent="0.25">
      <c r="A444" s="341"/>
      <c r="B444" s="342"/>
      <c r="C444" s="250" t="s">
        <v>10</v>
      </c>
      <c r="D444" s="251"/>
      <c r="E444" s="251"/>
      <c r="F444" s="252"/>
    </row>
    <row r="445" spans="1:9" ht="33" thickTop="1" thickBot="1" x14ac:dyDescent="0.25">
      <c r="A445" s="5" t="s">
        <v>11</v>
      </c>
      <c r="B445" s="6" t="s">
        <v>77</v>
      </c>
      <c r="C445" s="6" t="s">
        <v>12</v>
      </c>
      <c r="D445" s="6" t="s">
        <v>13</v>
      </c>
      <c r="E445" s="7" t="s">
        <v>14</v>
      </c>
      <c r="F445" s="8" t="s">
        <v>15</v>
      </c>
    </row>
    <row r="446" spans="1:9" s="58" customFormat="1" ht="17.25" thickTop="1" thickBot="1" x14ac:dyDescent="0.25">
      <c r="A446" s="333" t="s">
        <v>211</v>
      </c>
      <c r="B446" s="334"/>
      <c r="C446" s="334"/>
      <c r="D446" s="334"/>
      <c r="E446" s="334"/>
      <c r="F446" s="335"/>
      <c r="H446" s="136"/>
      <c r="I446" s="136"/>
    </row>
    <row r="447" spans="1:9" s="58" customFormat="1" ht="30.75" customHeight="1" x14ac:dyDescent="0.2">
      <c r="A447" s="95">
        <v>7.1</v>
      </c>
      <c r="B447" s="208" t="s">
        <v>240</v>
      </c>
      <c r="C447" s="209"/>
      <c r="D447" s="209"/>
      <c r="E447" s="209"/>
      <c r="F447" s="210"/>
      <c r="H447" s="136"/>
      <c r="I447" s="136"/>
    </row>
    <row r="448" spans="1:9" ht="17.45" customHeight="1" x14ac:dyDescent="0.2">
      <c r="A448" s="322" t="s">
        <v>212</v>
      </c>
      <c r="B448" s="327" t="s">
        <v>6</v>
      </c>
      <c r="C448" s="328"/>
      <c r="D448" s="328"/>
      <c r="E448" s="328"/>
      <c r="F448" s="329"/>
    </row>
    <row r="449" spans="1:9" ht="25.5" x14ac:dyDescent="0.2">
      <c r="A449" s="307"/>
      <c r="B449" s="25" t="s">
        <v>450</v>
      </c>
      <c r="C449" s="48" t="s">
        <v>18</v>
      </c>
      <c r="D449" s="71">
        <f>294+2*6</f>
        <v>306</v>
      </c>
      <c r="E449" s="49">
        <v>0</v>
      </c>
      <c r="F449" s="50">
        <f t="shared" ref="F449:F455" si="39">D449*E449</f>
        <v>0</v>
      </c>
    </row>
    <row r="450" spans="1:9" ht="25.5" x14ac:dyDescent="0.2">
      <c r="A450" s="307"/>
      <c r="B450" s="25" t="s">
        <v>449</v>
      </c>
      <c r="C450" s="48" t="s">
        <v>18</v>
      </c>
      <c r="D450" s="71">
        <v>6</v>
      </c>
      <c r="E450" s="49">
        <v>0</v>
      </c>
      <c r="F450" s="50">
        <f t="shared" si="39"/>
        <v>0</v>
      </c>
    </row>
    <row r="451" spans="1:9" ht="25.5" x14ac:dyDescent="0.2">
      <c r="A451" s="307"/>
      <c r="B451" s="25" t="s">
        <v>451</v>
      </c>
      <c r="C451" s="48" t="s">
        <v>18</v>
      </c>
      <c r="D451" s="71">
        <v>6</v>
      </c>
      <c r="E451" s="49">
        <v>0</v>
      </c>
      <c r="F451" s="50">
        <f t="shared" si="39"/>
        <v>0</v>
      </c>
    </row>
    <row r="452" spans="1:9" ht="25.5" x14ac:dyDescent="0.2">
      <c r="A452" s="307"/>
      <c r="B452" s="25" t="s">
        <v>452</v>
      </c>
      <c r="C452" s="48" t="s">
        <v>18</v>
      </c>
      <c r="D452" s="71">
        <f>147+2*3</f>
        <v>153</v>
      </c>
      <c r="E452" s="49">
        <v>0</v>
      </c>
      <c r="F452" s="50">
        <f t="shared" si="39"/>
        <v>0</v>
      </c>
    </row>
    <row r="453" spans="1:9" ht="25.5" x14ac:dyDescent="0.2">
      <c r="A453" s="307"/>
      <c r="B453" s="25" t="s">
        <v>453</v>
      </c>
      <c r="C453" s="48" t="s">
        <v>18</v>
      </c>
      <c r="D453" s="71">
        <f>3</f>
        <v>3</v>
      </c>
      <c r="E453" s="49">
        <v>0</v>
      </c>
      <c r="F453" s="50">
        <f t="shared" si="39"/>
        <v>0</v>
      </c>
    </row>
    <row r="454" spans="1:9" ht="25.5" x14ac:dyDescent="0.2">
      <c r="A454" s="307"/>
      <c r="B454" s="25" t="s">
        <v>454</v>
      </c>
      <c r="C454" s="48" t="s">
        <v>18</v>
      </c>
      <c r="D454" s="71">
        <v>6</v>
      </c>
      <c r="E454" s="49">
        <v>0</v>
      </c>
      <c r="F454" s="50">
        <f t="shared" si="39"/>
        <v>0</v>
      </c>
    </row>
    <row r="455" spans="1:9" ht="26.25" thickBot="1" x14ac:dyDescent="0.25">
      <c r="A455" s="316"/>
      <c r="B455" s="25" t="s">
        <v>455</v>
      </c>
      <c r="C455" s="48" t="s">
        <v>18</v>
      </c>
      <c r="D455" s="71">
        <f>321+3*1</f>
        <v>324</v>
      </c>
      <c r="E455" s="49">
        <v>0</v>
      </c>
      <c r="F455" s="50">
        <f t="shared" si="39"/>
        <v>0</v>
      </c>
    </row>
    <row r="456" spans="1:9" ht="15.75" thickBot="1" x14ac:dyDescent="0.25">
      <c r="A456" s="264" t="s">
        <v>25</v>
      </c>
      <c r="B456" s="265"/>
      <c r="C456" s="265"/>
      <c r="D456" s="265"/>
      <c r="E456" s="73" t="str">
        <f>A448</f>
        <v>7.1.1</v>
      </c>
      <c r="F456" s="74">
        <f>SUM(F449:F455)</f>
        <v>0</v>
      </c>
    </row>
    <row r="457" spans="1:9" s="9" customFormat="1" ht="15" x14ac:dyDescent="0.2">
      <c r="A457" s="315" t="s">
        <v>213</v>
      </c>
      <c r="B457" s="312" t="s">
        <v>7</v>
      </c>
      <c r="C457" s="313"/>
      <c r="D457" s="313"/>
      <c r="E457" s="313"/>
      <c r="F457" s="314"/>
      <c r="H457" s="135"/>
      <c r="I457" s="135"/>
    </row>
    <row r="458" spans="1:9" s="58" customFormat="1" ht="25.5" x14ac:dyDescent="0.2">
      <c r="A458" s="307"/>
      <c r="B458" s="25" t="s">
        <v>456</v>
      </c>
      <c r="C458" s="48" t="s">
        <v>18</v>
      </c>
      <c r="D458" s="71">
        <v>9</v>
      </c>
      <c r="E458" s="49">
        <v>0</v>
      </c>
      <c r="F458" s="50">
        <f>D458*E458</f>
        <v>0</v>
      </c>
      <c r="H458" s="136"/>
      <c r="I458" s="136"/>
    </row>
    <row r="459" spans="1:9" ht="26.25" thickBot="1" x14ac:dyDescent="0.25">
      <c r="A459" s="307"/>
      <c r="B459" s="25" t="s">
        <v>457</v>
      </c>
      <c r="C459" s="48" t="s">
        <v>18</v>
      </c>
      <c r="D459" s="71">
        <v>10</v>
      </c>
      <c r="E459" s="49">
        <v>0</v>
      </c>
      <c r="F459" s="50">
        <f>D459*E459</f>
        <v>0</v>
      </c>
    </row>
    <row r="460" spans="1:9" ht="26.25" thickBot="1" x14ac:dyDescent="0.25">
      <c r="A460" s="307"/>
      <c r="B460" s="25" t="s">
        <v>458</v>
      </c>
      <c r="C460" s="48" t="s">
        <v>18</v>
      </c>
      <c r="D460" s="71">
        <f>107*1+51*2+1*2+1*1+2*2</f>
        <v>216</v>
      </c>
      <c r="E460" s="49">
        <v>0</v>
      </c>
      <c r="F460" s="50">
        <f>D460*E460</f>
        <v>0</v>
      </c>
    </row>
    <row r="461" spans="1:9" ht="15.75" thickBot="1" x14ac:dyDescent="0.25">
      <c r="A461" s="264" t="s">
        <v>25</v>
      </c>
      <c r="B461" s="265"/>
      <c r="C461" s="265"/>
      <c r="D461" s="265"/>
      <c r="E461" s="73" t="str">
        <f>A457</f>
        <v>7.1.2</v>
      </c>
      <c r="F461" s="74">
        <f>SUM(F458:F460)</f>
        <v>0</v>
      </c>
    </row>
    <row r="462" spans="1:9" ht="15.75" thickBot="1" x14ac:dyDescent="0.25">
      <c r="A462" s="294" t="s">
        <v>26</v>
      </c>
      <c r="B462" s="295"/>
      <c r="C462" s="295"/>
      <c r="D462" s="295"/>
      <c r="E462" s="152">
        <f>A447</f>
        <v>7.1</v>
      </c>
      <c r="F462" s="153">
        <f>SUM(F456,F461)</f>
        <v>0</v>
      </c>
    </row>
    <row r="463" spans="1:9" ht="15" x14ac:dyDescent="0.2">
      <c r="A463" s="95">
        <v>7.2</v>
      </c>
      <c r="B463" s="208" t="s">
        <v>241</v>
      </c>
      <c r="C463" s="209"/>
      <c r="D463" s="209"/>
      <c r="E463" s="209"/>
      <c r="F463" s="210"/>
    </row>
    <row r="464" spans="1:9" ht="15" x14ac:dyDescent="0.2">
      <c r="A464" s="307" t="s">
        <v>43</v>
      </c>
      <c r="B464" s="327" t="s">
        <v>6</v>
      </c>
      <c r="C464" s="328"/>
      <c r="D464" s="328"/>
      <c r="E464" s="328"/>
      <c r="F464" s="329"/>
    </row>
    <row r="465" spans="1:9" s="45" customFormat="1" ht="15" x14ac:dyDescent="0.2">
      <c r="A465" s="323"/>
      <c r="B465" s="25" t="s">
        <v>270</v>
      </c>
      <c r="C465" s="48" t="s">
        <v>18</v>
      </c>
      <c r="D465" s="67">
        <f>D449</f>
        <v>306</v>
      </c>
      <c r="E465" s="49">
        <v>0</v>
      </c>
      <c r="F465" s="50">
        <f>D465*E465</f>
        <v>0</v>
      </c>
      <c r="H465" s="141"/>
      <c r="I465" s="141"/>
    </row>
    <row r="466" spans="1:9" ht="15" x14ac:dyDescent="0.2">
      <c r="A466" s="323"/>
      <c r="B466" s="25" t="s">
        <v>271</v>
      </c>
      <c r="C466" s="48" t="s">
        <v>18</v>
      </c>
      <c r="D466" s="67">
        <f t="shared" ref="D466:D471" si="40">D450</f>
        <v>6</v>
      </c>
      <c r="E466" s="49">
        <v>0</v>
      </c>
      <c r="F466" s="50">
        <f t="shared" ref="F466:F471" si="41">D466*E466</f>
        <v>0</v>
      </c>
    </row>
    <row r="467" spans="1:9" ht="15" x14ac:dyDescent="0.2">
      <c r="A467" s="323"/>
      <c r="B467" s="25" t="s">
        <v>459</v>
      </c>
      <c r="C467" s="48" t="s">
        <v>18</v>
      </c>
      <c r="D467" s="67">
        <f t="shared" si="40"/>
        <v>6</v>
      </c>
      <c r="E467" s="49">
        <v>0</v>
      </c>
      <c r="F467" s="50">
        <f t="shared" si="41"/>
        <v>0</v>
      </c>
    </row>
    <row r="468" spans="1:9" ht="15" x14ac:dyDescent="0.2">
      <c r="A468" s="323"/>
      <c r="B468" s="25" t="s">
        <v>460</v>
      </c>
      <c r="C468" s="48" t="s">
        <v>18</v>
      </c>
      <c r="D468" s="67">
        <f t="shared" si="40"/>
        <v>153</v>
      </c>
      <c r="E468" s="49">
        <v>0</v>
      </c>
      <c r="F468" s="50">
        <f t="shared" si="41"/>
        <v>0</v>
      </c>
    </row>
    <row r="469" spans="1:9" ht="15" x14ac:dyDescent="0.2">
      <c r="A469" s="323"/>
      <c r="B469" s="25" t="s">
        <v>461</v>
      </c>
      <c r="C469" s="48" t="s">
        <v>18</v>
      </c>
      <c r="D469" s="67">
        <f t="shared" si="40"/>
        <v>3</v>
      </c>
      <c r="E469" s="49">
        <v>0</v>
      </c>
      <c r="F469" s="50">
        <f t="shared" si="41"/>
        <v>0</v>
      </c>
    </row>
    <row r="470" spans="1:9" ht="15" x14ac:dyDescent="0.2">
      <c r="A470" s="323"/>
      <c r="B470" s="25" t="s">
        <v>462</v>
      </c>
      <c r="C470" s="48" t="s">
        <v>18</v>
      </c>
      <c r="D470" s="67">
        <f t="shared" si="40"/>
        <v>6</v>
      </c>
      <c r="E470" s="49">
        <v>0</v>
      </c>
      <c r="F470" s="50">
        <f t="shared" si="41"/>
        <v>0</v>
      </c>
    </row>
    <row r="471" spans="1:9" ht="15.75" thickBot="1" x14ac:dyDescent="0.25">
      <c r="A471" s="323"/>
      <c r="B471" s="25" t="s">
        <v>463</v>
      </c>
      <c r="C471" s="48" t="s">
        <v>18</v>
      </c>
      <c r="D471" s="67">
        <f t="shared" si="40"/>
        <v>324</v>
      </c>
      <c r="E471" s="49">
        <v>0</v>
      </c>
      <c r="F471" s="50">
        <f t="shared" si="41"/>
        <v>0</v>
      </c>
    </row>
    <row r="472" spans="1:9" ht="15.75" thickBot="1" x14ac:dyDescent="0.25">
      <c r="A472" s="206" t="s">
        <v>25</v>
      </c>
      <c r="B472" s="207"/>
      <c r="C472" s="207"/>
      <c r="D472" s="207"/>
      <c r="E472" s="31" t="str">
        <f>A464</f>
        <v>7.2.1</v>
      </c>
      <c r="F472" s="32">
        <f>SUM(F465:F471)</f>
        <v>0</v>
      </c>
    </row>
    <row r="473" spans="1:9" s="9" customFormat="1" ht="15" x14ac:dyDescent="0.2">
      <c r="A473" s="315" t="s">
        <v>44</v>
      </c>
      <c r="B473" s="312" t="s">
        <v>7</v>
      </c>
      <c r="C473" s="313"/>
      <c r="D473" s="313"/>
      <c r="E473" s="313"/>
      <c r="F473" s="314"/>
      <c r="H473" s="135"/>
      <c r="I473" s="135"/>
    </row>
    <row r="474" spans="1:9" s="58" customFormat="1" ht="15" x14ac:dyDescent="0.2">
      <c r="A474" s="307"/>
      <c r="B474" s="25" t="s">
        <v>272</v>
      </c>
      <c r="C474" s="48" t="s">
        <v>18</v>
      </c>
      <c r="D474" s="67">
        <f>D458</f>
        <v>9</v>
      </c>
      <c r="E474" s="49">
        <v>0</v>
      </c>
      <c r="F474" s="50">
        <f>D474*E474</f>
        <v>0</v>
      </c>
      <c r="H474" s="136"/>
      <c r="I474" s="136"/>
    </row>
    <row r="475" spans="1:9" ht="15" x14ac:dyDescent="0.2">
      <c r="A475" s="307"/>
      <c r="B475" s="25" t="s">
        <v>273</v>
      </c>
      <c r="C475" s="48" t="s">
        <v>18</v>
      </c>
      <c r="D475" s="67">
        <f>D459</f>
        <v>10</v>
      </c>
      <c r="E475" s="49">
        <v>0</v>
      </c>
      <c r="F475" s="50">
        <f>D475*E475</f>
        <v>0</v>
      </c>
    </row>
    <row r="476" spans="1:9" ht="15.75" thickBot="1" x14ac:dyDescent="0.25">
      <c r="A476" s="307"/>
      <c r="B476" s="25" t="s">
        <v>464</v>
      </c>
      <c r="C476" s="48" t="s">
        <v>18</v>
      </c>
      <c r="D476" s="67">
        <f>D460</f>
        <v>216</v>
      </c>
      <c r="E476" s="49">
        <v>0</v>
      </c>
      <c r="F476" s="50">
        <f>D476*E476</f>
        <v>0</v>
      </c>
    </row>
    <row r="477" spans="1:9" s="45" customFormat="1" ht="15.75" thickBot="1" x14ac:dyDescent="0.25">
      <c r="A477" s="206" t="s">
        <v>25</v>
      </c>
      <c r="B477" s="207"/>
      <c r="C477" s="207"/>
      <c r="D477" s="207"/>
      <c r="E477" s="31" t="str">
        <f>A473</f>
        <v>7.2.2</v>
      </c>
      <c r="F477" s="32">
        <f>SUM(F474:F476)</f>
        <v>0</v>
      </c>
      <c r="H477" s="141"/>
      <c r="I477" s="141"/>
    </row>
    <row r="478" spans="1:9" s="58" customFormat="1" ht="15.75" thickBot="1" x14ac:dyDescent="0.25">
      <c r="A478" s="294" t="s">
        <v>26</v>
      </c>
      <c r="B478" s="295"/>
      <c r="C478" s="295"/>
      <c r="D478" s="295"/>
      <c r="E478" s="152">
        <f>A463</f>
        <v>7.2</v>
      </c>
      <c r="F478" s="153">
        <f>SUM(F472,F477)</f>
        <v>0</v>
      </c>
      <c r="H478" s="136"/>
      <c r="I478" s="136"/>
    </row>
    <row r="479" spans="1:9" s="58" customFormat="1" ht="28.15" customHeight="1" x14ac:dyDescent="0.2">
      <c r="A479" s="95">
        <v>7.3</v>
      </c>
      <c r="B479" s="208" t="s">
        <v>242</v>
      </c>
      <c r="C479" s="209"/>
      <c r="D479" s="209"/>
      <c r="E479" s="209"/>
      <c r="F479" s="210"/>
      <c r="H479" s="136"/>
      <c r="I479" s="136"/>
    </row>
    <row r="480" spans="1:9" s="58" customFormat="1" ht="15" x14ac:dyDescent="0.2">
      <c r="A480" s="307" t="s">
        <v>214</v>
      </c>
      <c r="B480" s="327" t="s">
        <v>80</v>
      </c>
      <c r="C480" s="328"/>
      <c r="D480" s="328"/>
      <c r="E480" s="328"/>
      <c r="F480" s="329"/>
      <c r="H480" s="136"/>
      <c r="I480" s="136"/>
    </row>
    <row r="481" spans="1:9" ht="15" x14ac:dyDescent="0.2">
      <c r="A481" s="308"/>
      <c r="B481" s="25" t="s">
        <v>465</v>
      </c>
      <c r="C481" s="48" t="s">
        <v>18</v>
      </c>
      <c r="D481" s="22">
        <f>107+1</f>
        <v>108</v>
      </c>
      <c r="E481" s="49">
        <v>0</v>
      </c>
      <c r="F481" s="50">
        <f t="shared" ref="F481:F486" si="42">D481*E481</f>
        <v>0</v>
      </c>
    </row>
    <row r="482" spans="1:9" ht="25.5" x14ac:dyDescent="0.2">
      <c r="A482" s="308"/>
      <c r="B482" s="25" t="s">
        <v>466</v>
      </c>
      <c r="C482" s="48" t="s">
        <v>18</v>
      </c>
      <c r="D482" s="22">
        <f>SUM(D287:D303)</f>
        <v>49</v>
      </c>
      <c r="E482" s="49">
        <v>0</v>
      </c>
      <c r="F482" s="50">
        <f t="shared" si="42"/>
        <v>0</v>
      </c>
    </row>
    <row r="483" spans="1:9" s="45" customFormat="1" ht="15" x14ac:dyDescent="0.2">
      <c r="A483" s="308"/>
      <c r="B483" s="25" t="s">
        <v>467</v>
      </c>
      <c r="C483" s="48" t="s">
        <v>18</v>
      </c>
      <c r="D483" s="22">
        <v>2</v>
      </c>
      <c r="E483" s="49">
        <v>0</v>
      </c>
      <c r="F483" s="50">
        <f>D483*E483</f>
        <v>0</v>
      </c>
      <c r="H483" s="141"/>
      <c r="I483" s="141"/>
    </row>
    <row r="484" spans="1:9" s="45" customFormat="1" ht="15" x14ac:dyDescent="0.2">
      <c r="A484" s="308"/>
      <c r="B484" s="25" t="s">
        <v>468</v>
      </c>
      <c r="C484" s="48" t="s">
        <v>18</v>
      </c>
      <c r="D484" s="22">
        <v>1</v>
      </c>
      <c r="E484" s="49">
        <v>0</v>
      </c>
      <c r="F484" s="50">
        <f>D484*E484</f>
        <v>0</v>
      </c>
      <c r="H484" s="141"/>
      <c r="I484" s="141"/>
    </row>
    <row r="485" spans="1:9" s="45" customFormat="1" ht="25.5" x14ac:dyDescent="0.2">
      <c r="A485" s="308"/>
      <c r="B485" s="25" t="s">
        <v>469</v>
      </c>
      <c r="C485" s="48" t="s">
        <v>18</v>
      </c>
      <c r="D485" s="22">
        <v>1</v>
      </c>
      <c r="E485" s="49">
        <v>0</v>
      </c>
      <c r="F485" s="50">
        <f>D485*E485</f>
        <v>0</v>
      </c>
      <c r="H485" s="141"/>
      <c r="I485" s="141"/>
    </row>
    <row r="486" spans="1:9" s="58" customFormat="1" ht="15.75" thickBot="1" x14ac:dyDescent="0.25">
      <c r="A486" s="309"/>
      <c r="B486" s="25" t="s">
        <v>274</v>
      </c>
      <c r="C486" s="48" t="s">
        <v>18</v>
      </c>
      <c r="D486" s="22">
        <v>2</v>
      </c>
      <c r="E486" s="49">
        <v>0</v>
      </c>
      <c r="F486" s="50">
        <f t="shared" si="42"/>
        <v>0</v>
      </c>
      <c r="H486" s="136"/>
      <c r="I486" s="136"/>
    </row>
    <row r="487" spans="1:9" s="58" customFormat="1" ht="15.75" thickBot="1" x14ac:dyDescent="0.25">
      <c r="A487" s="206" t="s">
        <v>25</v>
      </c>
      <c r="B487" s="207"/>
      <c r="C487" s="207"/>
      <c r="D487" s="207"/>
      <c r="E487" s="31" t="str">
        <f>A480</f>
        <v>7.3.1</v>
      </c>
      <c r="F487" s="32">
        <f>SUM(F481:F486)</f>
        <v>0</v>
      </c>
      <c r="H487" s="136"/>
      <c r="I487" s="136"/>
    </row>
    <row r="488" spans="1:9" s="58" customFormat="1" ht="15" x14ac:dyDescent="0.2">
      <c r="A488" s="315" t="s">
        <v>215</v>
      </c>
      <c r="B488" s="312" t="s">
        <v>79</v>
      </c>
      <c r="C488" s="313"/>
      <c r="D488" s="313"/>
      <c r="E488" s="313"/>
      <c r="F488" s="314"/>
      <c r="H488" s="136"/>
      <c r="I488" s="136"/>
    </row>
    <row r="489" spans="1:9" s="58" customFormat="1" ht="15" x14ac:dyDescent="0.2">
      <c r="A489" s="307"/>
      <c r="B489" s="25" t="s">
        <v>690</v>
      </c>
      <c r="C489" s="48" t="s">
        <v>18</v>
      </c>
      <c r="D489" s="22">
        <v>2</v>
      </c>
      <c r="E489" s="49">
        <v>0</v>
      </c>
      <c r="F489" s="50">
        <f t="shared" ref="F489:F493" si="43">D489*E489</f>
        <v>0</v>
      </c>
      <c r="H489" s="136"/>
      <c r="I489" s="136"/>
    </row>
    <row r="490" spans="1:9" s="9" customFormat="1" ht="15" x14ac:dyDescent="0.2">
      <c r="A490" s="307"/>
      <c r="B490" s="25" t="s">
        <v>691</v>
      </c>
      <c r="C490" s="48" t="s">
        <v>18</v>
      </c>
      <c r="D490" s="22">
        <v>2</v>
      </c>
      <c r="E490" s="49">
        <v>0</v>
      </c>
      <c r="F490" s="50">
        <f t="shared" si="43"/>
        <v>0</v>
      </c>
      <c r="H490" s="135"/>
      <c r="I490" s="135"/>
    </row>
    <row r="491" spans="1:9" s="9" customFormat="1" ht="15" x14ac:dyDescent="0.2">
      <c r="A491" s="307"/>
      <c r="B491" s="25" t="s">
        <v>692</v>
      </c>
      <c r="C491" s="48" t="s">
        <v>18</v>
      </c>
      <c r="D491" s="22">
        <v>2</v>
      </c>
      <c r="E491" s="49">
        <v>0</v>
      </c>
      <c r="F491" s="50">
        <f t="shared" si="43"/>
        <v>0</v>
      </c>
      <c r="H491" s="135"/>
      <c r="I491" s="135"/>
    </row>
    <row r="492" spans="1:9" s="9" customFormat="1" ht="15" x14ac:dyDescent="0.2">
      <c r="A492" s="307"/>
      <c r="B492" s="25" t="s">
        <v>693</v>
      </c>
      <c r="C492" s="48" t="s">
        <v>18</v>
      </c>
      <c r="D492" s="22">
        <v>2</v>
      </c>
      <c r="E492" s="49">
        <v>0</v>
      </c>
      <c r="F492" s="50">
        <f t="shared" si="43"/>
        <v>0</v>
      </c>
      <c r="H492" s="135"/>
      <c r="I492" s="135"/>
    </row>
    <row r="493" spans="1:9" s="9" customFormat="1" ht="15.75" thickBot="1" x14ac:dyDescent="0.25">
      <c r="A493" s="316"/>
      <c r="B493" s="25" t="s">
        <v>694</v>
      </c>
      <c r="C493" s="48" t="s">
        <v>18</v>
      </c>
      <c r="D493" s="22">
        <v>2</v>
      </c>
      <c r="E493" s="49">
        <v>0</v>
      </c>
      <c r="F493" s="50">
        <f t="shared" si="43"/>
        <v>0</v>
      </c>
      <c r="H493" s="135"/>
      <c r="I493" s="135"/>
    </row>
    <row r="494" spans="1:9" s="58" customFormat="1" ht="15.75" thickBot="1" x14ac:dyDescent="0.25">
      <c r="A494" s="206" t="s">
        <v>25</v>
      </c>
      <c r="B494" s="207"/>
      <c r="C494" s="207"/>
      <c r="D494" s="207"/>
      <c r="E494" s="31" t="str">
        <f>A488</f>
        <v>7.3.2</v>
      </c>
      <c r="F494" s="32">
        <f>SUM(F489:F493)</f>
        <v>0</v>
      </c>
      <c r="H494" s="136"/>
      <c r="I494" s="136"/>
    </row>
    <row r="495" spans="1:9" ht="15.75" thickBot="1" x14ac:dyDescent="0.25">
      <c r="A495" s="253" t="s">
        <v>26</v>
      </c>
      <c r="B495" s="254"/>
      <c r="C495" s="254"/>
      <c r="D495" s="254"/>
      <c r="E495" s="109">
        <f>A479</f>
        <v>7.3</v>
      </c>
      <c r="F495" s="110">
        <f>SUM(F487,F494)</f>
        <v>0</v>
      </c>
    </row>
    <row r="496" spans="1:9" ht="17.25" thickTop="1" thickBot="1" x14ac:dyDescent="0.25">
      <c r="A496" s="220" t="s">
        <v>122</v>
      </c>
      <c r="B496" s="221"/>
      <c r="C496" s="221"/>
      <c r="D496" s="221"/>
      <c r="E496" s="222"/>
      <c r="F496" s="120">
        <f>SUM(F478,F495,F462)</f>
        <v>0</v>
      </c>
    </row>
    <row r="497" spans="1:9" ht="17.25" thickTop="1" thickBot="1" x14ac:dyDescent="0.25">
      <c r="A497" s="341"/>
      <c r="B497" s="342"/>
      <c r="C497" s="250" t="s">
        <v>10</v>
      </c>
      <c r="D497" s="251"/>
      <c r="E497" s="251"/>
      <c r="F497" s="252"/>
    </row>
    <row r="498" spans="1:9" ht="33" thickTop="1" thickBot="1" x14ac:dyDescent="0.25">
      <c r="A498" s="5" t="s">
        <v>11</v>
      </c>
      <c r="B498" s="6" t="s">
        <v>77</v>
      </c>
      <c r="C498" s="6" t="s">
        <v>12</v>
      </c>
      <c r="D498" s="6" t="s">
        <v>13</v>
      </c>
      <c r="E498" s="7" t="s">
        <v>14</v>
      </c>
      <c r="F498" s="8" t="s">
        <v>15</v>
      </c>
    </row>
    <row r="499" spans="1:9" s="58" customFormat="1" ht="17.25" thickTop="1" thickBot="1" x14ac:dyDescent="0.25">
      <c r="A499" s="333" t="s">
        <v>216</v>
      </c>
      <c r="B499" s="334"/>
      <c r="C499" s="334"/>
      <c r="D499" s="334"/>
      <c r="E499" s="334"/>
      <c r="F499" s="335"/>
      <c r="H499" s="136"/>
      <c r="I499" s="136"/>
    </row>
    <row r="500" spans="1:9" s="58" customFormat="1" ht="15" x14ac:dyDescent="0.2">
      <c r="A500" s="95">
        <v>8.1</v>
      </c>
      <c r="B500" s="208" t="s">
        <v>243</v>
      </c>
      <c r="C500" s="209"/>
      <c r="D500" s="209"/>
      <c r="E500" s="209"/>
      <c r="F500" s="210"/>
      <c r="H500" s="136"/>
      <c r="I500" s="136"/>
    </row>
    <row r="501" spans="1:9" ht="15" x14ac:dyDescent="0.2">
      <c r="A501" s="322" t="s">
        <v>28</v>
      </c>
      <c r="B501" s="327" t="s">
        <v>101</v>
      </c>
      <c r="C501" s="328"/>
      <c r="D501" s="328"/>
      <c r="E501" s="328"/>
      <c r="F501" s="329"/>
    </row>
    <row r="502" spans="1:9" ht="32.25" customHeight="1" x14ac:dyDescent="0.2">
      <c r="A502" s="323"/>
      <c r="B502" s="25" t="s">
        <v>470</v>
      </c>
      <c r="C502" s="48" t="s">
        <v>18</v>
      </c>
      <c r="D502" s="71">
        <f>1872+12*3</f>
        <v>1908</v>
      </c>
      <c r="E502" s="49">
        <v>0</v>
      </c>
      <c r="F502" s="50">
        <f>D502*E502</f>
        <v>0</v>
      </c>
    </row>
    <row r="503" spans="1:9" ht="25.5" x14ac:dyDescent="0.2">
      <c r="A503" s="323"/>
      <c r="B503" s="25" t="s">
        <v>275</v>
      </c>
      <c r="C503" s="48" t="s">
        <v>18</v>
      </c>
      <c r="D503" s="130">
        <f>88+1</f>
        <v>89</v>
      </c>
      <c r="E503" s="49">
        <v>0</v>
      </c>
      <c r="F503" s="50">
        <f t="shared" ref="F503:F507" si="44">D503*E503</f>
        <v>0</v>
      </c>
    </row>
    <row r="504" spans="1:9" ht="25.5" x14ac:dyDescent="0.2">
      <c r="A504" s="323"/>
      <c r="B504" s="25" t="s">
        <v>276</v>
      </c>
      <c r="C504" s="48" t="s">
        <v>18</v>
      </c>
      <c r="D504" s="71">
        <v>4</v>
      </c>
      <c r="E504" s="49">
        <v>0</v>
      </c>
      <c r="F504" s="50">
        <f t="shared" si="44"/>
        <v>0</v>
      </c>
    </row>
    <row r="505" spans="1:9" ht="25.5" x14ac:dyDescent="0.2">
      <c r="A505" s="323"/>
      <c r="B505" s="25" t="s">
        <v>471</v>
      </c>
      <c r="C505" s="48" t="s">
        <v>18</v>
      </c>
      <c r="D505" s="71">
        <v>2</v>
      </c>
      <c r="E505" s="49">
        <v>0</v>
      </c>
      <c r="F505" s="50">
        <f t="shared" si="44"/>
        <v>0</v>
      </c>
    </row>
    <row r="506" spans="1:9" s="58" customFormat="1" ht="15" x14ac:dyDescent="0.2">
      <c r="A506" s="323"/>
      <c r="B506" s="25" t="s">
        <v>472</v>
      </c>
      <c r="C506" s="48" t="s">
        <v>5</v>
      </c>
      <c r="D506" s="71">
        <v>8</v>
      </c>
      <c r="E506" s="49">
        <v>0</v>
      </c>
      <c r="F506" s="50">
        <f t="shared" si="44"/>
        <v>0</v>
      </c>
      <c r="H506" s="136"/>
      <c r="I506" s="136"/>
    </row>
    <row r="507" spans="1:9" ht="26.25" thickBot="1" x14ac:dyDescent="0.25">
      <c r="A507" s="323"/>
      <c r="B507" s="25" t="s">
        <v>473</v>
      </c>
      <c r="C507" s="48" t="s">
        <v>18</v>
      </c>
      <c r="D507" s="71">
        <v>8</v>
      </c>
      <c r="E507" s="49">
        <v>0</v>
      </c>
      <c r="F507" s="50">
        <f t="shared" si="44"/>
        <v>0</v>
      </c>
    </row>
    <row r="508" spans="1:9" ht="15.75" thickBot="1" x14ac:dyDescent="0.25">
      <c r="A508" s="264" t="s">
        <v>25</v>
      </c>
      <c r="B508" s="265"/>
      <c r="C508" s="265"/>
      <c r="D508" s="265"/>
      <c r="E508" s="73" t="str">
        <f>A501</f>
        <v>8.1.1</v>
      </c>
      <c r="F508" s="74">
        <f>SUM(F502:F507)</f>
        <v>0</v>
      </c>
    </row>
    <row r="509" spans="1:9" s="9" customFormat="1" ht="15" x14ac:dyDescent="0.2">
      <c r="A509" s="315" t="s">
        <v>35</v>
      </c>
      <c r="B509" s="312" t="s">
        <v>474</v>
      </c>
      <c r="C509" s="313"/>
      <c r="D509" s="313"/>
      <c r="E509" s="313"/>
      <c r="F509" s="314"/>
      <c r="H509" s="135"/>
      <c r="I509" s="135"/>
    </row>
    <row r="510" spans="1:9" s="58" customFormat="1" ht="15" x14ac:dyDescent="0.2">
      <c r="A510" s="331"/>
      <c r="B510" s="25" t="s">
        <v>277</v>
      </c>
      <c r="C510" s="48" t="s">
        <v>18</v>
      </c>
      <c r="D510" s="71">
        <v>18</v>
      </c>
      <c r="E510" s="49">
        <v>0</v>
      </c>
      <c r="F510" s="50">
        <f>D510*E510</f>
        <v>0</v>
      </c>
      <c r="H510" s="136"/>
      <c r="I510" s="136"/>
    </row>
    <row r="511" spans="1:9" ht="25.5" x14ac:dyDescent="0.2">
      <c r="A511" s="331"/>
      <c r="B511" s="25" t="s">
        <v>475</v>
      </c>
      <c r="C511" s="48" t="s">
        <v>18</v>
      </c>
      <c r="D511" s="71">
        <v>25</v>
      </c>
      <c r="E511" s="49">
        <v>0</v>
      </c>
      <c r="F511" s="50">
        <f>D511*E511</f>
        <v>0</v>
      </c>
    </row>
    <row r="512" spans="1:9" ht="25.5" x14ac:dyDescent="0.2">
      <c r="A512" s="331"/>
      <c r="B512" s="25" t="s">
        <v>484</v>
      </c>
      <c r="C512" s="48" t="s">
        <v>18</v>
      </c>
      <c r="D512" s="71">
        <v>89</v>
      </c>
      <c r="E512" s="49">
        <v>0</v>
      </c>
      <c r="F512" s="50">
        <f>D512*E512</f>
        <v>0</v>
      </c>
    </row>
    <row r="513" spans="1:9" ht="26.25" thickBot="1" x14ac:dyDescent="0.25">
      <c r="A513" s="332"/>
      <c r="B513" s="25" t="s">
        <v>483</v>
      </c>
      <c r="C513" s="48" t="s">
        <v>18</v>
      </c>
      <c r="D513" s="71">
        <f>2074+20</f>
        <v>2094</v>
      </c>
      <c r="E513" s="49">
        <v>0</v>
      </c>
      <c r="F513" s="50">
        <f>D513*E513</f>
        <v>0</v>
      </c>
    </row>
    <row r="514" spans="1:9" ht="15.75" thickBot="1" x14ac:dyDescent="0.25">
      <c r="A514" s="264" t="s">
        <v>25</v>
      </c>
      <c r="B514" s="265"/>
      <c r="C514" s="265"/>
      <c r="D514" s="265"/>
      <c r="E514" s="73" t="str">
        <f>A509</f>
        <v>8.1.2</v>
      </c>
      <c r="F514" s="74">
        <f>SUM(F510:F513)</f>
        <v>0</v>
      </c>
    </row>
    <row r="515" spans="1:9" s="58" customFormat="1" ht="15.75" thickBot="1" x14ac:dyDescent="0.25">
      <c r="A515" s="204" t="s">
        <v>26</v>
      </c>
      <c r="B515" s="223"/>
      <c r="C515" s="223"/>
      <c r="D515" s="223"/>
      <c r="E515" s="109">
        <f>A500</f>
        <v>8.1</v>
      </c>
      <c r="F515" s="110">
        <f>SUM(F508,F514)</f>
        <v>0</v>
      </c>
      <c r="H515" s="136"/>
      <c r="I515" s="136"/>
    </row>
    <row r="516" spans="1:9" s="58" customFormat="1" ht="15" x14ac:dyDescent="0.2">
      <c r="A516" s="95">
        <v>8.1999999999999993</v>
      </c>
      <c r="B516" s="208" t="s">
        <v>244</v>
      </c>
      <c r="C516" s="209"/>
      <c r="D516" s="209"/>
      <c r="E516" s="209"/>
      <c r="F516" s="210"/>
      <c r="H516" s="136"/>
      <c r="I516" s="136"/>
    </row>
    <row r="517" spans="1:9" ht="15" x14ac:dyDescent="0.2">
      <c r="A517" s="322" t="s">
        <v>4</v>
      </c>
      <c r="B517" s="327" t="s">
        <v>102</v>
      </c>
      <c r="C517" s="328"/>
      <c r="D517" s="328"/>
      <c r="E517" s="328"/>
      <c r="F517" s="329"/>
    </row>
    <row r="518" spans="1:9" ht="25.5" x14ac:dyDescent="0.2">
      <c r="A518" s="323"/>
      <c r="B518" s="25" t="s">
        <v>470</v>
      </c>
      <c r="C518" s="48" t="s">
        <v>18</v>
      </c>
      <c r="D518" s="22">
        <f>D502</f>
        <v>1908</v>
      </c>
      <c r="E518" s="49">
        <v>0</v>
      </c>
      <c r="F518" s="50">
        <f t="shared" ref="F518:F523" si="45">D518*E518</f>
        <v>0</v>
      </c>
    </row>
    <row r="519" spans="1:9" ht="25.5" x14ac:dyDescent="0.2">
      <c r="A519" s="323"/>
      <c r="B519" s="25" t="s">
        <v>275</v>
      </c>
      <c r="C519" s="48" t="s">
        <v>18</v>
      </c>
      <c r="D519" s="22">
        <f t="shared" ref="D519:D523" si="46">D503</f>
        <v>89</v>
      </c>
      <c r="E519" s="49">
        <v>0</v>
      </c>
      <c r="F519" s="50">
        <f t="shared" si="45"/>
        <v>0</v>
      </c>
    </row>
    <row r="520" spans="1:9" ht="25.5" x14ac:dyDescent="0.2">
      <c r="A520" s="323"/>
      <c r="B520" s="25" t="s">
        <v>276</v>
      </c>
      <c r="C520" s="48" t="s">
        <v>18</v>
      </c>
      <c r="D520" s="22">
        <f t="shared" si="46"/>
        <v>4</v>
      </c>
      <c r="E520" s="49">
        <v>0</v>
      </c>
      <c r="F520" s="50">
        <f t="shared" si="45"/>
        <v>0</v>
      </c>
    </row>
    <row r="521" spans="1:9" ht="25.5" x14ac:dyDescent="0.2">
      <c r="A521" s="323"/>
      <c r="B521" s="25" t="s">
        <v>471</v>
      </c>
      <c r="C521" s="48" t="s">
        <v>18</v>
      </c>
      <c r="D521" s="22">
        <f t="shared" si="46"/>
        <v>2</v>
      </c>
      <c r="E521" s="49">
        <v>0</v>
      </c>
      <c r="F521" s="50">
        <f t="shared" si="45"/>
        <v>0</v>
      </c>
    </row>
    <row r="522" spans="1:9" ht="15" x14ac:dyDescent="0.2">
      <c r="A522" s="323"/>
      <c r="B522" s="25" t="s">
        <v>472</v>
      </c>
      <c r="C522" s="48" t="s">
        <v>18</v>
      </c>
      <c r="D522" s="22">
        <f t="shared" si="46"/>
        <v>8</v>
      </c>
      <c r="E522" s="49">
        <v>0</v>
      </c>
      <c r="F522" s="50">
        <f t="shared" si="45"/>
        <v>0</v>
      </c>
    </row>
    <row r="523" spans="1:9" ht="26.25" thickBot="1" x14ac:dyDescent="0.25">
      <c r="A523" s="323"/>
      <c r="B523" s="25" t="s">
        <v>473</v>
      </c>
      <c r="C523" s="48" t="s">
        <v>18</v>
      </c>
      <c r="D523" s="22">
        <f t="shared" si="46"/>
        <v>8</v>
      </c>
      <c r="E523" s="49">
        <v>0</v>
      </c>
      <c r="F523" s="50">
        <f t="shared" si="45"/>
        <v>0</v>
      </c>
    </row>
    <row r="524" spans="1:9" ht="15.75" thickBot="1" x14ac:dyDescent="0.25">
      <c r="A524" s="206" t="s">
        <v>25</v>
      </c>
      <c r="B524" s="207"/>
      <c r="C524" s="207"/>
      <c r="D524" s="207"/>
      <c r="E524" s="31" t="str">
        <f>A517</f>
        <v>8.2.1</v>
      </c>
      <c r="F524" s="32">
        <f>SUM(F518:F523)</f>
        <v>0</v>
      </c>
    </row>
    <row r="525" spans="1:9" s="9" customFormat="1" ht="15" x14ac:dyDescent="0.2">
      <c r="A525" s="315" t="s">
        <v>36</v>
      </c>
      <c r="B525" s="312" t="s">
        <v>103</v>
      </c>
      <c r="C525" s="313"/>
      <c r="D525" s="313"/>
      <c r="E525" s="313"/>
      <c r="F525" s="314"/>
      <c r="H525" s="135"/>
      <c r="I525" s="135"/>
    </row>
    <row r="526" spans="1:9" s="58" customFormat="1" ht="15" x14ac:dyDescent="0.2">
      <c r="A526" s="323"/>
      <c r="B526" s="25" t="s">
        <v>277</v>
      </c>
      <c r="C526" s="48" t="s">
        <v>18</v>
      </c>
      <c r="D526" s="22">
        <f>D510</f>
        <v>18</v>
      </c>
      <c r="E526" s="49">
        <v>0</v>
      </c>
      <c r="F526" s="50">
        <f>D526*E526</f>
        <v>0</v>
      </c>
      <c r="H526" s="136"/>
      <c r="I526" s="136"/>
    </row>
    <row r="527" spans="1:9" ht="26.25" thickBot="1" x14ac:dyDescent="0.25">
      <c r="A527" s="323"/>
      <c r="B527" s="25" t="s">
        <v>475</v>
      </c>
      <c r="C527" s="48" t="s">
        <v>18</v>
      </c>
      <c r="D527" s="22">
        <f>D511</f>
        <v>25</v>
      </c>
      <c r="E527" s="49">
        <v>0</v>
      </c>
      <c r="F527" s="50">
        <f>D527*E527</f>
        <v>0</v>
      </c>
    </row>
    <row r="528" spans="1:9" s="58" customFormat="1" ht="15.75" thickBot="1" x14ac:dyDescent="0.25">
      <c r="A528" s="206" t="s">
        <v>25</v>
      </c>
      <c r="B528" s="207"/>
      <c r="C528" s="207"/>
      <c r="D528" s="207"/>
      <c r="E528" s="31" t="str">
        <f>A525</f>
        <v>8.2.2</v>
      </c>
      <c r="F528" s="32">
        <f>SUM(F526:F527)</f>
        <v>0</v>
      </c>
      <c r="H528" s="136"/>
      <c r="I528" s="136"/>
    </row>
    <row r="529" spans="1:9" ht="15.75" thickBot="1" x14ac:dyDescent="0.25">
      <c r="A529" s="204" t="s">
        <v>26</v>
      </c>
      <c r="B529" s="223"/>
      <c r="C529" s="223"/>
      <c r="D529" s="223"/>
      <c r="E529" s="109">
        <f>A516</f>
        <v>8.1999999999999993</v>
      </c>
      <c r="F529" s="110">
        <f>SUM(F524,F528)</f>
        <v>0</v>
      </c>
    </row>
    <row r="530" spans="1:9" ht="15" x14ac:dyDescent="0.2">
      <c r="A530" s="95">
        <v>8.3000000000000007</v>
      </c>
      <c r="B530" s="208" t="s">
        <v>245</v>
      </c>
      <c r="C530" s="209"/>
      <c r="D530" s="209"/>
      <c r="E530" s="209"/>
      <c r="F530" s="210"/>
    </row>
    <row r="531" spans="1:9" ht="15" x14ac:dyDescent="0.2">
      <c r="A531" s="322" t="s">
        <v>78</v>
      </c>
      <c r="B531" s="327" t="s">
        <v>2</v>
      </c>
      <c r="C531" s="328"/>
      <c r="D531" s="328"/>
      <c r="E531" s="328"/>
      <c r="F531" s="329"/>
    </row>
    <row r="532" spans="1:9" ht="15" x14ac:dyDescent="0.2">
      <c r="A532" s="307"/>
      <c r="B532" s="25" t="s">
        <v>476</v>
      </c>
      <c r="C532" s="48" t="s">
        <v>17</v>
      </c>
      <c r="D532" s="131">
        <v>117000</v>
      </c>
      <c r="E532" s="49">
        <v>0</v>
      </c>
      <c r="F532" s="50">
        <f>D532*E532</f>
        <v>0</v>
      </c>
    </row>
    <row r="533" spans="1:9" ht="25.5" x14ac:dyDescent="0.2">
      <c r="A533" s="307"/>
      <c r="B533" s="25" t="s">
        <v>477</v>
      </c>
      <c r="C533" s="48" t="s">
        <v>17</v>
      </c>
      <c r="D533" s="131">
        <v>4500</v>
      </c>
      <c r="E533" s="49">
        <v>0</v>
      </c>
      <c r="F533" s="50">
        <f>D533*E533</f>
        <v>0</v>
      </c>
    </row>
    <row r="534" spans="1:9" ht="15" x14ac:dyDescent="0.2">
      <c r="A534" s="308"/>
      <c r="B534" s="25" t="s">
        <v>485</v>
      </c>
      <c r="C534" s="48" t="s">
        <v>17</v>
      </c>
      <c r="D534" s="156">
        <v>3000</v>
      </c>
      <c r="E534" s="49">
        <v>0</v>
      </c>
      <c r="F534" s="50">
        <f>D534*E534</f>
        <v>0</v>
      </c>
    </row>
    <row r="535" spans="1:9" ht="25.5" x14ac:dyDescent="0.2">
      <c r="A535" s="308"/>
      <c r="B535" s="25" t="s">
        <v>487</v>
      </c>
      <c r="C535" s="48" t="s">
        <v>17</v>
      </c>
      <c r="D535" s="168">
        <v>120</v>
      </c>
      <c r="E535" s="49">
        <v>0</v>
      </c>
      <c r="F535" s="50">
        <f>D535*E535</f>
        <v>0</v>
      </c>
    </row>
    <row r="536" spans="1:9" ht="26.25" thickBot="1" x14ac:dyDescent="0.25">
      <c r="A536" s="308"/>
      <c r="B536" s="52" t="s">
        <v>486</v>
      </c>
      <c r="C536" s="53" t="s">
        <v>16</v>
      </c>
      <c r="D536" s="54">
        <v>1</v>
      </c>
      <c r="E536" s="55">
        <v>0</v>
      </c>
      <c r="F536" s="56">
        <f>D536*E536</f>
        <v>0</v>
      </c>
    </row>
    <row r="537" spans="1:9" s="58" customFormat="1" ht="15.75" thickBot="1" x14ac:dyDescent="0.25">
      <c r="A537" s="206" t="s">
        <v>25</v>
      </c>
      <c r="B537" s="207"/>
      <c r="C537" s="207"/>
      <c r="D537" s="207"/>
      <c r="E537" s="31" t="str">
        <f>A531</f>
        <v>8.3.1</v>
      </c>
      <c r="F537" s="32">
        <f>SUM(F532:F536)</f>
        <v>0</v>
      </c>
      <c r="H537" s="136"/>
      <c r="I537" s="136"/>
    </row>
    <row r="538" spans="1:9" ht="15" x14ac:dyDescent="0.2">
      <c r="A538" s="307" t="s">
        <v>81</v>
      </c>
      <c r="B538" s="312" t="s">
        <v>219</v>
      </c>
      <c r="C538" s="313"/>
      <c r="D538" s="313"/>
      <c r="E538" s="313"/>
      <c r="F538" s="314"/>
    </row>
    <row r="539" spans="1:9" ht="25.5" x14ac:dyDescent="0.2">
      <c r="A539" s="308"/>
      <c r="B539" s="25" t="s">
        <v>156</v>
      </c>
      <c r="C539" s="48" t="s">
        <v>5</v>
      </c>
      <c r="D539" s="22">
        <v>1</v>
      </c>
      <c r="E539" s="49">
        <v>0</v>
      </c>
      <c r="F539" s="50">
        <f t="shared" ref="F539:F544" si="47">D539*E539</f>
        <v>0</v>
      </c>
    </row>
    <row r="540" spans="1:9" ht="25.5" x14ac:dyDescent="0.2">
      <c r="A540" s="308"/>
      <c r="B540" s="25" t="s">
        <v>157</v>
      </c>
      <c r="C540" s="48" t="s">
        <v>5</v>
      </c>
      <c r="D540" s="22">
        <v>1</v>
      </c>
      <c r="E540" s="49">
        <v>0</v>
      </c>
      <c r="F540" s="50">
        <f t="shared" si="47"/>
        <v>0</v>
      </c>
    </row>
    <row r="541" spans="1:9" ht="25.5" x14ac:dyDescent="0.2">
      <c r="A541" s="308"/>
      <c r="B541" s="25" t="s">
        <v>695</v>
      </c>
      <c r="C541" s="48" t="s">
        <v>5</v>
      </c>
      <c r="D541" s="22">
        <v>1</v>
      </c>
      <c r="E541" s="49">
        <v>0</v>
      </c>
      <c r="F541" s="50">
        <f t="shared" si="47"/>
        <v>0</v>
      </c>
    </row>
    <row r="542" spans="1:9" ht="25.5" x14ac:dyDescent="0.2">
      <c r="A542" s="308"/>
      <c r="B542" s="25" t="s">
        <v>696</v>
      </c>
      <c r="C542" s="48" t="s">
        <v>5</v>
      </c>
      <c r="D542" s="22">
        <v>0</v>
      </c>
      <c r="E542" s="49">
        <v>0</v>
      </c>
      <c r="F542" s="50">
        <f t="shared" si="47"/>
        <v>0</v>
      </c>
    </row>
    <row r="543" spans="1:9" ht="25.5" x14ac:dyDescent="0.2">
      <c r="A543" s="308"/>
      <c r="B543" s="25" t="s">
        <v>697</v>
      </c>
      <c r="C543" s="48" t="s">
        <v>5</v>
      </c>
      <c r="D543" s="22">
        <v>6</v>
      </c>
      <c r="E543" s="49">
        <v>0</v>
      </c>
      <c r="F543" s="50">
        <f t="shared" si="47"/>
        <v>0</v>
      </c>
    </row>
    <row r="544" spans="1:9" ht="26.25" thickBot="1" x14ac:dyDescent="0.25">
      <c r="A544" s="308"/>
      <c r="B544" s="25" t="s">
        <v>698</v>
      </c>
      <c r="C544" s="48" t="s">
        <v>5</v>
      </c>
      <c r="D544" s="22">
        <v>5</v>
      </c>
      <c r="E544" s="49">
        <v>0</v>
      </c>
      <c r="F544" s="50">
        <f t="shared" si="47"/>
        <v>0</v>
      </c>
    </row>
    <row r="545" spans="1:9" ht="15.75" thickBot="1" x14ac:dyDescent="0.25">
      <c r="A545" s="206" t="s">
        <v>25</v>
      </c>
      <c r="B545" s="207"/>
      <c r="C545" s="207"/>
      <c r="D545" s="207"/>
      <c r="E545" s="31" t="str">
        <f>A538</f>
        <v>8.3.2</v>
      </c>
      <c r="F545" s="32">
        <f>SUM(F539:F544)</f>
        <v>0</v>
      </c>
    </row>
    <row r="546" spans="1:9" ht="15" x14ac:dyDescent="0.2">
      <c r="A546" s="290" t="s">
        <v>217</v>
      </c>
      <c r="B546" s="312" t="s">
        <v>3</v>
      </c>
      <c r="C546" s="313"/>
      <c r="D546" s="313"/>
      <c r="E546" s="313"/>
      <c r="F546" s="314"/>
    </row>
    <row r="547" spans="1:9" ht="15" x14ac:dyDescent="0.2">
      <c r="A547" s="212"/>
      <c r="B547" s="25" t="s">
        <v>278</v>
      </c>
      <c r="C547" s="48" t="s">
        <v>18</v>
      </c>
      <c r="D547" s="22">
        <v>2</v>
      </c>
      <c r="E547" s="49">
        <v>0</v>
      </c>
      <c r="F547" s="50">
        <f t="shared" ref="F547:F564" si="48">D547*E547</f>
        <v>0</v>
      </c>
    </row>
    <row r="548" spans="1:9" ht="15" x14ac:dyDescent="0.2">
      <c r="A548" s="212"/>
      <c r="B548" s="25" t="s">
        <v>478</v>
      </c>
      <c r="C548" s="48" t="s">
        <v>18</v>
      </c>
      <c r="D548" s="22">
        <v>1</v>
      </c>
      <c r="E548" s="49">
        <v>0</v>
      </c>
      <c r="F548" s="50">
        <f t="shared" ref="F548" si="49">D548*E548</f>
        <v>0</v>
      </c>
    </row>
    <row r="549" spans="1:9" ht="25.5" x14ac:dyDescent="0.2">
      <c r="A549" s="212"/>
      <c r="B549" s="25" t="s">
        <v>479</v>
      </c>
      <c r="C549" s="48" t="s">
        <v>18</v>
      </c>
      <c r="D549" s="22">
        <v>1</v>
      </c>
      <c r="E549" s="49">
        <v>0</v>
      </c>
      <c r="F549" s="50">
        <f t="shared" si="48"/>
        <v>0</v>
      </c>
    </row>
    <row r="550" spans="1:9" ht="25.5" x14ac:dyDescent="0.2">
      <c r="A550" s="212"/>
      <c r="B550" s="25" t="s">
        <v>480</v>
      </c>
      <c r="C550" s="48" t="s">
        <v>16</v>
      </c>
      <c r="D550" s="22">
        <v>1</v>
      </c>
      <c r="E550" s="49">
        <v>0</v>
      </c>
      <c r="F550" s="50">
        <f t="shared" si="48"/>
        <v>0</v>
      </c>
    </row>
    <row r="551" spans="1:9" ht="15" x14ac:dyDescent="0.2">
      <c r="A551" s="310"/>
      <c r="B551" s="25" t="s">
        <v>481</v>
      </c>
      <c r="C551" s="48" t="s">
        <v>19</v>
      </c>
      <c r="D551" s="76">
        <f>37.836-D552+0.5</f>
        <v>37.716000000000001</v>
      </c>
      <c r="E551" s="49">
        <v>0</v>
      </c>
      <c r="F551" s="50">
        <f t="shared" si="48"/>
        <v>0</v>
      </c>
    </row>
    <row r="552" spans="1:9" ht="15" x14ac:dyDescent="0.2">
      <c r="A552" s="310"/>
      <c r="B552" s="25" t="s">
        <v>699</v>
      </c>
      <c r="C552" s="48" t="s">
        <v>19</v>
      </c>
      <c r="D552" s="76">
        <v>0.62</v>
      </c>
      <c r="E552" s="49">
        <v>0</v>
      </c>
      <c r="F552" s="50">
        <f t="shared" si="48"/>
        <v>0</v>
      </c>
    </row>
    <row r="553" spans="1:9" ht="15" x14ac:dyDescent="0.2">
      <c r="A553" s="310"/>
      <c r="B553" s="25" t="s">
        <v>700</v>
      </c>
      <c r="C553" s="48" t="s">
        <v>19</v>
      </c>
      <c r="D553" s="76">
        <v>1.623</v>
      </c>
      <c r="E553" s="49">
        <v>0</v>
      </c>
      <c r="F553" s="50">
        <f t="shared" ref="F553" si="50">D553*E553</f>
        <v>0</v>
      </c>
    </row>
    <row r="554" spans="1:9" ht="15" x14ac:dyDescent="0.2">
      <c r="A554" s="310"/>
      <c r="B554" s="25" t="s">
        <v>701</v>
      </c>
      <c r="C554" s="48" t="s">
        <v>18</v>
      </c>
      <c r="D554" s="22">
        <f t="shared" ref="D554:D559" si="51">D539</f>
        <v>1</v>
      </c>
      <c r="E554" s="49">
        <v>0</v>
      </c>
      <c r="F554" s="50">
        <f t="shared" si="48"/>
        <v>0</v>
      </c>
    </row>
    <row r="555" spans="1:9" ht="15" x14ac:dyDescent="0.2">
      <c r="A555" s="310"/>
      <c r="B555" s="25" t="s">
        <v>702</v>
      </c>
      <c r="C555" s="48" t="s">
        <v>18</v>
      </c>
      <c r="D555" s="22">
        <f t="shared" si="51"/>
        <v>1</v>
      </c>
      <c r="E555" s="49">
        <v>0</v>
      </c>
      <c r="F555" s="50">
        <f t="shared" si="48"/>
        <v>0</v>
      </c>
    </row>
    <row r="556" spans="1:9" ht="15" x14ac:dyDescent="0.2">
      <c r="A556" s="310"/>
      <c r="B556" s="25" t="s">
        <v>703</v>
      </c>
      <c r="C556" s="48" t="s">
        <v>18</v>
      </c>
      <c r="D556" s="22">
        <f t="shared" si="51"/>
        <v>1</v>
      </c>
      <c r="E556" s="49">
        <v>0</v>
      </c>
      <c r="F556" s="50">
        <f t="shared" ref="F556" si="52">D556*E556</f>
        <v>0</v>
      </c>
    </row>
    <row r="557" spans="1:9" ht="15" x14ac:dyDescent="0.2">
      <c r="A557" s="310"/>
      <c r="B557" s="25" t="s">
        <v>704</v>
      </c>
      <c r="C557" s="48" t="s">
        <v>18</v>
      </c>
      <c r="D557" s="22">
        <f t="shared" si="51"/>
        <v>0</v>
      </c>
      <c r="E557" s="49">
        <v>0</v>
      </c>
      <c r="F557" s="50">
        <f t="shared" si="48"/>
        <v>0</v>
      </c>
    </row>
    <row r="558" spans="1:9" ht="15" x14ac:dyDescent="0.2">
      <c r="A558" s="310"/>
      <c r="B558" s="25" t="s">
        <v>705</v>
      </c>
      <c r="C558" s="48" t="s">
        <v>18</v>
      </c>
      <c r="D558" s="22">
        <f t="shared" si="51"/>
        <v>6</v>
      </c>
      <c r="E558" s="49">
        <v>0</v>
      </c>
      <c r="F558" s="50">
        <f t="shared" si="48"/>
        <v>0</v>
      </c>
    </row>
    <row r="559" spans="1:9" s="1" customFormat="1" ht="18" x14ac:dyDescent="0.25">
      <c r="A559" s="310"/>
      <c r="B559" s="25" t="s">
        <v>706</v>
      </c>
      <c r="C559" s="48" t="s">
        <v>18</v>
      </c>
      <c r="D559" s="22">
        <f t="shared" si="51"/>
        <v>5</v>
      </c>
      <c r="E559" s="49">
        <v>0</v>
      </c>
      <c r="F559" s="50">
        <f>D559*E559</f>
        <v>0</v>
      </c>
      <c r="H559" s="138"/>
      <c r="I559" s="138"/>
    </row>
    <row r="560" spans="1:9" s="1" customFormat="1" ht="18" x14ac:dyDescent="0.25">
      <c r="A560" s="310"/>
      <c r="B560" s="25" t="s">
        <v>707</v>
      </c>
      <c r="C560" s="48" t="s">
        <v>18</v>
      </c>
      <c r="D560" s="22">
        <v>1</v>
      </c>
      <c r="E560" s="49">
        <v>0</v>
      </c>
      <c r="F560" s="50">
        <f>D560*E560</f>
        <v>0</v>
      </c>
      <c r="H560" s="138"/>
      <c r="I560" s="138"/>
    </row>
    <row r="561" spans="1:9" ht="15" x14ac:dyDescent="0.2">
      <c r="A561" s="310"/>
      <c r="B561" s="25" t="s">
        <v>708</v>
      </c>
      <c r="C561" s="48" t="s">
        <v>18</v>
      </c>
      <c r="D561" s="22">
        <f>51*3</f>
        <v>153</v>
      </c>
      <c r="E561" s="49">
        <v>0</v>
      </c>
      <c r="F561" s="50">
        <f t="shared" si="48"/>
        <v>0</v>
      </c>
    </row>
    <row r="562" spans="1:9" ht="15" x14ac:dyDescent="0.2">
      <c r="A562" s="310"/>
      <c r="B562" s="25" t="s">
        <v>709</v>
      </c>
      <c r="C562" s="48" t="s">
        <v>18</v>
      </c>
      <c r="D562" s="22">
        <f>D502</f>
        <v>1908</v>
      </c>
      <c r="E562" s="49">
        <v>0</v>
      </c>
      <c r="F562" s="50">
        <f t="shared" si="48"/>
        <v>0</v>
      </c>
    </row>
    <row r="563" spans="1:9" ht="15" x14ac:dyDescent="0.2">
      <c r="A563" s="310"/>
      <c r="B563" s="25" t="s">
        <v>710</v>
      </c>
      <c r="C563" s="48" t="s">
        <v>18</v>
      </c>
      <c r="D563" s="22">
        <f>D526</f>
        <v>18</v>
      </c>
      <c r="E563" s="49">
        <v>0</v>
      </c>
      <c r="F563" s="50">
        <f t="shared" si="48"/>
        <v>0</v>
      </c>
    </row>
    <row r="564" spans="1:9" s="58" customFormat="1" ht="15" x14ac:dyDescent="0.2">
      <c r="A564" s="311"/>
      <c r="B564" s="25" t="s">
        <v>711</v>
      </c>
      <c r="C564" s="48" t="s">
        <v>18</v>
      </c>
      <c r="D564" s="22">
        <v>10</v>
      </c>
      <c r="E564" s="49">
        <v>0</v>
      </c>
      <c r="F564" s="50">
        <f t="shared" si="48"/>
        <v>0</v>
      </c>
      <c r="H564" s="136"/>
      <c r="I564" s="136"/>
    </row>
    <row r="565" spans="1:9" s="58" customFormat="1" ht="15.75" thickBot="1" x14ac:dyDescent="0.25">
      <c r="A565" s="311"/>
      <c r="B565" s="25" t="s">
        <v>712</v>
      </c>
      <c r="C565" s="48" t="s">
        <v>18</v>
      </c>
      <c r="D565" s="22">
        <f>D512</f>
        <v>89</v>
      </c>
      <c r="E565" s="49">
        <v>0</v>
      </c>
      <c r="F565" s="50">
        <f>D565*E565</f>
        <v>0</v>
      </c>
      <c r="H565" s="136"/>
      <c r="I565" s="136"/>
    </row>
    <row r="566" spans="1:9" s="9" customFormat="1" ht="15.75" thickBot="1" x14ac:dyDescent="0.25">
      <c r="A566" s="206" t="s">
        <v>25</v>
      </c>
      <c r="B566" s="207"/>
      <c r="C566" s="207"/>
      <c r="D566" s="207"/>
      <c r="E566" s="31" t="str">
        <f>A546</f>
        <v>8.3.3</v>
      </c>
      <c r="F566" s="32">
        <f>SUM(F547:F565)</f>
        <v>0</v>
      </c>
      <c r="H566" s="135"/>
      <c r="I566" s="135"/>
    </row>
    <row r="567" spans="1:9" s="9" customFormat="1" ht="15" x14ac:dyDescent="0.2">
      <c r="A567" s="290" t="s">
        <v>218</v>
      </c>
      <c r="B567" s="312" t="s">
        <v>82</v>
      </c>
      <c r="C567" s="313"/>
      <c r="D567" s="313"/>
      <c r="E567" s="313"/>
      <c r="F567" s="314"/>
      <c r="H567" s="135"/>
      <c r="I567" s="135"/>
    </row>
    <row r="568" spans="1:9" s="9" customFormat="1" ht="25.5" x14ac:dyDescent="0.2">
      <c r="A568" s="212"/>
      <c r="B568" s="25" t="s">
        <v>482</v>
      </c>
      <c r="C568" s="48" t="s">
        <v>17</v>
      </c>
      <c r="D568" s="164">
        <v>69.599999999999994</v>
      </c>
      <c r="E568" s="49">
        <v>0</v>
      </c>
      <c r="F568" s="50">
        <f>D568*E568</f>
        <v>0</v>
      </c>
      <c r="H568" s="135"/>
      <c r="I568" s="135"/>
    </row>
    <row r="569" spans="1:9" s="9" customFormat="1" ht="15" x14ac:dyDescent="0.2">
      <c r="A569" s="212"/>
      <c r="B569" s="25" t="s">
        <v>488</v>
      </c>
      <c r="C569" s="48" t="s">
        <v>18</v>
      </c>
      <c r="D569" s="169">
        <v>3</v>
      </c>
      <c r="E569" s="49">
        <v>0</v>
      </c>
      <c r="F569" s="50">
        <f>D569*E569</f>
        <v>0</v>
      </c>
      <c r="H569" s="135"/>
      <c r="I569" s="135"/>
    </row>
    <row r="570" spans="1:9" s="9" customFormat="1" ht="25.5" x14ac:dyDescent="0.2">
      <c r="A570" s="212"/>
      <c r="B570" s="25" t="s">
        <v>489</v>
      </c>
      <c r="C570" s="48" t="s">
        <v>17</v>
      </c>
      <c r="D570" s="164">
        <v>26.3</v>
      </c>
      <c r="E570" s="49">
        <v>0</v>
      </c>
      <c r="F570" s="50">
        <f>D570*E570</f>
        <v>0</v>
      </c>
      <c r="H570" s="135"/>
      <c r="I570" s="135"/>
    </row>
    <row r="571" spans="1:9" s="9" customFormat="1" ht="15.75" thickBot="1" x14ac:dyDescent="0.25">
      <c r="A571" s="212"/>
      <c r="B571" s="25" t="s">
        <v>490</v>
      </c>
      <c r="C571" s="48" t="s">
        <v>18</v>
      </c>
      <c r="D571" s="169">
        <v>3</v>
      </c>
      <c r="E571" s="49">
        <v>0</v>
      </c>
      <c r="F571" s="50">
        <f>D571*E571</f>
        <v>0</v>
      </c>
      <c r="H571" s="135"/>
      <c r="I571" s="135"/>
    </row>
    <row r="572" spans="1:9" s="58" customFormat="1" ht="15.75" thickBot="1" x14ac:dyDescent="0.25">
      <c r="A572" s="206" t="s">
        <v>25</v>
      </c>
      <c r="B572" s="207"/>
      <c r="C572" s="207"/>
      <c r="D572" s="207"/>
      <c r="E572" s="31" t="str">
        <f>A567</f>
        <v>8.3.4</v>
      </c>
      <c r="F572" s="32">
        <f>SUM(F568:F571)</f>
        <v>0</v>
      </c>
      <c r="H572" s="136"/>
      <c r="I572" s="136"/>
    </row>
    <row r="573" spans="1:9" ht="15.75" thickBot="1" x14ac:dyDescent="0.25">
      <c r="A573" s="253" t="s">
        <v>26</v>
      </c>
      <c r="B573" s="254"/>
      <c r="C573" s="254"/>
      <c r="D573" s="254"/>
      <c r="E573" s="109">
        <f>A530</f>
        <v>8.3000000000000007</v>
      </c>
      <c r="F573" s="110">
        <f>SUM(F537,F545,F566,F572)</f>
        <v>0</v>
      </c>
    </row>
    <row r="574" spans="1:9" ht="17.25" thickTop="1" thickBot="1" x14ac:dyDescent="0.25">
      <c r="A574" s="319" t="s">
        <v>220</v>
      </c>
      <c r="B574" s="320"/>
      <c r="C574" s="320"/>
      <c r="D574" s="320"/>
      <c r="E574" s="321"/>
      <c r="F574" s="113">
        <f>SUM(F515,F529,F573)</f>
        <v>0</v>
      </c>
    </row>
    <row r="575" spans="1:9" ht="30" customHeight="1" thickTop="1" thickBot="1" x14ac:dyDescent="0.25">
      <c r="A575" s="367"/>
      <c r="B575" s="368"/>
      <c r="C575" s="374" t="s">
        <v>10</v>
      </c>
      <c r="D575" s="375"/>
      <c r="E575" s="375"/>
      <c r="F575" s="376"/>
    </row>
    <row r="576" spans="1:9" ht="33" thickTop="1" thickBot="1" x14ac:dyDescent="0.25">
      <c r="A576" s="5" t="s">
        <v>11</v>
      </c>
      <c r="B576" s="6" t="s">
        <v>77</v>
      </c>
      <c r="C576" s="6" t="s">
        <v>12</v>
      </c>
      <c r="D576" s="6" t="s">
        <v>13</v>
      </c>
      <c r="E576" s="7" t="s">
        <v>14</v>
      </c>
      <c r="F576" s="8" t="s">
        <v>15</v>
      </c>
    </row>
    <row r="577" spans="1:9" s="58" customFormat="1" ht="17.25" thickTop="1" thickBot="1" x14ac:dyDescent="0.25">
      <c r="A577" s="333" t="s">
        <v>578</v>
      </c>
      <c r="B577" s="334"/>
      <c r="C577" s="334"/>
      <c r="D577" s="334"/>
      <c r="E577" s="334"/>
      <c r="F577" s="335"/>
      <c r="H577" s="136"/>
      <c r="I577" s="136"/>
    </row>
    <row r="578" spans="1:9" s="58" customFormat="1" ht="28.15" customHeight="1" x14ac:dyDescent="0.2">
      <c r="A578" s="95">
        <v>9.1</v>
      </c>
      <c r="B578" s="208" t="s">
        <v>579</v>
      </c>
      <c r="C578" s="209"/>
      <c r="D578" s="209"/>
      <c r="E578" s="209"/>
      <c r="F578" s="210"/>
      <c r="H578" s="136"/>
      <c r="I578" s="136"/>
    </row>
    <row r="579" spans="1:9" s="58" customFormat="1" ht="39" thickBot="1" x14ac:dyDescent="0.25">
      <c r="A579" s="186" t="s">
        <v>580</v>
      </c>
      <c r="B579" s="25" t="s">
        <v>581</v>
      </c>
      <c r="C579" s="48" t="s">
        <v>16</v>
      </c>
      <c r="D579" s="67">
        <v>1</v>
      </c>
      <c r="E579" s="49">
        <v>0</v>
      </c>
      <c r="F579" s="50">
        <f>D579*E579</f>
        <v>0</v>
      </c>
      <c r="H579" s="136"/>
      <c r="I579" s="136"/>
    </row>
    <row r="580" spans="1:9" s="58" customFormat="1" ht="15.75" thickBot="1" x14ac:dyDescent="0.25">
      <c r="A580" s="317" t="s">
        <v>25</v>
      </c>
      <c r="B580" s="318"/>
      <c r="C580" s="318"/>
      <c r="D580" s="318"/>
      <c r="E580" s="77">
        <f>A578</f>
        <v>9.1</v>
      </c>
      <c r="F580" s="78">
        <f>SUM(F579:F579)</f>
        <v>0</v>
      </c>
      <c r="H580" s="136"/>
      <c r="I580" s="136"/>
    </row>
    <row r="581" spans="1:9" s="58" customFormat="1" ht="28.15" customHeight="1" x14ac:dyDescent="0.2">
      <c r="A581" s="95">
        <v>9.1999999999999993</v>
      </c>
      <c r="B581" s="208" t="s">
        <v>666</v>
      </c>
      <c r="C581" s="209"/>
      <c r="D581" s="209"/>
      <c r="E581" s="209"/>
      <c r="F581" s="210"/>
      <c r="H581" s="136"/>
      <c r="I581" s="136"/>
    </row>
    <row r="582" spans="1:9" s="58" customFormat="1" ht="25.5" x14ac:dyDescent="0.2">
      <c r="A582" s="195" t="s">
        <v>667</v>
      </c>
      <c r="B582" s="25" t="s">
        <v>668</v>
      </c>
      <c r="C582" s="48" t="s">
        <v>18</v>
      </c>
      <c r="D582" s="71">
        <v>2074</v>
      </c>
      <c r="E582" s="49">
        <v>0</v>
      </c>
      <c r="F582" s="50">
        <f>D582*E582</f>
        <v>0</v>
      </c>
      <c r="H582" s="136"/>
      <c r="I582" s="136"/>
    </row>
    <row r="583" spans="1:9" s="58" customFormat="1" ht="25.9" customHeight="1" x14ac:dyDescent="0.2">
      <c r="A583" s="195" t="s">
        <v>669</v>
      </c>
      <c r="B583" s="25" t="s">
        <v>670</v>
      </c>
      <c r="C583" s="48" t="s">
        <v>18</v>
      </c>
      <c r="D583" s="71">
        <v>4</v>
      </c>
      <c r="E583" s="49">
        <v>0</v>
      </c>
      <c r="F583" s="50">
        <f>D583*E583</f>
        <v>0</v>
      </c>
      <c r="H583" s="136"/>
      <c r="I583" s="136"/>
    </row>
    <row r="584" spans="1:9" s="58" customFormat="1" ht="15.75" thickBot="1" x14ac:dyDescent="0.25">
      <c r="A584" s="195" t="s">
        <v>671</v>
      </c>
      <c r="B584" s="25" t="s">
        <v>672</v>
      </c>
      <c r="C584" s="48" t="s">
        <v>18</v>
      </c>
      <c r="D584" s="71">
        <v>1</v>
      </c>
      <c r="E584" s="49">
        <v>0</v>
      </c>
      <c r="F584" s="50">
        <f>D584*E584</f>
        <v>0</v>
      </c>
      <c r="H584" s="136"/>
      <c r="I584" s="136"/>
    </row>
    <row r="585" spans="1:9" s="58" customFormat="1" ht="15.75" thickBot="1" x14ac:dyDescent="0.25">
      <c r="A585" s="317" t="s">
        <v>25</v>
      </c>
      <c r="B585" s="318"/>
      <c r="C585" s="318"/>
      <c r="D585" s="318"/>
      <c r="E585" s="77">
        <f>A581</f>
        <v>9.1999999999999993</v>
      </c>
      <c r="F585" s="78">
        <f>SUM(F582:F584)</f>
        <v>0</v>
      </c>
      <c r="H585" s="136"/>
      <c r="I585" s="136"/>
    </row>
    <row r="586" spans="1:9" s="9" customFormat="1" ht="17.25" thickTop="1" thickBot="1" x14ac:dyDescent="0.25">
      <c r="A586" s="220" t="s">
        <v>714</v>
      </c>
      <c r="B586" s="221"/>
      <c r="C586" s="221"/>
      <c r="D586" s="221"/>
      <c r="E586" s="222"/>
      <c r="F586" s="120">
        <f>SUM(F580,F585)</f>
        <v>0</v>
      </c>
      <c r="H586" s="135"/>
      <c r="I586" s="135"/>
    </row>
    <row r="587" spans="1:9" ht="30" customHeight="1" thickTop="1" thickBot="1" x14ac:dyDescent="0.25">
      <c r="A587" s="367"/>
      <c r="B587" s="368"/>
      <c r="C587" s="374" t="s">
        <v>10</v>
      </c>
      <c r="D587" s="375"/>
      <c r="E587" s="375"/>
      <c r="F587" s="376"/>
    </row>
    <row r="588" spans="1:9" ht="33" thickTop="1" thickBot="1" x14ac:dyDescent="0.25">
      <c r="A588" s="5" t="s">
        <v>11</v>
      </c>
      <c r="B588" s="6" t="s">
        <v>77</v>
      </c>
      <c r="C588" s="6" t="s">
        <v>12</v>
      </c>
      <c r="D588" s="6" t="s">
        <v>13</v>
      </c>
      <c r="E588" s="7" t="s">
        <v>14</v>
      </c>
      <c r="F588" s="8" t="s">
        <v>15</v>
      </c>
    </row>
    <row r="589" spans="1:9" s="58" customFormat="1" ht="17.25" thickTop="1" thickBot="1" x14ac:dyDescent="0.25">
      <c r="A589" s="333" t="s">
        <v>158</v>
      </c>
      <c r="B589" s="334"/>
      <c r="C589" s="334"/>
      <c r="D589" s="334"/>
      <c r="E589" s="334"/>
      <c r="F589" s="335"/>
      <c r="H589" s="136"/>
      <c r="I589" s="136"/>
    </row>
    <row r="590" spans="1:9" s="58" customFormat="1" ht="15" x14ac:dyDescent="0.2">
      <c r="A590" s="95">
        <v>10.1</v>
      </c>
      <c r="B590" s="208" t="s">
        <v>246</v>
      </c>
      <c r="C590" s="209"/>
      <c r="D590" s="209"/>
      <c r="E590" s="209"/>
      <c r="F590" s="210"/>
      <c r="H590" s="136"/>
      <c r="I590" s="136"/>
    </row>
    <row r="591" spans="1:9" s="58" customFormat="1" ht="15" x14ac:dyDescent="0.2">
      <c r="A591" s="46" t="s">
        <v>159</v>
      </c>
      <c r="B591" s="25" t="s">
        <v>167</v>
      </c>
      <c r="C591" s="48" t="s">
        <v>18</v>
      </c>
      <c r="D591" s="71">
        <v>2</v>
      </c>
      <c r="E591" s="49">
        <v>0</v>
      </c>
      <c r="F591" s="50">
        <f t="shared" ref="F591:F596" si="53">D591*E591</f>
        <v>0</v>
      </c>
      <c r="H591" s="136"/>
      <c r="I591" s="136"/>
    </row>
    <row r="592" spans="1:9" s="58" customFormat="1" ht="15" x14ac:dyDescent="0.2">
      <c r="A592" s="46" t="s">
        <v>232</v>
      </c>
      <c r="B592" s="25" t="s">
        <v>168</v>
      </c>
      <c r="C592" s="48" t="s">
        <v>18</v>
      </c>
      <c r="D592" s="71">
        <f>158+3</f>
        <v>161</v>
      </c>
      <c r="E592" s="49">
        <v>0</v>
      </c>
      <c r="F592" s="50">
        <f t="shared" si="53"/>
        <v>0</v>
      </c>
      <c r="H592" s="136"/>
      <c r="I592" s="136"/>
    </row>
    <row r="593" spans="1:9" ht="25.5" x14ac:dyDescent="0.2">
      <c r="A593" s="46" t="s">
        <v>160</v>
      </c>
      <c r="B593" s="25" t="s">
        <v>496</v>
      </c>
      <c r="C593" s="48" t="s">
        <v>5</v>
      </c>
      <c r="D593" s="71">
        <v>2</v>
      </c>
      <c r="E593" s="49">
        <v>0</v>
      </c>
      <c r="F593" s="50">
        <f t="shared" si="53"/>
        <v>0</v>
      </c>
    </row>
    <row r="594" spans="1:9" ht="15" x14ac:dyDescent="0.2">
      <c r="A594" s="46" t="s">
        <v>233</v>
      </c>
      <c r="B594" s="25" t="s">
        <v>162</v>
      </c>
      <c r="C594" s="48" t="s">
        <v>18</v>
      </c>
      <c r="D594" s="71">
        <v>0</v>
      </c>
      <c r="E594" s="49">
        <v>0</v>
      </c>
      <c r="F594" s="50">
        <f t="shared" si="53"/>
        <v>0</v>
      </c>
    </row>
    <row r="595" spans="1:9" ht="30.75" customHeight="1" x14ac:dyDescent="0.2">
      <c r="A595" s="46" t="s">
        <v>234</v>
      </c>
      <c r="B595" s="25" t="s">
        <v>109</v>
      </c>
      <c r="C595" s="48" t="s">
        <v>17</v>
      </c>
      <c r="D595" s="71">
        <f>732+4.5*3</f>
        <v>745.5</v>
      </c>
      <c r="E595" s="49">
        <v>0</v>
      </c>
      <c r="F595" s="50">
        <f t="shared" si="53"/>
        <v>0</v>
      </c>
    </row>
    <row r="596" spans="1:9" ht="26.25" thickBot="1" x14ac:dyDescent="0.25">
      <c r="A596" s="46" t="s">
        <v>161</v>
      </c>
      <c r="B596" s="62" t="s">
        <v>110</v>
      </c>
      <c r="C596" s="53" t="s">
        <v>18</v>
      </c>
      <c r="D596" s="72">
        <f>488+3*3</f>
        <v>497</v>
      </c>
      <c r="E596" s="55">
        <v>0</v>
      </c>
      <c r="F596" s="56">
        <f t="shared" si="53"/>
        <v>0</v>
      </c>
    </row>
    <row r="597" spans="1:9" s="58" customFormat="1" ht="15.75" thickBot="1" x14ac:dyDescent="0.25">
      <c r="A597" s="317" t="s">
        <v>25</v>
      </c>
      <c r="B597" s="318"/>
      <c r="C597" s="318"/>
      <c r="D597" s="318"/>
      <c r="E597" s="77">
        <f>A590</f>
        <v>10.1</v>
      </c>
      <c r="F597" s="78">
        <f>SUM(F591:F596)</f>
        <v>0</v>
      </c>
      <c r="H597" s="136"/>
      <c r="I597" s="136"/>
    </row>
    <row r="598" spans="1:9" s="58" customFormat="1" ht="33.75" customHeight="1" x14ac:dyDescent="0.2">
      <c r="A598" s="95">
        <v>10.199999999999999</v>
      </c>
      <c r="B598" s="208" t="s">
        <v>247</v>
      </c>
      <c r="C598" s="209"/>
      <c r="D598" s="209"/>
      <c r="E598" s="209"/>
      <c r="F598" s="210"/>
      <c r="H598" s="136"/>
      <c r="I598" s="136"/>
    </row>
    <row r="599" spans="1:9" ht="15" x14ac:dyDescent="0.2">
      <c r="A599" s="46" t="s">
        <v>163</v>
      </c>
      <c r="B599" s="25" t="s">
        <v>167</v>
      </c>
      <c r="C599" s="48" t="s">
        <v>18</v>
      </c>
      <c r="D599" s="22">
        <f>SUM(D591:D591)</f>
        <v>2</v>
      </c>
      <c r="E599" s="49">
        <v>0</v>
      </c>
      <c r="F599" s="50">
        <f>D599*E599</f>
        <v>0</v>
      </c>
    </row>
    <row r="600" spans="1:9" ht="15" x14ac:dyDescent="0.2">
      <c r="A600" s="46" t="s">
        <v>164</v>
      </c>
      <c r="B600" s="25" t="s">
        <v>168</v>
      </c>
      <c r="C600" s="48" t="s">
        <v>18</v>
      </c>
      <c r="D600" s="22">
        <f>D592</f>
        <v>161</v>
      </c>
      <c r="E600" s="49">
        <v>0</v>
      </c>
      <c r="F600" s="50">
        <f>D600*E600</f>
        <v>0</v>
      </c>
    </row>
    <row r="601" spans="1:9" ht="25.5" x14ac:dyDescent="0.2">
      <c r="A601" s="46" t="s">
        <v>165</v>
      </c>
      <c r="B601" s="25" t="s">
        <v>496</v>
      </c>
      <c r="C601" s="48" t="s">
        <v>18</v>
      </c>
      <c r="D601" s="22">
        <f>D593*3</f>
        <v>6</v>
      </c>
      <c r="E601" s="49">
        <v>0</v>
      </c>
      <c r="F601" s="50">
        <f>D601*E601</f>
        <v>0</v>
      </c>
    </row>
    <row r="602" spans="1:9" s="9" customFormat="1" ht="15.75" thickBot="1" x14ac:dyDescent="0.25">
      <c r="A602" s="46" t="s">
        <v>166</v>
      </c>
      <c r="B602" s="25" t="s">
        <v>162</v>
      </c>
      <c r="C602" s="48" t="s">
        <v>5</v>
      </c>
      <c r="D602" s="22">
        <f>D594</f>
        <v>0</v>
      </c>
      <c r="E602" s="49">
        <v>0</v>
      </c>
      <c r="F602" s="50">
        <f>D602*E602</f>
        <v>0</v>
      </c>
      <c r="H602" s="135"/>
      <c r="I602" s="135"/>
    </row>
    <row r="603" spans="1:9" s="58" customFormat="1" ht="15.75" thickBot="1" x14ac:dyDescent="0.25">
      <c r="A603" s="317" t="s">
        <v>25</v>
      </c>
      <c r="B603" s="318"/>
      <c r="C603" s="318"/>
      <c r="D603" s="318"/>
      <c r="E603" s="77">
        <f>A598</f>
        <v>10.199999999999999</v>
      </c>
      <c r="F603" s="78">
        <f>SUM(F599:F602)</f>
        <v>0</v>
      </c>
      <c r="H603" s="136"/>
      <c r="I603" s="136"/>
    </row>
    <row r="604" spans="1:9" s="9" customFormat="1" ht="31.9" customHeight="1" x14ac:dyDescent="0.2">
      <c r="A604" s="95">
        <v>10.3</v>
      </c>
      <c r="B604" s="208" t="s">
        <v>248</v>
      </c>
      <c r="C604" s="209"/>
      <c r="D604" s="209"/>
      <c r="E604" s="209"/>
      <c r="F604" s="210"/>
      <c r="H604" s="135"/>
      <c r="I604" s="135"/>
    </row>
    <row r="605" spans="1:9" s="9" customFormat="1" ht="17.25" customHeight="1" x14ac:dyDescent="0.2">
      <c r="A605" s="46" t="s">
        <v>169</v>
      </c>
      <c r="B605" s="25" t="s">
        <v>85</v>
      </c>
      <c r="C605" s="48" t="s">
        <v>18</v>
      </c>
      <c r="D605" s="22">
        <f>D599</f>
        <v>2</v>
      </c>
      <c r="E605" s="49">
        <v>0</v>
      </c>
      <c r="F605" s="50">
        <f>D605*E605</f>
        <v>0</v>
      </c>
      <c r="H605" s="135"/>
      <c r="I605" s="135"/>
    </row>
    <row r="606" spans="1:9" s="9" customFormat="1" ht="15" x14ac:dyDescent="0.2">
      <c r="A606" s="46" t="s">
        <v>170</v>
      </c>
      <c r="B606" s="25" t="s">
        <v>86</v>
      </c>
      <c r="C606" s="48" t="s">
        <v>18</v>
      </c>
      <c r="D606" s="22">
        <f>D600</f>
        <v>161</v>
      </c>
      <c r="E606" s="49">
        <v>0</v>
      </c>
      <c r="F606" s="50">
        <f>D606*E606</f>
        <v>0</v>
      </c>
      <c r="H606" s="135"/>
      <c r="I606" s="135"/>
    </row>
    <row r="607" spans="1:9" s="9" customFormat="1" ht="15" x14ac:dyDescent="0.2">
      <c r="A607" s="46" t="s">
        <v>171</v>
      </c>
      <c r="B607" s="25" t="s">
        <v>87</v>
      </c>
      <c r="C607" s="48" t="s">
        <v>18</v>
      </c>
      <c r="D607" s="22">
        <f>D601</f>
        <v>6</v>
      </c>
      <c r="E607" s="49">
        <v>0</v>
      </c>
      <c r="F607" s="50">
        <f>D607*E607</f>
        <v>0</v>
      </c>
      <c r="H607" s="135"/>
      <c r="I607" s="135"/>
    </row>
    <row r="608" spans="1:9" s="58" customFormat="1" ht="15.75" thickBot="1" x14ac:dyDescent="0.25">
      <c r="A608" s="46" t="s">
        <v>235</v>
      </c>
      <c r="B608" s="30" t="s">
        <v>221</v>
      </c>
      <c r="C608" s="48" t="s">
        <v>18</v>
      </c>
      <c r="D608" s="22">
        <f>D602</f>
        <v>0</v>
      </c>
      <c r="E608" s="49">
        <v>0</v>
      </c>
      <c r="F608" s="50">
        <f>D608*E608</f>
        <v>0</v>
      </c>
      <c r="H608" s="136"/>
      <c r="I608" s="136"/>
    </row>
    <row r="609" spans="1:11" s="1" customFormat="1" ht="18.75" thickBot="1" x14ac:dyDescent="0.3">
      <c r="A609" s="372" t="s">
        <v>25</v>
      </c>
      <c r="B609" s="373"/>
      <c r="C609" s="373"/>
      <c r="D609" s="373"/>
      <c r="E609" s="77">
        <f>A604</f>
        <v>10.3</v>
      </c>
      <c r="F609" s="78">
        <f>SUM(F605:F608)</f>
        <v>0</v>
      </c>
      <c r="H609" s="138"/>
      <c r="I609" s="138"/>
    </row>
    <row r="610" spans="1:11" s="9" customFormat="1" ht="17.25" thickTop="1" thickBot="1" x14ac:dyDescent="0.25">
      <c r="A610" s="220" t="s">
        <v>172</v>
      </c>
      <c r="B610" s="221"/>
      <c r="C610" s="221"/>
      <c r="D610" s="221"/>
      <c r="E610" s="222"/>
      <c r="F610" s="120">
        <f>SUM(F597,F603,F609)</f>
        <v>0</v>
      </c>
      <c r="H610" s="135"/>
      <c r="I610" s="135"/>
    </row>
    <row r="611" spans="1:11" s="9" customFormat="1" ht="17.25" thickTop="1" thickBot="1" x14ac:dyDescent="0.25">
      <c r="A611" s="341"/>
      <c r="B611" s="342"/>
      <c r="C611" s="250" t="s">
        <v>10</v>
      </c>
      <c r="D611" s="251"/>
      <c r="E611" s="251"/>
      <c r="F611" s="252"/>
      <c r="G611" s="68"/>
      <c r="H611" s="139"/>
      <c r="I611" s="139"/>
      <c r="J611" s="68"/>
      <c r="K611" s="68"/>
    </row>
    <row r="612" spans="1:11" s="9" customFormat="1" ht="33" thickTop="1" thickBot="1" x14ac:dyDescent="0.25">
      <c r="A612" s="5" t="s">
        <v>11</v>
      </c>
      <c r="B612" s="6" t="s">
        <v>77</v>
      </c>
      <c r="C612" s="6" t="s">
        <v>12</v>
      </c>
      <c r="D612" s="6" t="s">
        <v>13</v>
      </c>
      <c r="E612" s="7" t="s">
        <v>14</v>
      </c>
      <c r="F612" s="8" t="s">
        <v>15</v>
      </c>
      <c r="G612" s="68"/>
      <c r="H612" s="139"/>
      <c r="I612" s="139"/>
      <c r="J612" s="68"/>
      <c r="K612" s="68"/>
    </row>
    <row r="613" spans="1:11" s="68" customFormat="1" ht="17.25" thickTop="1" thickBot="1" x14ac:dyDescent="0.25">
      <c r="A613" s="333" t="s">
        <v>497</v>
      </c>
      <c r="B613" s="334"/>
      <c r="C613" s="334"/>
      <c r="D613" s="334"/>
      <c r="E613" s="334"/>
      <c r="F613" s="335"/>
      <c r="H613" s="139"/>
      <c r="I613" s="139"/>
    </row>
    <row r="614" spans="1:11" s="58" customFormat="1" ht="15" x14ac:dyDescent="0.2">
      <c r="A614" s="95">
        <v>11.1</v>
      </c>
      <c r="B614" s="208" t="s">
        <v>498</v>
      </c>
      <c r="C614" s="209"/>
      <c r="D614" s="209"/>
      <c r="E614" s="209"/>
      <c r="F614" s="210"/>
      <c r="G614" s="112"/>
      <c r="H614" s="140"/>
      <c r="I614" s="140"/>
      <c r="J614" s="112"/>
      <c r="K614" s="112"/>
    </row>
    <row r="615" spans="1:11" s="9" customFormat="1" ht="25.5" x14ac:dyDescent="0.2">
      <c r="A615" s="166" t="s">
        <v>499</v>
      </c>
      <c r="B615" s="25" t="s">
        <v>535</v>
      </c>
      <c r="C615" s="48" t="s">
        <v>16</v>
      </c>
      <c r="D615" s="129">
        <v>1</v>
      </c>
      <c r="E615" s="49">
        <v>0</v>
      </c>
      <c r="F615" s="167">
        <f>D615*E615</f>
        <v>0</v>
      </c>
      <c r="G615" s="68"/>
      <c r="H615" s="139"/>
      <c r="I615" s="139"/>
      <c r="J615" s="68"/>
      <c r="K615" s="68"/>
    </row>
    <row r="616" spans="1:11" s="9" customFormat="1" ht="26.25" thickBot="1" x14ac:dyDescent="0.25">
      <c r="A616" s="166" t="s">
        <v>500</v>
      </c>
      <c r="B616" s="25" t="s">
        <v>536</v>
      </c>
      <c r="C616" s="53" t="s">
        <v>16</v>
      </c>
      <c r="D616" s="170">
        <v>1</v>
      </c>
      <c r="E616" s="55">
        <v>0</v>
      </c>
      <c r="F616" s="171">
        <f>D616*E616</f>
        <v>0</v>
      </c>
      <c r="G616" s="68"/>
      <c r="H616" s="139"/>
      <c r="I616" s="139"/>
      <c r="J616" s="68"/>
      <c r="K616" s="68"/>
    </row>
    <row r="617" spans="1:11" s="112" customFormat="1" ht="15.75" thickBot="1" x14ac:dyDescent="0.25">
      <c r="A617" s="294" t="s">
        <v>26</v>
      </c>
      <c r="B617" s="295"/>
      <c r="C617" s="295"/>
      <c r="D617" s="295"/>
      <c r="E617" s="152">
        <f>A614</f>
        <v>11.1</v>
      </c>
      <c r="F617" s="153">
        <f>SUM(F615:F616)</f>
        <v>0</v>
      </c>
      <c r="H617" s="140"/>
      <c r="I617" s="140"/>
    </row>
    <row r="618" spans="1:11" s="112" customFormat="1" ht="37.5" customHeight="1" x14ac:dyDescent="0.2">
      <c r="A618" s="95">
        <v>11.2</v>
      </c>
      <c r="B618" s="208" t="s">
        <v>501</v>
      </c>
      <c r="C618" s="209"/>
      <c r="D618" s="209"/>
      <c r="E618" s="209"/>
      <c r="F618" s="210"/>
      <c r="H618" s="140"/>
      <c r="I618" s="140"/>
    </row>
    <row r="619" spans="1:11" s="45" customFormat="1" ht="15" x14ac:dyDescent="0.2">
      <c r="A619" s="166" t="s">
        <v>502</v>
      </c>
      <c r="B619" s="25" t="s">
        <v>534</v>
      </c>
      <c r="C619" s="48" t="s">
        <v>17</v>
      </c>
      <c r="D619" s="172">
        <f>37000*1.025*3</f>
        <v>113775</v>
      </c>
      <c r="E619" s="49">
        <v>0</v>
      </c>
      <c r="F619" s="173">
        <f>D619*E619</f>
        <v>0</v>
      </c>
      <c r="H619" s="141"/>
      <c r="I619" s="141"/>
    </row>
    <row r="620" spans="1:11" s="45" customFormat="1" ht="15" x14ac:dyDescent="0.2">
      <c r="A620" s="166" t="s">
        <v>503</v>
      </c>
      <c r="B620" s="25" t="s">
        <v>537</v>
      </c>
      <c r="C620" s="48" t="s">
        <v>17</v>
      </c>
      <c r="D620" s="172">
        <f>37000*1.025*2</f>
        <v>75850</v>
      </c>
      <c r="E620" s="49">
        <v>0</v>
      </c>
      <c r="F620" s="173">
        <f t="shared" ref="F620:F626" si="54">D620*E620</f>
        <v>0</v>
      </c>
      <c r="H620" s="141"/>
      <c r="I620" s="141"/>
    </row>
    <row r="621" spans="1:11" s="58" customFormat="1" ht="15" x14ac:dyDescent="0.2">
      <c r="A621" s="166" t="s">
        <v>505</v>
      </c>
      <c r="B621" s="25" t="s">
        <v>506</v>
      </c>
      <c r="C621" s="48" t="s">
        <v>17</v>
      </c>
      <c r="D621" s="172">
        <f>D626*15</f>
        <v>2715</v>
      </c>
      <c r="E621" s="49">
        <v>0</v>
      </c>
      <c r="F621" s="173">
        <f>D621*E621</f>
        <v>0</v>
      </c>
      <c r="G621" s="112"/>
      <c r="H621" s="140"/>
      <c r="I621" s="140"/>
      <c r="J621" s="112"/>
      <c r="K621" s="112"/>
    </row>
    <row r="622" spans="1:11" s="45" customFormat="1" ht="15" x14ac:dyDescent="0.2">
      <c r="A622" s="166" t="s">
        <v>507</v>
      </c>
      <c r="B622" s="25" t="s">
        <v>508</v>
      </c>
      <c r="C622" s="48" t="s">
        <v>18</v>
      </c>
      <c r="D622" s="174">
        <f>(199-36)*3</f>
        <v>489</v>
      </c>
      <c r="E622" s="49">
        <v>0</v>
      </c>
      <c r="F622" s="173">
        <f t="shared" si="54"/>
        <v>0</v>
      </c>
      <c r="H622" s="141"/>
      <c r="I622" s="141"/>
    </row>
    <row r="623" spans="1:11" s="45" customFormat="1" ht="15" x14ac:dyDescent="0.2">
      <c r="A623" s="166" t="s">
        <v>509</v>
      </c>
      <c r="B623" s="25" t="s">
        <v>510</v>
      </c>
      <c r="C623" s="48" t="s">
        <v>18</v>
      </c>
      <c r="D623" s="174">
        <f>36*6</f>
        <v>216</v>
      </c>
      <c r="E623" s="49">
        <v>0</v>
      </c>
      <c r="F623" s="173">
        <f t="shared" si="54"/>
        <v>0</v>
      </c>
      <c r="H623" s="141"/>
      <c r="I623" s="141"/>
    </row>
    <row r="624" spans="1:11" s="45" customFormat="1" ht="15" x14ac:dyDescent="0.2">
      <c r="A624" s="166" t="s">
        <v>511</v>
      </c>
      <c r="B624" s="25" t="s">
        <v>512</v>
      </c>
      <c r="C624" s="48" t="s">
        <v>18</v>
      </c>
      <c r="D624" s="174">
        <f>(199-36)*2</f>
        <v>326</v>
      </c>
      <c r="E624" s="49">
        <v>0</v>
      </c>
      <c r="F624" s="173">
        <f t="shared" si="54"/>
        <v>0</v>
      </c>
      <c r="H624" s="141"/>
      <c r="I624" s="141"/>
    </row>
    <row r="625" spans="1:11" s="45" customFormat="1" ht="15" x14ac:dyDescent="0.2">
      <c r="A625" s="166" t="s">
        <v>513</v>
      </c>
      <c r="B625" s="25" t="s">
        <v>514</v>
      </c>
      <c r="C625" s="48" t="s">
        <v>18</v>
      </c>
      <c r="D625" s="174">
        <f>36*4</f>
        <v>144</v>
      </c>
      <c r="E625" s="49">
        <v>0</v>
      </c>
      <c r="F625" s="173">
        <f t="shared" si="54"/>
        <v>0</v>
      </c>
      <c r="H625" s="141"/>
      <c r="I625" s="141"/>
    </row>
    <row r="626" spans="1:11" s="9" customFormat="1" ht="15.75" thickBot="1" x14ac:dyDescent="0.25">
      <c r="A626" s="166" t="s">
        <v>515</v>
      </c>
      <c r="B626" s="52" t="s">
        <v>516</v>
      </c>
      <c r="C626" s="53" t="s">
        <v>18</v>
      </c>
      <c r="D626" s="175">
        <f>ROUNDUP((36*4+5*4)*1.1,0)</f>
        <v>181</v>
      </c>
      <c r="E626" s="55">
        <v>0</v>
      </c>
      <c r="F626" s="176">
        <f t="shared" si="54"/>
        <v>0</v>
      </c>
      <c r="G626" s="68"/>
      <c r="H626" s="139"/>
      <c r="I626" s="139"/>
      <c r="J626" s="68"/>
      <c r="K626" s="68"/>
    </row>
    <row r="627" spans="1:11" s="112" customFormat="1" ht="15.75" thickBot="1" x14ac:dyDescent="0.25">
      <c r="A627" s="294" t="s">
        <v>26</v>
      </c>
      <c r="B627" s="295"/>
      <c r="C627" s="295"/>
      <c r="D627" s="295"/>
      <c r="E627" s="152">
        <f>A618</f>
        <v>11.2</v>
      </c>
      <c r="F627" s="153">
        <f>SUM(F619:F626)</f>
        <v>0</v>
      </c>
      <c r="H627" s="140"/>
      <c r="I627" s="140"/>
    </row>
    <row r="628" spans="1:11" s="112" customFormat="1" ht="38.450000000000003" customHeight="1" thickBot="1" x14ac:dyDescent="0.25">
      <c r="A628" s="95">
        <v>11.3</v>
      </c>
      <c r="B628" s="208" t="s">
        <v>543</v>
      </c>
      <c r="C628" s="209"/>
      <c r="D628" s="209"/>
      <c r="E628" s="209"/>
      <c r="F628" s="210"/>
      <c r="H628" s="140"/>
      <c r="I628" s="140"/>
    </row>
    <row r="629" spans="1:11" s="112" customFormat="1" ht="38.450000000000003" customHeight="1" x14ac:dyDescent="0.2">
      <c r="A629" s="324" t="s">
        <v>518</v>
      </c>
      <c r="B629" s="268" t="s">
        <v>517</v>
      </c>
      <c r="C629" s="269"/>
      <c r="D629" s="269"/>
      <c r="E629" s="269"/>
      <c r="F629" s="270"/>
      <c r="H629" s="140"/>
      <c r="I629" s="140"/>
    </row>
    <row r="630" spans="1:11" s="45" customFormat="1" ht="15" x14ac:dyDescent="0.2">
      <c r="A630" s="325"/>
      <c r="B630" s="60" t="s">
        <v>557</v>
      </c>
      <c r="C630" s="48" t="s">
        <v>97</v>
      </c>
      <c r="D630" s="178">
        <f>199*1.25*1.25*1*2</f>
        <v>621.875</v>
      </c>
      <c r="E630" s="49">
        <v>0</v>
      </c>
      <c r="F630" s="173">
        <f>D630*E630</f>
        <v>0</v>
      </c>
      <c r="H630" s="141"/>
      <c r="I630" s="141"/>
    </row>
    <row r="631" spans="1:11" s="45" customFormat="1" ht="15" x14ac:dyDescent="0.2">
      <c r="A631" s="325"/>
      <c r="B631" s="60" t="s">
        <v>558</v>
      </c>
      <c r="C631" s="48" t="s">
        <v>97</v>
      </c>
      <c r="D631" s="178">
        <f>1*1.25*1.25*1.5</f>
        <v>2.34375</v>
      </c>
      <c r="E631" s="49">
        <v>0</v>
      </c>
      <c r="F631" s="173">
        <f>D631*E631</f>
        <v>0</v>
      </c>
      <c r="H631" s="141"/>
      <c r="I631" s="141"/>
    </row>
    <row r="632" spans="1:11" s="9" customFormat="1" ht="15.75" thickBot="1" x14ac:dyDescent="0.25">
      <c r="A632" s="326"/>
      <c r="B632" s="62" t="s">
        <v>559</v>
      </c>
      <c r="C632" s="61" t="s">
        <v>97</v>
      </c>
      <c r="D632" s="179">
        <f>D626*0.65*0.65*1.5</f>
        <v>114.70875000000001</v>
      </c>
      <c r="E632" s="55">
        <v>0</v>
      </c>
      <c r="F632" s="176">
        <f>D632*E632</f>
        <v>0</v>
      </c>
      <c r="G632" s="68"/>
      <c r="H632" s="139"/>
      <c r="I632" s="139"/>
      <c r="J632" s="68"/>
      <c r="K632" s="68"/>
    </row>
    <row r="633" spans="1:11" s="112" customFormat="1" ht="15.75" thickBot="1" x14ac:dyDescent="0.25">
      <c r="A633" s="388" t="s">
        <v>542</v>
      </c>
      <c r="B633" s="389"/>
      <c r="C633" s="389"/>
      <c r="D633" s="389"/>
      <c r="E633" s="182" t="str">
        <f>A629</f>
        <v>11.3.1</v>
      </c>
      <c r="F633" s="183">
        <f>SUM(F630:F632)</f>
        <v>0</v>
      </c>
      <c r="H633" s="140"/>
      <c r="I633" s="140"/>
    </row>
    <row r="634" spans="1:11" s="45" customFormat="1" ht="15" x14ac:dyDescent="0.2">
      <c r="A634" s="177" t="s">
        <v>519</v>
      </c>
      <c r="B634" s="60" t="s">
        <v>538</v>
      </c>
      <c r="C634" s="48" t="s">
        <v>18</v>
      </c>
      <c r="D634" s="174">
        <f>199-D635-D636-D637</f>
        <v>168</v>
      </c>
      <c r="E634" s="49">
        <v>0</v>
      </c>
      <c r="F634" s="173">
        <f>D634*E634</f>
        <v>0</v>
      </c>
      <c r="H634" s="141"/>
      <c r="I634" s="141"/>
    </row>
    <row r="635" spans="1:11" s="9" customFormat="1" ht="15" x14ac:dyDescent="0.2">
      <c r="A635" s="177" t="s">
        <v>520</v>
      </c>
      <c r="B635" s="60" t="s">
        <v>539</v>
      </c>
      <c r="C635" s="48" t="s">
        <v>18</v>
      </c>
      <c r="D635" s="174">
        <v>25</v>
      </c>
      <c r="E635" s="49">
        <v>0</v>
      </c>
      <c r="F635" s="173">
        <f>D635*E635</f>
        <v>0</v>
      </c>
      <c r="G635" s="68"/>
      <c r="H635" s="139"/>
      <c r="I635" s="139"/>
      <c r="J635" s="68"/>
      <c r="K635" s="68"/>
    </row>
    <row r="636" spans="1:11" s="9" customFormat="1" ht="15" x14ac:dyDescent="0.2">
      <c r="A636" s="177" t="s">
        <v>521</v>
      </c>
      <c r="B636" s="60" t="s">
        <v>540</v>
      </c>
      <c r="C636" s="48" t="s">
        <v>18</v>
      </c>
      <c r="D636" s="174">
        <v>5</v>
      </c>
      <c r="E636" s="49">
        <v>0</v>
      </c>
      <c r="F636" s="173">
        <f>D636*E636</f>
        <v>0</v>
      </c>
      <c r="G636" s="68"/>
      <c r="H636" s="139"/>
      <c r="I636" s="139"/>
      <c r="J636" s="68"/>
      <c r="K636" s="68"/>
    </row>
    <row r="637" spans="1:11" s="9" customFormat="1" ht="15.75" thickBot="1" x14ac:dyDescent="0.25">
      <c r="A637" s="177" t="s">
        <v>546</v>
      </c>
      <c r="B637" s="60" t="s">
        <v>541</v>
      </c>
      <c r="C637" s="48" t="s">
        <v>18</v>
      </c>
      <c r="D637" s="174">
        <v>1</v>
      </c>
      <c r="E637" s="49">
        <v>0</v>
      </c>
      <c r="F637" s="173">
        <f>D637*E637</f>
        <v>0</v>
      </c>
      <c r="G637" s="68"/>
      <c r="H637" s="139"/>
      <c r="I637" s="139"/>
      <c r="J637" s="68"/>
      <c r="K637" s="68"/>
    </row>
    <row r="638" spans="1:11" s="112" customFormat="1" ht="15.75" thickBot="1" x14ac:dyDescent="0.25">
      <c r="A638" s="294" t="s">
        <v>26</v>
      </c>
      <c r="B638" s="295"/>
      <c r="C638" s="295"/>
      <c r="D638" s="295"/>
      <c r="E638" s="152">
        <f>A628</f>
        <v>11.3</v>
      </c>
      <c r="F638" s="153">
        <f>SUM(F634:F637)+F633</f>
        <v>0</v>
      </c>
      <c r="H638" s="140"/>
      <c r="I638" s="140"/>
    </row>
    <row r="639" spans="1:11" s="112" customFormat="1" ht="49.15" customHeight="1" x14ac:dyDescent="0.2">
      <c r="A639" s="95">
        <v>11.4</v>
      </c>
      <c r="B639" s="208" t="s">
        <v>547</v>
      </c>
      <c r="C639" s="209"/>
      <c r="D639" s="209"/>
      <c r="E639" s="209"/>
      <c r="F639" s="210"/>
      <c r="H639" s="140"/>
      <c r="I639" s="140"/>
    </row>
    <row r="640" spans="1:11" s="45" customFormat="1" ht="15" x14ac:dyDescent="0.2">
      <c r="A640" s="177" t="s">
        <v>522</v>
      </c>
      <c r="B640" s="60" t="s">
        <v>556</v>
      </c>
      <c r="C640" s="48" t="s">
        <v>526</v>
      </c>
      <c r="D640" s="178">
        <f>1.8*D634+D635*1.15+D636*1.66</f>
        <v>339.45000000000005</v>
      </c>
      <c r="E640" s="49">
        <v>0</v>
      </c>
      <c r="F640" s="173">
        <f>D640*E640</f>
        <v>0</v>
      </c>
      <c r="H640" s="141"/>
      <c r="I640" s="141"/>
    </row>
    <row r="641" spans="1:11" s="9" customFormat="1" ht="15" x14ac:dyDescent="0.2">
      <c r="A641" s="177" t="s">
        <v>523</v>
      </c>
      <c r="B641" s="60" t="s">
        <v>548</v>
      </c>
      <c r="C641" s="48" t="s">
        <v>526</v>
      </c>
      <c r="D641" s="178">
        <f>(((2*650)+225)/1000)*D635</f>
        <v>38.125</v>
      </c>
      <c r="E641" s="49">
        <v>0</v>
      </c>
      <c r="F641" s="173">
        <f>D641*E641</f>
        <v>0</v>
      </c>
      <c r="G641" s="68"/>
      <c r="H641" s="139"/>
      <c r="I641" s="139"/>
      <c r="J641" s="68"/>
      <c r="K641" s="68"/>
    </row>
    <row r="642" spans="1:11" s="45" customFormat="1" ht="15" x14ac:dyDescent="0.2">
      <c r="A642" s="177" t="s">
        <v>544</v>
      </c>
      <c r="B642" s="25" t="s">
        <v>534</v>
      </c>
      <c r="C642" s="48" t="s">
        <v>526</v>
      </c>
      <c r="D642" s="178">
        <f>D619*0.214/1000</f>
        <v>24.347849999999998</v>
      </c>
      <c r="E642" s="49">
        <v>0</v>
      </c>
      <c r="F642" s="167">
        <f>D642*E642</f>
        <v>0</v>
      </c>
      <c r="H642" s="141"/>
      <c r="I642" s="141"/>
    </row>
    <row r="643" spans="1:11" s="45" customFormat="1" ht="15" x14ac:dyDescent="0.2">
      <c r="A643" s="177" t="s">
        <v>524</v>
      </c>
      <c r="B643" s="25" t="s">
        <v>504</v>
      </c>
      <c r="C643" s="48" t="s">
        <v>526</v>
      </c>
      <c r="D643" s="178">
        <f>D620*0.308/1000</f>
        <v>23.361799999999999</v>
      </c>
      <c r="E643" s="49">
        <v>0</v>
      </c>
      <c r="F643" s="173">
        <f t="shared" ref="F643:F649" si="55">D643*E643</f>
        <v>0</v>
      </c>
      <c r="H643" s="141"/>
      <c r="I643" s="141"/>
    </row>
    <row r="644" spans="1:11" s="58" customFormat="1" ht="15" x14ac:dyDescent="0.2">
      <c r="A644" s="177" t="s">
        <v>545</v>
      </c>
      <c r="B644" s="25" t="s">
        <v>506</v>
      </c>
      <c r="C644" s="48" t="s">
        <v>526</v>
      </c>
      <c r="D644" s="178">
        <f>D621*0.826/1000</f>
        <v>2.2425899999999999</v>
      </c>
      <c r="E644" s="49">
        <v>0</v>
      </c>
      <c r="F644" s="173">
        <f t="shared" si="55"/>
        <v>0</v>
      </c>
      <c r="G644" s="112"/>
      <c r="H644" s="140"/>
      <c r="I644" s="140"/>
      <c r="J644" s="112"/>
      <c r="K644" s="112"/>
    </row>
    <row r="645" spans="1:11" s="45" customFormat="1" ht="15" x14ac:dyDescent="0.2">
      <c r="A645" s="177" t="s">
        <v>551</v>
      </c>
      <c r="B645" s="25" t="s">
        <v>508</v>
      </c>
      <c r="C645" s="48" t="s">
        <v>526</v>
      </c>
      <c r="D645" s="178">
        <f>(D622*(17.5))/1000</f>
        <v>8.5574999999999992</v>
      </c>
      <c r="E645" s="49">
        <v>0</v>
      </c>
      <c r="F645" s="173">
        <f t="shared" si="55"/>
        <v>0</v>
      </c>
      <c r="H645" s="141"/>
      <c r="I645" s="141"/>
    </row>
    <row r="646" spans="1:11" s="45" customFormat="1" ht="15" x14ac:dyDescent="0.2">
      <c r="A646" s="177" t="s">
        <v>552</v>
      </c>
      <c r="B646" s="25" t="s">
        <v>510</v>
      </c>
      <c r="C646" s="48" t="s">
        <v>526</v>
      </c>
      <c r="D646" s="178">
        <f>(D623*(19.5))/1000</f>
        <v>4.2119999999999997</v>
      </c>
      <c r="E646" s="49">
        <v>0</v>
      </c>
      <c r="F646" s="173">
        <f t="shared" si="55"/>
        <v>0</v>
      </c>
      <c r="H646" s="141"/>
      <c r="I646" s="141"/>
    </row>
    <row r="647" spans="1:11" s="45" customFormat="1" ht="15" x14ac:dyDescent="0.2">
      <c r="A647" s="177" t="s">
        <v>553</v>
      </c>
      <c r="B647" s="25" t="s">
        <v>512</v>
      </c>
      <c r="C647" s="48" t="s">
        <v>526</v>
      </c>
      <c r="D647" s="178">
        <f>(D624*(0.5))/1000</f>
        <v>0.16300000000000001</v>
      </c>
      <c r="E647" s="49">
        <v>0</v>
      </c>
      <c r="F647" s="173">
        <f t="shared" si="55"/>
        <v>0</v>
      </c>
      <c r="H647" s="141"/>
      <c r="I647" s="141"/>
    </row>
    <row r="648" spans="1:11" s="45" customFormat="1" ht="15" x14ac:dyDescent="0.2">
      <c r="A648" s="177" t="s">
        <v>554</v>
      </c>
      <c r="B648" s="25" t="s">
        <v>514</v>
      </c>
      <c r="C648" s="48" t="s">
        <v>526</v>
      </c>
      <c r="D648" s="178">
        <f>(D625*(1.25))/1000</f>
        <v>0.18</v>
      </c>
      <c r="E648" s="49">
        <v>0</v>
      </c>
      <c r="F648" s="173">
        <f t="shared" si="55"/>
        <v>0</v>
      </c>
      <c r="H648" s="141"/>
      <c r="I648" s="141"/>
    </row>
    <row r="649" spans="1:11" s="9" customFormat="1" ht="15.75" thickBot="1" x14ac:dyDescent="0.25">
      <c r="A649" s="177" t="s">
        <v>555</v>
      </c>
      <c r="B649" s="52" t="s">
        <v>516</v>
      </c>
      <c r="C649" s="48" t="s">
        <v>526</v>
      </c>
      <c r="D649" s="178">
        <f>(D626*(5.5))/1000</f>
        <v>0.99550000000000005</v>
      </c>
      <c r="E649" s="55">
        <v>0</v>
      </c>
      <c r="F649" s="176">
        <f t="shared" si="55"/>
        <v>0</v>
      </c>
      <c r="G649" s="68"/>
      <c r="H649" s="139"/>
      <c r="I649" s="139"/>
      <c r="J649" s="68"/>
      <c r="K649" s="68"/>
    </row>
    <row r="650" spans="1:11" s="112" customFormat="1" ht="15.75" thickBot="1" x14ac:dyDescent="0.25">
      <c r="A650" s="294" t="s">
        <v>26</v>
      </c>
      <c r="B650" s="295"/>
      <c r="C650" s="295"/>
      <c r="D650" s="295"/>
      <c r="E650" s="152">
        <f>A639</f>
        <v>11.4</v>
      </c>
      <c r="F650" s="153">
        <f>SUM(F640:F649)</f>
        <v>0</v>
      </c>
      <c r="H650" s="140"/>
      <c r="I650" s="140"/>
    </row>
    <row r="651" spans="1:11" s="112" customFormat="1" ht="30" customHeight="1" x14ac:dyDescent="0.2">
      <c r="A651" s="95">
        <v>11.5</v>
      </c>
      <c r="B651" s="208" t="s">
        <v>550</v>
      </c>
      <c r="C651" s="209"/>
      <c r="D651" s="209"/>
      <c r="E651" s="209"/>
      <c r="F651" s="210"/>
      <c r="H651" s="140"/>
      <c r="I651" s="140"/>
    </row>
    <row r="652" spans="1:11" s="45" customFormat="1" ht="15" x14ac:dyDescent="0.2">
      <c r="A652" s="166" t="s">
        <v>525</v>
      </c>
      <c r="B652" s="60" t="s">
        <v>529</v>
      </c>
      <c r="C652" s="48" t="s">
        <v>530</v>
      </c>
      <c r="D652" s="178">
        <f>SUM(D630:D631)*0.1</f>
        <v>62.421875</v>
      </c>
      <c r="E652" s="49">
        <v>0</v>
      </c>
      <c r="F652" s="173">
        <f>D652*E652</f>
        <v>0</v>
      </c>
      <c r="H652" s="141"/>
      <c r="I652" s="141"/>
    </row>
    <row r="653" spans="1:11" s="45" customFormat="1" ht="15" x14ac:dyDescent="0.2">
      <c r="A653" s="166" t="s">
        <v>527</v>
      </c>
      <c r="B653" s="60" t="s">
        <v>531</v>
      </c>
      <c r="C653" s="48" t="s">
        <v>530</v>
      </c>
      <c r="D653" s="178">
        <f>D652</f>
        <v>62.421875</v>
      </c>
      <c r="E653" s="49">
        <v>0</v>
      </c>
      <c r="F653" s="173">
        <f>D653*E653</f>
        <v>0</v>
      </c>
      <c r="H653" s="141"/>
      <c r="I653" s="141"/>
    </row>
    <row r="654" spans="1:11" s="9" customFormat="1" ht="15" x14ac:dyDescent="0.2">
      <c r="A654" s="166" t="s">
        <v>549</v>
      </c>
      <c r="B654" s="60" t="s">
        <v>532</v>
      </c>
      <c r="C654" s="48" t="s">
        <v>530</v>
      </c>
      <c r="D654" s="178">
        <f>SUM(D630:D632)-D653</f>
        <v>676.50562500000001</v>
      </c>
      <c r="E654" s="49">
        <v>0</v>
      </c>
      <c r="F654" s="173">
        <f>D654*E654</f>
        <v>0</v>
      </c>
      <c r="G654" s="68"/>
      <c r="H654" s="139"/>
      <c r="I654" s="139"/>
      <c r="J654" s="68"/>
      <c r="K654" s="68"/>
    </row>
    <row r="655" spans="1:11" s="1" customFormat="1" ht="18.75" thickBot="1" x14ac:dyDescent="0.3">
      <c r="A655" s="166" t="s">
        <v>528</v>
      </c>
      <c r="B655" s="62" t="s">
        <v>533</v>
      </c>
      <c r="C655" s="53" t="s">
        <v>18</v>
      </c>
      <c r="D655" s="175">
        <f>SUM(D634:D637)</f>
        <v>199</v>
      </c>
      <c r="E655" s="55">
        <v>0</v>
      </c>
      <c r="F655" s="176">
        <f>D655*E655</f>
        <v>0</v>
      </c>
      <c r="G655" s="180"/>
      <c r="H655" s="181"/>
      <c r="I655" s="181"/>
      <c r="J655" s="180"/>
      <c r="K655" s="180"/>
    </row>
    <row r="656" spans="1:11" s="58" customFormat="1" ht="15.75" thickBot="1" x14ac:dyDescent="0.25">
      <c r="A656" s="386" t="s">
        <v>26</v>
      </c>
      <c r="B656" s="387"/>
      <c r="C656" s="387"/>
      <c r="D656" s="387"/>
      <c r="E656" s="152">
        <f>A651</f>
        <v>11.5</v>
      </c>
      <c r="F656" s="153">
        <f>SUM(F652:F655)</f>
        <v>0</v>
      </c>
      <c r="G656" s="112"/>
      <c r="H656" s="140"/>
      <c r="I656" s="140"/>
      <c r="J656" s="112"/>
      <c r="K656" s="112"/>
    </row>
    <row r="657" spans="1:11" s="9" customFormat="1" ht="17.25" thickTop="1" thickBot="1" x14ac:dyDescent="0.25">
      <c r="A657" s="220" t="s">
        <v>713</v>
      </c>
      <c r="B657" s="221"/>
      <c r="C657" s="221"/>
      <c r="D657" s="221"/>
      <c r="E657" s="222"/>
      <c r="F657" s="120">
        <f>SUM(F617,F627,F638,F650,F656)</f>
        <v>0</v>
      </c>
      <c r="G657" s="68"/>
      <c r="H657" s="139"/>
      <c r="I657" s="139"/>
      <c r="J657" s="68"/>
      <c r="K657" s="68"/>
    </row>
    <row r="658" spans="1:11" s="9" customFormat="1" ht="17.25" thickTop="1" thickBot="1" x14ac:dyDescent="0.25">
      <c r="A658" s="341"/>
      <c r="B658" s="342"/>
      <c r="C658" s="250" t="s">
        <v>10</v>
      </c>
      <c r="D658" s="251"/>
      <c r="E658" s="251"/>
      <c r="F658" s="252"/>
      <c r="H658" s="135"/>
      <c r="I658" s="135"/>
    </row>
    <row r="659" spans="1:11" ht="33" thickTop="1" thickBot="1" x14ac:dyDescent="0.25">
      <c r="A659" s="5" t="s">
        <v>11</v>
      </c>
      <c r="B659" s="6" t="s">
        <v>77</v>
      </c>
      <c r="C659" s="6" t="s">
        <v>12</v>
      </c>
      <c r="D659" s="6" t="s">
        <v>13</v>
      </c>
      <c r="E659" s="7" t="s">
        <v>14</v>
      </c>
      <c r="F659" s="8" t="s">
        <v>15</v>
      </c>
    </row>
    <row r="660" spans="1:11" s="58" customFormat="1" ht="17.25" thickTop="1" thickBot="1" x14ac:dyDescent="0.25">
      <c r="A660" s="333" t="s">
        <v>279</v>
      </c>
      <c r="B660" s="334"/>
      <c r="C660" s="334"/>
      <c r="D660" s="334"/>
      <c r="E660" s="334"/>
      <c r="F660" s="335"/>
      <c r="H660" s="136"/>
      <c r="I660" s="136"/>
    </row>
    <row r="661" spans="1:11" s="58" customFormat="1" ht="15" x14ac:dyDescent="0.2">
      <c r="A661" s="95">
        <v>12.1</v>
      </c>
      <c r="B661" s="208" t="s">
        <v>280</v>
      </c>
      <c r="C661" s="209"/>
      <c r="D661" s="209"/>
      <c r="E661" s="209"/>
      <c r="F661" s="210"/>
      <c r="H661" s="136"/>
      <c r="I661" s="136"/>
    </row>
    <row r="662" spans="1:11" s="9" customFormat="1" ht="38.25" x14ac:dyDescent="0.2">
      <c r="A662" s="46" t="s">
        <v>281</v>
      </c>
      <c r="B662" s="60" t="s">
        <v>178</v>
      </c>
      <c r="C662" s="48" t="s">
        <v>18</v>
      </c>
      <c r="D662" s="59">
        <f>158+3</f>
        <v>161</v>
      </c>
      <c r="E662" s="49">
        <v>0</v>
      </c>
      <c r="F662" s="57">
        <f>D662*E662</f>
        <v>0</v>
      </c>
      <c r="H662" s="135"/>
      <c r="I662" s="135"/>
    </row>
    <row r="663" spans="1:11" s="9" customFormat="1" ht="25.5" x14ac:dyDescent="0.2">
      <c r="A663" s="46" t="s">
        <v>282</v>
      </c>
      <c r="B663" s="51" t="s">
        <v>180</v>
      </c>
      <c r="C663" s="48" t="s">
        <v>16</v>
      </c>
      <c r="D663" s="59">
        <v>1</v>
      </c>
      <c r="E663" s="49">
        <v>0</v>
      </c>
      <c r="F663" s="57">
        <f>D663*E663</f>
        <v>0</v>
      </c>
      <c r="H663" s="135"/>
      <c r="I663" s="135"/>
    </row>
    <row r="664" spans="1:11" ht="15" x14ac:dyDescent="0.2">
      <c r="A664" s="46" t="s">
        <v>283</v>
      </c>
      <c r="B664" s="51" t="s">
        <v>222</v>
      </c>
      <c r="C664" s="48" t="s">
        <v>16</v>
      </c>
      <c r="D664" s="59">
        <v>1</v>
      </c>
      <c r="E664" s="49">
        <v>0</v>
      </c>
      <c r="F664" s="57">
        <f>D664*E664</f>
        <v>0</v>
      </c>
    </row>
    <row r="665" spans="1:11" ht="15.75" thickBot="1" x14ac:dyDescent="0.25">
      <c r="A665" s="46" t="s">
        <v>284</v>
      </c>
      <c r="B665" s="60" t="s">
        <v>88</v>
      </c>
      <c r="C665" s="48" t="s">
        <v>16</v>
      </c>
      <c r="D665" s="59">
        <v>1</v>
      </c>
      <c r="E665" s="49">
        <v>0</v>
      </c>
      <c r="F665" s="57">
        <f>D665*E665</f>
        <v>0</v>
      </c>
    </row>
    <row r="666" spans="1:11" s="9" customFormat="1" ht="15.75" thickBot="1" x14ac:dyDescent="0.25">
      <c r="A666" s="204" t="s">
        <v>26</v>
      </c>
      <c r="B666" s="223"/>
      <c r="C666" s="223"/>
      <c r="D666" s="223"/>
      <c r="E666" s="109">
        <f>A661</f>
        <v>12.1</v>
      </c>
      <c r="F666" s="110">
        <f>SUM(F662:F665)</f>
        <v>0</v>
      </c>
      <c r="H666" s="135"/>
      <c r="I666" s="135"/>
    </row>
    <row r="667" spans="1:11" s="9" customFormat="1" ht="15" x14ac:dyDescent="0.2">
      <c r="A667" s="95">
        <v>12.2</v>
      </c>
      <c r="B667" s="208" t="s">
        <v>249</v>
      </c>
      <c r="C667" s="209"/>
      <c r="D667" s="209"/>
      <c r="E667" s="209"/>
      <c r="F667" s="210"/>
      <c r="H667" s="135"/>
      <c r="I667" s="135"/>
    </row>
    <row r="668" spans="1:11" s="9" customFormat="1" ht="25.5" x14ac:dyDescent="0.2">
      <c r="A668" s="70" t="s">
        <v>285</v>
      </c>
      <c r="B668" s="25" t="s">
        <v>179</v>
      </c>
      <c r="C668" s="48" t="s">
        <v>19</v>
      </c>
      <c r="D668" s="76">
        <f>D551+D552+(D568+D570)/1000</f>
        <v>38.431899999999999</v>
      </c>
      <c r="E668" s="49">
        <v>0</v>
      </c>
      <c r="F668" s="50">
        <f>D668*E668</f>
        <v>0</v>
      </c>
      <c r="H668" s="135"/>
      <c r="I668" s="135"/>
    </row>
    <row r="669" spans="1:11" s="58" customFormat="1" ht="26.25" thickBot="1" x14ac:dyDescent="0.25">
      <c r="A669" s="64" t="s">
        <v>286</v>
      </c>
      <c r="B669" s="20" t="s">
        <v>104</v>
      </c>
      <c r="C669" s="21" t="s">
        <v>16</v>
      </c>
      <c r="D669" s="22">
        <v>1</v>
      </c>
      <c r="E669" s="23">
        <v>0</v>
      </c>
      <c r="F669" s="24">
        <f>D669*E669</f>
        <v>0</v>
      </c>
      <c r="H669" s="136"/>
      <c r="I669" s="136"/>
    </row>
    <row r="670" spans="1:11" s="58" customFormat="1" ht="15.75" thickBot="1" x14ac:dyDescent="0.25">
      <c r="A670" s="294" t="s">
        <v>26</v>
      </c>
      <c r="B670" s="295"/>
      <c r="C670" s="295"/>
      <c r="D670" s="295"/>
      <c r="E670" s="152">
        <f>A667</f>
        <v>12.2</v>
      </c>
      <c r="F670" s="153">
        <f>SUM(F668:F669)</f>
        <v>0</v>
      </c>
      <c r="H670" s="136"/>
      <c r="I670" s="136"/>
    </row>
    <row r="671" spans="1:11" s="9" customFormat="1" ht="15" x14ac:dyDescent="0.2">
      <c r="A671" s="95">
        <v>12.3</v>
      </c>
      <c r="B671" s="208" t="s">
        <v>251</v>
      </c>
      <c r="C671" s="209"/>
      <c r="D671" s="209"/>
      <c r="E671" s="209"/>
      <c r="F671" s="210"/>
      <c r="H671" s="135"/>
      <c r="I671" s="135"/>
    </row>
    <row r="672" spans="1:11" s="9" customFormat="1" ht="15" x14ac:dyDescent="0.2">
      <c r="A672" s="64" t="s">
        <v>287</v>
      </c>
      <c r="B672" s="20" t="s">
        <v>105</v>
      </c>
      <c r="C672" s="21" t="s">
        <v>16</v>
      </c>
      <c r="D672" s="22">
        <v>1</v>
      </c>
      <c r="E672" s="23">
        <v>0</v>
      </c>
      <c r="F672" s="24">
        <f>D672*E672</f>
        <v>0</v>
      </c>
      <c r="H672" s="135"/>
      <c r="I672" s="135"/>
    </row>
    <row r="673" spans="1:9" s="58" customFormat="1" ht="15" x14ac:dyDescent="0.2">
      <c r="A673" s="64" t="s">
        <v>288</v>
      </c>
      <c r="B673" s="20" t="s">
        <v>124</v>
      </c>
      <c r="C673" s="21" t="s">
        <v>16</v>
      </c>
      <c r="D673" s="22">
        <v>1</v>
      </c>
      <c r="E673" s="23">
        <v>0</v>
      </c>
      <c r="F673" s="24">
        <f>D673*E673</f>
        <v>0</v>
      </c>
      <c r="H673" s="136"/>
      <c r="I673" s="136"/>
    </row>
    <row r="674" spans="1:9" s="58" customFormat="1" ht="15.75" thickBot="1" x14ac:dyDescent="0.25">
      <c r="A674" s="79" t="s">
        <v>289</v>
      </c>
      <c r="B674" s="15" t="s">
        <v>89</v>
      </c>
      <c r="C674" s="16" t="s">
        <v>16</v>
      </c>
      <c r="D674" s="17">
        <v>1</v>
      </c>
      <c r="E674" s="18">
        <v>0</v>
      </c>
      <c r="F674" s="19">
        <f>D674*E674</f>
        <v>0</v>
      </c>
      <c r="H674" s="136"/>
      <c r="I674" s="136"/>
    </row>
    <row r="675" spans="1:9" ht="15.75" thickBot="1" x14ac:dyDescent="0.25">
      <c r="A675" s="204" t="s">
        <v>26</v>
      </c>
      <c r="B675" s="223"/>
      <c r="C675" s="223"/>
      <c r="D675" s="223"/>
      <c r="E675" s="109">
        <f>A671</f>
        <v>12.3</v>
      </c>
      <c r="F675" s="110">
        <f>SUM(F672:F674)</f>
        <v>0</v>
      </c>
    </row>
    <row r="676" spans="1:9" ht="15" x14ac:dyDescent="0.2">
      <c r="A676" s="95">
        <v>12.4</v>
      </c>
      <c r="B676" s="351" t="s">
        <v>250</v>
      </c>
      <c r="C676" s="352"/>
      <c r="D676" s="352"/>
      <c r="E676" s="352"/>
      <c r="F676" s="353"/>
    </row>
    <row r="677" spans="1:9" s="1" customFormat="1" ht="18" x14ac:dyDescent="0.25">
      <c r="A677" s="64" t="s">
        <v>290</v>
      </c>
      <c r="B677" s="20" t="s">
        <v>106</v>
      </c>
      <c r="C677" s="21" t="s">
        <v>16</v>
      </c>
      <c r="D677" s="22">
        <v>1</v>
      </c>
      <c r="E677" s="23">
        <v>0</v>
      </c>
      <c r="F677" s="24">
        <f>D677*E677</f>
        <v>0</v>
      </c>
      <c r="H677" s="138"/>
      <c r="I677" s="138"/>
    </row>
    <row r="678" spans="1:9" s="58" customFormat="1" ht="26.25" thickBot="1" x14ac:dyDescent="0.25">
      <c r="A678" s="80" t="s">
        <v>291</v>
      </c>
      <c r="B678" s="81" t="s">
        <v>571</v>
      </c>
      <c r="C678" s="82" t="s">
        <v>16</v>
      </c>
      <c r="D678" s="83">
        <v>1</v>
      </c>
      <c r="E678" s="84">
        <v>0</v>
      </c>
      <c r="F678" s="123">
        <f>D678*E678</f>
        <v>0</v>
      </c>
      <c r="H678" s="136"/>
      <c r="I678" s="136"/>
    </row>
    <row r="679" spans="1:9" s="9" customFormat="1" ht="15.75" thickBot="1" x14ac:dyDescent="0.25">
      <c r="A679" s="204" t="s">
        <v>26</v>
      </c>
      <c r="B679" s="223"/>
      <c r="C679" s="223"/>
      <c r="D679" s="223"/>
      <c r="E679" s="114">
        <f>A676</f>
        <v>12.4</v>
      </c>
      <c r="F679" s="115">
        <f>SUM(F677:F678)</f>
        <v>0</v>
      </c>
      <c r="H679" s="135"/>
      <c r="I679" s="135"/>
    </row>
    <row r="680" spans="1:9" ht="15" x14ac:dyDescent="0.2">
      <c r="A680" s="95">
        <v>12.5</v>
      </c>
      <c r="B680" s="208" t="s">
        <v>252</v>
      </c>
      <c r="C680" s="209"/>
      <c r="D680" s="209"/>
      <c r="E680" s="209"/>
      <c r="F680" s="210"/>
    </row>
    <row r="681" spans="1:9" ht="25.5" x14ac:dyDescent="0.2">
      <c r="A681" s="85" t="s">
        <v>292</v>
      </c>
      <c r="B681" s="15" t="s">
        <v>90</v>
      </c>
      <c r="C681" s="86" t="s">
        <v>16</v>
      </c>
      <c r="D681" s="17">
        <v>1</v>
      </c>
      <c r="E681" s="87">
        <v>0</v>
      </c>
      <c r="F681" s="121">
        <f>D681*E681</f>
        <v>0</v>
      </c>
    </row>
    <row r="682" spans="1:9" ht="25.5" x14ac:dyDescent="0.2">
      <c r="A682" s="88" t="s">
        <v>293</v>
      </c>
      <c r="B682" s="25" t="s">
        <v>123</v>
      </c>
      <c r="C682" s="48" t="s">
        <v>16</v>
      </c>
      <c r="D682" s="22">
        <v>1</v>
      </c>
      <c r="E682" s="49">
        <v>0</v>
      </c>
      <c r="F682" s="50">
        <f>D682*E682</f>
        <v>0</v>
      </c>
    </row>
    <row r="683" spans="1:9" ht="26.25" thickBot="1" x14ac:dyDescent="0.25">
      <c r="A683" s="88" t="s">
        <v>294</v>
      </c>
      <c r="B683" s="51" t="s">
        <v>570</v>
      </c>
      <c r="C683" s="89" t="s">
        <v>16</v>
      </c>
      <c r="D683" s="22">
        <v>1</v>
      </c>
      <c r="E683" s="90">
        <v>0</v>
      </c>
      <c r="F683" s="122">
        <f>D683*E683</f>
        <v>0</v>
      </c>
    </row>
    <row r="684" spans="1:9" ht="15.75" thickBot="1" x14ac:dyDescent="0.25">
      <c r="A684" s="266" t="s">
        <v>26</v>
      </c>
      <c r="B684" s="267"/>
      <c r="C684" s="267"/>
      <c r="D684" s="267"/>
      <c r="E684" s="109">
        <f>A680</f>
        <v>12.5</v>
      </c>
      <c r="F684" s="110">
        <f>SUM(F681:F683)</f>
        <v>0</v>
      </c>
    </row>
    <row r="685" spans="1:9" ht="17.25" thickTop="1" thickBot="1" x14ac:dyDescent="0.25">
      <c r="A685" s="369" t="s">
        <v>295</v>
      </c>
      <c r="B685" s="370"/>
      <c r="C685" s="370"/>
      <c r="D685" s="370"/>
      <c r="E685" s="371"/>
      <c r="F685" s="111">
        <f>SUM(F666,F670,F675,F679,F684)</f>
        <v>0</v>
      </c>
    </row>
    <row r="686" spans="1:9" ht="15" thickTop="1" x14ac:dyDescent="0.2"/>
  </sheetData>
  <mergeCells count="357">
    <mergeCell ref="A611:B611"/>
    <mergeCell ref="A575:B575"/>
    <mergeCell ref="C575:F575"/>
    <mergeCell ref="A650:D650"/>
    <mergeCell ref="A379:D379"/>
    <mergeCell ref="B581:F581"/>
    <mergeCell ref="A585:D585"/>
    <mergeCell ref="A496:E496"/>
    <mergeCell ref="A380:A382"/>
    <mergeCell ref="A397:D397"/>
    <mergeCell ref="A497:B497"/>
    <mergeCell ref="A633:D633"/>
    <mergeCell ref="A638:D638"/>
    <mergeCell ref="A244:D244"/>
    <mergeCell ref="A182:A185"/>
    <mergeCell ref="B182:F182"/>
    <mergeCell ref="A188:A197"/>
    <mergeCell ref="B188:F188"/>
    <mergeCell ref="A368:A369"/>
    <mergeCell ref="B368:F368"/>
    <mergeCell ref="A370:D370"/>
    <mergeCell ref="B530:F530"/>
    <mergeCell ref="B479:F479"/>
    <mergeCell ref="A478:D478"/>
    <mergeCell ref="A477:D477"/>
    <mergeCell ref="A473:A476"/>
    <mergeCell ref="A409:D409"/>
    <mergeCell ref="B411:F411"/>
    <mergeCell ref="A431:D431"/>
    <mergeCell ref="A411:A416"/>
    <mergeCell ref="B410:F410"/>
    <mergeCell ref="B418:F418"/>
    <mergeCell ref="A418:A426"/>
    <mergeCell ref="B428:F428"/>
    <mergeCell ref="C444:F444"/>
    <mergeCell ref="A428:A430"/>
    <mergeCell ref="B394:F394"/>
    <mergeCell ref="B251:F251"/>
    <mergeCell ref="A263:E263"/>
    <mergeCell ref="A266:F266"/>
    <mergeCell ref="B268:F268"/>
    <mergeCell ref="A264:B264"/>
    <mergeCell ref="A262:D262"/>
    <mergeCell ref="A249:D249"/>
    <mergeCell ref="A252:A256"/>
    <mergeCell ref="A258:D258"/>
    <mergeCell ref="A250:D250"/>
    <mergeCell ref="B259:F259"/>
    <mergeCell ref="A73:D73"/>
    <mergeCell ref="B96:F96"/>
    <mergeCell ref="A153:D153"/>
    <mergeCell ref="A202:F202"/>
    <mergeCell ref="A235:A238"/>
    <mergeCell ref="A200:B200"/>
    <mergeCell ref="B226:F226"/>
    <mergeCell ref="B154:F154"/>
    <mergeCell ref="A114:E114"/>
    <mergeCell ref="A112:D112"/>
    <mergeCell ref="E93:E94"/>
    <mergeCell ref="B147:F147"/>
    <mergeCell ref="B142:F142"/>
    <mergeCell ref="A239:D239"/>
    <mergeCell ref="A233:D233"/>
    <mergeCell ref="A117:F117"/>
    <mergeCell ref="B118:F118"/>
    <mergeCell ref="A127:E127"/>
    <mergeCell ref="A135:D135"/>
    <mergeCell ref="A115:B115"/>
    <mergeCell ref="C110:C111"/>
    <mergeCell ref="D93:D94"/>
    <mergeCell ref="A685:E685"/>
    <mergeCell ref="B671:F671"/>
    <mergeCell ref="A684:D684"/>
    <mergeCell ref="A487:D487"/>
    <mergeCell ref="A573:D573"/>
    <mergeCell ref="A666:D666"/>
    <mergeCell ref="A567:A571"/>
    <mergeCell ref="A589:F589"/>
    <mergeCell ref="C658:F658"/>
    <mergeCell ref="B598:F598"/>
    <mergeCell ref="A609:D609"/>
    <mergeCell ref="A517:A523"/>
    <mergeCell ref="A566:D566"/>
    <mergeCell ref="B531:F531"/>
    <mergeCell ref="A537:D537"/>
    <mergeCell ref="A525:A527"/>
    <mergeCell ref="A587:B587"/>
    <mergeCell ref="A529:D529"/>
    <mergeCell ref="B546:F546"/>
    <mergeCell ref="A658:B658"/>
    <mergeCell ref="A603:D603"/>
    <mergeCell ref="B590:F590"/>
    <mergeCell ref="C587:F587"/>
    <mergeCell ref="B651:F651"/>
    <mergeCell ref="A1:F1"/>
    <mergeCell ref="A12:B12"/>
    <mergeCell ref="C12:F12"/>
    <mergeCell ref="A2:F2"/>
    <mergeCell ref="C128:F128"/>
    <mergeCell ref="A4:F4"/>
    <mergeCell ref="A3:F3"/>
    <mergeCell ref="A26:D26"/>
    <mergeCell ref="C17:C19"/>
    <mergeCell ref="D17:D19"/>
    <mergeCell ref="B15:F15"/>
    <mergeCell ref="B16:F16"/>
    <mergeCell ref="E37:E38"/>
    <mergeCell ref="F110:F111"/>
    <mergeCell ref="C115:F115"/>
    <mergeCell ref="A126:D126"/>
    <mergeCell ref="A14:F14"/>
    <mergeCell ref="A128:B128"/>
    <mergeCell ref="F93:F94"/>
    <mergeCell ref="B27:F27"/>
    <mergeCell ref="B5:F5"/>
    <mergeCell ref="A16:A25"/>
    <mergeCell ref="B50:F50"/>
    <mergeCell ref="F61:F62"/>
    <mergeCell ref="A531:A536"/>
    <mergeCell ref="A586:E586"/>
    <mergeCell ref="B311:F311"/>
    <mergeCell ref="B363:F363"/>
    <mergeCell ref="A408:D408"/>
    <mergeCell ref="B680:F680"/>
    <mergeCell ref="B676:F676"/>
    <mergeCell ref="A660:F660"/>
    <mergeCell ref="A679:D679"/>
    <mergeCell ref="C497:F497"/>
    <mergeCell ref="B388:F388"/>
    <mergeCell ref="B380:F380"/>
    <mergeCell ref="A375:A378"/>
    <mergeCell ref="B375:F375"/>
    <mergeCell ref="A656:D656"/>
    <mergeCell ref="C611:F611"/>
    <mergeCell ref="A613:F613"/>
    <mergeCell ref="B614:F614"/>
    <mergeCell ref="A617:D617"/>
    <mergeCell ref="B618:F618"/>
    <mergeCell ref="B432:F432"/>
    <mergeCell ref="A396:D396"/>
    <mergeCell ref="A374:D374"/>
    <mergeCell ref="B403:F403"/>
    <mergeCell ref="A257:D257"/>
    <mergeCell ref="B252:F252"/>
    <mergeCell ref="B280:F280"/>
    <mergeCell ref="A311:A315"/>
    <mergeCell ref="A310:D310"/>
    <mergeCell ref="A508:D508"/>
    <mergeCell ref="A499:F499"/>
    <mergeCell ref="B516:F516"/>
    <mergeCell ref="B509:F509"/>
    <mergeCell ref="A495:D495"/>
    <mergeCell ref="B464:F464"/>
    <mergeCell ref="A494:D494"/>
    <mergeCell ref="B448:F448"/>
    <mergeCell ref="A427:D427"/>
    <mergeCell ref="A446:F446"/>
    <mergeCell ref="A432:A440"/>
    <mergeCell ref="A417:D417"/>
    <mergeCell ref="A403:A407"/>
    <mergeCell ref="A388:A392"/>
    <mergeCell ref="C399:F399"/>
    <mergeCell ref="B402:F402"/>
    <mergeCell ref="A399:B399"/>
    <mergeCell ref="A394:A395"/>
    <mergeCell ref="A39:D39"/>
    <mergeCell ref="A96:A111"/>
    <mergeCell ref="B79:F79"/>
    <mergeCell ref="A130:F130"/>
    <mergeCell ref="E110:E111"/>
    <mergeCell ref="C93:C94"/>
    <mergeCell ref="D110:D111"/>
    <mergeCell ref="A401:F401"/>
    <mergeCell ref="A398:E398"/>
    <mergeCell ref="A393:D393"/>
    <mergeCell ref="B357:F357"/>
    <mergeCell ref="A357:A360"/>
    <mergeCell ref="B349:F349"/>
    <mergeCell ref="A371:A373"/>
    <mergeCell ref="A362:D362"/>
    <mergeCell ref="B337:F337"/>
    <mergeCell ref="A361:D361"/>
    <mergeCell ref="A317:D317"/>
    <mergeCell ref="A444:B444"/>
    <mergeCell ref="A441:D441"/>
    <mergeCell ref="B457:F457"/>
    <mergeCell ref="A448:A455"/>
    <mergeCell ref="A462:D462"/>
    <mergeCell ref="B463:F463"/>
    <mergeCell ref="A472:D472"/>
    <mergeCell ref="A442:D442"/>
    <mergeCell ref="A461:D461"/>
    <mergeCell ref="B447:F447"/>
    <mergeCell ref="B364:F364"/>
    <mergeCell ref="A346:A347"/>
    <mergeCell ref="B346:F346"/>
    <mergeCell ref="A348:D348"/>
    <mergeCell ref="A343:A344"/>
    <mergeCell ref="A342:D342"/>
    <mergeCell ref="B245:F245"/>
    <mergeCell ref="B318:F318"/>
    <mergeCell ref="B336:F336"/>
    <mergeCell ref="A275:D275"/>
    <mergeCell ref="A326:D326"/>
    <mergeCell ref="A334:D334"/>
    <mergeCell ref="B319:F319"/>
    <mergeCell ref="A349:A355"/>
    <mergeCell ref="A276:A278"/>
    <mergeCell ref="B276:F276"/>
    <mergeCell ref="B246:F246"/>
    <mergeCell ref="A246:A248"/>
    <mergeCell ref="B267:F267"/>
    <mergeCell ref="A268:A274"/>
    <mergeCell ref="A335:D335"/>
    <mergeCell ref="A356:D356"/>
    <mergeCell ref="A337:A341"/>
    <mergeCell ref="B327:F327"/>
    <mergeCell ref="B343:F343"/>
    <mergeCell ref="A345:D345"/>
    <mergeCell ref="B578:F578"/>
    <mergeCell ref="A580:D580"/>
    <mergeCell ref="B480:F480"/>
    <mergeCell ref="A443:E443"/>
    <mergeCell ref="A457:A460"/>
    <mergeCell ref="A464:A471"/>
    <mergeCell ref="A515:D515"/>
    <mergeCell ref="B501:F501"/>
    <mergeCell ref="A509:A513"/>
    <mergeCell ref="A514:D514"/>
    <mergeCell ref="A577:F577"/>
    <mergeCell ref="A572:D572"/>
    <mergeCell ref="A545:D545"/>
    <mergeCell ref="A524:D524"/>
    <mergeCell ref="A528:D528"/>
    <mergeCell ref="B567:F567"/>
    <mergeCell ref="B473:F473"/>
    <mergeCell ref="A456:D456"/>
    <mergeCell ref="A383:D383"/>
    <mergeCell ref="A367:D367"/>
    <mergeCell ref="B371:F371"/>
    <mergeCell ref="A364:A366"/>
    <mergeCell ref="A675:D675"/>
    <mergeCell ref="B661:F661"/>
    <mergeCell ref="A670:D670"/>
    <mergeCell ref="B667:F667"/>
    <mergeCell ref="A610:E610"/>
    <mergeCell ref="A480:A486"/>
    <mergeCell ref="A546:A565"/>
    <mergeCell ref="B488:F488"/>
    <mergeCell ref="A488:A493"/>
    <mergeCell ref="A597:D597"/>
    <mergeCell ref="A574:E574"/>
    <mergeCell ref="A501:A507"/>
    <mergeCell ref="B500:F500"/>
    <mergeCell ref="B538:F538"/>
    <mergeCell ref="B525:F525"/>
    <mergeCell ref="A538:A544"/>
    <mergeCell ref="A657:E657"/>
    <mergeCell ref="B629:F629"/>
    <mergeCell ref="A629:A632"/>
    <mergeCell ref="A627:D627"/>
    <mergeCell ref="B628:F628"/>
    <mergeCell ref="B639:F639"/>
    <mergeCell ref="B604:F604"/>
    <mergeCell ref="B517:F517"/>
    <mergeCell ref="F28:F29"/>
    <mergeCell ref="A48:D48"/>
    <mergeCell ref="B49:F49"/>
    <mergeCell ref="A243:D243"/>
    <mergeCell ref="B212:F212"/>
    <mergeCell ref="A240:A242"/>
    <mergeCell ref="A204:A209"/>
    <mergeCell ref="B204:F204"/>
    <mergeCell ref="A210:D210"/>
    <mergeCell ref="A225:D225"/>
    <mergeCell ref="B235:F235"/>
    <mergeCell ref="C200:F200"/>
    <mergeCell ref="B203:F203"/>
    <mergeCell ref="A50:A51"/>
    <mergeCell ref="A146:D146"/>
    <mergeCell ref="A141:D141"/>
    <mergeCell ref="B131:F131"/>
    <mergeCell ref="B123:F123"/>
    <mergeCell ref="A122:D122"/>
    <mergeCell ref="B53:F53"/>
    <mergeCell ref="A53:A71"/>
    <mergeCell ref="A79:A94"/>
    <mergeCell ref="A113:D113"/>
    <mergeCell ref="C264:F264"/>
    <mergeCell ref="A163:D163"/>
    <mergeCell ref="B136:F136"/>
    <mergeCell ref="B6:F6"/>
    <mergeCell ref="A280:A309"/>
    <mergeCell ref="A384:A386"/>
    <mergeCell ref="B384:F384"/>
    <mergeCell ref="A387:D387"/>
    <mergeCell ref="A327:A333"/>
    <mergeCell ref="A319:A325"/>
    <mergeCell ref="A316:D316"/>
    <mergeCell ref="A77:D77"/>
    <mergeCell ref="B240:F240"/>
    <mergeCell ref="A27:A38"/>
    <mergeCell ref="D28:D29"/>
    <mergeCell ref="D61:D62"/>
    <mergeCell ref="B78:F78"/>
    <mergeCell ref="C34:C36"/>
    <mergeCell ref="A72:D72"/>
    <mergeCell ref="D34:D36"/>
    <mergeCell ref="E17:E19"/>
    <mergeCell ref="A10:D10"/>
    <mergeCell ref="A11:D11"/>
    <mergeCell ref="B54:F54"/>
    <mergeCell ref="E32:E33"/>
    <mergeCell ref="E61:E62"/>
    <mergeCell ref="A279:D279"/>
    <mergeCell ref="F17:F19"/>
    <mergeCell ref="F32:F33"/>
    <mergeCell ref="C28:C29"/>
    <mergeCell ref="E28:E29"/>
    <mergeCell ref="B42:F42"/>
    <mergeCell ref="D32:D33"/>
    <mergeCell ref="D37:D38"/>
    <mergeCell ref="C32:C33"/>
    <mergeCell ref="E34:E36"/>
    <mergeCell ref="F34:F36"/>
    <mergeCell ref="F37:F38"/>
    <mergeCell ref="A47:D47"/>
    <mergeCell ref="C37:C38"/>
    <mergeCell ref="A52:D52"/>
    <mergeCell ref="A42:A46"/>
    <mergeCell ref="B74:F74"/>
    <mergeCell ref="B41:F41"/>
    <mergeCell ref="C30:C31"/>
    <mergeCell ref="D30:D31"/>
    <mergeCell ref="E30:E31"/>
    <mergeCell ref="F30:F31"/>
    <mergeCell ref="A40:D40"/>
    <mergeCell ref="A95:D95"/>
    <mergeCell ref="B234:F234"/>
    <mergeCell ref="A152:D152"/>
    <mergeCell ref="A148:A151"/>
    <mergeCell ref="B148:F148"/>
    <mergeCell ref="A168:A170"/>
    <mergeCell ref="B168:F168"/>
    <mergeCell ref="B164:F164"/>
    <mergeCell ref="A212:A223"/>
    <mergeCell ref="A199:E199"/>
    <mergeCell ref="A171:A172"/>
    <mergeCell ref="B171:F171"/>
    <mergeCell ref="A173:A175"/>
    <mergeCell ref="B173:F173"/>
    <mergeCell ref="A176:A178"/>
    <mergeCell ref="B176:F176"/>
    <mergeCell ref="A179:A180"/>
    <mergeCell ref="B179:F179"/>
    <mergeCell ref="A198:D198"/>
    <mergeCell ref="C61:C62"/>
  </mergeCells>
  <phoneticPr fontId="0" type="noConversion"/>
  <pageMargins left="0.23622047244094491" right="0.23622047244094491" top="0.74803149606299213" bottom="0.74803149606299213" header="0.31496062992125984" footer="0.31496062992125984"/>
  <pageSetup paperSize="9" fitToHeight="0" orientation="portrait" r:id="rId1"/>
  <headerFooter alignWithMargins="0">
    <oddHeader xml:space="preserve">&amp;L&amp;"Arial,Bold"&amp;9Engineering and Construction
PART C5.1:- SCHEDULE of PRICES&amp;R&amp;"Arial,Bold"&amp;9Project No. NW-RFM-1607-2737-00001
Melkspruit - Rouxville 66kV Line Rebuild
</oddHeader>
    <oddFooter>&amp;R&amp;"Arial,Bold"&amp;9Page C5.1/&amp;P</oddFooter>
  </headerFooter>
  <rowBreaks count="10" manualBreakCount="10">
    <brk id="79" max="5" man="1"/>
    <brk id="114" max="5" man="1"/>
    <brk id="127" max="5" man="1"/>
    <brk id="199" max="5" man="1"/>
    <brk id="263" max="5" man="1"/>
    <brk id="398" max="5" man="1"/>
    <brk id="443" max="5" man="1"/>
    <brk id="496" max="5" man="1"/>
    <brk id="586" max="5" man="1"/>
    <brk id="657" max="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pageSetUpPr fitToPage="1"/>
  </sheetPr>
  <dimension ref="A1:B19"/>
  <sheetViews>
    <sheetView view="pageBreakPreview" zoomScale="60" zoomScaleNormal="75" zoomScalePageLayoutView="70" workbookViewId="0">
      <selection activeCell="B19" sqref="B19"/>
    </sheetView>
  </sheetViews>
  <sheetFormatPr defaultColWidth="8.88671875" defaultRowHeight="15" x14ac:dyDescent="0.2"/>
  <cols>
    <col min="1" max="1" width="103.44140625" style="9" customWidth="1"/>
    <col min="2" max="2" width="22.5546875" style="9" customWidth="1"/>
    <col min="3" max="3" width="11" style="9" customWidth="1"/>
    <col min="4" max="16384" width="8.88671875" style="9"/>
  </cols>
  <sheetData>
    <row r="1" spans="1:2" s="2" customFormat="1" ht="30.6" customHeight="1" thickBot="1" x14ac:dyDescent="0.4">
      <c r="A1" s="392" t="s">
        <v>228</v>
      </c>
      <c r="B1" s="392"/>
    </row>
    <row r="2" spans="1:2" s="2" customFormat="1" ht="24.75" thickTop="1" thickBot="1" x14ac:dyDescent="0.4">
      <c r="A2" s="390" t="s">
        <v>20</v>
      </c>
      <c r="B2" s="391"/>
    </row>
    <row r="3" spans="1:2" s="1" customFormat="1" ht="23.45" customHeight="1" thickTop="1" thickBot="1" x14ac:dyDescent="0.3">
      <c r="A3" s="96" t="s">
        <v>21</v>
      </c>
      <c r="B3" s="97" t="s">
        <v>15</v>
      </c>
    </row>
    <row r="4" spans="1:2" s="1" customFormat="1" ht="28.5" customHeight="1" thickTop="1" x14ac:dyDescent="0.25">
      <c r="A4" s="98" t="str">
        <f>'PART C5.1'!A14:F14</f>
        <v>Activity Stage 1:   Preliminary &amp; General, Environmental, Health &amp; Safety  and Site establishment</v>
      </c>
      <c r="B4" s="99">
        <f>'PART C5.1'!F114</f>
        <v>0</v>
      </c>
    </row>
    <row r="5" spans="1:2" s="1" customFormat="1" ht="18" x14ac:dyDescent="0.25">
      <c r="A5" s="100" t="str">
        <f>'PART C5.1'!A117:F117</f>
        <v>Activity Stage 2:   Survey activities</v>
      </c>
      <c r="B5" s="101">
        <f>'PART C5.1'!F127</f>
        <v>0</v>
      </c>
    </row>
    <row r="6" spans="1:2" s="1" customFormat="1" ht="37.15" customHeight="1" x14ac:dyDescent="0.25">
      <c r="A6" s="102" t="str">
        <f>'PART C5.1'!A130:F130</f>
        <v>Activity Stage 3:   Establish construction access</v>
      </c>
      <c r="B6" s="101">
        <f>'PART C5.1'!F199</f>
        <v>0</v>
      </c>
    </row>
    <row r="7" spans="1:2" s="1" customFormat="1" ht="28.5" customHeight="1" x14ac:dyDescent="0.25">
      <c r="A7" s="100" t="str">
        <f>'PART C5.1'!A202:F202</f>
        <v>Activity Stage 4:   Drilling/Excavating of holes for structure foundations and stays</v>
      </c>
      <c r="B7" s="101">
        <f>'PART C5.1'!F263</f>
        <v>0</v>
      </c>
    </row>
    <row r="8" spans="1:2" s="1" customFormat="1" ht="28.5" customHeight="1" x14ac:dyDescent="0.25">
      <c r="A8" s="100" t="str">
        <f>'PART C5.1'!A266:F266</f>
        <v>Activity Stage 5:   Installation of power line structures</v>
      </c>
      <c r="B8" s="101">
        <f>'PART C5.1'!F398</f>
        <v>0</v>
      </c>
    </row>
    <row r="9" spans="1:2" s="1" customFormat="1" ht="28.5" customHeight="1" x14ac:dyDescent="0.25">
      <c r="A9" s="100" t="str">
        <f>'PART C5.1'!A401:F401</f>
        <v>Activity Stage 6:   Power line earthing activities</v>
      </c>
      <c r="B9" s="101">
        <f>'PART C5.1'!F443</f>
        <v>0</v>
      </c>
    </row>
    <row r="10" spans="1:2" s="1" customFormat="1" ht="28.5" customHeight="1" x14ac:dyDescent="0.25">
      <c r="A10" s="100" t="str">
        <f>'PART C5.1'!A446:F446</f>
        <v>Activity Stage 7:   Dressing of all structures</v>
      </c>
      <c r="B10" s="101">
        <f>'PART C5.1'!F496</f>
        <v>0</v>
      </c>
    </row>
    <row r="11" spans="1:2" s="1" customFormat="1" ht="28.5" customHeight="1" x14ac:dyDescent="0.25">
      <c r="A11" s="100" t="str">
        <f>'PART C5.1'!A499:F499</f>
        <v>Activity Stage 8:   Stringing activities</v>
      </c>
      <c r="B11" s="101">
        <f>'PART C5.1'!F574</f>
        <v>0</v>
      </c>
    </row>
    <row r="12" spans="1:2" s="1" customFormat="1" ht="28.5" customHeight="1" x14ac:dyDescent="0.25">
      <c r="A12" s="100" t="str">
        <f>'PART C5.1'!A577:F577</f>
        <v>Activity Stage 9:   OPGW Installation Activities</v>
      </c>
      <c r="B12" s="101">
        <f>'PART C5.1'!F586</f>
        <v>0</v>
      </c>
    </row>
    <row r="13" spans="1:2" s="1" customFormat="1" ht="28.5" customHeight="1" x14ac:dyDescent="0.25">
      <c r="A13" s="100" t="str">
        <f>'PART C5.1'!A589:F589</f>
        <v>Activity Stage 10:   Power line labelling activities</v>
      </c>
      <c r="B13" s="103">
        <f>'PART C5.1'!F610</f>
        <v>0</v>
      </c>
    </row>
    <row r="14" spans="1:2" s="1" customFormat="1" ht="32.450000000000003" customHeight="1" x14ac:dyDescent="0.25">
      <c r="A14" s="100" t="s">
        <v>296</v>
      </c>
      <c r="B14" s="103">
        <f>'PART C5.1'!F657</f>
        <v>0</v>
      </c>
    </row>
    <row r="15" spans="1:2" s="1" customFormat="1" ht="28.5" customHeight="1" thickBot="1" x14ac:dyDescent="0.3">
      <c r="A15" s="104" t="str">
        <f>'PART C5.1'!A660:F660</f>
        <v>Activity Stage 12:   Taking over of the Works and Clearance of site</v>
      </c>
      <c r="B15" s="105">
        <f>'PART C5.1'!F685</f>
        <v>0</v>
      </c>
    </row>
    <row r="16" spans="1:2" s="1" customFormat="1" ht="27" customHeight="1" thickTop="1" thickBot="1" x14ac:dyDescent="0.3">
      <c r="A16" s="106" t="s">
        <v>22</v>
      </c>
      <c r="B16" s="107">
        <f>SUM(B4:B15)</f>
        <v>0</v>
      </c>
    </row>
    <row r="17" spans="1:2" s="1" customFormat="1" ht="27" customHeight="1" thickTop="1" thickBot="1" x14ac:dyDescent="0.3">
      <c r="A17" s="106" t="s">
        <v>715</v>
      </c>
      <c r="B17" s="107">
        <f>B16*0.15</f>
        <v>0</v>
      </c>
    </row>
    <row r="18" spans="1:2" s="1" customFormat="1" ht="27" customHeight="1" thickTop="1" thickBot="1" x14ac:dyDescent="0.3">
      <c r="A18" s="106" t="s">
        <v>23</v>
      </c>
      <c r="B18" s="107">
        <f>B16+B17</f>
        <v>0</v>
      </c>
    </row>
    <row r="19" spans="1:2" ht="15.75" thickTop="1" x14ac:dyDescent="0.2"/>
  </sheetData>
  <mergeCells count="2">
    <mergeCell ref="A2:B2"/>
    <mergeCell ref="A1:B1"/>
  </mergeCells>
  <phoneticPr fontId="0" type="noConversion"/>
  <pageMargins left="0.23622047244094491" right="0.23622047244094491" top="0.74803149606299213" bottom="0.74803149606299213" header="0.31496062992125984" footer="0.31496062992125984"/>
  <pageSetup paperSize="9" scale="95" orientation="landscape" r:id="rId1"/>
  <headerFooter alignWithMargins="0">
    <oddHeader>&amp;L&amp;"Arial,Bold"&amp;9Engineering and Construction
PART C5.2:- SUMMARY - SCHEDULE of PRICES&amp;R&amp;"Arial,Bold"&amp;9PProject No. NW-RFM-1607-2737-00001
Melkspruit - Rouxville 66kV Line Rebuild</oddHeader>
    <oddFooter>&amp;R&amp;"Arial,Bold"&amp;9 Page C5.2/&amp;P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PART C5.1</vt:lpstr>
      <vt:lpstr>Summary-PART C5.2</vt:lpstr>
      <vt:lpstr>'PART C5.1'!Print_Area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Pieter Van Eeden</cp:lastModifiedBy>
  <cp:lastPrinted>2017-01-31T11:56:16Z</cp:lastPrinted>
  <dcterms:created xsi:type="dcterms:W3CDTF">2004-05-20T09:46:09Z</dcterms:created>
  <dcterms:modified xsi:type="dcterms:W3CDTF">2024-02-29T07:43:31Z</dcterms:modified>
</cp:coreProperties>
</file>