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codeName="{E757BCB4-07E6-AE0B-56E0-F0EEF7A6E26C}"/>
  <workbookPr codeName="ThisWorkbook" defaultThemeVersion="124226"/>
  <mc:AlternateContent xmlns:mc="http://schemas.openxmlformats.org/markup-compatibility/2006">
    <mc:Choice Requires="x15">
      <x15ac:absPath xmlns:x15ac="http://schemas.microsoft.com/office/spreadsheetml/2010/11/ac" url="https://sanral-my.sharepoint.com/personal/makambab_sanral_co_za/Documents/RRM/RRM Projects/2023_2026 RRM Tenders/X.002-219-2024_1F Kwanele/01. SCM/04. Tender Process/3.1 Tender Submission/3. Returnables (Technical_Financial)/Technical Submission/"/>
    </mc:Choice>
  </mc:AlternateContent>
  <xr:revisionPtr revIDLastSave="0" documentId="8_{8F3868A8-6750-4D15-A2D6-A946414D54DE}" xr6:coauthVersionLast="47" xr6:coauthVersionMax="47" xr10:uidLastSave="{00000000-0000-0000-0000-000000000000}"/>
  <bookViews>
    <workbookView xWindow="28680" yWindow="-120" windowWidth="29040" windowHeight="15720" xr2:uid="{00000000-000D-0000-FFFF-FFFF00000000}"/>
  </bookViews>
  <sheets>
    <sheet name="TEND 1X" sheetId="1" r:id="rId1"/>
    <sheet name="B6 - Scoring - Past Performance" sheetId="7" r:id="rId2"/>
    <sheet name="WORKINGS MATRIX" sheetId="2" state="hidden" r:id="rId3"/>
    <sheet name="Annex 1 PSP Perf. Report" sheetId="5" r:id="rId4"/>
    <sheet name="Affidavit for Past Performance" sheetId="9" r:id="rId5"/>
    <sheet name="Proj Relevance Codes" sheetId="3" r:id="rId6"/>
    <sheet name="SETUP" sheetId="4" r:id="rId7"/>
  </sheets>
  <externalReferences>
    <externalReference r:id="rId8"/>
  </externalReferences>
  <definedNames>
    <definedName name="MarkupCost">'[1]Break down'!$L$5</definedName>
    <definedName name="MarkupExternal">'[1]Break down'!$L$6</definedName>
    <definedName name="_xlnm.Print_Area" localSheetId="3">'Annex 1 PSP Perf. Report'!$A$1:$S$276</definedName>
    <definedName name="_xlnm.Print_Area" localSheetId="0">'TEND 1X'!$A$37:$N$101</definedName>
    <definedName name="_xlnm.Print_Titles" localSheetId="6">SETUP!$A:$A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932" i="1" l="1"/>
  <c r="I3924" i="1"/>
  <c r="I3916" i="1"/>
  <c r="I3908" i="1"/>
  <c r="G3935" i="1" l="1"/>
  <c r="K3934" i="1"/>
  <c r="H3934" i="1"/>
  <c r="F3934" i="1"/>
  <c r="B3934" i="1"/>
  <c r="E3932" i="1"/>
  <c r="B3932" i="1"/>
  <c r="I3930" i="1"/>
  <c r="B3930" i="1"/>
  <c r="G3927" i="1"/>
  <c r="K3926" i="1"/>
  <c r="H3926" i="1"/>
  <c r="F3926" i="1"/>
  <c r="B3926" i="1"/>
  <c r="E3924" i="1"/>
  <c r="B3924" i="1"/>
  <c r="I3922" i="1"/>
  <c r="B3922" i="1"/>
  <c r="G3919" i="1"/>
  <c r="K3918" i="1"/>
  <c r="H3918" i="1"/>
  <c r="F3918" i="1"/>
  <c r="B3918" i="1"/>
  <c r="E3916" i="1"/>
  <c r="B3916" i="1"/>
  <c r="I3914" i="1"/>
  <c r="B3914" i="1"/>
  <c r="G3911" i="1"/>
  <c r="K3910" i="1"/>
  <c r="H3910" i="1"/>
  <c r="F3910" i="1"/>
  <c r="B3910" i="1"/>
  <c r="E3908" i="1"/>
  <c r="B3908" i="1"/>
  <c r="I3906" i="1"/>
  <c r="B3906" i="1"/>
  <c r="E1942" i="1" l="1"/>
  <c r="E1842" i="1"/>
  <c r="E1742" i="1"/>
  <c r="E1642" i="1"/>
  <c r="E1542" i="1"/>
  <c r="E1442" i="1"/>
  <c r="E1342" i="1"/>
  <c r="E1242" i="1"/>
  <c r="E1142" i="1"/>
  <c r="E1042" i="1"/>
  <c r="E942" i="1"/>
  <c r="E842" i="1"/>
  <c r="E742" i="1"/>
  <c r="E642" i="1"/>
  <c r="E542" i="1"/>
  <c r="E442" i="1"/>
  <c r="E342" i="1"/>
  <c r="E242" i="1"/>
  <c r="E142" i="1"/>
  <c r="E42" i="1"/>
  <c r="M35" i="1" l="1"/>
  <c r="M34" i="1"/>
  <c r="M33" i="1"/>
  <c r="H13" i="7" l="1"/>
  <c r="H14" i="7"/>
  <c r="H12" i="7"/>
  <c r="J208" i="1" l="1"/>
  <c r="J209" i="1"/>
  <c r="J210" i="1"/>
  <c r="J211" i="1"/>
  <c r="H15" i="7" l="1"/>
  <c r="E17" i="7"/>
  <c r="G134" i="1" l="1"/>
  <c r="G133" i="1"/>
  <c r="G132" i="1"/>
  <c r="G131" i="1"/>
  <c r="G130" i="1"/>
  <c r="G129" i="1"/>
  <c r="G128" i="1"/>
  <c r="G127" i="1"/>
  <c r="F134" i="1"/>
  <c r="F133" i="1"/>
  <c r="F132" i="1"/>
  <c r="F131" i="1"/>
  <c r="F130" i="1"/>
  <c r="F129" i="1"/>
  <c r="F128" i="1"/>
  <c r="F127" i="1"/>
  <c r="E134" i="1"/>
  <c r="E133" i="1"/>
  <c r="E132" i="1"/>
  <c r="E131" i="1"/>
  <c r="E130" i="1"/>
  <c r="E129" i="1"/>
  <c r="E128" i="1"/>
  <c r="E127" i="1"/>
  <c r="E126" i="1"/>
  <c r="D134" i="1"/>
  <c r="D133" i="1"/>
  <c r="D132" i="1"/>
  <c r="D131" i="1"/>
  <c r="D130" i="1"/>
  <c r="D129" i="1"/>
  <c r="D128" i="1"/>
  <c r="B125" i="1"/>
  <c r="D126" i="1"/>
  <c r="D127" i="1"/>
  <c r="K3901" i="1" l="1"/>
  <c r="B3900" i="1"/>
  <c r="C135" i="1" l="1"/>
  <c r="D331" i="1"/>
  <c r="E331" i="1"/>
  <c r="F331" i="1"/>
  <c r="G331" i="1"/>
  <c r="H331" i="1"/>
  <c r="I331" i="1"/>
  <c r="D332" i="1"/>
  <c r="E332" i="1"/>
  <c r="F332" i="1"/>
  <c r="G332" i="1"/>
  <c r="H332" i="1"/>
  <c r="D333" i="1"/>
  <c r="E333" i="1"/>
  <c r="F333" i="1"/>
  <c r="G333" i="1"/>
  <c r="H333" i="1"/>
  <c r="D334" i="1"/>
  <c r="E334" i="1"/>
  <c r="F334" i="1"/>
  <c r="G334" i="1"/>
  <c r="H334" i="1"/>
  <c r="D324" i="1"/>
  <c r="E324" i="1"/>
  <c r="F324" i="1"/>
  <c r="G324" i="1"/>
  <c r="H324" i="1"/>
  <c r="I324" i="1"/>
  <c r="D325" i="1"/>
  <c r="E325" i="1"/>
  <c r="F325" i="1"/>
  <c r="G325" i="1"/>
  <c r="H325" i="1"/>
  <c r="D326" i="1"/>
  <c r="E326" i="1"/>
  <c r="F326" i="1"/>
  <c r="G326" i="1"/>
  <c r="H326" i="1"/>
  <c r="D327" i="1"/>
  <c r="E327" i="1"/>
  <c r="F327" i="1"/>
  <c r="G327" i="1"/>
  <c r="H327" i="1"/>
  <c r="D316" i="1"/>
  <c r="E316" i="1"/>
  <c r="F316" i="1"/>
  <c r="G316" i="1"/>
  <c r="H316" i="1"/>
  <c r="I316" i="1"/>
  <c r="D317" i="1"/>
  <c r="E317" i="1"/>
  <c r="F317" i="1"/>
  <c r="G317" i="1"/>
  <c r="H317" i="1"/>
  <c r="D318" i="1"/>
  <c r="E318" i="1"/>
  <c r="F318" i="1"/>
  <c r="G318" i="1"/>
  <c r="H318" i="1"/>
  <c r="D319" i="1"/>
  <c r="E319" i="1"/>
  <c r="F319" i="1"/>
  <c r="G319" i="1"/>
  <c r="H319" i="1"/>
  <c r="D308" i="1"/>
  <c r="E308" i="1"/>
  <c r="F308" i="1"/>
  <c r="G308" i="1"/>
  <c r="H308" i="1"/>
  <c r="I308" i="1"/>
  <c r="D309" i="1"/>
  <c r="E309" i="1"/>
  <c r="F309" i="1"/>
  <c r="G309" i="1"/>
  <c r="H309" i="1"/>
  <c r="D310" i="1"/>
  <c r="E310" i="1"/>
  <c r="F310" i="1"/>
  <c r="G310" i="1"/>
  <c r="H310" i="1"/>
  <c r="D311" i="1"/>
  <c r="E311" i="1"/>
  <c r="F311" i="1"/>
  <c r="G311" i="1"/>
  <c r="H311" i="1"/>
  <c r="C331" i="1"/>
  <c r="C324" i="1"/>
  <c r="C316" i="1"/>
  <c r="C308" i="1"/>
  <c r="G306" i="1"/>
  <c r="I328" i="1"/>
  <c r="I320" i="1"/>
  <c r="I312" i="1"/>
  <c r="G206" i="1"/>
  <c r="C334" i="1" l="1"/>
  <c r="C333" i="1"/>
  <c r="C332" i="1"/>
  <c r="C330" i="1"/>
  <c r="C327" i="1"/>
  <c r="C326" i="1"/>
  <c r="C325" i="1"/>
  <c r="C323" i="1"/>
  <c r="C319" i="1"/>
  <c r="C318" i="1"/>
  <c r="C317" i="1"/>
  <c r="C315" i="1"/>
  <c r="C311" i="1"/>
  <c r="C310" i="1"/>
  <c r="C309" i="1"/>
  <c r="C307" i="1"/>
  <c r="L112" i="1"/>
  <c r="L111" i="1"/>
  <c r="K112" i="1"/>
  <c r="K111" i="1"/>
  <c r="J112" i="1"/>
  <c r="J111" i="1"/>
  <c r="I334" i="1"/>
  <c r="I333" i="1"/>
  <c r="I327" i="1"/>
  <c r="I326" i="1"/>
  <c r="I319" i="1"/>
  <c r="I318" i="1"/>
  <c r="I311" i="1"/>
  <c r="I310" i="1"/>
  <c r="I309" i="1"/>
  <c r="M380" i="1"/>
  <c r="U379" i="1"/>
  <c r="X379" i="1" s="1"/>
  <c r="T379" i="1"/>
  <c r="W379" i="1" s="1"/>
  <c r="S379" i="1"/>
  <c r="V379" i="1" s="1"/>
  <c r="Y379" i="1" s="1"/>
  <c r="Z379" i="1" s="1"/>
  <c r="U378" i="1"/>
  <c r="X378" i="1" s="1"/>
  <c r="T378" i="1"/>
  <c r="W378" i="1" s="1"/>
  <c r="S378" i="1"/>
  <c r="V378" i="1" s="1"/>
  <c r="Y378" i="1" s="1"/>
  <c r="Z378" i="1" s="1"/>
  <c r="F378" i="1" s="1"/>
  <c r="U377" i="1"/>
  <c r="X377" i="1" s="1"/>
  <c r="T377" i="1"/>
  <c r="W377" i="1" s="1"/>
  <c r="S377" i="1"/>
  <c r="V377" i="1" s="1"/>
  <c r="Y377" i="1" s="1"/>
  <c r="Z377" i="1" s="1"/>
  <c r="D378" i="1" s="1"/>
  <c r="U376" i="1"/>
  <c r="X376" i="1" s="1"/>
  <c r="T376" i="1"/>
  <c r="W376" i="1" s="1"/>
  <c r="S376" i="1"/>
  <c r="V376" i="1" s="1"/>
  <c r="Y376" i="1" s="1"/>
  <c r="Z376" i="1" s="1"/>
  <c r="M378" i="1" s="1"/>
  <c r="U375" i="1"/>
  <c r="X375" i="1" s="1"/>
  <c r="T375" i="1"/>
  <c r="W375" i="1" s="1"/>
  <c r="S375" i="1"/>
  <c r="V375" i="1" s="1"/>
  <c r="Y375" i="1" s="1"/>
  <c r="Z375" i="1" s="1"/>
  <c r="M376" i="1" s="1"/>
  <c r="B372" i="1"/>
  <c r="L370" i="1"/>
  <c r="U356" i="1"/>
  <c r="X356" i="1" s="1"/>
  <c r="T356" i="1"/>
  <c r="W356" i="1" s="1"/>
  <c r="S356" i="1"/>
  <c r="V356" i="1" s="1"/>
  <c r="Y356" i="1" s="1"/>
  <c r="Z356" i="1" s="1"/>
  <c r="U355" i="1"/>
  <c r="X355" i="1" s="1"/>
  <c r="T355" i="1"/>
  <c r="W355" i="1" s="1"/>
  <c r="S355" i="1"/>
  <c r="V355" i="1" s="1"/>
  <c r="Y355" i="1" s="1"/>
  <c r="Z355" i="1" s="1"/>
  <c r="U354" i="1"/>
  <c r="X354" i="1" s="1"/>
  <c r="T354" i="1"/>
  <c r="W354" i="1" s="1"/>
  <c r="S354" i="1"/>
  <c r="V354" i="1" s="1"/>
  <c r="Y354" i="1" s="1"/>
  <c r="Z354" i="1" s="1"/>
  <c r="H349" i="1" s="1"/>
  <c r="U353" i="1"/>
  <c r="X353" i="1" s="1"/>
  <c r="T353" i="1"/>
  <c r="W353" i="1" s="1"/>
  <c r="S353" i="1"/>
  <c r="V353" i="1" s="1"/>
  <c r="Y353" i="1" s="1"/>
  <c r="Z353" i="1" s="1"/>
  <c r="H348" i="1" s="1"/>
  <c r="U352" i="1"/>
  <c r="X352" i="1" s="1"/>
  <c r="T352" i="1"/>
  <c r="W352" i="1" s="1"/>
  <c r="S352" i="1"/>
  <c r="V352" i="1" s="1"/>
  <c r="Y352" i="1" s="1"/>
  <c r="Z352" i="1" s="1"/>
  <c r="H347" i="1" s="1"/>
  <c r="AD351" i="1"/>
  <c r="AC351" i="1"/>
  <c r="U351" i="1"/>
  <c r="X351" i="1" s="1"/>
  <c r="T351" i="1"/>
  <c r="W351" i="1" s="1"/>
  <c r="S351" i="1"/>
  <c r="V351" i="1" s="1"/>
  <c r="Y351" i="1" s="1"/>
  <c r="Z351" i="1" s="1"/>
  <c r="N351" i="1"/>
  <c r="AD350" i="1"/>
  <c r="AC350" i="1"/>
  <c r="U350" i="1"/>
  <c r="X350" i="1" s="1"/>
  <c r="T350" i="1"/>
  <c r="W350" i="1" s="1"/>
  <c r="S350" i="1"/>
  <c r="V350" i="1" s="1"/>
  <c r="Y350" i="1" s="1"/>
  <c r="Z350" i="1" s="1"/>
  <c r="N350" i="1"/>
  <c r="AD349" i="1"/>
  <c r="AC349" i="1"/>
  <c r="W349" i="1"/>
  <c r="U349" i="1"/>
  <c r="X349" i="1" s="1"/>
  <c r="T349" i="1"/>
  <c r="S349" i="1"/>
  <c r="V349" i="1" s="1"/>
  <c r="Y349" i="1" s="1"/>
  <c r="Z349" i="1" s="1"/>
  <c r="G349" i="1" s="1"/>
  <c r="N349" i="1" s="1"/>
  <c r="AD348" i="1"/>
  <c r="AC348" i="1"/>
  <c r="U348" i="1"/>
  <c r="X348" i="1" s="1"/>
  <c r="T348" i="1"/>
  <c r="W348" i="1" s="1"/>
  <c r="S348" i="1"/>
  <c r="V348" i="1" s="1"/>
  <c r="Y348" i="1" s="1"/>
  <c r="Z348" i="1" s="1"/>
  <c r="G348" i="1" s="1"/>
  <c r="N348" i="1" s="1"/>
  <c r="AD347" i="1"/>
  <c r="AC347" i="1"/>
  <c r="U347" i="1"/>
  <c r="X347" i="1" s="1"/>
  <c r="T347" i="1"/>
  <c r="W347" i="1" s="1"/>
  <c r="S347" i="1"/>
  <c r="V347" i="1" s="1"/>
  <c r="Y347" i="1" s="1"/>
  <c r="Z347" i="1" s="1"/>
  <c r="G347" i="1" s="1"/>
  <c r="N347" i="1" s="1"/>
  <c r="G343" i="1"/>
  <c r="U341" i="1"/>
  <c r="X341" i="1" s="1"/>
  <c r="T341" i="1"/>
  <c r="W341" i="1" s="1"/>
  <c r="S341" i="1"/>
  <c r="V341" i="1" s="1"/>
  <c r="Y341" i="1" s="1"/>
  <c r="Z341" i="1" s="1"/>
  <c r="L339" i="1"/>
  <c r="B336" i="1"/>
  <c r="AE350" i="1" l="1"/>
  <c r="AE351" i="1"/>
  <c r="I317" i="1"/>
  <c r="AE347" i="1"/>
  <c r="I335" i="1"/>
  <c r="I332" i="1"/>
  <c r="AE349" i="1"/>
  <c r="I235" i="1"/>
  <c r="I325" i="1"/>
  <c r="AE348" i="1"/>
  <c r="AE346" i="1" l="1"/>
  <c r="G344" i="1" s="1"/>
  <c r="M280" i="1"/>
  <c r="M180" i="1"/>
  <c r="E3638" i="1" l="1"/>
  <c r="C3" i="7" l="1"/>
  <c r="C208" i="1"/>
  <c r="D208" i="1"/>
  <c r="E208" i="1"/>
  <c r="F208" i="1"/>
  <c r="G208" i="1"/>
  <c r="H208" i="1"/>
  <c r="I208" i="1"/>
  <c r="D209" i="1"/>
  <c r="E209" i="1"/>
  <c r="F209" i="1"/>
  <c r="G209" i="1"/>
  <c r="H209" i="1"/>
  <c r="D210" i="1"/>
  <c r="E210" i="1"/>
  <c r="F210" i="1"/>
  <c r="G210" i="1"/>
  <c r="H210" i="1"/>
  <c r="D211" i="1"/>
  <c r="E211" i="1"/>
  <c r="F211" i="1"/>
  <c r="G211" i="1"/>
  <c r="H211" i="1"/>
  <c r="C207" i="1"/>
  <c r="L126" i="1"/>
  <c r="L125" i="1"/>
  <c r="L124" i="1"/>
  <c r="K126" i="1"/>
  <c r="K125" i="1"/>
  <c r="K124" i="1"/>
  <c r="J126" i="1"/>
  <c r="J125" i="1"/>
  <c r="J124" i="1"/>
  <c r="J127" i="1"/>
  <c r="J128" i="1"/>
  <c r="J129" i="1"/>
  <c r="K127" i="1"/>
  <c r="I210" i="1"/>
  <c r="I211" i="1"/>
  <c r="I209" i="1"/>
  <c r="C210" i="1"/>
  <c r="C211" i="1"/>
  <c r="C209" i="1"/>
  <c r="U152" i="5"/>
  <c r="Q151" i="5"/>
  <c r="N151" i="5"/>
  <c r="K151" i="5"/>
  <c r="H151" i="5"/>
  <c r="T150" i="5"/>
  <c r="S149" i="5"/>
  <c r="Q148" i="5"/>
  <c r="N148" i="5"/>
  <c r="K148" i="5"/>
  <c r="H148" i="5"/>
  <c r="T147" i="5"/>
  <c r="S146" i="5"/>
  <c r="Q145" i="5"/>
  <c r="N145" i="5"/>
  <c r="K145" i="5"/>
  <c r="H145" i="5"/>
  <c r="T144" i="5"/>
  <c r="S143" i="5"/>
  <c r="U139" i="5"/>
  <c r="S136" i="5"/>
  <c r="S135" i="5"/>
  <c r="S134" i="5"/>
  <c r="S133" i="5"/>
  <c r="S132" i="5"/>
  <c r="S131" i="5"/>
  <c r="S130" i="5"/>
  <c r="S129" i="5"/>
  <c r="P138" i="5" s="1"/>
  <c r="P140" i="5" s="1"/>
  <c r="U121" i="5"/>
  <c r="Q120" i="5"/>
  <c r="N120" i="5"/>
  <c r="K120" i="5"/>
  <c r="H120" i="5"/>
  <c r="T119" i="5"/>
  <c r="S118" i="5"/>
  <c r="Q117" i="5"/>
  <c r="N117" i="5"/>
  <c r="K117" i="5"/>
  <c r="H117" i="5"/>
  <c r="T116" i="5"/>
  <c r="S115" i="5"/>
  <c r="Q114" i="5"/>
  <c r="N114" i="5"/>
  <c r="K114" i="5"/>
  <c r="H114" i="5"/>
  <c r="T113" i="5"/>
  <c r="S112" i="5"/>
  <c r="Q111" i="5"/>
  <c r="N111" i="5"/>
  <c r="K111" i="5"/>
  <c r="H111" i="5"/>
  <c r="T110" i="5"/>
  <c r="S109" i="5"/>
  <c r="Q108" i="5"/>
  <c r="N108" i="5"/>
  <c r="K108" i="5"/>
  <c r="H108" i="5"/>
  <c r="T107" i="5"/>
  <c r="S106" i="5"/>
  <c r="U102" i="5"/>
  <c r="Q101" i="5"/>
  <c r="N101" i="5"/>
  <c r="K101" i="5"/>
  <c r="H101" i="5"/>
  <c r="T100" i="5"/>
  <c r="S99" i="5"/>
  <c r="Q98" i="5"/>
  <c r="N98" i="5"/>
  <c r="K98" i="5"/>
  <c r="H98" i="5"/>
  <c r="T97" i="5"/>
  <c r="S96" i="5"/>
  <c r="Q95" i="5"/>
  <c r="N95" i="5"/>
  <c r="K95" i="5"/>
  <c r="H95" i="5"/>
  <c r="T94" i="5"/>
  <c r="S93" i="5"/>
  <c r="Q92" i="5"/>
  <c r="N92" i="5"/>
  <c r="K92" i="5"/>
  <c r="H92" i="5"/>
  <c r="T91" i="5"/>
  <c r="S90" i="5"/>
  <c r="U86" i="5"/>
  <c r="Q85" i="5"/>
  <c r="N85" i="5"/>
  <c r="K85" i="5"/>
  <c r="H85" i="5"/>
  <c r="T84" i="5"/>
  <c r="S83" i="5"/>
  <c r="Q82" i="5"/>
  <c r="N82" i="5"/>
  <c r="K82" i="5"/>
  <c r="H82" i="5"/>
  <c r="T81" i="5"/>
  <c r="S80" i="5"/>
  <c r="Q79" i="5"/>
  <c r="N79" i="5"/>
  <c r="K79" i="5"/>
  <c r="H79" i="5"/>
  <c r="T78" i="5"/>
  <c r="S77" i="5"/>
  <c r="Q76" i="5"/>
  <c r="N76" i="5"/>
  <c r="K76" i="5"/>
  <c r="H76" i="5"/>
  <c r="T75" i="5"/>
  <c r="S74" i="5"/>
  <c r="C42" i="5"/>
  <c r="S92" i="5" l="1"/>
  <c r="S98" i="5"/>
  <c r="S79" i="5"/>
  <c r="S85" i="5"/>
  <c r="S108" i="5"/>
  <c r="S114" i="5"/>
  <c r="S137" i="5"/>
  <c r="P139" i="5" s="1"/>
  <c r="S76" i="5"/>
  <c r="S111" i="5"/>
  <c r="S145" i="5"/>
  <c r="I212" i="1"/>
  <c r="S120" i="5"/>
  <c r="S151" i="5"/>
  <c r="S82" i="5"/>
  <c r="S95" i="5"/>
  <c r="P86" i="5"/>
  <c r="S101" i="5"/>
  <c r="S117" i="5"/>
  <c r="S148" i="5"/>
  <c r="S86" i="5"/>
  <c r="S152" i="5" l="1"/>
  <c r="P152" i="5" s="1"/>
  <c r="P153" i="5" s="1"/>
  <c r="P154" i="5" s="1"/>
  <c r="S121" i="5"/>
  <c r="P102" i="5"/>
  <c r="V102" i="5" s="1"/>
  <c r="V139" i="5"/>
  <c r="T139" i="5"/>
  <c r="P141" i="5"/>
  <c r="P121" i="5"/>
  <c r="V121" i="5" s="1"/>
  <c r="T102" i="5"/>
  <c r="P103" i="5"/>
  <c r="P104" i="5" s="1"/>
  <c r="P122" i="5"/>
  <c r="P123" i="5" s="1"/>
  <c r="T121" i="5"/>
  <c r="S102" i="5"/>
  <c r="T86" i="5"/>
  <c r="P87" i="5"/>
  <c r="P88" i="5" s="1"/>
  <c r="V86" i="5"/>
  <c r="E109" i="1"/>
  <c r="E108" i="1"/>
  <c r="E107" i="1"/>
  <c r="E105" i="1"/>
  <c r="L30" i="1"/>
  <c r="K30" i="1"/>
  <c r="L129" i="1"/>
  <c r="F1937" i="1" s="1"/>
  <c r="L128" i="1"/>
  <c r="F1837" i="1" s="1"/>
  <c r="L127" i="1"/>
  <c r="F1737" i="1" s="1"/>
  <c r="F1637" i="1"/>
  <c r="F1437" i="1"/>
  <c r="L123" i="1"/>
  <c r="F1337" i="1" s="1"/>
  <c r="L122" i="1"/>
  <c r="F1237" i="1" s="1"/>
  <c r="L121" i="1"/>
  <c r="F1137" i="1" s="1"/>
  <c r="L120" i="1"/>
  <c r="F1037" i="1" s="1"/>
  <c r="L119" i="1"/>
  <c r="F937" i="1" s="1"/>
  <c r="L118" i="1"/>
  <c r="F837" i="1" s="1"/>
  <c r="L117" i="1"/>
  <c r="F737" i="1" s="1"/>
  <c r="L116" i="1"/>
  <c r="F637" i="1" s="1"/>
  <c r="L115" i="1"/>
  <c r="F537" i="1" s="1"/>
  <c r="L114" i="1"/>
  <c r="F437" i="1" s="1"/>
  <c r="L113" i="1"/>
  <c r="F337" i="1" s="1"/>
  <c r="F237" i="1"/>
  <c r="F137" i="1"/>
  <c r="K129" i="1"/>
  <c r="K128" i="1"/>
  <c r="K123" i="1"/>
  <c r="K122" i="1"/>
  <c r="K121" i="1"/>
  <c r="K120" i="1"/>
  <c r="K119" i="1"/>
  <c r="K118" i="1"/>
  <c r="K117" i="1"/>
  <c r="K116" i="1"/>
  <c r="K115" i="1"/>
  <c r="K114" i="1"/>
  <c r="K113" i="1"/>
  <c r="G341" i="1" s="1"/>
  <c r="F29" i="1"/>
  <c r="F27" i="1"/>
  <c r="F25" i="1"/>
  <c r="F23" i="1"/>
  <c r="F21" i="1"/>
  <c r="F19" i="1"/>
  <c r="J123" i="1"/>
  <c r="F17" i="1" s="1"/>
  <c r="J122" i="1"/>
  <c r="F15" i="1" s="1"/>
  <c r="J121" i="1"/>
  <c r="F13" i="1" s="1"/>
  <c r="J120" i="1"/>
  <c r="F11" i="1" s="1"/>
  <c r="J119" i="1"/>
  <c r="J118" i="1"/>
  <c r="J117" i="1"/>
  <c r="J116" i="1"/>
  <c r="J115" i="1"/>
  <c r="J114" i="1"/>
  <c r="J113" i="1"/>
  <c r="E337" i="1" s="1"/>
  <c r="L110" i="1"/>
  <c r="F37" i="1" s="1"/>
  <c r="K110" i="1"/>
  <c r="J110" i="1"/>
  <c r="V152" i="5" l="1"/>
  <c r="T152" i="5"/>
  <c r="P156" i="5"/>
  <c r="P157" i="5" s="1"/>
  <c r="P159" i="5" s="1"/>
  <c r="E372" i="1"/>
  <c r="V159" i="5"/>
  <c r="T159" i="5" s="1"/>
  <c r="FP2" i="2"/>
  <c r="FQ2" i="2"/>
  <c r="FR2" i="2"/>
  <c r="FS2" i="2"/>
  <c r="FT2" i="2"/>
  <c r="FU2" i="2"/>
  <c r="FV2" i="2"/>
  <c r="FW2" i="2"/>
  <c r="FX2" i="2"/>
  <c r="FY2" i="2"/>
  <c r="FZ2" i="2"/>
  <c r="GA2" i="2"/>
  <c r="GB2" i="2"/>
  <c r="GC2" i="2"/>
  <c r="GD2" i="2"/>
  <c r="GE2" i="2"/>
  <c r="GF2" i="2"/>
  <c r="GG2" i="2"/>
  <c r="GH2" i="2"/>
  <c r="GI2" i="2"/>
  <c r="GJ2" i="2"/>
  <c r="GK2" i="2"/>
  <c r="GL2" i="2"/>
  <c r="GM2" i="2"/>
  <c r="GN2" i="2"/>
  <c r="GO2" i="2"/>
  <c r="GP2" i="2"/>
  <c r="FK2" i="2"/>
  <c r="FL2" i="2"/>
  <c r="FM2" i="2"/>
  <c r="FN2" i="2"/>
  <c r="FO2" i="2"/>
  <c r="FJ2" i="2"/>
  <c r="F1537" i="1" l="1"/>
  <c r="R159" i="5"/>
  <c r="E1037" i="1"/>
  <c r="G1041" i="1"/>
  <c r="G307" i="1" s="1"/>
  <c r="G1141" i="1"/>
  <c r="G315" i="1" s="1"/>
  <c r="E1237" i="1"/>
  <c r="G1241" i="1"/>
  <c r="G323" i="1" s="1"/>
  <c r="E1337" i="1"/>
  <c r="G1341" i="1"/>
  <c r="G330" i="1" s="1"/>
  <c r="E1437" i="1"/>
  <c r="G1441" i="1"/>
  <c r="G1541" i="1"/>
  <c r="E1637" i="1"/>
  <c r="G1641" i="1"/>
  <c r="E1737" i="1"/>
  <c r="G1741" i="1"/>
  <c r="E1837" i="1"/>
  <c r="G1841" i="1"/>
  <c r="E1937" i="1"/>
  <c r="G1941" i="1"/>
  <c r="G641" i="1"/>
  <c r="G241" i="1"/>
  <c r="E137" i="1"/>
  <c r="G141" i="1"/>
  <c r="E237" i="1"/>
  <c r="E437" i="1"/>
  <c r="G441" i="1"/>
  <c r="E537" i="1"/>
  <c r="G541" i="1"/>
  <c r="E637" i="1"/>
  <c r="C25" i="1"/>
  <c r="G741" i="1"/>
  <c r="E837" i="1"/>
  <c r="G841" i="1"/>
  <c r="C29" i="1"/>
  <c r="G941" i="1"/>
  <c r="G41" i="1"/>
  <c r="C11" i="1"/>
  <c r="E148" i="2"/>
  <c r="F148" i="2" s="1"/>
  <c r="G148" i="2" s="1"/>
  <c r="E149" i="2"/>
  <c r="F149" i="2" s="1"/>
  <c r="G149" i="2" s="1"/>
  <c r="E150" i="2"/>
  <c r="F150" i="2" s="1"/>
  <c r="G150" i="2" s="1"/>
  <c r="E151" i="2"/>
  <c r="F151" i="2" s="1"/>
  <c r="G151" i="2" s="1"/>
  <c r="E152" i="2"/>
  <c r="F152" i="2" s="1"/>
  <c r="G152" i="2" s="1"/>
  <c r="E153" i="2"/>
  <c r="F153" i="2" s="1"/>
  <c r="G153" i="2" s="1"/>
  <c r="E154" i="2"/>
  <c r="F154" i="2" s="1"/>
  <c r="G154" i="2" s="1"/>
  <c r="E155" i="2"/>
  <c r="F155" i="2" s="1"/>
  <c r="G155" i="2" s="1"/>
  <c r="E124" i="2"/>
  <c r="F124" i="2" s="1"/>
  <c r="G124" i="2" s="1"/>
  <c r="E125" i="2"/>
  <c r="F125" i="2" s="1"/>
  <c r="G125" i="2" s="1"/>
  <c r="E126" i="2"/>
  <c r="F126" i="2" s="1"/>
  <c r="G126" i="2" s="1"/>
  <c r="E127" i="2"/>
  <c r="F127" i="2" s="1"/>
  <c r="G127" i="2" s="1"/>
  <c r="E128" i="2"/>
  <c r="F128" i="2" s="1"/>
  <c r="G128" i="2" s="1"/>
  <c r="E129" i="2"/>
  <c r="F129" i="2" s="1"/>
  <c r="G129" i="2" s="1"/>
  <c r="E130" i="2"/>
  <c r="F130" i="2" s="1"/>
  <c r="G130" i="2" s="1"/>
  <c r="E131" i="2"/>
  <c r="F131" i="2" s="1"/>
  <c r="G131" i="2" s="1"/>
  <c r="E132" i="2"/>
  <c r="F132" i="2" s="1"/>
  <c r="E133" i="2"/>
  <c r="F133" i="2" s="1"/>
  <c r="G133" i="2" s="1"/>
  <c r="E134" i="2"/>
  <c r="F134" i="2" s="1"/>
  <c r="G134" i="2" s="1"/>
  <c r="E135" i="2"/>
  <c r="F135" i="2" s="1"/>
  <c r="G135" i="2" s="1"/>
  <c r="E136" i="2"/>
  <c r="F136" i="2" s="1"/>
  <c r="G136" i="2" s="1"/>
  <c r="E137" i="2"/>
  <c r="F137" i="2" s="1"/>
  <c r="G137" i="2" s="1"/>
  <c r="E138" i="2"/>
  <c r="F138" i="2" s="1"/>
  <c r="G138" i="2" s="1"/>
  <c r="E139" i="2"/>
  <c r="F139" i="2" s="1"/>
  <c r="G139" i="2" s="1"/>
  <c r="E140" i="2"/>
  <c r="F140" i="2" s="1"/>
  <c r="G140" i="2" s="1"/>
  <c r="E141" i="2"/>
  <c r="F141" i="2" s="1"/>
  <c r="G141" i="2" s="1"/>
  <c r="E142" i="2"/>
  <c r="F142" i="2" s="1"/>
  <c r="G142" i="2" s="1"/>
  <c r="E143" i="2"/>
  <c r="F143" i="2" s="1"/>
  <c r="G143" i="2" s="1"/>
  <c r="E144" i="2"/>
  <c r="F144" i="2" s="1"/>
  <c r="G144" i="2" s="1"/>
  <c r="E145" i="2"/>
  <c r="F145" i="2" s="1"/>
  <c r="G145" i="2" s="1"/>
  <c r="E146" i="2"/>
  <c r="F146" i="2" s="1"/>
  <c r="G146" i="2" s="1"/>
  <c r="E147" i="2"/>
  <c r="F147" i="2" s="1"/>
  <c r="G147" i="2" s="1"/>
  <c r="E123" i="2"/>
  <c r="F123" i="2" s="1"/>
  <c r="G207" i="1" l="1"/>
  <c r="E1537" i="1"/>
  <c r="E1137" i="1"/>
  <c r="C17" i="1"/>
  <c r="E737" i="1"/>
  <c r="E37" i="1"/>
  <c r="C15" i="1"/>
  <c r="C23" i="1"/>
  <c r="E937" i="1"/>
  <c r="C13" i="1"/>
  <c r="C21" i="1"/>
  <c r="C19" i="1"/>
  <c r="C27" i="1"/>
  <c r="F156" i="2"/>
  <c r="G123" i="2" s="1"/>
  <c r="G132" i="2" l="1"/>
  <c r="G156" i="2" s="1"/>
  <c r="F122" i="1" l="1"/>
  <c r="F121" i="1"/>
  <c r="F120" i="1"/>
  <c r="F119" i="1"/>
  <c r="F116" i="1"/>
  <c r="F115" i="1"/>
  <c r="E116" i="1"/>
  <c r="E115" i="1"/>
  <c r="F118" i="1"/>
  <c r="F117" i="1"/>
  <c r="F114" i="1"/>
  <c r="F113" i="1"/>
  <c r="E114" i="1"/>
  <c r="E113" i="1"/>
  <c r="E112" i="1"/>
  <c r="F110" i="1"/>
  <c r="F112" i="1" s="1"/>
  <c r="M3345" i="1"/>
  <c r="M3344" i="1"/>
  <c r="M3342" i="1"/>
  <c r="M3341" i="1"/>
  <c r="E106" i="1" s="1"/>
  <c r="CD4317" i="1" l="1"/>
  <c r="CC4317" i="1"/>
  <c r="BD4317" i="1" l="1"/>
  <c r="BC4317" i="1"/>
  <c r="CD4315" i="1"/>
  <c r="CC4315" i="1"/>
  <c r="BD4315" i="1"/>
  <c r="BC4315" i="1"/>
  <c r="CD4314" i="1"/>
  <c r="CC4314" i="1"/>
  <c r="BD4314" i="1"/>
  <c r="BC4314" i="1"/>
  <c r="CD4313" i="1"/>
  <c r="CC4313" i="1"/>
  <c r="BD4313" i="1"/>
  <c r="BC4313" i="1"/>
  <c r="CD4310" i="1"/>
  <c r="CC4310" i="1"/>
  <c r="BD4310" i="1"/>
  <c r="BC4310" i="1"/>
  <c r="CD4309" i="1"/>
  <c r="CC4309" i="1"/>
  <c r="BD4309" i="1"/>
  <c r="BC4309" i="1"/>
  <c r="CC4307" i="1"/>
  <c r="BC4307" i="1"/>
  <c r="CH4303" i="1"/>
  <c r="CG4303" i="1"/>
  <c r="CF4303" i="1"/>
  <c r="BH4303" i="1"/>
  <c r="BG4303" i="1"/>
  <c r="BF4303" i="1"/>
  <c r="BE4302" i="1"/>
  <c r="CD4301" i="1"/>
  <c r="CC4301" i="1"/>
  <c r="BD4301" i="1"/>
  <c r="BC4301" i="1"/>
  <c r="CD4300" i="1"/>
  <c r="CC4300" i="1"/>
  <c r="BD4300" i="1"/>
  <c r="BC4300" i="1"/>
  <c r="CD4299" i="1"/>
  <c r="CC4299" i="1"/>
  <c r="BD4299" i="1"/>
  <c r="BC4299" i="1"/>
  <c r="CD4298" i="1"/>
  <c r="CC4298" i="1"/>
  <c r="BD4298" i="1"/>
  <c r="BC4298" i="1"/>
  <c r="CD4297" i="1"/>
  <c r="CC4297" i="1"/>
  <c r="BD4297" i="1"/>
  <c r="BC4297" i="1"/>
  <c r="CD4296" i="1"/>
  <c r="CC4296" i="1"/>
  <c r="BD4296" i="1"/>
  <c r="BC4296" i="1"/>
  <c r="CD4295" i="1"/>
  <c r="CC4295" i="1"/>
  <c r="BD4295" i="1" l="1"/>
  <c r="BC4295" i="1"/>
  <c r="CH4294" i="1"/>
  <c r="CG4294" i="1"/>
  <c r="BH4294" i="1"/>
  <c r="BG4294" i="1"/>
  <c r="CH4293" i="1"/>
  <c r="CG4293" i="1"/>
  <c r="CF4293" i="1"/>
  <c r="CH4292" i="1"/>
  <c r="CG4292" i="1"/>
  <c r="CF4292" i="1"/>
  <c r="CD4292" i="1"/>
  <c r="CC4292" i="1"/>
  <c r="BD4292" i="1"/>
  <c r="BC4292" i="1"/>
  <c r="CH4288" i="1"/>
  <c r="CH4302" i="1" s="1"/>
  <c r="CG4288" i="1"/>
  <c r="CF4288" i="1"/>
  <c r="CE4288" i="1"/>
  <c r="CD4288" i="1"/>
  <c r="BH4288" i="1"/>
  <c r="BG4288" i="1"/>
  <c r="BF4288" i="1" s="1"/>
  <c r="BE4288" i="1" s="1"/>
  <c r="BD4288" i="1"/>
  <c r="CH4287" i="1"/>
  <c r="CH4301" i="1" s="1"/>
  <c r="CF4287" i="1"/>
  <c r="BF4287" i="1"/>
  <c r="CH4286" i="1"/>
  <c r="CH4300" i="1" s="1"/>
  <c r="CF4286" i="1"/>
  <c r="BF4286" i="1"/>
  <c r="CH4285" i="1"/>
  <c r="CH4299" i="1" s="1"/>
  <c r="CF4285" i="1"/>
  <c r="BF4285" i="1"/>
  <c r="CH4284" i="1"/>
  <c r="CH4298" i="1" s="1"/>
  <c r="CF4284" i="1"/>
  <c r="BH4284" i="1"/>
  <c r="BF4284" i="1"/>
  <c r="CH4283" i="1"/>
  <c r="CH4297" i="1" s="1"/>
  <c r="CF4283" i="1"/>
  <c r="BF4283" i="1"/>
  <c r="CH4282" i="1"/>
  <c r="CH4296" i="1" s="1"/>
  <c r="CF4282" i="1"/>
  <c r="BF4282" i="1"/>
  <c r="CH4281" i="1"/>
  <c r="CH4295" i="1" s="1"/>
  <c r="CF4281" i="1"/>
  <c r="BH4298" i="1" l="1"/>
  <c r="BH4281" i="1"/>
  <c r="BF4281" i="1"/>
  <c r="CH4280" i="1"/>
  <c r="CG4280" i="1"/>
  <c r="CF4280" i="1"/>
  <c r="BH4280" i="1"/>
  <c r="BG4280" i="1"/>
  <c r="BF4280" i="1"/>
  <c r="CD4278" i="1"/>
  <c r="BD4278" i="1"/>
  <c r="CD4277" i="1"/>
  <c r="CC4277" i="1"/>
  <c r="BD4277" i="1"/>
  <c r="BC4277" i="1"/>
  <c r="BR4275" i="1"/>
  <c r="BM4275" i="1"/>
  <c r="BL4275" i="1"/>
  <c r="BU4274" i="1"/>
  <c r="CC4273" i="1"/>
  <c r="BU4273" i="1"/>
  <c r="BC4273" i="1"/>
  <c r="CC4272" i="1"/>
  <c r="BU4272" i="1"/>
  <c r="BC4272" i="1"/>
  <c r="CC4271" i="1"/>
  <c r="BU4271" i="1"/>
  <c r="BC4271" i="1"/>
  <c r="CC4270" i="1"/>
  <c r="BU4270" i="1"/>
  <c r="BC4270" i="1"/>
  <c r="CH4269" i="1"/>
  <c r="CG4287" i="1" s="1"/>
  <c r="CF4269" i="1"/>
  <c r="CE4269" i="1"/>
  <c r="CE4287" i="1" s="1"/>
  <c r="CC4269" i="1"/>
  <c r="BU4269" i="1"/>
  <c r="BH4269" i="1"/>
  <c r="BF4269" i="1"/>
  <c r="BE4269" i="1"/>
  <c r="BE4287" i="1" s="1"/>
  <c r="BC4269" i="1"/>
  <c r="CH4268" i="1"/>
  <c r="CG4268" i="1"/>
  <c r="CE4268" i="1"/>
  <c r="CC4268" i="1"/>
  <c r="BU4268" i="1"/>
  <c r="BH4268" i="1"/>
  <c r="BG4268" i="1"/>
  <c r="BE4268" i="1"/>
  <c r="BC4268" i="1"/>
  <c r="CH4267" i="1"/>
  <c r="CG4267" i="1"/>
  <c r="CF4267" i="1"/>
  <c r="CE4267" i="1"/>
  <c r="CC4267" i="1"/>
  <c r="CD4287" i="1" s="1"/>
  <c r="CB4267" i="1"/>
  <c r="CC4287" i="1" s="1"/>
  <c r="BH4287" i="1" s="1"/>
  <c r="BG4287" i="1" s="1"/>
  <c r="BU4267" i="1"/>
  <c r="BH4267" i="1"/>
  <c r="BG4267" i="1"/>
  <c r="BF4267" i="1"/>
  <c r="BE4267" i="1"/>
  <c r="BC4267" i="1"/>
  <c r="BB4267" i="1"/>
  <c r="BU4266" i="1"/>
  <c r="CH4265" i="1"/>
  <c r="CG4286" i="1" s="1"/>
  <c r="CF4265" i="1"/>
  <c r="CE4265" i="1"/>
  <c r="CE4286" i="1" s="1"/>
  <c r="CC4265" i="1"/>
  <c r="BU4265" i="1"/>
  <c r="BH4265" i="1" s="1"/>
  <c r="BF4265" i="1"/>
  <c r="BE4265" i="1"/>
  <c r="BE4286" i="1" s="1"/>
  <c r="BC4265" i="1"/>
  <c r="CH4264" i="1"/>
  <c r="CG4264" i="1"/>
  <c r="CE4264" i="1"/>
  <c r="CC4264" i="1"/>
  <c r="BU4264" i="1"/>
  <c r="BH4264" i="1"/>
  <c r="BG4264" i="1"/>
  <c r="BE4264" i="1"/>
  <c r="BC4264" i="1"/>
  <c r="BU4263" i="1"/>
  <c r="BK4263" i="1"/>
  <c r="BH4263" i="1"/>
  <c r="BG4263" i="1"/>
  <c r="BF4263" i="1"/>
  <c r="BE4263" i="1"/>
  <c r="BC4263" i="1"/>
  <c r="CH4262" i="1"/>
  <c r="CG4262" i="1"/>
  <c r="CF4262" i="1"/>
  <c r="CE4262" i="1"/>
  <c r="CC4262" i="1"/>
  <c r="CD4286" i="1" s="1"/>
  <c r="CB4262" i="1"/>
  <c r="CC4286" i="1" s="1"/>
  <c r="BH4286" i="1" s="1"/>
  <c r="BH4262" i="1"/>
  <c r="BG4262" i="1"/>
  <c r="BF4262" i="1"/>
  <c r="BE4262" i="1"/>
  <c r="BC4262" i="1"/>
  <c r="BD4286" i="1" s="1"/>
  <c r="BB4262" i="1"/>
  <c r="BC4286" i="1" s="1"/>
  <c r="BN4261" i="1"/>
  <c r="CH4260" i="1"/>
  <c r="CG4285" i="1" s="1"/>
  <c r="CF4260" i="1"/>
  <c r="CE4260" i="1"/>
  <c r="CE4285" i="1" s="1"/>
  <c r="CC4260" i="1"/>
  <c r="BH4260" i="1"/>
  <c r="BF4260" i="1"/>
  <c r="BE4260" i="1"/>
  <c r="BE4285" i="1" s="1"/>
  <c r="BC4260" i="1"/>
  <c r="BH4259" i="1" s="1"/>
  <c r="BG4259" i="1"/>
  <c r="BE4259" i="1"/>
  <c r="BC4259" i="1"/>
  <c r="BH4258" i="1" s="1"/>
  <c r="BG4258" i="1"/>
  <c r="BE4258" i="1"/>
  <c r="BC4258" i="1"/>
  <c r="BH4257" i="1"/>
  <c r="BG4257" i="1"/>
  <c r="BE4257" i="1"/>
  <c r="BC4257" i="1"/>
  <c r="CH4256" i="1"/>
  <c r="CG4256" i="1"/>
  <c r="CE4256" i="1"/>
  <c r="CC4256" i="1"/>
  <c r="BH4256" i="1"/>
  <c r="BG4256" i="1"/>
  <c r="BE4256" i="1"/>
  <c r="BC4256" i="1"/>
  <c r="CH4255" i="1"/>
  <c r="CG4255" i="1"/>
  <c r="CF4255" i="1"/>
  <c r="CE4255" i="1"/>
  <c r="CC4255" i="1"/>
  <c r="CD4285" i="1" s="1"/>
  <c r="CB4255" i="1"/>
  <c r="CC4285" i="1" s="1"/>
  <c r="BH4285" i="1" s="1"/>
  <c r="BH4255" i="1"/>
  <c r="BG4255" i="1"/>
  <c r="BF4255" i="1"/>
  <c r="BE4255" i="1"/>
  <c r="BC4255" i="1"/>
  <c r="BB4255" i="1"/>
  <c r="BG4286" i="1" l="1"/>
  <c r="BG4285" i="1"/>
  <c r="BD4285" i="1"/>
  <c r="BC4285" i="1" s="1"/>
  <c r="BH4300" i="1"/>
  <c r="BH4299" i="1"/>
  <c r="BH4301" i="1"/>
  <c r="BD4287" i="1"/>
  <c r="BC4287" i="1" s="1"/>
  <c r="BU4275" i="1"/>
  <c r="BH4295" i="1"/>
  <c r="CH4253" i="1"/>
  <c r="CG4284" i="1" s="1"/>
  <c r="CF4253" i="1"/>
  <c r="CE4253" i="1"/>
  <c r="CE4284" i="1" s="1"/>
  <c r="CC4253" i="1"/>
  <c r="BH4253" i="1"/>
  <c r="BG4284" i="1" s="1"/>
  <c r="BF4253" i="1"/>
  <c r="BE4253" i="1"/>
  <c r="BE4284" i="1" s="1"/>
  <c r="BC4253" i="1"/>
  <c r="BR4252" i="1"/>
  <c r="BT4252" i="1" s="1"/>
  <c r="BH4252" i="1"/>
  <c r="BG4252" i="1"/>
  <c r="BF4252" i="1"/>
  <c r="BE4252" i="1"/>
  <c r="BD4252" i="1"/>
  <c r="BC4252" i="1"/>
  <c r="BH4251" i="1" s="1"/>
  <c r="BG4251" i="1"/>
  <c r="BE4251" i="1"/>
  <c r="BD4251" i="1"/>
  <c r="BC4251" i="1"/>
  <c r="BH4249" i="1"/>
  <c r="BG4249" i="1"/>
  <c r="BE4249" i="1"/>
  <c r="BD4249" i="1"/>
  <c r="BH4248" i="1"/>
  <c r="BG4248" i="1"/>
  <c r="BE4248" i="1"/>
  <c r="BD4248" i="1"/>
  <c r="BH4247" i="1" s="1"/>
  <c r="BG4247" i="1"/>
  <c r="BE4247" i="1"/>
  <c r="BD4247" i="1"/>
  <c r="BC4247" i="1"/>
  <c r="BH4244" i="1" s="1"/>
  <c r="BG4244" i="1"/>
  <c r="BE4244" i="1"/>
  <c r="BD4244" i="1"/>
  <c r="CH4243" i="1"/>
  <c r="CG4243" i="1"/>
  <c r="CE4243" i="1"/>
  <c r="CD4243" i="1"/>
  <c r="BH4243" i="1"/>
  <c r="BG4243" i="1"/>
  <c r="BE4243" i="1"/>
  <c r="BD4243" i="1"/>
  <c r="CH4242" i="1"/>
  <c r="CG4242" i="1"/>
  <c r="CE4242" i="1"/>
  <c r="CD4242" i="1"/>
  <c r="CC4242" i="1"/>
  <c r="BH4242" i="1"/>
  <c r="BG4242" i="1"/>
  <c r="BE4242" i="1"/>
  <c r="BD4242" i="1"/>
  <c r="BC4242" i="1"/>
  <c r="CH4241" i="1"/>
  <c r="CG4241" i="1"/>
  <c r="CF4241" i="1"/>
  <c r="CE4241" i="1"/>
  <c r="CC4241" i="1"/>
  <c r="CD4284" i="1" s="1"/>
  <c r="CB4241" i="1"/>
  <c r="CC4284" i="1" s="1"/>
  <c r="BH4241" i="1"/>
  <c r="BG4241" i="1"/>
  <c r="BF4241" i="1"/>
  <c r="BE4241" i="1"/>
  <c r="BC4241" i="1"/>
  <c r="BD4284" i="1" s="1"/>
  <c r="BB4241" i="1"/>
  <c r="BC4284" i="1" s="1"/>
  <c r="CH4239" i="1"/>
  <c r="CG4283" i="1" s="1"/>
  <c r="CF4239" i="1"/>
  <c r="CE4239" i="1"/>
  <c r="CE4283" i="1" s="1"/>
  <c r="CC4239" i="1"/>
  <c r="BH4239" i="1" s="1"/>
  <c r="BF4239" i="1"/>
  <c r="BE4239" i="1"/>
  <c r="BE4283" i="1" s="1"/>
  <c r="BC4239" i="1"/>
  <c r="CH4238" i="1"/>
  <c r="CG4238" i="1"/>
  <c r="CE4238" i="1"/>
  <c r="CD4238" i="1"/>
  <c r="CC4238" i="1"/>
  <c r="BH4238" i="1"/>
  <c r="BG4238" i="1"/>
  <c r="BE4238" i="1"/>
  <c r="BD4238" i="1"/>
  <c r="BC4238" i="1"/>
  <c r="CH4237" i="1"/>
  <c r="CG4237" i="1"/>
  <c r="CE4237" i="1"/>
  <c r="CD4237" i="1"/>
  <c r="CC4237" i="1"/>
  <c r="BH4237" i="1" s="1"/>
  <c r="BG4237" i="1"/>
  <c r="BE4237" i="1"/>
  <c r="BD4237" i="1"/>
  <c r="BC4237" i="1"/>
  <c r="CH4236" i="1"/>
  <c r="CG4236" i="1"/>
  <c r="CF4236" i="1"/>
  <c r="CE4236" i="1"/>
  <c r="CC4236" i="1"/>
  <c r="CD4283" i="1" s="1"/>
  <c r="CB4236" i="1"/>
  <c r="CC4283" i="1" s="1"/>
  <c r="BH4283" i="1" s="1"/>
  <c r="BH4236" i="1"/>
  <c r="BG4236" i="1"/>
  <c r="BF4236" i="1"/>
  <c r="BE4236" i="1"/>
  <c r="BC4236" i="1"/>
  <c r="BB4236" i="1"/>
  <c r="BC4283" i="1" s="1"/>
  <c r="CH4234" i="1"/>
  <c r="CG4282" i="1" s="1"/>
  <c r="CF4234" i="1"/>
  <c r="CE4234" i="1"/>
  <c r="CE4282" i="1" s="1"/>
  <c r="CC4234" i="1"/>
  <c r="BH4234" i="1" s="1"/>
  <c r="BF4234" i="1"/>
  <c r="BE4234" i="1"/>
  <c r="BE4282" i="1" s="1"/>
  <c r="BC4234" i="1"/>
  <c r="CH4232" i="1"/>
  <c r="CG4232" i="1"/>
  <c r="CE4232" i="1"/>
  <c r="CD4232" i="1"/>
  <c r="CC4232" i="1"/>
  <c r="BH4232" i="1" s="1"/>
  <c r="BG4232" i="1"/>
  <c r="BE4232" i="1"/>
  <c r="BD4232" i="1"/>
  <c r="BC4232" i="1"/>
  <c r="CG4231" i="1"/>
  <c r="CE4231" i="1"/>
  <c r="BG4231" i="1"/>
  <c r="BE4231" i="1"/>
  <c r="BH4230" i="1" s="1"/>
  <c r="BG4230" i="1"/>
  <c r="BE4230" i="1"/>
  <c r="BD4230" i="1"/>
  <c r="BC4230" i="1"/>
  <c r="CH4229" i="1"/>
  <c r="CG4229" i="1"/>
  <c r="CF4229" i="1"/>
  <c r="CE4229" i="1"/>
  <c r="CC4229" i="1"/>
  <c r="CD4282" i="1" s="1"/>
  <c r="CB4229" i="1"/>
  <c r="CC4282" i="1" s="1"/>
  <c r="BH4282" i="1" s="1"/>
  <c r="BH4229" i="1"/>
  <c r="BG4229" i="1"/>
  <c r="BF4229" i="1"/>
  <c r="BE4229" i="1"/>
  <c r="BC4229" i="1"/>
  <c r="BD4282" i="1" s="1"/>
  <c r="BB4229" i="1"/>
  <c r="CS4228" i="1"/>
  <c r="BS4228" i="1"/>
  <c r="CH4227" i="1"/>
  <c r="CG4281" i="1" s="1"/>
  <c r="CF4227" i="1"/>
  <c r="CE4227" i="1"/>
  <c r="CE4281" i="1" s="1"/>
  <c r="CC4227" i="1"/>
  <c r="BH4227" i="1"/>
  <c r="BG4281" i="1" s="1"/>
  <c r="BF4227" i="1"/>
  <c r="BE4227" i="1" s="1"/>
  <c r="BE4281" i="1" s="1"/>
  <c r="BC4227" i="1"/>
  <c r="CH4226" i="1"/>
  <c r="CG4226" i="1"/>
  <c r="CE4226" i="1"/>
  <c r="CD4226" i="1"/>
  <c r="BH4226" i="1"/>
  <c r="BG4226" i="1"/>
  <c r="BE4226" i="1"/>
  <c r="BD4226" i="1"/>
  <c r="CH4225" i="1"/>
  <c r="CG4225" i="1"/>
  <c r="CF4225" i="1"/>
  <c r="CE4225" i="1"/>
  <c r="CD4225" i="1"/>
  <c r="CC4225" i="1"/>
  <c r="BH4225" i="1" s="1"/>
  <c r="BG4225" i="1"/>
  <c r="BF4225" i="1"/>
  <c r="BE4225" i="1"/>
  <c r="BT4226" i="1" s="1"/>
  <c r="BD4225" i="1"/>
  <c r="BC4225" i="1"/>
  <c r="BH4224" i="1" s="1"/>
  <c r="BG4224" i="1"/>
  <c r="BE4224" i="1"/>
  <c r="BD4224" i="1"/>
  <c r="CH4223" i="1"/>
  <c r="CG4223" i="1"/>
  <c r="CE4223" i="1"/>
  <c r="CD4223" i="1"/>
  <c r="BH4223" i="1" s="1"/>
  <c r="BG4223" i="1"/>
  <c r="BE4223" i="1"/>
  <c r="BD4223" i="1"/>
  <c r="CH4222" i="1"/>
  <c r="CG4222" i="1"/>
  <c r="CE4222" i="1"/>
  <c r="CD4222" i="1"/>
  <c r="CC4222" i="1"/>
  <c r="BH4222" i="1"/>
  <c r="BG4222" i="1"/>
  <c r="BE4222" i="1"/>
  <c r="BD4222" i="1"/>
  <c r="BC4222" i="1"/>
  <c r="CH4221" i="1"/>
  <c r="CG4221" i="1"/>
  <c r="CE4221" i="1"/>
  <c r="CD4221" i="1"/>
  <c r="BH4221" i="1" s="1"/>
  <c r="BG4221" i="1"/>
  <c r="BE4221" i="1"/>
  <c r="BD4221" i="1"/>
  <c r="CH4220" i="1"/>
  <c r="CG4220" i="1"/>
  <c r="CE4220" i="1"/>
  <c r="CD4220" i="1"/>
  <c r="CC4220" i="1"/>
  <c r="BH4220" i="1"/>
  <c r="BG4220" i="1"/>
  <c r="BE4220" i="1"/>
  <c r="BD4220" i="1"/>
  <c r="BC4220" i="1"/>
  <c r="CH4219" i="1"/>
  <c r="CG4219" i="1"/>
  <c r="CF4219" i="1"/>
  <c r="CE4219" i="1"/>
  <c r="CE4280" i="1" s="1"/>
  <c r="CC4219" i="1"/>
  <c r="CD4281" i="1" s="1"/>
  <c r="CB4219" i="1"/>
  <c r="CC4281" i="1" s="1"/>
  <c r="BH4219" i="1"/>
  <c r="BG4219" i="1"/>
  <c r="BF4219" i="1"/>
  <c r="BE4219" i="1"/>
  <c r="BE4280" i="1" s="1"/>
  <c r="BC4219" i="1"/>
  <c r="BD4281" i="1" s="1"/>
  <c r="BB4219" i="1"/>
  <c r="BC4281" i="1" s="1"/>
  <c r="CD4217" i="1"/>
  <c r="CC4217" i="1"/>
  <c r="BD4217" i="1"/>
  <c r="BC4217" i="1"/>
  <c r="CD4199" i="1"/>
  <c r="CC4199" i="1"/>
  <c r="BD4199" i="1"/>
  <c r="BC4199" i="1"/>
  <c r="CD4197" i="1"/>
  <c r="CC4197" i="1"/>
  <c r="BD4197" i="1"/>
  <c r="BC4197" i="1" s="1"/>
  <c r="CD4196" i="1"/>
  <c r="CC4196" i="1"/>
  <c r="BD4196" i="1"/>
  <c r="BC4196" i="1" s="1"/>
  <c r="CD4193" i="1"/>
  <c r="CC4193" i="1"/>
  <c r="BD4193" i="1"/>
  <c r="BC4193" i="1"/>
  <c r="CD4191" i="1"/>
  <c r="CC4191" i="1"/>
  <c r="BD4191" i="1"/>
  <c r="BC4191" i="1"/>
  <c r="CC4190" i="1"/>
  <c r="BC4190" i="1"/>
  <c r="CE4185" i="1"/>
  <c r="BE4185" i="1"/>
  <c r="CD4184" i="1"/>
  <c r="CC4184" i="1"/>
  <c r="BD4184" i="1"/>
  <c r="BC4184" i="1"/>
  <c r="CD4183" i="1"/>
  <c r="CC4183" i="1"/>
  <c r="BD4183" i="1"/>
  <c r="BC4183" i="1"/>
  <c r="CD4182" i="1"/>
  <c r="CC4182" i="1"/>
  <c r="BD4182" i="1"/>
  <c r="BC4182" i="1"/>
  <c r="CD4181" i="1"/>
  <c r="CC4181" i="1"/>
  <c r="BD4181" i="1"/>
  <c r="BC4181" i="1"/>
  <c r="CD4180" i="1"/>
  <c r="CC4180" i="1"/>
  <c r="BD4180" i="1"/>
  <c r="BC4180" i="1"/>
  <c r="CD4179" i="1"/>
  <c r="CC4179" i="1"/>
  <c r="BD4179" i="1"/>
  <c r="BC4179" i="1"/>
  <c r="CD4178" i="1"/>
  <c r="CC4178" i="1"/>
  <c r="BD4178" i="1"/>
  <c r="BC4178" i="1"/>
  <c r="CG4177" i="1"/>
  <c r="BG4177" i="1"/>
  <c r="CG4176" i="1"/>
  <c r="CF4176" i="1"/>
  <c r="CG4175" i="1"/>
  <c r="CF4175" i="1"/>
  <c r="CD4175" i="1"/>
  <c r="CC4175" i="1"/>
  <c r="BD4175" i="1"/>
  <c r="BC4175" i="1"/>
  <c r="CG4183" i="1"/>
  <c r="CG4300" i="1" s="1"/>
  <c r="CG4182" i="1"/>
  <c r="CG4299" i="1" s="1"/>
  <c r="CG4181" i="1"/>
  <c r="CG4298" i="1" s="1"/>
  <c r="CG4179" i="1"/>
  <c r="CG4296" i="1" s="1"/>
  <c r="CG4178" i="1"/>
  <c r="CG4295" i="1" s="1"/>
  <c r="BH4293" i="1"/>
  <c r="BG4293" i="1"/>
  <c r="BF4293" i="1"/>
  <c r="BH4292" i="1"/>
  <c r="BG4292" i="1"/>
  <c r="BF4292" i="1"/>
  <c r="BG4282" i="1" l="1"/>
  <c r="BH4296" i="1"/>
  <c r="BG4283" i="1"/>
  <c r="BH4297" i="1"/>
  <c r="BD4283" i="1"/>
  <c r="BC4282" i="1"/>
  <c r="BG4178" i="1"/>
  <c r="BG4295" i="1" s="1"/>
  <c r="BG4182" i="1"/>
  <c r="BG4299" i="1" s="1"/>
  <c r="CG4185" i="1"/>
  <c r="CG4302" i="1" s="1"/>
  <c r="BG4179" i="1"/>
  <c r="BG4296" i="1" s="1"/>
  <c r="CT4226" i="1"/>
  <c r="BF4176" i="1"/>
  <c r="BG4180" i="1"/>
  <c r="BG4297" i="1" s="1"/>
  <c r="BG4183" i="1"/>
  <c r="BG4300" i="1" s="1"/>
  <c r="BG4176" i="1"/>
  <c r="BG4175" i="1"/>
  <c r="CG4180" i="1"/>
  <c r="CG4297" i="1" s="1"/>
  <c r="BG4185" i="1"/>
  <c r="BR4253" i="1"/>
  <c r="BR4254" i="1" s="1"/>
  <c r="CG4184" i="1"/>
  <c r="CG4301" i="1" s="1"/>
  <c r="BF4175" i="1"/>
  <c r="BG4181" i="1"/>
  <c r="BG4298" i="1" s="1"/>
  <c r="BG4184" i="1"/>
  <c r="BT4253" i="1" l="1"/>
  <c r="BT4254" i="1" s="1"/>
  <c r="BG4301" i="1"/>
  <c r="X3841" i="1"/>
  <c r="K3640" i="1"/>
  <c r="B3637" i="1"/>
  <c r="AH3578" i="1"/>
  <c r="AX3578" i="1" s="1"/>
  <c r="K3439" i="1"/>
  <c r="B3437" i="1"/>
  <c r="B3408" i="1"/>
  <c r="L3345" i="1"/>
  <c r="L3344" i="1"/>
  <c r="M3343" i="1"/>
  <c r="L3343" i="1"/>
  <c r="L3342" i="1"/>
  <c r="L3341" i="1"/>
  <c r="B3336" i="1"/>
  <c r="AR3578" i="1" l="1"/>
  <c r="AS3578" i="1"/>
  <c r="AN3578" i="1"/>
  <c r="AI3578" i="1" s="1"/>
  <c r="AV3578" i="1"/>
  <c r="AO3578" i="1"/>
  <c r="AW3578" i="1"/>
  <c r="AQ3578" i="1"/>
  <c r="AU3578" i="1"/>
  <c r="W3841" i="1"/>
  <c r="AP3578" i="1"/>
  <c r="AT3578" i="1"/>
  <c r="U1979" i="1" l="1"/>
  <c r="T1979" i="1"/>
  <c r="S1979" i="1"/>
  <c r="U1978" i="1"/>
  <c r="T1978" i="1"/>
  <c r="S1978" i="1"/>
  <c r="U1977" i="1"/>
  <c r="T1977" i="1"/>
  <c r="S1977" i="1"/>
  <c r="U1976" i="1"/>
  <c r="T1976" i="1"/>
  <c r="W1976" i="1" s="1"/>
  <c r="S1976" i="1"/>
  <c r="U1975" i="1"/>
  <c r="T1975" i="1"/>
  <c r="S1975" i="1"/>
  <c r="E1972" i="1"/>
  <c r="B1972" i="1"/>
  <c r="L1970" i="1"/>
  <c r="U1956" i="1"/>
  <c r="T1956" i="1"/>
  <c r="S1956" i="1"/>
  <c r="U1955" i="1"/>
  <c r="T1955" i="1"/>
  <c r="S1955" i="1"/>
  <c r="U1954" i="1"/>
  <c r="T1954" i="1"/>
  <c r="S1954" i="1"/>
  <c r="U1953" i="1"/>
  <c r="T1953" i="1"/>
  <c r="S1953" i="1"/>
  <c r="U1952" i="1"/>
  <c r="T1952" i="1"/>
  <c r="S1952" i="1"/>
  <c r="AF1951" i="1"/>
  <c r="AD1951" i="1"/>
  <c r="AC1951" i="1"/>
  <c r="U1951" i="1"/>
  <c r="T1951" i="1"/>
  <c r="S1951" i="1"/>
  <c r="AF1950" i="1"/>
  <c r="AD1950" i="1"/>
  <c r="AC1950" i="1"/>
  <c r="U1950" i="1"/>
  <c r="T1950" i="1"/>
  <c r="S1950" i="1"/>
  <c r="AF1949" i="1"/>
  <c r="AD1949" i="1"/>
  <c r="AC1949" i="1"/>
  <c r="U1949" i="1"/>
  <c r="T1949" i="1"/>
  <c r="S1949" i="1"/>
  <c r="AF1948" i="1"/>
  <c r="AD1948" i="1"/>
  <c r="AC1948" i="1"/>
  <c r="U1948" i="1"/>
  <c r="T1948" i="1"/>
  <c r="S1948" i="1"/>
  <c r="AF1947" i="1"/>
  <c r="AD1947" i="1"/>
  <c r="AC1947" i="1"/>
  <c r="U1947" i="1"/>
  <c r="T1947" i="1"/>
  <c r="S1947" i="1"/>
  <c r="U1941" i="1"/>
  <c r="X1941" i="1" s="1"/>
  <c r="T1941" i="1"/>
  <c r="S1941" i="1"/>
  <c r="L1939" i="1"/>
  <c r="B1936" i="1"/>
  <c r="U1879" i="1"/>
  <c r="T1879" i="1"/>
  <c r="W1879" i="1" s="1"/>
  <c r="S1879" i="1"/>
  <c r="U1878" i="1"/>
  <c r="T1878" i="1"/>
  <c r="W1878" i="1" s="1"/>
  <c r="S1878" i="1"/>
  <c r="U1877" i="1"/>
  <c r="X1877" i="1" s="1"/>
  <c r="T1877" i="1"/>
  <c r="S1877" i="1"/>
  <c r="U1876" i="1"/>
  <c r="T1876" i="1"/>
  <c r="S1876" i="1"/>
  <c r="U1875" i="1"/>
  <c r="T1875" i="1"/>
  <c r="W1875" i="1" s="1"/>
  <c r="S1875" i="1"/>
  <c r="E1872" i="1"/>
  <c r="B1872" i="1"/>
  <c r="L1870" i="1"/>
  <c r="U1856" i="1"/>
  <c r="X1856" i="1" s="1"/>
  <c r="T1856" i="1"/>
  <c r="S1856" i="1"/>
  <c r="U1855" i="1"/>
  <c r="X1855" i="1" s="1"/>
  <c r="T1855" i="1"/>
  <c r="S1855" i="1"/>
  <c r="U1854" i="1"/>
  <c r="X1854" i="1" s="1"/>
  <c r="T1854" i="1"/>
  <c r="S1854" i="1"/>
  <c r="U1853" i="1"/>
  <c r="X1853" i="1" s="1"/>
  <c r="T1853" i="1"/>
  <c r="S1853" i="1"/>
  <c r="U1852" i="1"/>
  <c r="T1852" i="1"/>
  <c r="S1852" i="1"/>
  <c r="AF1851" i="1"/>
  <c r="AD1851" i="1"/>
  <c r="AC1851" i="1"/>
  <c r="U1851" i="1"/>
  <c r="T1851" i="1"/>
  <c r="W1851" i="1" s="1"/>
  <c r="S1851" i="1"/>
  <c r="AF1850" i="1"/>
  <c r="AD1850" i="1"/>
  <c r="AC1850" i="1"/>
  <c r="U1850" i="1"/>
  <c r="X1850" i="1" s="1"/>
  <c r="T1850" i="1"/>
  <c r="S1850" i="1"/>
  <c r="AF1849" i="1"/>
  <c r="AD1849" i="1"/>
  <c r="AC1849" i="1"/>
  <c r="U1849" i="1"/>
  <c r="X1849" i="1" s="1"/>
  <c r="T1849" i="1"/>
  <c r="S1849" i="1"/>
  <c r="AF1848" i="1"/>
  <c r="AD1848" i="1"/>
  <c r="AC1848" i="1"/>
  <c r="U1848" i="1"/>
  <c r="T1848" i="1"/>
  <c r="W1848" i="1" s="1"/>
  <c r="S1848" i="1"/>
  <c r="AF1847" i="1"/>
  <c r="AD1847" i="1"/>
  <c r="AC1847" i="1"/>
  <c r="U1847" i="1"/>
  <c r="T1847" i="1"/>
  <c r="S1847" i="1"/>
  <c r="U1841" i="1"/>
  <c r="T1841" i="1"/>
  <c r="S1841" i="1"/>
  <c r="L1839" i="1"/>
  <c r="B1836" i="1"/>
  <c r="U1779" i="1"/>
  <c r="T1779" i="1"/>
  <c r="S1779" i="1"/>
  <c r="U1778" i="1"/>
  <c r="T1778" i="1"/>
  <c r="S1778" i="1"/>
  <c r="U1777" i="1"/>
  <c r="T1777" i="1"/>
  <c r="S1777" i="1"/>
  <c r="U1776" i="1"/>
  <c r="X1776" i="1" s="1"/>
  <c r="T1776" i="1"/>
  <c r="S1776" i="1"/>
  <c r="U1775" i="1"/>
  <c r="T1775" i="1"/>
  <c r="S1775" i="1"/>
  <c r="E1772" i="1"/>
  <c r="B1772" i="1"/>
  <c r="L1770" i="1"/>
  <c r="U1756" i="1"/>
  <c r="T1756" i="1"/>
  <c r="W1756" i="1" s="1"/>
  <c r="S1756" i="1"/>
  <c r="U1755" i="1"/>
  <c r="T1755" i="1"/>
  <c r="S1755" i="1"/>
  <c r="U1754" i="1"/>
  <c r="T1754" i="1"/>
  <c r="S1754" i="1"/>
  <c r="U1753" i="1"/>
  <c r="T1753" i="1"/>
  <c r="S1753" i="1"/>
  <c r="U1752" i="1"/>
  <c r="T1752" i="1"/>
  <c r="S1752" i="1"/>
  <c r="AF1751" i="1"/>
  <c r="AD1751" i="1"/>
  <c r="AC1751" i="1"/>
  <c r="U1751" i="1"/>
  <c r="T1751" i="1"/>
  <c r="S1751" i="1"/>
  <c r="AF1750" i="1"/>
  <c r="AD1750" i="1"/>
  <c r="AC1750" i="1"/>
  <c r="U1750" i="1"/>
  <c r="T1750" i="1"/>
  <c r="S1750" i="1"/>
  <c r="AF1749" i="1"/>
  <c r="AD1749" i="1"/>
  <c r="AC1749" i="1"/>
  <c r="U1749" i="1"/>
  <c r="T1749" i="1"/>
  <c r="S1749" i="1"/>
  <c r="AF1748" i="1"/>
  <c r="AD1748" i="1"/>
  <c r="AC1748" i="1"/>
  <c r="U1748" i="1"/>
  <c r="T1748" i="1"/>
  <c r="S1748" i="1"/>
  <c r="AF1747" i="1"/>
  <c r="AG1747" i="1" s="1"/>
  <c r="AD1747" i="1"/>
  <c r="AC1747" i="1"/>
  <c r="U1747" i="1"/>
  <c r="T1747" i="1"/>
  <c r="S1747" i="1"/>
  <c r="U1741" i="1"/>
  <c r="X1741" i="1" s="1"/>
  <c r="T1741" i="1"/>
  <c r="S1741" i="1"/>
  <c r="L1739" i="1"/>
  <c r="B1736" i="1"/>
  <c r="U1679" i="1"/>
  <c r="T1679" i="1"/>
  <c r="W1679" i="1" s="1"/>
  <c r="S1679" i="1"/>
  <c r="U1678" i="1"/>
  <c r="X1678" i="1" s="1"/>
  <c r="T1678" i="1"/>
  <c r="S1678" i="1"/>
  <c r="U1677" i="1"/>
  <c r="X1677" i="1" s="1"/>
  <c r="T1677" i="1"/>
  <c r="S1677" i="1"/>
  <c r="U1676" i="1"/>
  <c r="T1676" i="1"/>
  <c r="S1676" i="1"/>
  <c r="U1675" i="1"/>
  <c r="T1675" i="1"/>
  <c r="W1675" i="1" s="1"/>
  <c r="S1675" i="1"/>
  <c r="E1672" i="1"/>
  <c r="B1672" i="1"/>
  <c r="L1670" i="1"/>
  <c r="U1656" i="1"/>
  <c r="T1656" i="1"/>
  <c r="S1656" i="1"/>
  <c r="U1655" i="1"/>
  <c r="T1655" i="1"/>
  <c r="S1655" i="1"/>
  <c r="U1654" i="1"/>
  <c r="T1654" i="1"/>
  <c r="S1654" i="1"/>
  <c r="U1653" i="1"/>
  <c r="T1653" i="1"/>
  <c r="S1653" i="1"/>
  <c r="U1652" i="1"/>
  <c r="T1652" i="1"/>
  <c r="S1652" i="1"/>
  <c r="AF1651" i="1"/>
  <c r="AD1651" i="1"/>
  <c r="AC1651" i="1"/>
  <c r="U1651" i="1"/>
  <c r="X1651" i="1" s="1"/>
  <c r="T1651" i="1"/>
  <c r="S1651" i="1"/>
  <c r="AF1650" i="1"/>
  <c r="AD1650" i="1"/>
  <c r="AC1650" i="1"/>
  <c r="U1650" i="1"/>
  <c r="X1650" i="1" s="1"/>
  <c r="T1650" i="1"/>
  <c r="S1650" i="1"/>
  <c r="AF1649" i="1"/>
  <c r="AD1649" i="1"/>
  <c r="AC1649" i="1"/>
  <c r="U1649" i="1"/>
  <c r="T1649" i="1"/>
  <c r="W1649" i="1" s="1"/>
  <c r="S1649" i="1"/>
  <c r="AF1648" i="1"/>
  <c r="AD1648" i="1"/>
  <c r="AC1648" i="1"/>
  <c r="U1648" i="1"/>
  <c r="T1648" i="1"/>
  <c r="W1648" i="1" s="1"/>
  <c r="S1648" i="1"/>
  <c r="AF1647" i="1"/>
  <c r="AG1647" i="1" s="1"/>
  <c r="AD1647" i="1"/>
  <c r="AC1647" i="1"/>
  <c r="U1647" i="1"/>
  <c r="X1647" i="1" s="1"/>
  <c r="T1647" i="1"/>
  <c r="S1647" i="1"/>
  <c r="U1641" i="1"/>
  <c r="T1641" i="1"/>
  <c r="S1641" i="1"/>
  <c r="L1639" i="1"/>
  <c r="B1636" i="1"/>
  <c r="U1579" i="1"/>
  <c r="T1579" i="1"/>
  <c r="S1579" i="1"/>
  <c r="U1578" i="1"/>
  <c r="T1578" i="1"/>
  <c r="S1578" i="1"/>
  <c r="U1577" i="1"/>
  <c r="T1577" i="1"/>
  <c r="S1577" i="1"/>
  <c r="U1576" i="1"/>
  <c r="T1576" i="1"/>
  <c r="S1576" i="1"/>
  <c r="U1575" i="1"/>
  <c r="T1575" i="1"/>
  <c r="S1575" i="1"/>
  <c r="E1572" i="1"/>
  <c r="B1572" i="1"/>
  <c r="L1570" i="1"/>
  <c r="U1556" i="1"/>
  <c r="X1556" i="1" s="1"/>
  <c r="T1556" i="1"/>
  <c r="S1556" i="1"/>
  <c r="U1555" i="1"/>
  <c r="T1555" i="1"/>
  <c r="S1555" i="1"/>
  <c r="U1554" i="1"/>
  <c r="T1554" i="1"/>
  <c r="S1554" i="1"/>
  <c r="U1553" i="1"/>
  <c r="T1553" i="1"/>
  <c r="S1553" i="1"/>
  <c r="U1552" i="1"/>
  <c r="T1552" i="1"/>
  <c r="S1552" i="1"/>
  <c r="AF1551" i="1"/>
  <c r="AE1649" i="1" l="1"/>
  <c r="W1650" i="1"/>
  <c r="AE1747" i="1"/>
  <c r="W1856" i="1"/>
  <c r="W1556" i="1"/>
  <c r="W1854" i="1"/>
  <c r="AE1751" i="1"/>
  <c r="W1849" i="1"/>
  <c r="W1850" i="1"/>
  <c r="W1647" i="1"/>
  <c r="W1877" i="1"/>
  <c r="W1651" i="1"/>
  <c r="W1677" i="1"/>
  <c r="AE1850" i="1"/>
  <c r="W1855" i="1"/>
  <c r="AE1650" i="1"/>
  <c r="W1853" i="1"/>
  <c r="W1678" i="1"/>
  <c r="AE1849" i="1"/>
  <c r="AE1949" i="1"/>
  <c r="W1741" i="1"/>
  <c r="W1776" i="1"/>
  <c r="W1941" i="1"/>
  <c r="AE1647" i="1"/>
  <c r="AE1651" i="1"/>
  <c r="AE1750" i="1"/>
  <c r="AE1948" i="1"/>
  <c r="AG1951" i="1"/>
  <c r="AE1749" i="1"/>
  <c r="AG1651" i="1"/>
  <c r="V1776" i="1"/>
  <c r="AE1847" i="1"/>
  <c r="AE1947" i="1"/>
  <c r="AE1748" i="1"/>
  <c r="AE1848" i="1"/>
  <c r="V1849" i="1"/>
  <c r="V1850" i="1"/>
  <c r="V1851" i="1"/>
  <c r="AG1851" i="1"/>
  <c r="V1877" i="1"/>
  <c r="V1878" i="1"/>
  <c r="V1879" i="1"/>
  <c r="AE1950" i="1"/>
  <c r="V1756" i="1"/>
  <c r="AE1851" i="1"/>
  <c r="AG1947" i="1"/>
  <c r="AG1551" i="1"/>
  <c r="AE1951" i="1"/>
  <c r="V1675" i="1"/>
  <c r="V1853" i="1"/>
  <c r="V1854" i="1"/>
  <c r="V1855" i="1"/>
  <c r="V1856" i="1"/>
  <c r="Y1856" i="1" s="1"/>
  <c r="Z1856" i="1" s="1"/>
  <c r="V1875" i="1"/>
  <c r="V1648" i="1"/>
  <c r="V1677" i="1"/>
  <c r="V1678" i="1"/>
  <c r="V1679" i="1"/>
  <c r="V1556" i="1"/>
  <c r="V1647" i="1"/>
  <c r="AE1648" i="1"/>
  <c r="V1649" i="1"/>
  <c r="V1650" i="1"/>
  <c r="V1651" i="1"/>
  <c r="V1741" i="1"/>
  <c r="AG1751" i="1"/>
  <c r="AG1847" i="1"/>
  <c r="V1848" i="1"/>
  <c r="V1941" i="1"/>
  <c r="V1976" i="1"/>
  <c r="AD1551" i="1"/>
  <c r="AC1551" i="1"/>
  <c r="U1551" i="1"/>
  <c r="T1551" i="1"/>
  <c r="S1551" i="1"/>
  <c r="AF1550" i="1"/>
  <c r="AD1550" i="1"/>
  <c r="AC1550" i="1"/>
  <c r="U1550" i="1"/>
  <c r="T1550" i="1"/>
  <c r="S1550" i="1"/>
  <c r="AF1549" i="1"/>
  <c r="AD1549" i="1"/>
  <c r="AC1549" i="1"/>
  <c r="U1549" i="1"/>
  <c r="T1549" i="1"/>
  <c r="S1549" i="1"/>
  <c r="AF1548" i="1"/>
  <c r="AD1548" i="1"/>
  <c r="AC1548" i="1"/>
  <c r="U1548" i="1"/>
  <c r="T1548" i="1"/>
  <c r="S1548" i="1"/>
  <c r="AF1547" i="1"/>
  <c r="AD1547" i="1"/>
  <c r="AC1547" i="1"/>
  <c r="U1547" i="1"/>
  <c r="T1547" i="1"/>
  <c r="S1547" i="1"/>
  <c r="U1541" i="1"/>
  <c r="T1541" i="1"/>
  <c r="W1541" i="1" s="1"/>
  <c r="S1541" i="1"/>
  <c r="L1539" i="1"/>
  <c r="B1536" i="1"/>
  <c r="U1479" i="1"/>
  <c r="X1479" i="1" s="1"/>
  <c r="T1479" i="1"/>
  <c r="S1479" i="1"/>
  <c r="U1478" i="1"/>
  <c r="T1478" i="1"/>
  <c r="S1478" i="1"/>
  <c r="U1477" i="1"/>
  <c r="T1477" i="1"/>
  <c r="W1477" i="1" s="1"/>
  <c r="S1477" i="1"/>
  <c r="U1476" i="1"/>
  <c r="T1476" i="1"/>
  <c r="S1476" i="1"/>
  <c r="U1475" i="1"/>
  <c r="X1475" i="1" s="1"/>
  <c r="T1475" i="1"/>
  <c r="S1475" i="1"/>
  <c r="E1472" i="1"/>
  <c r="B1472" i="1"/>
  <c r="L1470" i="1"/>
  <c r="U1456" i="1"/>
  <c r="T1456" i="1"/>
  <c r="W1456" i="1" s="1"/>
  <c r="S1456" i="1"/>
  <c r="U1455" i="1"/>
  <c r="T1455" i="1"/>
  <c r="W1455" i="1" s="1"/>
  <c r="S1455" i="1"/>
  <c r="U1454" i="1"/>
  <c r="T1454" i="1"/>
  <c r="W1454" i="1" s="1"/>
  <c r="S1454" i="1"/>
  <c r="U1453" i="1"/>
  <c r="T1453" i="1"/>
  <c r="S1453" i="1"/>
  <c r="U1452" i="1"/>
  <c r="T1452" i="1"/>
  <c r="S1452" i="1"/>
  <c r="AF1451" i="1"/>
  <c r="AD1451" i="1"/>
  <c r="AC1451" i="1"/>
  <c r="U1451" i="1"/>
  <c r="T1451" i="1"/>
  <c r="W1451" i="1" s="1"/>
  <c r="S1451" i="1"/>
  <c r="AF1450" i="1"/>
  <c r="AD1450" i="1"/>
  <c r="AC1450" i="1"/>
  <c r="U1450" i="1"/>
  <c r="T1450" i="1"/>
  <c r="W1450" i="1" s="1"/>
  <c r="S1450" i="1"/>
  <c r="AF1449" i="1"/>
  <c r="AD1449" i="1"/>
  <c r="AC1449" i="1"/>
  <c r="U1449" i="1"/>
  <c r="X1449" i="1" s="1"/>
  <c r="T1449" i="1"/>
  <c r="S1449" i="1"/>
  <c r="AF1448" i="1"/>
  <c r="AD1448" i="1"/>
  <c r="AC1448" i="1"/>
  <c r="U1448" i="1"/>
  <c r="X1448" i="1" s="1"/>
  <c r="T1448" i="1"/>
  <c r="S1448" i="1"/>
  <c r="AF1447" i="1"/>
  <c r="AG1447" i="1" s="1"/>
  <c r="AD1447" i="1"/>
  <c r="AC1447" i="1"/>
  <c r="U1447" i="1"/>
  <c r="T1447" i="1"/>
  <c r="W1447" i="1" s="1"/>
  <c r="S1447" i="1"/>
  <c r="U1441" i="1"/>
  <c r="T1441" i="1"/>
  <c r="S1441" i="1"/>
  <c r="V1441" i="1" s="1"/>
  <c r="L1439" i="1"/>
  <c r="B1436" i="1"/>
  <c r="U1379" i="1"/>
  <c r="T1379" i="1"/>
  <c r="S1379" i="1"/>
  <c r="U1378" i="1"/>
  <c r="T1378" i="1"/>
  <c r="S1378" i="1"/>
  <c r="U1377" i="1"/>
  <c r="T1377" i="1"/>
  <c r="S1377" i="1"/>
  <c r="U1376" i="1"/>
  <c r="X1376" i="1" s="1"/>
  <c r="T1376" i="1"/>
  <c r="S1376" i="1"/>
  <c r="U1375" i="1"/>
  <c r="T1375" i="1"/>
  <c r="S1375" i="1"/>
  <c r="E1372" i="1"/>
  <c r="B1372" i="1"/>
  <c r="L1370" i="1"/>
  <c r="U1356" i="1"/>
  <c r="T1356" i="1"/>
  <c r="S1356" i="1"/>
  <c r="U1355" i="1"/>
  <c r="X1355" i="1" s="1"/>
  <c r="T1355" i="1"/>
  <c r="S1355" i="1"/>
  <c r="U1354" i="1"/>
  <c r="T1354" i="1"/>
  <c r="S1354" i="1"/>
  <c r="U1353" i="1"/>
  <c r="T1353" i="1"/>
  <c r="W1353" i="1" s="1"/>
  <c r="S1353" i="1"/>
  <c r="U1352" i="1"/>
  <c r="T1352" i="1"/>
  <c r="S1352" i="1"/>
  <c r="AF1351" i="1"/>
  <c r="AD1351" i="1"/>
  <c r="AC1351" i="1"/>
  <c r="U1351" i="1"/>
  <c r="T1351" i="1"/>
  <c r="S1351" i="1"/>
  <c r="AF1350" i="1"/>
  <c r="AD1350" i="1"/>
  <c r="AC1350" i="1"/>
  <c r="U1350" i="1"/>
  <c r="T1350" i="1"/>
  <c r="S1350" i="1"/>
  <c r="AF1349" i="1"/>
  <c r="AD1349" i="1"/>
  <c r="AC1349" i="1"/>
  <c r="U1349" i="1"/>
  <c r="T1349" i="1"/>
  <c r="S1349" i="1"/>
  <c r="AF1348" i="1"/>
  <c r="AD1348" i="1"/>
  <c r="AC1348" i="1"/>
  <c r="U1348" i="1"/>
  <c r="T1348" i="1"/>
  <c r="S1348" i="1"/>
  <c r="AF1347" i="1"/>
  <c r="AG1347" i="1" s="1"/>
  <c r="AD1347" i="1"/>
  <c r="AC1347" i="1"/>
  <c r="U1347" i="1"/>
  <c r="T1347" i="1"/>
  <c r="S1347" i="1"/>
  <c r="U1341" i="1"/>
  <c r="T1341" i="1"/>
  <c r="S1341" i="1"/>
  <c r="L1339" i="1"/>
  <c r="B1336" i="1"/>
  <c r="U1279" i="1"/>
  <c r="T1279" i="1"/>
  <c r="S1279" i="1"/>
  <c r="U1278" i="1"/>
  <c r="T1278" i="1"/>
  <c r="S1278" i="1"/>
  <c r="U1277" i="1"/>
  <c r="T1277" i="1"/>
  <c r="S1277" i="1"/>
  <c r="U1276" i="1"/>
  <c r="X1276" i="1" s="1"/>
  <c r="T1276" i="1"/>
  <c r="S1276" i="1"/>
  <c r="U1275" i="1"/>
  <c r="T1275" i="1"/>
  <c r="S1275" i="1"/>
  <c r="E1272" i="1"/>
  <c r="B1272" i="1"/>
  <c r="L1270" i="1"/>
  <c r="U1256" i="1"/>
  <c r="T1256" i="1"/>
  <c r="S1256" i="1"/>
  <c r="U1255" i="1"/>
  <c r="T1255" i="1"/>
  <c r="S1255" i="1"/>
  <c r="U1254" i="1"/>
  <c r="T1254" i="1"/>
  <c r="S1254" i="1"/>
  <c r="U1253" i="1"/>
  <c r="T1253" i="1"/>
  <c r="S1253" i="1"/>
  <c r="U1252" i="1"/>
  <c r="T1252" i="1"/>
  <c r="S1252" i="1"/>
  <c r="AF1251" i="1"/>
  <c r="AD1251" i="1"/>
  <c r="AC1251" i="1"/>
  <c r="U1251" i="1"/>
  <c r="T1251" i="1"/>
  <c r="S1251" i="1"/>
  <c r="AF1250" i="1"/>
  <c r="AD1250" i="1"/>
  <c r="AC1250" i="1"/>
  <c r="U1250" i="1"/>
  <c r="T1250" i="1"/>
  <c r="S1250" i="1"/>
  <c r="AF1249" i="1"/>
  <c r="AD1249" i="1"/>
  <c r="AC1249" i="1"/>
  <c r="U1249" i="1"/>
  <c r="T1249" i="1"/>
  <c r="S1249" i="1"/>
  <c r="AF1248" i="1"/>
  <c r="AD1248" i="1"/>
  <c r="AC1248" i="1"/>
  <c r="U1248" i="1"/>
  <c r="T1248" i="1"/>
  <c r="S1248" i="1"/>
  <c r="AF1247" i="1"/>
  <c r="AG1247" i="1" s="1"/>
  <c r="AD1247" i="1"/>
  <c r="AC1247" i="1"/>
  <c r="U1247" i="1"/>
  <c r="T1247" i="1"/>
  <c r="S1247" i="1"/>
  <c r="U1241" i="1"/>
  <c r="T1241" i="1"/>
  <c r="S1241" i="1"/>
  <c r="L1239" i="1"/>
  <c r="B1236" i="1"/>
  <c r="U1179" i="1"/>
  <c r="T1179" i="1"/>
  <c r="S1179" i="1"/>
  <c r="U1178" i="1"/>
  <c r="T1178" i="1"/>
  <c r="W1178" i="1" s="1"/>
  <c r="S1178" i="1"/>
  <c r="U1177" i="1"/>
  <c r="T1177" i="1"/>
  <c r="S1177" i="1"/>
  <c r="U1176" i="1"/>
  <c r="T1176" i="1"/>
  <c r="S1176" i="1"/>
  <c r="U1175" i="1"/>
  <c r="T1175" i="1"/>
  <c r="S1175" i="1"/>
  <c r="E1172" i="1"/>
  <c r="B1172" i="1"/>
  <c r="L1170" i="1"/>
  <c r="U1156" i="1"/>
  <c r="T1156" i="1"/>
  <c r="S1156" i="1"/>
  <c r="U1155" i="1"/>
  <c r="T1155" i="1"/>
  <c r="S1155" i="1"/>
  <c r="U1154" i="1"/>
  <c r="T1154" i="1"/>
  <c r="S1154" i="1"/>
  <c r="U1153" i="1"/>
  <c r="T1153" i="1"/>
  <c r="S1153" i="1"/>
  <c r="U1152" i="1"/>
  <c r="T1152" i="1"/>
  <c r="S1152" i="1"/>
  <c r="AF1151" i="1"/>
  <c r="AD1151" i="1"/>
  <c r="AC1151" i="1"/>
  <c r="U1151" i="1"/>
  <c r="T1151" i="1"/>
  <c r="W1151" i="1" s="1"/>
  <c r="S1151" i="1"/>
  <c r="AF1150" i="1"/>
  <c r="AD1150" i="1"/>
  <c r="AC1150" i="1"/>
  <c r="U1150" i="1"/>
  <c r="T1150" i="1"/>
  <c r="S1150" i="1"/>
  <c r="AF1149" i="1"/>
  <c r="AD1149" i="1"/>
  <c r="AC1149" i="1"/>
  <c r="U1149" i="1"/>
  <c r="X1149" i="1" s="1"/>
  <c r="T1149" i="1"/>
  <c r="S1149" i="1"/>
  <c r="AF1148" i="1"/>
  <c r="AD1148" i="1"/>
  <c r="AC1148" i="1"/>
  <c r="U1148" i="1"/>
  <c r="T1148" i="1"/>
  <c r="S1148" i="1"/>
  <c r="AF1147" i="1"/>
  <c r="AG1147" i="1" s="1"/>
  <c r="AD1147" i="1"/>
  <c r="AC1147" i="1"/>
  <c r="U1147" i="1"/>
  <c r="T1147" i="1"/>
  <c r="W1147" i="1" s="1"/>
  <c r="S1147" i="1"/>
  <c r="U1141" i="1"/>
  <c r="T1141" i="1"/>
  <c r="S1141" i="1"/>
  <c r="L1139" i="1"/>
  <c r="B1136" i="1"/>
  <c r="U1079" i="1"/>
  <c r="T1079" i="1"/>
  <c r="S1079" i="1"/>
  <c r="U1078" i="1"/>
  <c r="T1078" i="1"/>
  <c r="S1078" i="1"/>
  <c r="U1077" i="1"/>
  <c r="T1077" i="1"/>
  <c r="S1077" i="1"/>
  <c r="U1076" i="1"/>
  <c r="T1076" i="1"/>
  <c r="W1076" i="1" s="1"/>
  <c r="S1076" i="1"/>
  <c r="U1075" i="1"/>
  <c r="T1075" i="1"/>
  <c r="S1075" i="1"/>
  <c r="E1072" i="1"/>
  <c r="B1072" i="1"/>
  <c r="L1070" i="1"/>
  <c r="U1056" i="1"/>
  <c r="T1056" i="1"/>
  <c r="S1056" i="1"/>
  <c r="U1055" i="1"/>
  <c r="T1055" i="1"/>
  <c r="S1055" i="1"/>
  <c r="U1054" i="1"/>
  <c r="T1054" i="1"/>
  <c r="S1054" i="1"/>
  <c r="U1053" i="1"/>
  <c r="T1053" i="1"/>
  <c r="S1053" i="1"/>
  <c r="U1052" i="1"/>
  <c r="T1052" i="1"/>
  <c r="S1052" i="1"/>
  <c r="AF1051" i="1"/>
  <c r="AD1051" i="1"/>
  <c r="AC1051" i="1"/>
  <c r="U1051" i="1"/>
  <c r="T1051" i="1"/>
  <c r="S1051" i="1"/>
  <c r="AF1050" i="1"/>
  <c r="AD1050" i="1"/>
  <c r="AC1050" i="1"/>
  <c r="U1050" i="1"/>
  <c r="T1050" i="1"/>
  <c r="S1050" i="1"/>
  <c r="AF1049" i="1"/>
  <c r="AD1049" i="1"/>
  <c r="AC1049" i="1"/>
  <c r="U1049" i="1"/>
  <c r="T1049" i="1"/>
  <c r="S1049" i="1"/>
  <c r="AF1048" i="1"/>
  <c r="AD1048" i="1"/>
  <c r="AC1048" i="1"/>
  <c r="U1048" i="1"/>
  <c r="T1048" i="1"/>
  <c r="S1048" i="1"/>
  <c r="AF1047" i="1"/>
  <c r="AG1047" i="1" s="1"/>
  <c r="AD1047" i="1"/>
  <c r="AC1047" i="1"/>
  <c r="U1047" i="1"/>
  <c r="T1047" i="1"/>
  <c r="S1047" i="1"/>
  <c r="U1041" i="1"/>
  <c r="X1041" i="1" s="1"/>
  <c r="T1041" i="1"/>
  <c r="S1041" i="1"/>
  <c r="L1039" i="1"/>
  <c r="B1036" i="1"/>
  <c r="U979" i="1"/>
  <c r="T979" i="1"/>
  <c r="S979" i="1"/>
  <c r="U978" i="1"/>
  <c r="T978" i="1"/>
  <c r="S978" i="1"/>
  <c r="U977" i="1"/>
  <c r="T977" i="1"/>
  <c r="S977" i="1"/>
  <c r="U976" i="1"/>
  <c r="X976" i="1" s="1"/>
  <c r="T976" i="1"/>
  <c r="S976" i="1"/>
  <c r="U975" i="1"/>
  <c r="T975" i="1"/>
  <c r="S975" i="1"/>
  <c r="E972" i="1"/>
  <c r="B972" i="1"/>
  <c r="L970" i="1"/>
  <c r="U956" i="1"/>
  <c r="T956" i="1"/>
  <c r="S956" i="1"/>
  <c r="U955" i="1"/>
  <c r="T955" i="1"/>
  <c r="S955" i="1"/>
  <c r="U954" i="1"/>
  <c r="T954" i="1"/>
  <c r="S954" i="1"/>
  <c r="U953" i="1"/>
  <c r="T953" i="1"/>
  <c r="S953" i="1"/>
  <c r="U952" i="1"/>
  <c r="T952" i="1"/>
  <c r="S952" i="1"/>
  <c r="AF951" i="1"/>
  <c r="AD951" i="1"/>
  <c r="AC951" i="1"/>
  <c r="U951" i="1"/>
  <c r="T951" i="1"/>
  <c r="S951" i="1"/>
  <c r="AF950" i="1"/>
  <c r="AD950" i="1"/>
  <c r="AC950" i="1"/>
  <c r="U950" i="1"/>
  <c r="T950" i="1"/>
  <c r="S950" i="1"/>
  <c r="AF949" i="1"/>
  <c r="AD949" i="1"/>
  <c r="AC949" i="1"/>
  <c r="U949" i="1"/>
  <c r="T949" i="1"/>
  <c r="S949" i="1"/>
  <c r="AF948" i="1"/>
  <c r="AD948" i="1"/>
  <c r="AC948" i="1"/>
  <c r="U948" i="1"/>
  <c r="T948" i="1"/>
  <c r="S948" i="1"/>
  <c r="AF947" i="1"/>
  <c r="AG947" i="1" s="1"/>
  <c r="AD947" i="1"/>
  <c r="AC947" i="1"/>
  <c r="U947" i="1"/>
  <c r="T947" i="1"/>
  <c r="S947" i="1"/>
  <c r="U941" i="1"/>
  <c r="X941" i="1" s="1"/>
  <c r="T941" i="1"/>
  <c r="S941" i="1"/>
  <c r="L939" i="1"/>
  <c r="B936" i="1"/>
  <c r="U879" i="1"/>
  <c r="T879" i="1"/>
  <c r="S879" i="1"/>
  <c r="U878" i="1"/>
  <c r="T878" i="1"/>
  <c r="S878" i="1"/>
  <c r="U877" i="1"/>
  <c r="T877" i="1"/>
  <c r="S877" i="1"/>
  <c r="U876" i="1"/>
  <c r="X876" i="1" s="1"/>
  <c r="T876" i="1"/>
  <c r="S876" i="1"/>
  <c r="U875" i="1"/>
  <c r="T875" i="1"/>
  <c r="S875" i="1"/>
  <c r="E872" i="1"/>
  <c r="B872" i="1"/>
  <c r="L870" i="1"/>
  <c r="U856" i="1"/>
  <c r="T856" i="1"/>
  <c r="S856" i="1"/>
  <c r="U855" i="1"/>
  <c r="T855" i="1"/>
  <c r="S855" i="1"/>
  <c r="U854" i="1"/>
  <c r="T854" i="1"/>
  <c r="S854" i="1"/>
  <c r="U853" i="1"/>
  <c r="T853" i="1"/>
  <c r="S853" i="1"/>
  <c r="U852" i="1"/>
  <c r="T852" i="1"/>
  <c r="S852" i="1"/>
  <c r="AF851" i="1"/>
  <c r="AD851" i="1"/>
  <c r="AC851" i="1"/>
  <c r="U851" i="1"/>
  <c r="T851" i="1"/>
  <c r="S851" i="1"/>
  <c r="AF850" i="1"/>
  <c r="AD850" i="1"/>
  <c r="AC850" i="1"/>
  <c r="U850" i="1"/>
  <c r="T850" i="1"/>
  <c r="S850" i="1"/>
  <c r="AF849" i="1"/>
  <c r="AD849" i="1"/>
  <c r="AC849" i="1"/>
  <c r="U849" i="1"/>
  <c r="T849" i="1"/>
  <c r="S849" i="1"/>
  <c r="AF848" i="1"/>
  <c r="AD848" i="1"/>
  <c r="AC848" i="1"/>
  <c r="U848" i="1"/>
  <c r="T848" i="1"/>
  <c r="S848" i="1"/>
  <c r="AF847" i="1"/>
  <c r="AG847" i="1" s="1"/>
  <c r="AD847" i="1"/>
  <c r="AC847" i="1"/>
  <c r="U847" i="1"/>
  <c r="T847" i="1"/>
  <c r="S847" i="1"/>
  <c r="U841" i="1"/>
  <c r="T841" i="1"/>
  <c r="W841" i="1" s="1"/>
  <c r="S841" i="1"/>
  <c r="L839" i="1"/>
  <c r="B836" i="1"/>
  <c r="U779" i="1"/>
  <c r="T779" i="1"/>
  <c r="S779" i="1"/>
  <c r="U778" i="1"/>
  <c r="T778" i="1"/>
  <c r="S778" i="1"/>
  <c r="U777" i="1"/>
  <c r="T777" i="1"/>
  <c r="S777" i="1"/>
  <c r="U776" i="1"/>
  <c r="T776" i="1"/>
  <c r="W776" i="1" s="1"/>
  <c r="S776" i="1"/>
  <c r="U775" i="1"/>
  <c r="T775" i="1"/>
  <c r="S775" i="1"/>
  <c r="E772" i="1"/>
  <c r="B772" i="1"/>
  <c r="L770" i="1"/>
  <c r="U756" i="1"/>
  <c r="T756" i="1"/>
  <c r="S756" i="1"/>
  <c r="U755" i="1"/>
  <c r="T755" i="1"/>
  <c r="S755" i="1"/>
  <c r="U754" i="1"/>
  <c r="X754" i="1" s="1"/>
  <c r="T754" i="1"/>
  <c r="S754" i="1"/>
  <c r="U753" i="1"/>
  <c r="X753" i="1" s="1"/>
  <c r="T753" i="1"/>
  <c r="S753" i="1"/>
  <c r="U752" i="1"/>
  <c r="X752" i="1" s="1"/>
  <c r="T752" i="1"/>
  <c r="S752" i="1"/>
  <c r="AF751" i="1"/>
  <c r="AD751" i="1"/>
  <c r="AC751" i="1"/>
  <c r="U751" i="1"/>
  <c r="T751" i="1"/>
  <c r="W751" i="1" s="1"/>
  <c r="S751" i="1"/>
  <c r="AF750" i="1"/>
  <c r="AD750" i="1"/>
  <c r="AC750" i="1"/>
  <c r="U750" i="1"/>
  <c r="T750" i="1"/>
  <c r="S750" i="1"/>
  <c r="AF749" i="1"/>
  <c r="AD749" i="1"/>
  <c r="AC749" i="1"/>
  <c r="U749" i="1"/>
  <c r="X749" i="1" s="1"/>
  <c r="T749" i="1"/>
  <c r="S749" i="1"/>
  <c r="AF748" i="1"/>
  <c r="AD748" i="1"/>
  <c r="AC748" i="1"/>
  <c r="U748" i="1"/>
  <c r="T748" i="1"/>
  <c r="S748" i="1"/>
  <c r="AF747" i="1"/>
  <c r="AG747" i="1" s="1"/>
  <c r="AD747" i="1"/>
  <c r="AC747" i="1"/>
  <c r="U747" i="1"/>
  <c r="T747" i="1"/>
  <c r="W747" i="1" s="1"/>
  <c r="S747" i="1"/>
  <c r="U741" i="1"/>
  <c r="T741" i="1"/>
  <c r="S741" i="1"/>
  <c r="L739" i="1"/>
  <c r="B736" i="1"/>
  <c r="U679" i="1"/>
  <c r="T679" i="1"/>
  <c r="W679" i="1" s="1"/>
  <c r="S679" i="1"/>
  <c r="U678" i="1"/>
  <c r="X678" i="1" s="1"/>
  <c r="T678" i="1"/>
  <c r="S678" i="1"/>
  <c r="U677" i="1"/>
  <c r="X677" i="1" s="1"/>
  <c r="T677" i="1"/>
  <c r="S677" i="1"/>
  <c r="U676" i="1"/>
  <c r="T676" i="1"/>
  <c r="S676" i="1"/>
  <c r="U675" i="1"/>
  <c r="T675" i="1"/>
  <c r="W675" i="1" s="1"/>
  <c r="S675" i="1"/>
  <c r="E672" i="1"/>
  <c r="B672" i="1"/>
  <c r="L670" i="1"/>
  <c r="U656" i="1"/>
  <c r="T656" i="1"/>
  <c r="S656" i="1"/>
  <c r="U655" i="1"/>
  <c r="T655" i="1"/>
  <c r="S655" i="1"/>
  <c r="U654" i="1"/>
  <c r="T654" i="1"/>
  <c r="S654" i="1"/>
  <c r="U653" i="1"/>
  <c r="T653" i="1"/>
  <c r="S653" i="1"/>
  <c r="U652" i="1"/>
  <c r="T652" i="1"/>
  <c r="S652" i="1"/>
  <c r="AF651" i="1"/>
  <c r="AD651" i="1"/>
  <c r="AC651" i="1"/>
  <c r="U651" i="1"/>
  <c r="X651" i="1" s="1"/>
  <c r="T651" i="1"/>
  <c r="S651" i="1"/>
  <c r="AF650" i="1"/>
  <c r="AD650" i="1"/>
  <c r="AC650" i="1"/>
  <c r="U650" i="1"/>
  <c r="X650" i="1" s="1"/>
  <c r="T650" i="1"/>
  <c r="S650" i="1"/>
  <c r="AF649" i="1"/>
  <c r="AD649" i="1"/>
  <c r="AC649" i="1"/>
  <c r="U649" i="1"/>
  <c r="T649" i="1"/>
  <c r="W649" i="1" s="1"/>
  <c r="S649" i="1"/>
  <c r="AF648" i="1"/>
  <c r="AD648" i="1"/>
  <c r="AC648" i="1"/>
  <c r="U648" i="1"/>
  <c r="T648" i="1"/>
  <c r="W648" i="1" s="1"/>
  <c r="S648" i="1"/>
  <c r="AF647" i="1"/>
  <c r="AD647" i="1"/>
  <c r="AC647" i="1"/>
  <c r="U647" i="1"/>
  <c r="X647" i="1" s="1"/>
  <c r="T647" i="1"/>
  <c r="S647" i="1"/>
  <c r="U641" i="1"/>
  <c r="T641" i="1"/>
  <c r="S641" i="1"/>
  <c r="L639" i="1"/>
  <c r="B636" i="1"/>
  <c r="U579" i="1"/>
  <c r="T579" i="1"/>
  <c r="S579" i="1"/>
  <c r="U578" i="1"/>
  <c r="X578" i="1" s="1"/>
  <c r="T578" i="1"/>
  <c r="S578" i="1"/>
  <c r="U577" i="1"/>
  <c r="T577" i="1"/>
  <c r="S577" i="1"/>
  <c r="U576" i="1"/>
  <c r="T576" i="1"/>
  <c r="S576" i="1"/>
  <c r="U575" i="1"/>
  <c r="T575" i="1"/>
  <c r="S575" i="1"/>
  <c r="E572" i="1"/>
  <c r="B572" i="1"/>
  <c r="L570" i="1"/>
  <c r="U556" i="1"/>
  <c r="T556" i="1"/>
  <c r="S556" i="1"/>
  <c r="U555" i="1"/>
  <c r="T555" i="1"/>
  <c r="S555" i="1"/>
  <c r="U554" i="1"/>
  <c r="T554" i="1"/>
  <c r="S554" i="1"/>
  <c r="U553" i="1"/>
  <c r="T553" i="1"/>
  <c r="S553" i="1"/>
  <c r="U552" i="1"/>
  <c r="T552" i="1"/>
  <c r="S552" i="1"/>
  <c r="AF551" i="1"/>
  <c r="AD551" i="1"/>
  <c r="AC551" i="1"/>
  <c r="U551" i="1"/>
  <c r="X551" i="1" s="1"/>
  <c r="T551" i="1"/>
  <c r="S551" i="1"/>
  <c r="AF550" i="1"/>
  <c r="AD550" i="1"/>
  <c r="AC550" i="1"/>
  <c r="U550" i="1"/>
  <c r="T550" i="1"/>
  <c r="S550" i="1"/>
  <c r="AF549" i="1"/>
  <c r="AD549" i="1"/>
  <c r="AC549" i="1"/>
  <c r="U549" i="1"/>
  <c r="T549" i="1"/>
  <c r="W549" i="1" s="1"/>
  <c r="S549" i="1"/>
  <c r="AF548" i="1"/>
  <c r="AD548" i="1"/>
  <c r="AC548" i="1"/>
  <c r="U548" i="1"/>
  <c r="T548" i="1"/>
  <c r="S548" i="1"/>
  <c r="AF547" i="1"/>
  <c r="AG547" i="1" s="1"/>
  <c r="AD547" i="1"/>
  <c r="AC547" i="1"/>
  <c r="U547" i="1"/>
  <c r="X547" i="1" s="1"/>
  <c r="T547" i="1"/>
  <c r="S547" i="1"/>
  <c r="U541" i="1"/>
  <c r="T541" i="1"/>
  <c r="S541" i="1"/>
  <c r="L539" i="1"/>
  <c r="B536" i="1"/>
  <c r="U479" i="1"/>
  <c r="X479" i="1" s="1"/>
  <c r="T479" i="1"/>
  <c r="S479" i="1"/>
  <c r="U478" i="1"/>
  <c r="T478" i="1"/>
  <c r="S478" i="1"/>
  <c r="U477" i="1"/>
  <c r="T477" i="1"/>
  <c r="W477" i="1" s="1"/>
  <c r="S477" i="1"/>
  <c r="U476" i="1"/>
  <c r="T476" i="1"/>
  <c r="S476" i="1"/>
  <c r="U475" i="1"/>
  <c r="X475" i="1" s="1"/>
  <c r="T475" i="1"/>
  <c r="S475" i="1"/>
  <c r="E472" i="1"/>
  <c r="B472" i="1"/>
  <c r="L470" i="1"/>
  <c r="U456" i="1"/>
  <c r="T456" i="1"/>
  <c r="S456" i="1"/>
  <c r="U455" i="1"/>
  <c r="T455" i="1"/>
  <c r="S455" i="1"/>
  <c r="U454" i="1"/>
  <c r="T454" i="1"/>
  <c r="S454" i="1"/>
  <c r="U453" i="1"/>
  <c r="X453" i="1" s="1"/>
  <c r="T453" i="1"/>
  <c r="S453" i="1"/>
  <c r="U452" i="1"/>
  <c r="X452" i="1" s="1"/>
  <c r="T452" i="1"/>
  <c r="S452" i="1"/>
  <c r="AF451" i="1"/>
  <c r="AD451" i="1"/>
  <c r="AC451" i="1"/>
  <c r="U451" i="1"/>
  <c r="T451" i="1"/>
  <c r="W451" i="1" s="1"/>
  <c r="S451" i="1"/>
  <c r="AF450" i="1"/>
  <c r="AD450" i="1"/>
  <c r="AC450" i="1"/>
  <c r="U450" i="1"/>
  <c r="T450" i="1"/>
  <c r="W450" i="1" s="1"/>
  <c r="S450" i="1"/>
  <c r="AF449" i="1"/>
  <c r="AD449" i="1"/>
  <c r="AC449" i="1"/>
  <c r="U449" i="1"/>
  <c r="X449" i="1" s="1"/>
  <c r="T449" i="1"/>
  <c r="S449" i="1"/>
  <c r="AF448" i="1"/>
  <c r="AD448" i="1"/>
  <c r="AC448" i="1"/>
  <c r="U448" i="1"/>
  <c r="X448" i="1" s="1"/>
  <c r="T448" i="1"/>
  <c r="S448" i="1"/>
  <c r="AF447" i="1"/>
  <c r="AG447" i="1" s="1"/>
  <c r="AD447" i="1"/>
  <c r="AC447" i="1"/>
  <c r="U447" i="1"/>
  <c r="T447" i="1"/>
  <c r="W447" i="1" s="1"/>
  <c r="S447" i="1"/>
  <c r="U441" i="1"/>
  <c r="T441" i="1"/>
  <c r="S441" i="1"/>
  <c r="L439" i="1"/>
  <c r="B436" i="1"/>
  <c r="U279" i="1"/>
  <c r="T279" i="1"/>
  <c r="S279" i="1"/>
  <c r="U278" i="1"/>
  <c r="X278" i="1" s="1"/>
  <c r="T278" i="1"/>
  <c r="S278" i="1"/>
  <c r="U277" i="1"/>
  <c r="T277" i="1"/>
  <c r="W277" i="1" s="1"/>
  <c r="S277" i="1"/>
  <c r="U276" i="1"/>
  <c r="T276" i="1"/>
  <c r="S276" i="1"/>
  <c r="U275" i="1"/>
  <c r="X275" i="1" s="1"/>
  <c r="T275" i="1"/>
  <c r="S275" i="1"/>
  <c r="E272" i="1"/>
  <c r="B272" i="1"/>
  <c r="L270" i="1"/>
  <c r="U256" i="1"/>
  <c r="T256" i="1"/>
  <c r="S256" i="1"/>
  <c r="U255" i="1"/>
  <c r="T255" i="1"/>
  <c r="S255" i="1"/>
  <c r="U254" i="1"/>
  <c r="T254" i="1"/>
  <c r="S254" i="1"/>
  <c r="U253" i="1"/>
  <c r="T253" i="1"/>
  <c r="S253" i="1"/>
  <c r="U252" i="1"/>
  <c r="T252" i="1"/>
  <c r="S252" i="1"/>
  <c r="AF251" i="1"/>
  <c r="AD251" i="1"/>
  <c r="AC251" i="1"/>
  <c r="U251" i="1"/>
  <c r="X251" i="1" s="1"/>
  <c r="T251" i="1"/>
  <c r="S251" i="1"/>
  <c r="AF250" i="1"/>
  <c r="AD250" i="1"/>
  <c r="AC250" i="1"/>
  <c r="U250" i="1"/>
  <c r="T250" i="1"/>
  <c r="W250" i="1" s="1"/>
  <c r="S250" i="1"/>
  <c r="AF249" i="1"/>
  <c r="AD249" i="1"/>
  <c r="AC249" i="1"/>
  <c r="U249" i="1"/>
  <c r="T249" i="1"/>
  <c r="W249" i="1" s="1"/>
  <c r="S249" i="1"/>
  <c r="AF248" i="1"/>
  <c r="AD248" i="1"/>
  <c r="AC248" i="1"/>
  <c r="U248" i="1"/>
  <c r="X248" i="1" s="1"/>
  <c r="T248" i="1"/>
  <c r="S248" i="1"/>
  <c r="AF247" i="1"/>
  <c r="AD247" i="1"/>
  <c r="AC247" i="1"/>
  <c r="U247" i="1"/>
  <c r="X247" i="1" s="1"/>
  <c r="T247" i="1"/>
  <c r="S247" i="1"/>
  <c r="U241" i="1"/>
  <c r="T241" i="1"/>
  <c r="S241" i="1"/>
  <c r="L239" i="1"/>
  <c r="B236" i="1"/>
  <c r="U179" i="1"/>
  <c r="X179" i="1" s="1"/>
  <c r="T179" i="1"/>
  <c r="S179" i="1"/>
  <c r="U178" i="1"/>
  <c r="T178" i="1"/>
  <c r="S178" i="1"/>
  <c r="U177" i="1"/>
  <c r="T177" i="1"/>
  <c r="S177" i="1"/>
  <c r="U176" i="1"/>
  <c r="T176" i="1"/>
  <c r="S176" i="1"/>
  <c r="U175" i="1"/>
  <c r="X175" i="1" s="1"/>
  <c r="T175" i="1"/>
  <c r="S175" i="1"/>
  <c r="E172" i="1"/>
  <c r="B172" i="1"/>
  <c r="L170" i="1"/>
  <c r="U156" i="1"/>
  <c r="X156" i="1" s="1"/>
  <c r="T156" i="1"/>
  <c r="S156" i="1"/>
  <c r="U155" i="1"/>
  <c r="T155" i="1"/>
  <c r="S155" i="1"/>
  <c r="U154" i="1"/>
  <c r="T154" i="1"/>
  <c r="S154" i="1"/>
  <c r="U153" i="1"/>
  <c r="T153" i="1"/>
  <c r="S153" i="1"/>
  <c r="U152" i="1"/>
  <c r="X152" i="1" s="1"/>
  <c r="T152" i="1"/>
  <c r="S152" i="1"/>
  <c r="AF151" i="1"/>
  <c r="AD151" i="1"/>
  <c r="AC151" i="1"/>
  <c r="U151" i="1"/>
  <c r="T151" i="1"/>
  <c r="W151" i="1" s="1"/>
  <c r="S151" i="1"/>
  <c r="AF150" i="1"/>
  <c r="AD150" i="1"/>
  <c r="AC150" i="1"/>
  <c r="U150" i="1"/>
  <c r="T150" i="1"/>
  <c r="W150" i="1" s="1"/>
  <c r="S150" i="1"/>
  <c r="AF149" i="1"/>
  <c r="AD149" i="1"/>
  <c r="AC149" i="1"/>
  <c r="U149" i="1"/>
  <c r="X149" i="1" s="1"/>
  <c r="T149" i="1"/>
  <c r="S149" i="1"/>
  <c r="AF148" i="1"/>
  <c r="AD148" i="1"/>
  <c r="AC148" i="1"/>
  <c r="U148" i="1"/>
  <c r="X148" i="1" s="1"/>
  <c r="T148" i="1"/>
  <c r="S148" i="1"/>
  <c r="AF147" i="1"/>
  <c r="AD147" i="1"/>
  <c r="AC147" i="1"/>
  <c r="U147" i="1"/>
  <c r="T147" i="1"/>
  <c r="W147" i="1" s="1"/>
  <c r="S147" i="1"/>
  <c r="U141" i="1"/>
  <c r="T141" i="1"/>
  <c r="S141" i="1"/>
  <c r="L139" i="1"/>
  <c r="B136" i="1"/>
  <c r="BD4400" i="1"/>
  <c r="BC4400" i="1" s="1"/>
  <c r="M80" i="1"/>
  <c r="U79" i="1"/>
  <c r="T79" i="1"/>
  <c r="W79" i="1" s="1"/>
  <c r="S79" i="1"/>
  <c r="U78" i="1"/>
  <c r="T78" i="1"/>
  <c r="W78" i="1" s="1"/>
  <c r="S78" i="1"/>
  <c r="U77" i="1"/>
  <c r="X77" i="1" s="1"/>
  <c r="T77" i="1"/>
  <c r="S77" i="1"/>
  <c r="U76" i="1"/>
  <c r="T76" i="1"/>
  <c r="S76" i="1"/>
  <c r="U75" i="1"/>
  <c r="T75" i="1"/>
  <c r="S75" i="1"/>
  <c r="E72" i="1"/>
  <c r="B72" i="1"/>
  <c r="L70" i="1"/>
  <c r="U56" i="1"/>
  <c r="T56" i="1"/>
  <c r="S56" i="1"/>
  <c r="U55" i="1"/>
  <c r="T55" i="1"/>
  <c r="S55" i="1"/>
  <c r="U54" i="1"/>
  <c r="T54" i="1"/>
  <c r="S54" i="1"/>
  <c r="U53" i="1"/>
  <c r="T53" i="1"/>
  <c r="S53" i="1"/>
  <c r="U52" i="1"/>
  <c r="T52" i="1"/>
  <c r="S52" i="1"/>
  <c r="AF51" i="1"/>
  <c r="AD51" i="1"/>
  <c r="AC51" i="1"/>
  <c r="U51" i="1"/>
  <c r="T51" i="1"/>
  <c r="S51" i="1"/>
  <c r="AF50" i="1"/>
  <c r="AD50" i="1"/>
  <c r="AC50" i="1"/>
  <c r="U50" i="1"/>
  <c r="T50" i="1"/>
  <c r="S50" i="1"/>
  <c r="AF49" i="1"/>
  <c r="AD49" i="1"/>
  <c r="AC49" i="1"/>
  <c r="U49" i="1"/>
  <c r="T49" i="1"/>
  <c r="S49" i="1"/>
  <c r="AF48" i="1"/>
  <c r="AC48" i="1"/>
  <c r="U48" i="1"/>
  <c r="T48" i="1"/>
  <c r="W48" i="1" s="1"/>
  <c r="S48" i="1"/>
  <c r="W179" i="1" l="1"/>
  <c r="W247" i="1"/>
  <c r="W251" i="1"/>
  <c r="W749" i="1"/>
  <c r="W754" i="1"/>
  <c r="AE1148" i="1"/>
  <c r="W1149" i="1"/>
  <c r="AE1250" i="1"/>
  <c r="W677" i="1"/>
  <c r="W752" i="1"/>
  <c r="AE1147" i="1"/>
  <c r="AE1151" i="1"/>
  <c r="AE1247" i="1"/>
  <c r="AE1249" i="1"/>
  <c r="AE1251" i="1"/>
  <c r="W278" i="1"/>
  <c r="W551" i="1"/>
  <c r="W976" i="1"/>
  <c r="W1355" i="1"/>
  <c r="W77" i="1"/>
  <c r="AE551" i="1"/>
  <c r="W753" i="1"/>
  <c r="W1041" i="1"/>
  <c r="W148" i="1"/>
  <c r="W152" i="1"/>
  <c r="AE947" i="1"/>
  <c r="AE950" i="1"/>
  <c r="AE951" i="1"/>
  <c r="W1449" i="1"/>
  <c r="W1475" i="1"/>
  <c r="W1479" i="1"/>
  <c r="AE1549" i="1"/>
  <c r="W175" i="1"/>
  <c r="AE451" i="1"/>
  <c r="W452" i="1"/>
  <c r="W475" i="1"/>
  <c r="W647" i="1"/>
  <c r="AE750" i="1"/>
  <c r="AE447" i="1"/>
  <c r="W448" i="1"/>
  <c r="W453" i="1"/>
  <c r="W479" i="1"/>
  <c r="AE547" i="1"/>
  <c r="W678" i="1"/>
  <c r="AE847" i="1"/>
  <c r="AE851" i="1"/>
  <c r="W941" i="1"/>
  <c r="AE1050" i="1"/>
  <c r="W1376" i="1"/>
  <c r="W149" i="1"/>
  <c r="AE150" i="1"/>
  <c r="W156" i="1"/>
  <c r="W248" i="1"/>
  <c r="AE249" i="1"/>
  <c r="W275" i="1"/>
  <c r="AE848" i="1"/>
  <c r="AE850" i="1"/>
  <c r="AE1047" i="1"/>
  <c r="AE1049" i="1"/>
  <c r="AE1051" i="1"/>
  <c r="W1276" i="1"/>
  <c r="AE1450" i="1"/>
  <c r="W449" i="1"/>
  <c r="AE650" i="1"/>
  <c r="W651" i="1"/>
  <c r="W1448" i="1"/>
  <c r="AE1548" i="1"/>
  <c r="AE1550" i="1"/>
  <c r="BE4409" i="1"/>
  <c r="BD4409" i="1" s="1"/>
  <c r="BC4409" i="1" s="1"/>
  <c r="BE4405" i="1"/>
  <c r="BD4405" i="1" s="1"/>
  <c r="BC4405" i="1" s="1"/>
  <c r="BG4402" i="1"/>
  <c r="BC4401" i="1"/>
  <c r="BH4400" i="1" s="1"/>
  <c r="BE4407" i="1"/>
  <c r="BD4407" i="1" s="1"/>
  <c r="BC4407" i="1" s="1"/>
  <c r="BE4403" i="1"/>
  <c r="BD4403" i="1" s="1"/>
  <c r="BC4403" i="1" s="1"/>
  <c r="BG4401" i="1"/>
  <c r="BE4408" i="1"/>
  <c r="BD4408" i="1" s="1"/>
  <c r="BC4408" i="1" s="1"/>
  <c r="BH4401" i="1"/>
  <c r="BE4410" i="1"/>
  <c r="BE4406" i="1"/>
  <c r="BD4406" i="1" s="1"/>
  <c r="BC4406" i="1" s="1"/>
  <c r="BH4402" i="1"/>
  <c r="BF4401" i="1"/>
  <c r="BF4411" i="1"/>
  <c r="BE4404" i="1"/>
  <c r="BD4404" i="1" s="1"/>
  <c r="BC4404" i="1" s="1"/>
  <c r="BF4400" i="1"/>
  <c r="BF4410" i="1"/>
  <c r="AE250" i="1"/>
  <c r="AE550" i="1"/>
  <c r="AE748" i="1"/>
  <c r="AE1350" i="1"/>
  <c r="AE1449" i="1"/>
  <c r="AE1746" i="1"/>
  <c r="G1744" i="1" s="1"/>
  <c r="W547" i="1"/>
  <c r="W578" i="1"/>
  <c r="W650" i="1"/>
  <c r="AE749" i="1"/>
  <c r="W876" i="1"/>
  <c r="AE1551" i="1"/>
  <c r="AE1646" i="1"/>
  <c r="G1644" i="1" s="1"/>
  <c r="AE50" i="1"/>
  <c r="AG51" i="1"/>
  <c r="AE149" i="1"/>
  <c r="AE450" i="1"/>
  <c r="AE649" i="1"/>
  <c r="AE849" i="1"/>
  <c r="AE1150" i="1"/>
  <c r="AE1349" i="1"/>
  <c r="AE1447" i="1"/>
  <c r="AE1451" i="1"/>
  <c r="AE648" i="1"/>
  <c r="AG851" i="1"/>
  <c r="V1149" i="1"/>
  <c r="Y1149" i="1" s="1"/>
  <c r="Z1149" i="1" s="1"/>
  <c r="G1149" i="1" s="1"/>
  <c r="N1149" i="1" s="1"/>
  <c r="AE1846" i="1"/>
  <c r="G1844" i="1" s="1"/>
  <c r="AE151" i="1"/>
  <c r="AG251" i="1"/>
  <c r="AE948" i="1"/>
  <c r="V751" i="1"/>
  <c r="Y751" i="1" s="1"/>
  <c r="Z751" i="1" s="1"/>
  <c r="N751" i="1" s="1"/>
  <c r="V1477" i="1"/>
  <c r="Y1477" i="1" s="1"/>
  <c r="Z1477" i="1" s="1"/>
  <c r="D1478" i="1" s="1"/>
  <c r="AE1946" i="1"/>
  <c r="G1944" i="1" s="1"/>
  <c r="V278" i="1"/>
  <c r="Y278" i="1" s="1"/>
  <c r="Z278" i="1" s="1"/>
  <c r="F278" i="1" s="1"/>
  <c r="AE248" i="1"/>
  <c r="AE448" i="1"/>
  <c r="AE949" i="1"/>
  <c r="AG451" i="1"/>
  <c r="AE647" i="1"/>
  <c r="V1455" i="1"/>
  <c r="Y1455" i="1" s="1"/>
  <c r="Z1455" i="1" s="1"/>
  <c r="V1456" i="1"/>
  <c r="Y1456" i="1" s="1"/>
  <c r="Z1456" i="1" s="1"/>
  <c r="AE51" i="1"/>
  <c r="V477" i="1"/>
  <c r="Y477" i="1" s="1"/>
  <c r="Z477" i="1" s="1"/>
  <c r="D478" i="1" s="1"/>
  <c r="V1147" i="1"/>
  <c r="Y1147" i="1" s="1"/>
  <c r="Z1147" i="1" s="1"/>
  <c r="G1147" i="1" s="1"/>
  <c r="N1147" i="1" s="1"/>
  <c r="V1475" i="1"/>
  <c r="Y1475" i="1" s="1"/>
  <c r="Z1475" i="1" s="1"/>
  <c r="M1476" i="1" s="1"/>
  <c r="AE1547" i="1"/>
  <c r="V149" i="1"/>
  <c r="Y149" i="1" s="1"/>
  <c r="Z149" i="1" s="1"/>
  <c r="G149" i="1" s="1"/>
  <c r="N149" i="1" s="1"/>
  <c r="V150" i="1"/>
  <c r="Y150" i="1" s="1"/>
  <c r="Z150" i="1" s="1"/>
  <c r="N150" i="1" s="1"/>
  <c r="V151" i="1"/>
  <c r="Y151" i="1" s="1"/>
  <c r="Z151" i="1" s="1"/>
  <c r="N151" i="1" s="1"/>
  <c r="AE247" i="1"/>
  <c r="V248" i="1"/>
  <c r="Y248" i="1" s="1"/>
  <c r="Z248" i="1" s="1"/>
  <c r="G248" i="1" s="1"/>
  <c r="N248" i="1" s="1"/>
  <c r="AE251" i="1"/>
  <c r="V275" i="1"/>
  <c r="Y275" i="1" s="1"/>
  <c r="Z275" i="1" s="1"/>
  <c r="M276" i="1" s="1"/>
  <c r="V475" i="1"/>
  <c r="Y475" i="1" s="1"/>
  <c r="Z475" i="1" s="1"/>
  <c r="M476" i="1" s="1"/>
  <c r="AE548" i="1"/>
  <c r="V551" i="1"/>
  <c r="Y551" i="1" s="1"/>
  <c r="Z551" i="1" s="1"/>
  <c r="N551" i="1" s="1"/>
  <c r="V647" i="1"/>
  <c r="Y647" i="1" s="1"/>
  <c r="Z647" i="1" s="1"/>
  <c r="G647" i="1" s="1"/>
  <c r="N647" i="1" s="1"/>
  <c r="AG647" i="1"/>
  <c r="V648" i="1"/>
  <c r="Y648" i="1" s="1"/>
  <c r="Z648" i="1" s="1"/>
  <c r="G648" i="1" s="1"/>
  <c r="N648" i="1" s="1"/>
  <c r="AE751" i="1"/>
  <c r="AG50" i="1"/>
  <c r="V147" i="1"/>
  <c r="Y147" i="1" s="1"/>
  <c r="Z147" i="1" s="1"/>
  <c r="G147" i="1" s="1"/>
  <c r="N147" i="1" s="1"/>
  <c r="V249" i="1"/>
  <c r="Y249" i="1" s="1"/>
  <c r="Z249" i="1" s="1"/>
  <c r="G249" i="1" s="1"/>
  <c r="N249" i="1" s="1"/>
  <c r="V250" i="1"/>
  <c r="Y250" i="1" s="1"/>
  <c r="Z250" i="1" s="1"/>
  <c r="N250" i="1" s="1"/>
  <c r="V251" i="1"/>
  <c r="Y251" i="1" s="1"/>
  <c r="Z251" i="1" s="1"/>
  <c r="N251" i="1" s="1"/>
  <c r="V277" i="1"/>
  <c r="Y277" i="1" s="1"/>
  <c r="Z277" i="1" s="1"/>
  <c r="D278" i="1" s="1"/>
  <c r="V547" i="1"/>
  <c r="Y547" i="1" s="1"/>
  <c r="Z547" i="1" s="1"/>
  <c r="G547" i="1" s="1"/>
  <c r="N547" i="1" s="1"/>
  <c r="AE1348" i="1"/>
  <c r="AE147" i="1"/>
  <c r="V148" i="1"/>
  <c r="Y148" i="1" s="1"/>
  <c r="Z148" i="1" s="1"/>
  <c r="G148" i="1" s="1"/>
  <c r="N148" i="1" s="1"/>
  <c r="V675" i="1"/>
  <c r="Y675" i="1" s="1"/>
  <c r="Z675" i="1" s="1"/>
  <c r="M676" i="1" s="1"/>
  <c r="AG1051" i="1"/>
  <c r="V1151" i="1"/>
  <c r="Y1151" i="1" s="1"/>
  <c r="Z1151" i="1" s="1"/>
  <c r="N1151" i="1" s="1"/>
  <c r="V1448" i="1"/>
  <c r="Y1448" i="1" s="1"/>
  <c r="Z1448" i="1" s="1"/>
  <c r="G1448" i="1" s="1"/>
  <c r="N1448" i="1" s="1"/>
  <c r="AE148" i="1"/>
  <c r="AG151" i="1"/>
  <c r="V156" i="1"/>
  <c r="Y156" i="1" s="1"/>
  <c r="Z156" i="1" s="1"/>
  <c r="V179" i="1"/>
  <c r="Y179" i="1" s="1"/>
  <c r="Z179" i="1" s="1"/>
  <c r="V247" i="1"/>
  <c r="Y247" i="1" s="1"/>
  <c r="Z247" i="1" s="1"/>
  <c r="G247" i="1" s="1"/>
  <c r="N247" i="1" s="1"/>
  <c r="V578" i="1"/>
  <c r="Y578" i="1" s="1"/>
  <c r="Z578" i="1" s="1"/>
  <c r="F578" i="1" s="1"/>
  <c r="AG651" i="1"/>
  <c r="AG751" i="1"/>
  <c r="AG1251" i="1"/>
  <c r="V1276" i="1"/>
  <c r="Y1276" i="1" s="1"/>
  <c r="Z1276" i="1" s="1"/>
  <c r="M1278" i="1" s="1"/>
  <c r="AE1351" i="1"/>
  <c r="AE1448" i="1"/>
  <c r="V448" i="1"/>
  <c r="Y448" i="1" s="1"/>
  <c r="Z448" i="1" s="1"/>
  <c r="G448" i="1" s="1"/>
  <c r="N448" i="1" s="1"/>
  <c r="V479" i="1"/>
  <c r="Y479" i="1" s="1"/>
  <c r="Z479" i="1" s="1"/>
  <c r="V876" i="1"/>
  <c r="Y876" i="1" s="1"/>
  <c r="Z876" i="1" s="1"/>
  <c r="M878" i="1" s="1"/>
  <c r="AE1248" i="1"/>
  <c r="V1355" i="1"/>
  <c r="Y1355" i="1" s="1"/>
  <c r="Z1355" i="1" s="1"/>
  <c r="V1479" i="1"/>
  <c r="V1541" i="1"/>
  <c r="Y1541" i="1" s="1"/>
  <c r="Z1541" i="1" s="1"/>
  <c r="AG1547" i="1"/>
  <c r="V48" i="1"/>
  <c r="Y48" i="1" s="1"/>
  <c r="Z48" i="1" s="1"/>
  <c r="G48" i="1" s="1"/>
  <c r="N48" i="1" s="1"/>
  <c r="AE49" i="1"/>
  <c r="AG147" i="1"/>
  <c r="V447" i="1"/>
  <c r="Y447" i="1" s="1"/>
  <c r="Z447" i="1" s="1"/>
  <c r="G447" i="1" s="1"/>
  <c r="N447" i="1" s="1"/>
  <c r="V449" i="1"/>
  <c r="Y449" i="1" s="1"/>
  <c r="Z449" i="1" s="1"/>
  <c r="G449" i="1" s="1"/>
  <c r="N449" i="1" s="1"/>
  <c r="V549" i="1"/>
  <c r="Y549" i="1" s="1"/>
  <c r="Z549" i="1" s="1"/>
  <c r="G549" i="1" s="1"/>
  <c r="N549" i="1" s="1"/>
  <c r="V649" i="1"/>
  <c r="Y649" i="1" s="1"/>
  <c r="Z649" i="1" s="1"/>
  <c r="G649" i="1" s="1"/>
  <c r="N649" i="1" s="1"/>
  <c r="V650" i="1"/>
  <c r="Y650" i="1" s="1"/>
  <c r="Z650" i="1" s="1"/>
  <c r="N650" i="1" s="1"/>
  <c r="V651" i="1"/>
  <c r="Y651" i="1" s="1"/>
  <c r="Z651" i="1" s="1"/>
  <c r="N651" i="1" s="1"/>
  <c r="V677" i="1"/>
  <c r="Y677" i="1" s="1"/>
  <c r="Z677" i="1" s="1"/>
  <c r="D678" i="1" s="1"/>
  <c r="V678" i="1"/>
  <c r="Y678" i="1" s="1"/>
  <c r="Z678" i="1" s="1"/>
  <c r="F678" i="1" s="1"/>
  <c r="V679" i="1"/>
  <c r="Y679" i="1" s="1"/>
  <c r="Z679" i="1" s="1"/>
  <c r="V752" i="1"/>
  <c r="Y752" i="1" s="1"/>
  <c r="Z752" i="1" s="1"/>
  <c r="H747" i="1" s="1"/>
  <c r="V753" i="1"/>
  <c r="Y753" i="1" s="1"/>
  <c r="Z753" i="1" s="1"/>
  <c r="H748" i="1" s="1"/>
  <c r="V754" i="1"/>
  <c r="Y754" i="1" s="1"/>
  <c r="Z754" i="1" s="1"/>
  <c r="H749" i="1" s="1"/>
  <c r="V776" i="1"/>
  <c r="Y776" i="1" s="1"/>
  <c r="Z776" i="1" s="1"/>
  <c r="M778" i="1" s="1"/>
  <c r="V941" i="1"/>
  <c r="Y941" i="1" s="1"/>
  <c r="Z941" i="1" s="1"/>
  <c r="AG951" i="1"/>
  <c r="V976" i="1"/>
  <c r="Y976" i="1" s="1"/>
  <c r="Z976" i="1" s="1"/>
  <c r="M978" i="1" s="1"/>
  <c r="V1076" i="1"/>
  <c r="Y1076" i="1" s="1"/>
  <c r="Z1076" i="1" s="1"/>
  <c r="M1078" i="1" s="1"/>
  <c r="V1178" i="1"/>
  <c r="Y1178" i="1" s="1"/>
  <c r="Z1178" i="1" s="1"/>
  <c r="F1178" i="1" s="1"/>
  <c r="AE1347" i="1"/>
  <c r="AG1351" i="1"/>
  <c r="V1454" i="1"/>
  <c r="Y1454" i="1" s="1"/>
  <c r="Z1454" i="1" s="1"/>
  <c r="H1449" i="1" s="1"/>
  <c r="AG247" i="1"/>
  <c r="V441" i="1"/>
  <c r="Y441" i="1" s="1"/>
  <c r="Z441" i="1" s="1"/>
  <c r="AE449" i="1"/>
  <c r="V450" i="1"/>
  <c r="Y450" i="1" s="1"/>
  <c r="Z450" i="1" s="1"/>
  <c r="N450" i="1" s="1"/>
  <c r="V451" i="1"/>
  <c r="Y451" i="1" s="1"/>
  <c r="Z451" i="1" s="1"/>
  <c r="N451" i="1" s="1"/>
  <c r="V452" i="1"/>
  <c r="Y452" i="1" s="1"/>
  <c r="Z452" i="1" s="1"/>
  <c r="H447" i="1" s="1"/>
  <c r="V453" i="1"/>
  <c r="Y453" i="1" s="1"/>
  <c r="Z453" i="1" s="1"/>
  <c r="H448" i="1" s="1"/>
  <c r="AE549" i="1"/>
  <c r="AG551" i="1"/>
  <c r="AE651" i="1"/>
  <c r="V747" i="1"/>
  <c r="Y747" i="1" s="1"/>
  <c r="Z747" i="1" s="1"/>
  <c r="G747" i="1" s="1"/>
  <c r="N747" i="1" s="1"/>
  <c r="V841" i="1"/>
  <c r="Y841" i="1" s="1"/>
  <c r="Z841" i="1" s="1"/>
  <c r="V1041" i="1"/>
  <c r="Y1041" i="1" s="1"/>
  <c r="Z1041" i="1" s="1"/>
  <c r="AG1451" i="1"/>
  <c r="V77" i="1"/>
  <c r="Y77" i="1" s="1"/>
  <c r="Z77" i="1" s="1"/>
  <c r="D78" i="1" s="1"/>
  <c r="V78" i="1"/>
  <c r="Y78" i="1" s="1"/>
  <c r="Z78" i="1" s="1"/>
  <c r="F78" i="1" s="1"/>
  <c r="V79" i="1"/>
  <c r="Y79" i="1" s="1"/>
  <c r="Z79" i="1" s="1"/>
  <c r="V152" i="1"/>
  <c r="Y152" i="1" s="1"/>
  <c r="Z152" i="1" s="1"/>
  <c r="H147" i="1" s="1"/>
  <c r="V175" i="1"/>
  <c r="Y175" i="1" s="1"/>
  <c r="Z175" i="1" s="1"/>
  <c r="M176" i="1" s="1"/>
  <c r="AE747" i="1"/>
  <c r="V749" i="1"/>
  <c r="Y749" i="1" s="1"/>
  <c r="Z749" i="1" s="1"/>
  <c r="G749" i="1" s="1"/>
  <c r="N749" i="1" s="1"/>
  <c r="AE1048" i="1"/>
  <c r="AE1149" i="1"/>
  <c r="AG1151" i="1"/>
  <c r="V1353" i="1"/>
  <c r="Y1353" i="1" s="1"/>
  <c r="Z1353" i="1" s="1"/>
  <c r="H1348" i="1" s="1"/>
  <c r="V1376" i="1"/>
  <c r="Y1376" i="1" s="1"/>
  <c r="Z1376" i="1" s="1"/>
  <c r="M1378" i="1" s="1"/>
  <c r="V1447" i="1"/>
  <c r="Y1447" i="1" s="1"/>
  <c r="Z1447" i="1" s="1"/>
  <c r="G1447" i="1" s="1"/>
  <c r="N1447" i="1" s="1"/>
  <c r="V1449" i="1"/>
  <c r="Y1449" i="1" s="1"/>
  <c r="Z1449" i="1" s="1"/>
  <c r="G1449" i="1" s="1"/>
  <c r="N1449" i="1" s="1"/>
  <c r="V1450" i="1"/>
  <c r="Y1450" i="1" s="1"/>
  <c r="Z1450" i="1" s="1"/>
  <c r="N1450" i="1" s="1"/>
  <c r="V1451" i="1"/>
  <c r="Y1451" i="1" s="1"/>
  <c r="Z1451" i="1" s="1"/>
  <c r="N1451" i="1" s="1"/>
  <c r="AD47" i="1"/>
  <c r="AC47" i="1"/>
  <c r="U47" i="1"/>
  <c r="T47" i="1"/>
  <c r="W47" i="1" s="1"/>
  <c r="S47" i="1"/>
  <c r="V47" i="1" s="1"/>
  <c r="Y47" i="1" s="1"/>
  <c r="Z47" i="1" s="1"/>
  <c r="G47" i="1" s="1"/>
  <c r="N47" i="1" s="1"/>
  <c r="U41" i="1"/>
  <c r="X41" i="1" s="1"/>
  <c r="T41" i="1"/>
  <c r="S41" i="1"/>
  <c r="V41" i="1" s="1"/>
  <c r="B36" i="1"/>
  <c r="G34" i="1"/>
  <c r="F123" i="1" s="1"/>
  <c r="G33" i="1"/>
  <c r="BE4413" i="1" s="1"/>
  <c r="AE6" i="1"/>
  <c r="B6" i="1" s="1"/>
  <c r="AE5" i="1"/>
  <c r="AE4" i="1"/>
  <c r="K3" i="1"/>
  <c r="C1" i="9" s="1"/>
  <c r="P59" i="2"/>
  <c r="P58" i="2"/>
  <c r="P57" i="2"/>
  <c r="W4" i="2"/>
  <c r="AG1048" i="1"/>
  <c r="AG1049" i="1"/>
  <c r="AG1050" i="1"/>
  <c r="W41" i="1"/>
  <c r="AG1148" i="1"/>
  <c r="AG1149" i="1"/>
  <c r="AG1150" i="1"/>
  <c r="V1141" i="1"/>
  <c r="Y1141" i="1" s="1"/>
  <c r="Z1141" i="1" s="1"/>
  <c r="AG648" i="1"/>
  <c r="AG649" i="1"/>
  <c r="AG650" i="1"/>
  <c r="V641" i="1"/>
  <c r="Y641" i="1" s="1"/>
  <c r="Z641" i="1" s="1"/>
  <c r="AF47" i="1"/>
  <c r="AG47" i="1" s="1"/>
  <c r="AG48" i="1"/>
  <c r="AG49" i="1"/>
  <c r="AD48" i="1"/>
  <c r="AE48" i="1" s="1"/>
  <c r="AG748" i="1"/>
  <c r="AG749" i="1"/>
  <c r="AG750" i="1"/>
  <c r="V741" i="1"/>
  <c r="Y741" i="1" s="1"/>
  <c r="Z741" i="1" s="1"/>
  <c r="AG448" i="1"/>
  <c r="AG449" i="1"/>
  <c r="AG450" i="1"/>
  <c r="X47" i="1"/>
  <c r="AG1348" i="1"/>
  <c r="AG1349" i="1"/>
  <c r="AG1350" i="1"/>
  <c r="V1341" i="1"/>
  <c r="Y1341" i="1" s="1"/>
  <c r="Z1341" i="1" s="1"/>
  <c r="AG548" i="1"/>
  <c r="AG549" i="1"/>
  <c r="AG550" i="1"/>
  <c r="V541" i="1"/>
  <c r="Y541" i="1" s="1"/>
  <c r="Z541" i="1" s="1"/>
  <c r="X1541" i="1"/>
  <c r="V1478" i="1"/>
  <c r="Y1478" i="1" s="1"/>
  <c r="Z1478" i="1" s="1"/>
  <c r="F1478" i="1" s="1"/>
  <c r="X1478" i="1"/>
  <c r="W1478" i="1"/>
  <c r="V1379" i="1"/>
  <c r="Y1379" i="1" s="1"/>
  <c r="Z1379" i="1" s="1"/>
  <c r="V1378" i="1"/>
  <c r="Y1378" i="1" s="1"/>
  <c r="Z1378" i="1" s="1"/>
  <c r="F1378" i="1" s="1"/>
  <c r="V1377" i="1"/>
  <c r="Y1377" i="1" s="1"/>
  <c r="Z1377" i="1" s="1"/>
  <c r="D1378" i="1" s="1"/>
  <c r="X1377" i="1"/>
  <c r="W1377" i="1"/>
  <c r="V1347" i="1"/>
  <c r="Y1347" i="1" s="1"/>
  <c r="Z1347" i="1" s="1"/>
  <c r="G1347" i="1" s="1"/>
  <c r="N1347" i="1" s="1"/>
  <c r="X1347" i="1"/>
  <c r="W1347" i="1"/>
  <c r="V1256" i="1"/>
  <c r="Y1256" i="1" s="1"/>
  <c r="Z1256" i="1" s="1"/>
  <c r="X1256" i="1"/>
  <c r="W1256" i="1"/>
  <c r="V1176" i="1"/>
  <c r="Y1176" i="1" s="1"/>
  <c r="Z1176" i="1" s="1"/>
  <c r="M1178" i="1" s="1"/>
  <c r="X1176" i="1"/>
  <c r="W1176" i="1"/>
  <c r="V1156" i="1"/>
  <c r="Y1156" i="1" s="1"/>
  <c r="Z1156" i="1" s="1"/>
  <c r="V1049" i="1"/>
  <c r="Y1049" i="1" s="1"/>
  <c r="Z1049" i="1" s="1"/>
  <c r="G1049" i="1" s="1"/>
  <c r="N1049" i="1" s="1"/>
  <c r="X1049" i="1"/>
  <c r="W1049" i="1"/>
  <c r="V979" i="1"/>
  <c r="Y979" i="1" s="1"/>
  <c r="Z979" i="1" s="1"/>
  <c r="X979" i="1"/>
  <c r="W979" i="1"/>
  <c r="V947" i="1"/>
  <c r="Y947" i="1" s="1"/>
  <c r="Z947" i="1" s="1"/>
  <c r="G947" i="1" s="1"/>
  <c r="N947" i="1" s="1"/>
  <c r="V952" i="1"/>
  <c r="Y952" i="1" s="1"/>
  <c r="Z952" i="1" s="1"/>
  <c r="H947" i="1" s="1"/>
  <c r="AG948" i="1"/>
  <c r="AG949" i="1"/>
  <c r="AG950" i="1"/>
  <c r="V854" i="1"/>
  <c r="Y854" i="1" s="1"/>
  <c r="Z854" i="1" s="1"/>
  <c r="H849" i="1" s="1"/>
  <c r="X854" i="1"/>
  <c r="W854" i="1"/>
  <c r="V847" i="1"/>
  <c r="Y847" i="1" s="1"/>
  <c r="Z847" i="1" s="1"/>
  <c r="G847" i="1" s="1"/>
  <c r="N847" i="1" s="1"/>
  <c r="V852" i="1"/>
  <c r="Y852" i="1" s="1"/>
  <c r="Z852" i="1" s="1"/>
  <c r="H847" i="1" s="1"/>
  <c r="AG848" i="1"/>
  <c r="AG849" i="1"/>
  <c r="AG850" i="1"/>
  <c r="X751" i="1"/>
  <c r="V653" i="1"/>
  <c r="Y653" i="1" s="1"/>
  <c r="Z653" i="1" s="1"/>
  <c r="H648" i="1" s="1"/>
  <c r="X653" i="1"/>
  <c r="W653" i="1"/>
  <c r="V652" i="1"/>
  <c r="Y652" i="1" s="1"/>
  <c r="Z652" i="1" s="1"/>
  <c r="H647" i="1" s="1"/>
  <c r="V548" i="1"/>
  <c r="Y548" i="1" s="1"/>
  <c r="Z548" i="1" s="1"/>
  <c r="G548" i="1" s="1"/>
  <c r="N548" i="1" s="1"/>
  <c r="X548" i="1"/>
  <c r="W548" i="1"/>
  <c r="V455" i="1"/>
  <c r="Y455" i="1" s="1"/>
  <c r="Z455" i="1" s="1"/>
  <c r="X455" i="1"/>
  <c r="W455" i="1"/>
  <c r="V255" i="1"/>
  <c r="Y255" i="1" s="1"/>
  <c r="Z255" i="1" s="1"/>
  <c r="X255" i="1"/>
  <c r="W255" i="1"/>
  <c r="V52" i="1"/>
  <c r="Y52" i="1" s="1"/>
  <c r="Z52" i="1" s="1"/>
  <c r="H47" i="1" s="1"/>
  <c r="X52" i="1"/>
  <c r="W52" i="1"/>
  <c r="V1551" i="1"/>
  <c r="Y1551" i="1" s="1"/>
  <c r="Z1551" i="1" s="1"/>
  <c r="N1551" i="1" s="1"/>
  <c r="Y1556" i="1"/>
  <c r="Z1556" i="1" s="1"/>
  <c r="AG1550" i="1"/>
  <c r="V1476" i="1"/>
  <c r="Y1476" i="1" s="1"/>
  <c r="Z1476" i="1" s="1"/>
  <c r="M1478" i="1" s="1"/>
  <c r="Y1479" i="1"/>
  <c r="Z1479" i="1" s="1"/>
  <c r="X1477" i="1"/>
  <c r="AG1450" i="1"/>
  <c r="AG1448" i="1"/>
  <c r="V1350" i="1"/>
  <c r="Y1350" i="1" s="1"/>
  <c r="Z1350" i="1" s="1"/>
  <c r="N1350" i="1" s="1"/>
  <c r="V1248" i="1"/>
  <c r="Y1248" i="1" s="1"/>
  <c r="Z1248" i="1" s="1"/>
  <c r="G1248" i="1" s="1"/>
  <c r="N1248" i="1" s="1"/>
  <c r="X1248" i="1"/>
  <c r="W1248" i="1"/>
  <c r="V1175" i="1"/>
  <c r="Y1175" i="1" s="1"/>
  <c r="Z1175" i="1" s="1"/>
  <c r="M1176" i="1" s="1"/>
  <c r="X1175" i="1"/>
  <c r="W1175" i="1"/>
  <c r="V1054" i="1"/>
  <c r="Y1054" i="1" s="1"/>
  <c r="Z1054" i="1" s="1"/>
  <c r="H1049" i="1" s="1"/>
  <c r="V978" i="1"/>
  <c r="Y978" i="1" s="1"/>
  <c r="Z978" i="1" s="1"/>
  <c r="F978" i="1" s="1"/>
  <c r="X978" i="1"/>
  <c r="W978" i="1"/>
  <c r="V850" i="1"/>
  <c r="Y850" i="1" s="1"/>
  <c r="Z850" i="1" s="1"/>
  <c r="N850" i="1" s="1"/>
  <c r="V855" i="1"/>
  <c r="Y855" i="1" s="1"/>
  <c r="Z855" i="1" s="1"/>
  <c r="V778" i="1"/>
  <c r="Y778" i="1" s="1"/>
  <c r="Z778" i="1" s="1"/>
  <c r="F778" i="1" s="1"/>
  <c r="X778" i="1"/>
  <c r="W778" i="1"/>
  <c r="X652" i="1"/>
  <c r="W652" i="1"/>
  <c r="V555" i="1"/>
  <c r="Y555" i="1" s="1"/>
  <c r="Z555" i="1" s="1"/>
  <c r="X555" i="1"/>
  <c r="W555" i="1"/>
  <c r="V550" i="1"/>
  <c r="Y550" i="1" s="1"/>
  <c r="Z550" i="1" s="1"/>
  <c r="N550" i="1" s="1"/>
  <c r="X550" i="1"/>
  <c r="W550" i="1"/>
  <c r="V476" i="1"/>
  <c r="Y476" i="1" s="1"/>
  <c r="Z476" i="1" s="1"/>
  <c r="M478" i="1" s="1"/>
  <c r="V478" i="1"/>
  <c r="Y478" i="1" s="1"/>
  <c r="Z478" i="1" s="1"/>
  <c r="F478" i="1" s="1"/>
  <c r="X477" i="1"/>
  <c r="V276" i="1"/>
  <c r="Y276" i="1" s="1"/>
  <c r="Z276" i="1" s="1"/>
  <c r="M278" i="1" s="1"/>
  <c r="X276" i="1"/>
  <c r="W276" i="1"/>
  <c r="X250" i="1"/>
  <c r="X79" i="1"/>
  <c r="V55" i="1"/>
  <c r="Y55" i="1" s="1"/>
  <c r="Z55" i="1" s="1"/>
  <c r="X55" i="1"/>
  <c r="W55" i="1"/>
  <c r="V1549" i="1"/>
  <c r="Y1549" i="1" s="1"/>
  <c r="Z1549" i="1" s="1"/>
  <c r="G1549" i="1" s="1"/>
  <c r="N1549" i="1" s="1"/>
  <c r="X1549" i="1"/>
  <c r="W1549" i="1"/>
  <c r="V1254" i="1"/>
  <c r="Y1254" i="1" s="1"/>
  <c r="Z1254" i="1" s="1"/>
  <c r="H1249" i="1" s="1"/>
  <c r="X1254" i="1"/>
  <c r="W1254" i="1"/>
  <c r="V1247" i="1"/>
  <c r="Y1247" i="1" s="1"/>
  <c r="Z1247" i="1" s="1"/>
  <c r="G1247" i="1" s="1"/>
  <c r="N1247" i="1" s="1"/>
  <c r="V1252" i="1"/>
  <c r="Y1252" i="1" s="1"/>
  <c r="Z1252" i="1" s="1"/>
  <c r="H1247" i="1" s="1"/>
  <c r="AG1248" i="1"/>
  <c r="AG1249" i="1"/>
  <c r="AG1250" i="1"/>
  <c r="V1241" i="1"/>
  <c r="Y1241" i="1" s="1"/>
  <c r="Z1241" i="1" s="1"/>
  <c r="V1148" i="1"/>
  <c r="Y1148" i="1" s="1"/>
  <c r="Z1148" i="1" s="1"/>
  <c r="G1148" i="1" s="1"/>
  <c r="N1148" i="1" s="1"/>
  <c r="X1148" i="1"/>
  <c r="W1148" i="1"/>
  <c r="V1051" i="1"/>
  <c r="Y1051" i="1" s="1"/>
  <c r="Z1051" i="1" s="1"/>
  <c r="N1051" i="1" s="1"/>
  <c r="X1051" i="1"/>
  <c r="W1051" i="1"/>
  <c r="X852" i="1"/>
  <c r="W852" i="1"/>
  <c r="V779" i="1"/>
  <c r="Y779" i="1" s="1"/>
  <c r="Z779" i="1" s="1"/>
  <c r="V777" i="1"/>
  <c r="Y777" i="1" s="1"/>
  <c r="Z777" i="1" s="1"/>
  <c r="D778" i="1" s="1"/>
  <c r="X777" i="1"/>
  <c r="W777" i="1"/>
  <c r="V575" i="1"/>
  <c r="Y575" i="1" s="1"/>
  <c r="Z575" i="1" s="1"/>
  <c r="M576" i="1" s="1"/>
  <c r="X575" i="1"/>
  <c r="W575" i="1"/>
  <c r="V253" i="1"/>
  <c r="Y253" i="1" s="1"/>
  <c r="Z253" i="1" s="1"/>
  <c r="H248" i="1" s="1"/>
  <c r="X253" i="1"/>
  <c r="W253" i="1"/>
  <c r="V252" i="1"/>
  <c r="Y252" i="1" s="1"/>
  <c r="Z252" i="1" s="1"/>
  <c r="H247" i="1" s="1"/>
  <c r="AG248" i="1"/>
  <c r="AG249" i="1"/>
  <c r="AG250" i="1"/>
  <c r="X151" i="1"/>
  <c r="V50" i="1"/>
  <c r="Y50" i="1" s="1"/>
  <c r="Z50" i="1" s="1"/>
  <c r="N50" i="1" s="1"/>
  <c r="X50" i="1"/>
  <c r="W50" i="1"/>
  <c r="V1548" i="1"/>
  <c r="Y1548" i="1" s="1"/>
  <c r="Z1548" i="1" s="1"/>
  <c r="G1548" i="1" s="1"/>
  <c r="N1548" i="1" s="1"/>
  <c r="X1548" i="1"/>
  <c r="W1548" i="1"/>
  <c r="X1455" i="1"/>
  <c r="V1351" i="1"/>
  <c r="Y1351" i="1" s="1"/>
  <c r="Z1351" i="1" s="1"/>
  <c r="N1351" i="1" s="1"/>
  <c r="X1351" i="1"/>
  <c r="W1351" i="1"/>
  <c r="V1279" i="1"/>
  <c r="Y1279" i="1" s="1"/>
  <c r="Z1279" i="1" s="1"/>
  <c r="X1279" i="1"/>
  <c r="W1279" i="1"/>
  <c r="X1178" i="1"/>
  <c r="V1153" i="1"/>
  <c r="Y1153" i="1" s="1"/>
  <c r="Z1153" i="1" s="1"/>
  <c r="H1148" i="1" s="1"/>
  <c r="X1054" i="1"/>
  <c r="W1054" i="1"/>
  <c r="V1047" i="1"/>
  <c r="Y1047" i="1" s="1"/>
  <c r="Z1047" i="1" s="1"/>
  <c r="G1047" i="1" s="1"/>
  <c r="N1047" i="1" s="1"/>
  <c r="V1052" i="1"/>
  <c r="Y1052" i="1" s="1"/>
  <c r="Z1052" i="1" s="1"/>
  <c r="H1047" i="1" s="1"/>
  <c r="V954" i="1"/>
  <c r="Y954" i="1" s="1"/>
  <c r="Z954" i="1" s="1"/>
  <c r="H949" i="1" s="1"/>
  <c r="X954" i="1"/>
  <c r="W954" i="1"/>
  <c r="X947" i="1"/>
  <c r="W947" i="1"/>
  <c r="V848" i="1"/>
  <c r="Y848" i="1" s="1"/>
  <c r="Z848" i="1" s="1"/>
  <c r="G848" i="1" s="1"/>
  <c r="N848" i="1" s="1"/>
  <c r="X848" i="1"/>
  <c r="W848" i="1"/>
  <c r="V775" i="1"/>
  <c r="Y775" i="1" s="1"/>
  <c r="Z775" i="1" s="1"/>
  <c r="M776" i="1" s="1"/>
  <c r="X775" i="1"/>
  <c r="W775" i="1"/>
  <c r="V676" i="1"/>
  <c r="Y676" i="1" s="1"/>
  <c r="Z676" i="1" s="1"/>
  <c r="M678" i="1" s="1"/>
  <c r="V656" i="1"/>
  <c r="Y656" i="1" s="1"/>
  <c r="Z656" i="1" s="1"/>
  <c r="V654" i="1"/>
  <c r="Y654" i="1" s="1"/>
  <c r="Z654" i="1" s="1"/>
  <c r="H649" i="1" s="1"/>
  <c r="V553" i="1"/>
  <c r="Y553" i="1" s="1"/>
  <c r="Z553" i="1" s="1"/>
  <c r="H548" i="1" s="1"/>
  <c r="X553" i="1"/>
  <c r="W553" i="1"/>
  <c r="V454" i="1"/>
  <c r="Y454" i="1" s="1"/>
  <c r="Z454" i="1" s="1"/>
  <c r="H449" i="1" s="1"/>
  <c r="V176" i="1"/>
  <c r="Y176" i="1" s="1"/>
  <c r="Z176" i="1" s="1"/>
  <c r="M178" i="1" s="1"/>
  <c r="V178" i="1"/>
  <c r="Y178" i="1" s="1"/>
  <c r="Z178" i="1" s="1"/>
  <c r="F178" i="1" s="1"/>
  <c r="V177" i="1"/>
  <c r="Y177" i="1" s="1"/>
  <c r="Z177" i="1" s="1"/>
  <c r="D178" i="1" s="1"/>
  <c r="X177" i="1"/>
  <c r="W177" i="1"/>
  <c r="X147" i="1"/>
  <c r="V53" i="1"/>
  <c r="Y53" i="1" s="1"/>
  <c r="Z53" i="1" s="1"/>
  <c r="H48" i="1" s="1"/>
  <c r="X53" i="1"/>
  <c r="W53" i="1"/>
  <c r="AG1648" i="1"/>
  <c r="AG1649" i="1"/>
  <c r="AG1650" i="1"/>
  <c r="V1641" i="1"/>
  <c r="Y1641" i="1" s="1"/>
  <c r="Z1641" i="1" s="1"/>
  <c r="AG1449" i="1"/>
  <c r="Y1441" i="1"/>
  <c r="Z1441" i="1" s="1"/>
  <c r="AG148" i="1"/>
  <c r="AG149" i="1"/>
  <c r="AG150" i="1"/>
  <c r="V141" i="1"/>
  <c r="Y141" i="1" s="1"/>
  <c r="Z141" i="1" s="1"/>
  <c r="V1547" i="1"/>
  <c r="Y1547" i="1" s="1"/>
  <c r="Z1547" i="1" s="1"/>
  <c r="G1547" i="1" s="1"/>
  <c r="N1547" i="1" s="1"/>
  <c r="X1547" i="1"/>
  <c r="W1547" i="1"/>
  <c r="V1354" i="1"/>
  <c r="Y1354" i="1" s="1"/>
  <c r="Z1354" i="1" s="1"/>
  <c r="H1349" i="1" s="1"/>
  <c r="X1354" i="1"/>
  <c r="W1354" i="1"/>
  <c r="V1348" i="1"/>
  <c r="Y1348" i="1" s="1"/>
  <c r="Z1348" i="1" s="1"/>
  <c r="G1348" i="1" s="1"/>
  <c r="N1348" i="1" s="1"/>
  <c r="V1278" i="1"/>
  <c r="Y1278" i="1" s="1"/>
  <c r="Z1278" i="1" s="1"/>
  <c r="F1278" i="1" s="1"/>
  <c r="X1278" i="1"/>
  <c r="W1278" i="1"/>
  <c r="X1151" i="1"/>
  <c r="V1050" i="1"/>
  <c r="Y1050" i="1" s="1"/>
  <c r="Z1050" i="1" s="1"/>
  <c r="N1050" i="1" s="1"/>
  <c r="V1055" i="1"/>
  <c r="Y1055" i="1" s="1"/>
  <c r="Z1055" i="1" s="1"/>
  <c r="V948" i="1"/>
  <c r="Y948" i="1" s="1"/>
  <c r="Z948" i="1" s="1"/>
  <c r="G948" i="1" s="1"/>
  <c r="N948" i="1" s="1"/>
  <c r="V953" i="1"/>
  <c r="Y953" i="1" s="1"/>
  <c r="Z953" i="1" s="1"/>
  <c r="H948" i="1" s="1"/>
  <c r="V875" i="1"/>
  <c r="Y875" i="1" s="1"/>
  <c r="Z875" i="1" s="1"/>
  <c r="M876" i="1" s="1"/>
  <c r="X875" i="1"/>
  <c r="W875" i="1"/>
  <c r="V853" i="1"/>
  <c r="Y853" i="1" s="1"/>
  <c r="Z853" i="1" s="1"/>
  <c r="H848" i="1" s="1"/>
  <c r="X779" i="1"/>
  <c r="W779" i="1"/>
  <c r="X675" i="1"/>
  <c r="V552" i="1"/>
  <c r="Y552" i="1" s="1"/>
  <c r="Z552" i="1" s="1"/>
  <c r="H547" i="1" s="1"/>
  <c r="X552" i="1"/>
  <c r="W552" i="1"/>
  <c r="X541" i="1"/>
  <c r="W541" i="1"/>
  <c r="X478" i="1"/>
  <c r="W478" i="1"/>
  <c r="V279" i="1"/>
  <c r="Y279" i="1" s="1"/>
  <c r="Z279" i="1" s="1"/>
  <c r="X279" i="1"/>
  <c r="W279" i="1"/>
  <c r="X176" i="1"/>
  <c r="W176" i="1"/>
  <c r="V56" i="1"/>
  <c r="Y56" i="1" s="1"/>
  <c r="Z56" i="1" s="1"/>
  <c r="X56" i="1"/>
  <c r="W56" i="1"/>
  <c r="X1451" i="1"/>
  <c r="V1352" i="1"/>
  <c r="Y1352" i="1" s="1"/>
  <c r="Z1352" i="1" s="1"/>
  <c r="H1347" i="1" s="1"/>
  <c r="X1352" i="1"/>
  <c r="W1352" i="1"/>
  <c r="X1341" i="1"/>
  <c r="W1341" i="1"/>
  <c r="V1251" i="1"/>
  <c r="Y1251" i="1" s="1"/>
  <c r="Z1251" i="1" s="1"/>
  <c r="N1251" i="1" s="1"/>
  <c r="X1251" i="1"/>
  <c r="W1251" i="1"/>
  <c r="X1052" i="1"/>
  <c r="W1052" i="1"/>
  <c r="V949" i="1"/>
  <c r="Y949" i="1" s="1"/>
  <c r="Z949" i="1" s="1"/>
  <c r="G949" i="1" s="1"/>
  <c r="N949" i="1" s="1"/>
  <c r="X949" i="1"/>
  <c r="W949" i="1"/>
  <c r="X853" i="1"/>
  <c r="W853" i="1"/>
  <c r="X656" i="1"/>
  <c r="W656" i="1"/>
  <c r="V576" i="1"/>
  <c r="Y576" i="1" s="1"/>
  <c r="Z576" i="1" s="1"/>
  <c r="M578" i="1" s="1"/>
  <c r="X576" i="1"/>
  <c r="W576" i="1"/>
  <c r="V556" i="1"/>
  <c r="Y556" i="1" s="1"/>
  <c r="Z556" i="1" s="1"/>
  <c r="X277" i="1"/>
  <c r="V256" i="1"/>
  <c r="Y256" i="1" s="1"/>
  <c r="Z256" i="1" s="1"/>
  <c r="V254" i="1"/>
  <c r="Y254" i="1" s="1"/>
  <c r="Z254" i="1" s="1"/>
  <c r="H249" i="1" s="1"/>
  <c r="V76" i="1"/>
  <c r="Y76" i="1" s="1"/>
  <c r="Z76" i="1" s="1"/>
  <c r="M78" i="1" s="1"/>
  <c r="X76" i="1"/>
  <c r="W76" i="1"/>
  <c r="V1550" i="1"/>
  <c r="Y1550" i="1" s="1"/>
  <c r="Z1550" i="1" s="1"/>
  <c r="N1550" i="1" s="1"/>
  <c r="V1555" i="1"/>
  <c r="Y1555" i="1" s="1"/>
  <c r="Z1555" i="1" s="1"/>
  <c r="AG1549" i="1"/>
  <c r="V1349" i="1"/>
  <c r="Y1349" i="1" s="1"/>
  <c r="Z1349" i="1" s="1"/>
  <c r="G1349" i="1" s="1"/>
  <c r="N1349" i="1" s="1"/>
  <c r="V1275" i="1"/>
  <c r="Y1275" i="1" s="1"/>
  <c r="Z1275" i="1" s="1"/>
  <c r="M1276" i="1" s="1"/>
  <c r="X1275" i="1"/>
  <c r="W1275" i="1"/>
  <c r="V1253" i="1"/>
  <c r="Y1253" i="1" s="1"/>
  <c r="Z1253" i="1" s="1"/>
  <c r="H1248" i="1" s="1"/>
  <c r="V1179" i="1"/>
  <c r="Y1179" i="1" s="1"/>
  <c r="Z1179" i="1" s="1"/>
  <c r="X1179" i="1"/>
  <c r="W1179" i="1"/>
  <c r="V1154" i="1"/>
  <c r="Y1154" i="1" s="1"/>
  <c r="Z1154" i="1" s="1"/>
  <c r="H1149" i="1" s="1"/>
  <c r="X1141" i="1"/>
  <c r="W1141" i="1"/>
  <c r="X1055" i="1"/>
  <c r="W1055" i="1"/>
  <c r="V955" i="1"/>
  <c r="Y955" i="1" s="1"/>
  <c r="Z955" i="1" s="1"/>
  <c r="X955" i="1"/>
  <c r="W955" i="1"/>
  <c r="V856" i="1"/>
  <c r="Y856" i="1" s="1"/>
  <c r="Z856" i="1" s="1"/>
  <c r="X856" i="1"/>
  <c r="W856" i="1"/>
  <c r="X747" i="1"/>
  <c r="X450" i="1"/>
  <c r="X441" i="1"/>
  <c r="W441" i="1"/>
  <c r="V155" i="1"/>
  <c r="Y155" i="1" s="1"/>
  <c r="Z155" i="1" s="1"/>
  <c r="X155" i="1"/>
  <c r="W155" i="1"/>
  <c r="V51" i="1"/>
  <c r="Y51" i="1" s="1"/>
  <c r="Z51" i="1" s="1"/>
  <c r="N51" i="1" s="1"/>
  <c r="V1554" i="1"/>
  <c r="Y1554" i="1" s="1"/>
  <c r="Z1554" i="1" s="1"/>
  <c r="H1549" i="1" s="1"/>
  <c r="AG1548" i="1"/>
  <c r="X1456" i="1"/>
  <c r="V1249" i="1"/>
  <c r="Y1249" i="1" s="1"/>
  <c r="Z1249" i="1" s="1"/>
  <c r="G1249" i="1" s="1"/>
  <c r="N1249" i="1" s="1"/>
  <c r="X1249" i="1"/>
  <c r="W1249" i="1"/>
  <c r="V1152" i="1"/>
  <c r="Y1152" i="1" s="1"/>
  <c r="Z1152" i="1" s="1"/>
  <c r="H1147" i="1" s="1"/>
  <c r="X1152" i="1"/>
  <c r="W1152" i="1"/>
  <c r="V1075" i="1"/>
  <c r="Y1075" i="1" s="1"/>
  <c r="Z1075" i="1" s="1"/>
  <c r="M1076" i="1" s="1"/>
  <c r="X1075" i="1"/>
  <c r="W1075" i="1"/>
  <c r="V1048" i="1"/>
  <c r="Y1048" i="1" s="1"/>
  <c r="Z1048" i="1" s="1"/>
  <c r="G1048" i="1" s="1"/>
  <c r="N1048" i="1" s="1"/>
  <c r="V1053" i="1"/>
  <c r="Y1053" i="1" s="1"/>
  <c r="Z1053" i="1" s="1"/>
  <c r="H1048" i="1" s="1"/>
  <c r="V975" i="1"/>
  <c r="Y975" i="1" s="1"/>
  <c r="Z975" i="1" s="1"/>
  <c r="M976" i="1" s="1"/>
  <c r="X975" i="1"/>
  <c r="W975" i="1"/>
  <c r="X948" i="1"/>
  <c r="W948" i="1"/>
  <c r="V879" i="1"/>
  <c r="Y879" i="1" s="1"/>
  <c r="Z879" i="1" s="1"/>
  <c r="V878" i="1"/>
  <c r="Y878" i="1" s="1"/>
  <c r="Z878" i="1" s="1"/>
  <c r="F878" i="1" s="1"/>
  <c r="V877" i="1"/>
  <c r="Y877" i="1" s="1"/>
  <c r="Z877" i="1" s="1"/>
  <c r="D878" i="1" s="1"/>
  <c r="X877" i="1"/>
  <c r="W877" i="1"/>
  <c r="V849" i="1"/>
  <c r="Y849" i="1" s="1"/>
  <c r="Z849" i="1" s="1"/>
  <c r="G849" i="1" s="1"/>
  <c r="N849" i="1" s="1"/>
  <c r="X776" i="1"/>
  <c r="X649" i="1"/>
  <c r="V579" i="1"/>
  <c r="Y579" i="1" s="1"/>
  <c r="Z579" i="1" s="1"/>
  <c r="X579" i="1"/>
  <c r="W579" i="1"/>
  <c r="V153" i="1"/>
  <c r="Y153" i="1" s="1"/>
  <c r="Z153" i="1" s="1"/>
  <c r="H148" i="1" s="1"/>
  <c r="AG1948" i="1"/>
  <c r="AG1949" i="1"/>
  <c r="AG1950" i="1"/>
  <c r="Y1941" i="1"/>
  <c r="Z1941" i="1" s="1"/>
  <c r="V1553" i="1"/>
  <c r="Y1553" i="1" s="1"/>
  <c r="Z1553" i="1" s="1"/>
  <c r="H1548" i="1" s="1"/>
  <c r="X1441" i="1"/>
  <c r="W1441" i="1"/>
  <c r="X1350" i="1"/>
  <c r="W1350" i="1"/>
  <c r="X1053" i="1"/>
  <c r="W1053" i="1"/>
  <c r="V950" i="1"/>
  <c r="Y950" i="1" s="1"/>
  <c r="Z950" i="1" s="1"/>
  <c r="N950" i="1" s="1"/>
  <c r="X850" i="1"/>
  <c r="W850" i="1"/>
  <c r="V750" i="1"/>
  <c r="Y750" i="1" s="1"/>
  <c r="Z750" i="1" s="1"/>
  <c r="N750" i="1" s="1"/>
  <c r="X750" i="1"/>
  <c r="W750" i="1"/>
  <c r="X556" i="1"/>
  <c r="W556" i="1"/>
  <c r="V1552" i="1"/>
  <c r="Y1552" i="1" s="1"/>
  <c r="Z1552" i="1" s="1"/>
  <c r="H1547" i="1" s="1"/>
  <c r="V1452" i="1"/>
  <c r="Y1452" i="1" s="1"/>
  <c r="Z1452" i="1" s="1"/>
  <c r="H1447" i="1" s="1"/>
  <c r="X1353" i="1"/>
  <c r="V1255" i="1"/>
  <c r="Y1255" i="1" s="1"/>
  <c r="Z1255" i="1" s="1"/>
  <c r="X1255" i="1"/>
  <c r="W1255" i="1"/>
  <c r="V1150" i="1"/>
  <c r="Y1150" i="1" s="1"/>
  <c r="Z1150" i="1" s="1"/>
  <c r="N1150" i="1" s="1"/>
  <c r="V1155" i="1"/>
  <c r="Y1155" i="1" s="1"/>
  <c r="Z1155" i="1" s="1"/>
  <c r="V1056" i="1"/>
  <c r="Y1056" i="1" s="1"/>
  <c r="Z1056" i="1" s="1"/>
  <c r="X1056" i="1"/>
  <c r="W1056" i="1"/>
  <c r="X952" i="1"/>
  <c r="W952" i="1"/>
  <c r="X879" i="1"/>
  <c r="W879" i="1"/>
  <c r="V755" i="1"/>
  <c r="Y755" i="1" s="1"/>
  <c r="Z755" i="1" s="1"/>
  <c r="X454" i="1"/>
  <c r="W454" i="1"/>
  <c r="X249" i="1"/>
  <c r="V49" i="1"/>
  <c r="Y49" i="1" s="1"/>
  <c r="Z49" i="1" s="1"/>
  <c r="G49" i="1" s="1"/>
  <c r="N49" i="1" s="1"/>
  <c r="V54" i="1"/>
  <c r="Y54" i="1" s="1"/>
  <c r="Z54" i="1" s="1"/>
  <c r="H49" i="1" s="1"/>
  <c r="V1453" i="1"/>
  <c r="Y1453" i="1" s="1"/>
  <c r="Z1453" i="1" s="1"/>
  <c r="H1448" i="1" s="1"/>
  <c r="V1250" i="1"/>
  <c r="Y1250" i="1" s="1"/>
  <c r="Z1250" i="1" s="1"/>
  <c r="N1250" i="1" s="1"/>
  <c r="X1250" i="1"/>
  <c r="W1250" i="1"/>
  <c r="X1047" i="1"/>
  <c r="W1047" i="1"/>
  <c r="X878" i="1"/>
  <c r="W878" i="1"/>
  <c r="X841" i="1"/>
  <c r="X755" i="1"/>
  <c r="W755" i="1"/>
  <c r="V748" i="1"/>
  <c r="Y748" i="1" s="1"/>
  <c r="Z748" i="1" s="1"/>
  <c r="G748" i="1" s="1"/>
  <c r="N748" i="1" s="1"/>
  <c r="V456" i="1"/>
  <c r="Y456" i="1" s="1"/>
  <c r="Z456" i="1" s="1"/>
  <c r="X150" i="1"/>
  <c r="X54" i="1"/>
  <c r="W54" i="1"/>
  <c r="X1453" i="1"/>
  <c r="W1453" i="1"/>
  <c r="V1356" i="1"/>
  <c r="Y1356" i="1" s="1"/>
  <c r="Z1356" i="1" s="1"/>
  <c r="X1356" i="1"/>
  <c r="W1356" i="1"/>
  <c r="X1156" i="1"/>
  <c r="W1156" i="1"/>
  <c r="X1076" i="1"/>
  <c r="X1050" i="1"/>
  <c r="W1050" i="1"/>
  <c r="X950" i="1"/>
  <c r="W950" i="1"/>
  <c r="V851" i="1"/>
  <c r="Y851" i="1" s="1"/>
  <c r="Z851" i="1" s="1"/>
  <c r="N851" i="1" s="1"/>
  <c r="X851" i="1"/>
  <c r="W851" i="1"/>
  <c r="X679" i="1"/>
  <c r="X654" i="1"/>
  <c r="W654" i="1"/>
  <c r="V655" i="1"/>
  <c r="Y655" i="1" s="1"/>
  <c r="Z655" i="1" s="1"/>
  <c r="V554" i="1"/>
  <c r="Y554" i="1" s="1"/>
  <c r="Z554" i="1" s="1"/>
  <c r="H549" i="1" s="1"/>
  <c r="X456" i="1"/>
  <c r="W456" i="1"/>
  <c r="X447" i="1"/>
  <c r="X252" i="1"/>
  <c r="W252" i="1"/>
  <c r="X141" i="1"/>
  <c r="W141" i="1"/>
  <c r="X48" i="1"/>
  <c r="X1551" i="1"/>
  <c r="W1551" i="1"/>
  <c r="X1452" i="1"/>
  <c r="W1452" i="1"/>
  <c r="X1252" i="1"/>
  <c r="W1252" i="1"/>
  <c r="X1155" i="1"/>
  <c r="W1155" i="1"/>
  <c r="X1150" i="1"/>
  <c r="W1150" i="1"/>
  <c r="V1079" i="1"/>
  <c r="Y1079" i="1" s="1"/>
  <c r="Z1079" i="1" s="1"/>
  <c r="X1079" i="1"/>
  <c r="W1079" i="1"/>
  <c r="X953" i="1"/>
  <c r="W953" i="1"/>
  <c r="V756" i="1"/>
  <c r="Y756" i="1" s="1"/>
  <c r="Z756" i="1" s="1"/>
  <c r="X648" i="1"/>
  <c r="X641" i="1"/>
  <c r="W641" i="1"/>
  <c r="V577" i="1"/>
  <c r="Y577" i="1" s="1"/>
  <c r="Z577" i="1" s="1"/>
  <c r="D578" i="1" s="1"/>
  <c r="X577" i="1"/>
  <c r="W577" i="1"/>
  <c r="X153" i="1"/>
  <c r="W153" i="1"/>
  <c r="X49" i="1"/>
  <c r="W49" i="1"/>
  <c r="X1550" i="1"/>
  <c r="W1550" i="1"/>
  <c r="X1476" i="1"/>
  <c r="W1476" i="1"/>
  <c r="X1450" i="1"/>
  <c r="X1447" i="1"/>
  <c r="V1375" i="1"/>
  <c r="Y1375" i="1" s="1"/>
  <c r="Z1375" i="1" s="1"/>
  <c r="M1376" i="1" s="1"/>
  <c r="X1375" i="1"/>
  <c r="W1375" i="1"/>
  <c r="X1349" i="1"/>
  <c r="W1349" i="1"/>
  <c r="V1277" i="1"/>
  <c r="Y1277" i="1" s="1"/>
  <c r="Z1277" i="1" s="1"/>
  <c r="D1278" i="1" s="1"/>
  <c r="X1277" i="1"/>
  <c r="W1277" i="1"/>
  <c r="X1247" i="1"/>
  <c r="W1247" i="1"/>
  <c r="X1154" i="1"/>
  <c r="W1154" i="1"/>
  <c r="V1078" i="1"/>
  <c r="Y1078" i="1" s="1"/>
  <c r="Z1078" i="1" s="1"/>
  <c r="F1078" i="1" s="1"/>
  <c r="X1078" i="1"/>
  <c r="W1078" i="1"/>
  <c r="V956" i="1"/>
  <c r="Y956" i="1" s="1"/>
  <c r="Z956" i="1" s="1"/>
  <c r="X956" i="1"/>
  <c r="W956" i="1"/>
  <c r="X756" i="1"/>
  <c r="W756" i="1"/>
  <c r="X748" i="1"/>
  <c r="W748" i="1"/>
  <c r="X476" i="1"/>
  <c r="W476" i="1"/>
  <c r="X254" i="1"/>
  <c r="W254" i="1"/>
  <c r="V241" i="1"/>
  <c r="Y241" i="1" s="1"/>
  <c r="Z241" i="1" s="1"/>
  <c r="X78" i="1"/>
  <c r="X51" i="1"/>
  <c r="W51" i="1"/>
  <c r="X1379" i="1"/>
  <c r="W1379" i="1"/>
  <c r="X1153" i="1"/>
  <c r="W1153" i="1"/>
  <c r="X1147" i="1"/>
  <c r="V1077" i="1"/>
  <c r="Y1077" i="1" s="1"/>
  <c r="Z1077" i="1" s="1"/>
  <c r="D1078" i="1" s="1"/>
  <c r="X1077" i="1"/>
  <c r="W1077" i="1"/>
  <c r="X1048" i="1"/>
  <c r="W1048" i="1"/>
  <c r="V977" i="1"/>
  <c r="Y977" i="1" s="1"/>
  <c r="Z977" i="1" s="1"/>
  <c r="D978" i="1" s="1"/>
  <c r="X977" i="1"/>
  <c r="W977" i="1"/>
  <c r="V951" i="1"/>
  <c r="Y951" i="1" s="1"/>
  <c r="Z951" i="1" s="1"/>
  <c r="N951" i="1" s="1"/>
  <c r="X951" i="1"/>
  <c r="W951" i="1"/>
  <c r="X849" i="1"/>
  <c r="W849" i="1"/>
  <c r="X741" i="1"/>
  <c r="W741" i="1"/>
  <c r="X655" i="1"/>
  <c r="W655" i="1"/>
  <c r="X554" i="1"/>
  <c r="W554" i="1"/>
  <c r="X451" i="1"/>
  <c r="X241" i="1"/>
  <c r="W241" i="1"/>
  <c r="X178" i="1"/>
  <c r="W178" i="1"/>
  <c r="V154" i="1"/>
  <c r="Y154" i="1" s="1"/>
  <c r="Z154" i="1" s="1"/>
  <c r="H149" i="1" s="1"/>
  <c r="V75" i="1"/>
  <c r="Y75" i="1" s="1"/>
  <c r="Z75" i="1" s="1"/>
  <c r="M76" i="1" s="1"/>
  <c r="X75" i="1"/>
  <c r="W75" i="1"/>
  <c r="X1454" i="1"/>
  <c r="X1378" i="1"/>
  <c r="W1378" i="1"/>
  <c r="X1348" i="1"/>
  <c r="W1348" i="1"/>
  <c r="X1253" i="1"/>
  <c r="W1253" i="1"/>
  <c r="X1241" i="1"/>
  <c r="W1241" i="1"/>
  <c r="V1177" i="1"/>
  <c r="Y1177" i="1" s="1"/>
  <c r="Z1177" i="1" s="1"/>
  <c r="D1178" i="1" s="1"/>
  <c r="X1177" i="1"/>
  <c r="W1177" i="1"/>
  <c r="X855" i="1"/>
  <c r="W855" i="1"/>
  <c r="X847" i="1"/>
  <c r="W847" i="1"/>
  <c r="X676" i="1"/>
  <c r="W676" i="1"/>
  <c r="X549" i="1"/>
  <c r="X256" i="1"/>
  <c r="W256" i="1"/>
  <c r="X154" i="1"/>
  <c r="W154" i="1"/>
  <c r="V1978" i="1"/>
  <c r="Y1978" i="1" s="1"/>
  <c r="Z1978" i="1" s="1"/>
  <c r="F1978" i="1" s="1"/>
  <c r="X1978" i="1"/>
  <c r="W1978" i="1"/>
  <c r="V1949" i="1"/>
  <c r="Y1949" i="1" s="1"/>
  <c r="Z1949" i="1" s="1"/>
  <c r="G1949" i="1" s="1"/>
  <c r="N1949" i="1" s="1"/>
  <c r="X1949" i="1"/>
  <c r="W1949" i="1"/>
  <c r="Y1851" i="1"/>
  <c r="Z1851" i="1" s="1"/>
  <c r="N1851" i="1" s="1"/>
  <c r="AG1850" i="1"/>
  <c r="Y1849" i="1"/>
  <c r="Z1849" i="1" s="1"/>
  <c r="G1849" i="1" s="1"/>
  <c r="N1849" i="1" s="1"/>
  <c r="Y1854" i="1"/>
  <c r="Z1854" i="1" s="1"/>
  <c r="H1849" i="1" s="1"/>
  <c r="AG1848" i="1"/>
  <c r="V1656" i="1"/>
  <c r="Y1656" i="1" s="1"/>
  <c r="Z1656" i="1" s="1"/>
  <c r="X1656" i="1"/>
  <c r="W1656" i="1"/>
  <c r="V1975" i="1"/>
  <c r="Y1975" i="1" s="1"/>
  <c r="Z1975" i="1" s="1"/>
  <c r="M1976" i="1" s="1"/>
  <c r="X1975" i="1"/>
  <c r="W1975" i="1"/>
  <c r="V1948" i="1"/>
  <c r="Y1948" i="1" s="1"/>
  <c r="Z1948" i="1" s="1"/>
  <c r="G1948" i="1" s="1"/>
  <c r="N1948" i="1" s="1"/>
  <c r="X1948" i="1"/>
  <c r="W1948" i="1"/>
  <c r="V1847" i="1"/>
  <c r="Y1847" i="1" s="1"/>
  <c r="Z1847" i="1" s="1"/>
  <c r="G1847" i="1" s="1"/>
  <c r="N1847" i="1" s="1"/>
  <c r="X1847" i="1"/>
  <c r="W1847" i="1"/>
  <c r="Y1776" i="1"/>
  <c r="Z1776" i="1" s="1"/>
  <c r="M1778" i="1" s="1"/>
  <c r="V1779" i="1"/>
  <c r="Y1779" i="1" s="1"/>
  <c r="Z1779" i="1" s="1"/>
  <c r="V1778" i="1"/>
  <c r="Y1778" i="1" s="1"/>
  <c r="Z1778" i="1" s="1"/>
  <c r="F1778" i="1" s="1"/>
  <c r="V1777" i="1"/>
  <c r="Y1777" i="1" s="1"/>
  <c r="Z1777" i="1" s="1"/>
  <c r="D1778" i="1" s="1"/>
  <c r="X1777" i="1"/>
  <c r="W1777" i="1"/>
  <c r="V1748" i="1"/>
  <c r="Y1748" i="1" s="1"/>
  <c r="Z1748" i="1" s="1"/>
  <c r="G1748" i="1" s="1"/>
  <c r="N1748" i="1" s="1"/>
  <c r="X1748" i="1"/>
  <c r="W1748" i="1"/>
  <c r="Y1651" i="1"/>
  <c r="Z1651" i="1" s="1"/>
  <c r="N1651" i="1" s="1"/>
  <c r="Y1649" i="1"/>
  <c r="Z1649" i="1" s="1"/>
  <c r="G1649" i="1" s="1"/>
  <c r="N1649" i="1" s="1"/>
  <c r="V1654" i="1"/>
  <c r="Y1654" i="1" s="1"/>
  <c r="Z1654" i="1" s="1"/>
  <c r="H1649" i="1" s="1"/>
  <c r="X1641" i="1"/>
  <c r="W1641" i="1"/>
  <c r="X1555" i="1"/>
  <c r="W1555" i="1"/>
  <c r="V1951" i="1"/>
  <c r="Y1951" i="1" s="1"/>
  <c r="Z1951" i="1" s="1"/>
  <c r="V1956" i="1"/>
  <c r="Y1956" i="1" s="1"/>
  <c r="Z1956" i="1" s="1"/>
  <c r="Y1879" i="1"/>
  <c r="Z1879" i="1" s="1"/>
  <c r="X1879" i="1"/>
  <c r="V1753" i="1"/>
  <c r="Y1753" i="1" s="1"/>
  <c r="Z1753" i="1" s="1"/>
  <c r="H1748" i="1" s="1"/>
  <c r="X1753" i="1"/>
  <c r="W1753" i="1"/>
  <c r="V1676" i="1"/>
  <c r="Y1676" i="1" s="1"/>
  <c r="Z1676" i="1" s="1"/>
  <c r="M1678" i="1" s="1"/>
  <c r="X1676" i="1"/>
  <c r="W1676" i="1"/>
  <c r="Y1648" i="1"/>
  <c r="Z1648" i="1" s="1"/>
  <c r="G1648" i="1" s="1"/>
  <c r="N1648" i="1" s="1"/>
  <c r="V1653" i="1"/>
  <c r="Y1653" i="1" s="1"/>
  <c r="Z1653" i="1" s="1"/>
  <c r="H1648" i="1" s="1"/>
  <c r="V1979" i="1"/>
  <c r="Y1979" i="1" s="1"/>
  <c r="Z1979" i="1" s="1"/>
  <c r="X1979" i="1"/>
  <c r="W1979" i="1"/>
  <c r="V1950" i="1"/>
  <c r="Y1950" i="1" s="1"/>
  <c r="Z1950" i="1" s="1"/>
  <c r="X1950" i="1"/>
  <c r="W1950" i="1"/>
  <c r="Y1875" i="1"/>
  <c r="Z1875" i="1" s="1"/>
  <c r="M1876" i="1" s="1"/>
  <c r="X1875" i="1"/>
  <c r="V1852" i="1"/>
  <c r="Y1852" i="1" s="1"/>
  <c r="Z1852" i="1" s="1"/>
  <c r="H1847" i="1" s="1"/>
  <c r="X1852" i="1"/>
  <c r="W1852" i="1"/>
  <c r="V1752" i="1"/>
  <c r="Y1752" i="1" s="1"/>
  <c r="Z1752" i="1" s="1"/>
  <c r="H1747" i="1" s="1"/>
  <c r="X1752" i="1"/>
  <c r="W1752" i="1"/>
  <c r="Y1675" i="1"/>
  <c r="Z1675" i="1" s="1"/>
  <c r="M1676" i="1" s="1"/>
  <c r="X1675" i="1"/>
  <c r="V1579" i="1"/>
  <c r="Y1579" i="1" s="1"/>
  <c r="Z1579" i="1" s="1"/>
  <c r="X1579" i="1"/>
  <c r="W1579" i="1"/>
  <c r="AG1748" i="1"/>
  <c r="AG1749" i="1"/>
  <c r="AG1750" i="1"/>
  <c r="Y1741" i="1"/>
  <c r="Z1741" i="1" s="1"/>
  <c r="V1955" i="1"/>
  <c r="Y1955" i="1" s="1"/>
  <c r="Z1955" i="1" s="1"/>
  <c r="X1851" i="1"/>
  <c r="V1755" i="1"/>
  <c r="Y1755" i="1" s="1"/>
  <c r="Z1755" i="1" s="1"/>
  <c r="X1755" i="1"/>
  <c r="W1755" i="1"/>
  <c r="X1552" i="1"/>
  <c r="W1552" i="1"/>
  <c r="Y1976" i="1"/>
  <c r="Z1976" i="1" s="1"/>
  <c r="M1978" i="1" s="1"/>
  <c r="V1977" i="1"/>
  <c r="Y1977" i="1" s="1"/>
  <c r="Z1977" i="1" s="1"/>
  <c r="D1978" i="1" s="1"/>
  <c r="X1977" i="1"/>
  <c r="W1977" i="1"/>
  <c r="V1954" i="1"/>
  <c r="Y1954" i="1" s="1"/>
  <c r="Z1954" i="1" s="1"/>
  <c r="H1949" i="1" s="1"/>
  <c r="Y1848" i="1"/>
  <c r="Z1848" i="1" s="1"/>
  <c r="G1848" i="1" s="1"/>
  <c r="N1848" i="1" s="1"/>
  <c r="Y1853" i="1"/>
  <c r="Z1853" i="1" s="1"/>
  <c r="H1848" i="1" s="1"/>
  <c r="V1750" i="1"/>
  <c r="Y1750" i="1" s="1"/>
  <c r="Z1750" i="1" s="1"/>
  <c r="N1750" i="1" s="1"/>
  <c r="X1750" i="1"/>
  <c r="W1750" i="1"/>
  <c r="X1649" i="1"/>
  <c r="Y1647" i="1"/>
  <c r="Z1647" i="1" s="1"/>
  <c r="G1647" i="1" s="1"/>
  <c r="N1647" i="1" s="1"/>
  <c r="V1652" i="1"/>
  <c r="Y1652" i="1" s="1"/>
  <c r="Z1652" i="1" s="1"/>
  <c r="H1647" i="1" s="1"/>
  <c r="V1953" i="1"/>
  <c r="Y1953" i="1" s="1"/>
  <c r="Z1953" i="1" s="1"/>
  <c r="H1948" i="1" s="1"/>
  <c r="X1953" i="1"/>
  <c r="W1953" i="1"/>
  <c r="V1876" i="1"/>
  <c r="Y1876" i="1" s="1"/>
  <c r="Z1876" i="1" s="1"/>
  <c r="M1878" i="1" s="1"/>
  <c r="X1876" i="1"/>
  <c r="W1876" i="1"/>
  <c r="V1775" i="1"/>
  <c r="Y1775" i="1" s="1"/>
  <c r="Z1775" i="1" s="1"/>
  <c r="M1776" i="1" s="1"/>
  <c r="X1775" i="1"/>
  <c r="W1775" i="1"/>
  <c r="V1747" i="1"/>
  <c r="Y1747" i="1" s="1"/>
  <c r="Z1747" i="1" s="1"/>
  <c r="G1747" i="1" s="1"/>
  <c r="N1747" i="1" s="1"/>
  <c r="Y1679" i="1"/>
  <c r="Z1679" i="1" s="1"/>
  <c r="Y1678" i="1"/>
  <c r="Z1678" i="1" s="1"/>
  <c r="F1678" i="1" s="1"/>
  <c r="Y1677" i="1"/>
  <c r="Z1677" i="1" s="1"/>
  <c r="D1678" i="1" s="1"/>
  <c r="X1648" i="1"/>
  <c r="X1554" i="1"/>
  <c r="W1554" i="1"/>
  <c r="X1779" i="1"/>
  <c r="W1779" i="1"/>
  <c r="AG1849" i="1"/>
  <c r="V1841" i="1"/>
  <c r="Y1841" i="1" s="1"/>
  <c r="Z1841" i="1" s="1"/>
  <c r="X1955" i="1"/>
  <c r="W1955" i="1"/>
  <c r="Y1850" i="1"/>
  <c r="Z1850" i="1" s="1"/>
  <c r="N1850" i="1" s="1"/>
  <c r="Y1855" i="1"/>
  <c r="Z1855" i="1" s="1"/>
  <c r="Y1756" i="1"/>
  <c r="Z1756" i="1" s="1"/>
  <c r="X1756" i="1"/>
  <c r="V1749" i="1"/>
  <c r="Y1749" i="1" s="1"/>
  <c r="Z1749" i="1" s="1"/>
  <c r="G1749" i="1" s="1"/>
  <c r="N1749" i="1" s="1"/>
  <c r="V1754" i="1"/>
  <c r="Y1754" i="1" s="1"/>
  <c r="Z1754" i="1" s="1"/>
  <c r="H1749" i="1" s="1"/>
  <c r="X1951" i="1"/>
  <c r="W1951" i="1"/>
  <c r="X1848" i="1"/>
  <c r="X1841" i="1"/>
  <c r="W1841" i="1"/>
  <c r="V1751" i="1"/>
  <c r="Y1751" i="1" s="1"/>
  <c r="Z1751" i="1" s="1"/>
  <c r="N1751" i="1" s="1"/>
  <c r="V1655" i="1"/>
  <c r="Y1655" i="1" s="1"/>
  <c r="Z1655" i="1" s="1"/>
  <c r="X1655" i="1"/>
  <c r="W1655" i="1"/>
  <c r="Y1650" i="1"/>
  <c r="Z1650" i="1" s="1"/>
  <c r="N1650" i="1" s="1"/>
  <c r="V1576" i="1"/>
  <c r="Y1576" i="1" s="1"/>
  <c r="Z1576" i="1" s="1"/>
  <c r="M1578" i="1" s="1"/>
  <c r="V1578" i="1"/>
  <c r="Y1578" i="1" s="1"/>
  <c r="Z1578" i="1" s="1"/>
  <c r="F1578" i="1" s="1"/>
  <c r="V1577" i="1"/>
  <c r="Y1577" i="1" s="1"/>
  <c r="Z1577" i="1" s="1"/>
  <c r="D1578" i="1" s="1"/>
  <c r="X1577" i="1"/>
  <c r="W1577" i="1"/>
  <c r="V1947" i="1"/>
  <c r="Y1947" i="1" s="1"/>
  <c r="Z1947" i="1" s="1"/>
  <c r="G1947" i="1" s="1"/>
  <c r="N1947" i="1" s="1"/>
  <c r="X1947" i="1"/>
  <c r="W1947" i="1"/>
  <c r="Y1878" i="1"/>
  <c r="Z1878" i="1" s="1"/>
  <c r="F1878" i="1" s="1"/>
  <c r="Y1877" i="1"/>
  <c r="Z1877" i="1" s="1"/>
  <c r="D1878" i="1" s="1"/>
  <c r="X1654" i="1"/>
  <c r="W1654" i="1"/>
  <c r="X1576" i="1"/>
  <c r="W1576" i="1"/>
  <c r="V1952" i="1"/>
  <c r="Y1952" i="1" s="1"/>
  <c r="Z1952" i="1" s="1"/>
  <c r="H1947" i="1" s="1"/>
  <c r="X1952" i="1"/>
  <c r="W1952" i="1"/>
  <c r="X1553" i="1"/>
  <c r="W1553" i="1"/>
  <c r="X1778" i="1"/>
  <c r="W1778" i="1"/>
  <c r="X1751" i="1"/>
  <c r="W1751" i="1"/>
  <c r="X1652" i="1"/>
  <c r="W1652" i="1"/>
  <c r="X1578" i="1"/>
  <c r="W1578" i="1"/>
  <c r="X1954" i="1"/>
  <c r="W1954" i="1"/>
  <c r="X1754" i="1"/>
  <c r="W1754" i="1"/>
  <c r="X1747" i="1"/>
  <c r="W1747" i="1"/>
  <c r="X1878" i="1"/>
  <c r="X1679" i="1"/>
  <c r="X1956" i="1"/>
  <c r="W1956" i="1"/>
  <c r="X1749" i="1"/>
  <c r="W1749" i="1"/>
  <c r="X1653" i="1"/>
  <c r="W1653" i="1"/>
  <c r="V1575" i="1"/>
  <c r="Y1575" i="1" s="1"/>
  <c r="Z1575" i="1" s="1"/>
  <c r="M1576" i="1" s="1"/>
  <c r="X1575" i="1"/>
  <c r="W1575" i="1"/>
  <c r="X1976" i="1"/>
  <c r="Y3842" i="1"/>
  <c r="Z3842" i="1" s="1"/>
  <c r="Y3841" i="1"/>
  <c r="Z3841" i="1" s="1"/>
  <c r="X3842" i="1"/>
  <c r="W3842" i="1"/>
  <c r="H3" i="7" l="1"/>
  <c r="AE1246" i="1"/>
  <c r="G1244" i="1" s="1"/>
  <c r="AE1146" i="1"/>
  <c r="G1144" i="1" s="1"/>
  <c r="Y41" i="1"/>
  <c r="Z41" i="1" s="1"/>
  <c r="AE1546" i="1"/>
  <c r="G1544" i="1" s="1"/>
  <c r="AE846" i="1"/>
  <c r="G844" i="1" s="1"/>
  <c r="AE1046" i="1"/>
  <c r="G1044" i="1" s="1"/>
  <c r="BH4410" i="1"/>
  <c r="AE1446" i="1"/>
  <c r="G1444" i="1" s="1"/>
  <c r="AE47" i="1"/>
  <c r="AE46" i="1" s="1"/>
  <c r="G44" i="1" s="1"/>
  <c r="AE446" i="1"/>
  <c r="G444" i="1" s="1"/>
  <c r="BG4410" i="1"/>
  <c r="BG4400" i="1"/>
  <c r="AG1846" i="1"/>
  <c r="G1843" i="1" s="1"/>
  <c r="AE946" i="1"/>
  <c r="G944" i="1" s="1"/>
  <c r="AE546" i="1"/>
  <c r="G544" i="1" s="1"/>
  <c r="AE1346" i="1"/>
  <c r="G1344" i="1" s="1"/>
  <c r="AG1546" i="1"/>
  <c r="G1543" i="1" s="1"/>
  <c r="AE746" i="1"/>
  <c r="G744" i="1" s="1"/>
  <c r="AG1446" i="1"/>
  <c r="G1443" i="1" s="1"/>
  <c r="AE646" i="1"/>
  <c r="G644" i="1" s="1"/>
  <c r="AG146" i="1"/>
  <c r="G143" i="1" s="1"/>
  <c r="AG1746" i="1"/>
  <c r="G1743" i="1" s="1"/>
  <c r="AG1246" i="1"/>
  <c r="G1243" i="1" s="1"/>
  <c r="AG946" i="1"/>
  <c r="G943" i="1" s="1"/>
  <c r="AG1946" i="1"/>
  <c r="G1943" i="1" s="1"/>
  <c r="AG246" i="1"/>
  <c r="G243" i="1" s="1"/>
  <c r="AG646" i="1"/>
  <c r="G643" i="1" s="1"/>
  <c r="AG1146" i="1"/>
  <c r="G1143" i="1" s="1"/>
  <c r="AG1046" i="1"/>
  <c r="G1043" i="1" s="1"/>
  <c r="AE246" i="1"/>
  <c r="G244" i="1" s="1"/>
  <c r="AG1646" i="1"/>
  <c r="G1643" i="1" s="1"/>
  <c r="AG846" i="1"/>
  <c r="G843" i="1" s="1"/>
  <c r="AG546" i="1"/>
  <c r="G543" i="1" s="1"/>
  <c r="AG1346" i="1"/>
  <c r="G1343" i="1" s="1"/>
  <c r="AG446" i="1"/>
  <c r="G443" i="1" s="1"/>
  <c r="AG746" i="1"/>
  <c r="G743" i="1" s="1"/>
  <c r="AG46" i="1"/>
  <c r="G43" i="1" s="1"/>
  <c r="AE146" i="1"/>
  <c r="G144" i="1" s="1"/>
  <c r="BF4300" i="1" l="1"/>
  <c r="BF4296" i="1"/>
  <c r="BH4302" i="1"/>
  <c r="BG4302" i="1"/>
  <c r="BF4299" i="1" l="1"/>
  <c r="BF4182" i="1"/>
  <c r="CF4183" i="1"/>
  <c r="CF4296" i="1"/>
  <c r="CF4299" i="1"/>
  <c r="BF4297" i="1"/>
  <c r="BF4179" i="1"/>
  <c r="BF4183" i="1"/>
  <c r="CF4300" i="1"/>
  <c r="CF4298" i="1"/>
  <c r="CF4181" i="1"/>
  <c r="BF4184" i="1"/>
  <c r="BF4301" i="1"/>
  <c r="BF4181" i="1"/>
  <c r="BF4298" i="1"/>
  <c r="CF4178" i="1"/>
  <c r="CF4295" i="1"/>
  <c r="BF4178" i="1"/>
  <c r="BF4295" i="1"/>
  <c r="CF4179" i="1" l="1"/>
  <c r="BF4185" i="1"/>
  <c r="CF4182" i="1"/>
  <c r="BF4180" i="1"/>
  <c r="CF4297" i="1"/>
  <c r="CF4180" i="1"/>
  <c r="CF4184" i="1"/>
  <c r="CF4301" i="1"/>
  <c r="BF4302" i="1"/>
  <c r="CF4185" i="1" l="1"/>
  <c r="CF4302" i="1"/>
  <c r="W5" i="2"/>
  <c r="W6" i="2" s="1"/>
  <c r="W7" i="2" s="1"/>
  <c r="W8" i="2" s="1"/>
  <c r="W9" i="2" s="1"/>
  <c r="W10" i="2" s="1"/>
  <c r="W11" i="2" s="1"/>
  <c r="W12" i="2" s="1"/>
  <c r="W13" i="2" s="1"/>
  <c r="W14" i="2" s="1"/>
  <c r="W15" i="2" s="1"/>
  <c r="W16" i="2" s="1"/>
  <c r="W17" i="2" s="1"/>
  <c r="W18" i="2" s="1"/>
  <c r="W19" i="2" s="1"/>
  <c r="W20" i="2" s="1"/>
  <c r="W21" i="2" s="1"/>
  <c r="W22" i="2" s="1"/>
  <c r="W23" i="2" s="1"/>
  <c r="W24" i="2" s="1"/>
  <c r="W25" i="2" s="1"/>
  <c r="W26" i="2" s="1"/>
  <c r="W27" i="2" s="1"/>
  <c r="W28" i="2" s="1"/>
  <c r="W29" i="2" s="1"/>
  <c r="W30" i="2" s="1"/>
  <c r="W31" i="2" s="1"/>
  <c r="W3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B33" authorId="0" shapeId="0" xr:uid="{00000000-0006-0000-0000-000001000000}">
      <text>
        <r>
          <rPr>
            <b/>
            <sz val="9"/>
            <color indexed="81"/>
            <rFont val="Tahoma"/>
            <family val="2"/>
          </rPr>
          <t>Scorecards attached must be based on the Conditions of Tender: Tender Data Clause 5.11.8</t>
        </r>
      </text>
    </comment>
  </commentList>
</comments>
</file>

<file path=xl/sharedStrings.xml><?xml version="1.0" encoding="utf-8"?>
<sst xmlns="http://schemas.openxmlformats.org/spreadsheetml/2006/main" count="2940" uniqueCount="876">
  <si>
    <t>TENDERER NAME:</t>
  </si>
  <si>
    <t>BACK</t>
  </si>
  <si>
    <t>NOTES TO TENDERER</t>
  </si>
  <si>
    <t>USER DEFINED MATRIX</t>
  </si>
  <si>
    <t xml:space="preserve">ver. Cert. </t>
  </si>
  <si>
    <t>JV part.</t>
  </si>
  <si>
    <r>
      <t xml:space="preserve">1. Do not rename the worksheet name tags.
2. Please complete all the relevant B forms and attach a scanned copy of your current valid verifcation certificate to the CD. 
3. Fill in all relevant blocks coloured in yellow as well as drop-down boxes applicable to this tender.
4. If required, please clarify or elaborate on information in the comment area provided on each B1 and B2 sheet.
5. The macros might need to be enabled - see next page of notes.
6. Once all required information is completed, write this excel file to a blank CD and submit in the envelope with your Technical Proposal.
</t>
    </r>
    <r>
      <rPr>
        <b/>
        <sz val="12"/>
        <rFont val="Arial"/>
        <family val="2"/>
      </rPr>
      <t>NOTE: DO NOT USE OLD FORMS FROM PREVIOUS TENDERS AS VITAL INFORMATION MIGHT BE MISSING.</t>
    </r>
    <r>
      <rPr>
        <sz val="12"/>
        <rFont val="Arial"/>
        <family val="2"/>
      </rPr>
      <t xml:space="preserve">
DO NOT "CUT AND PASTE" IN THIS SPREADSHEET AND ENSURE THAT ALL INFORMATION IS CORRECTLY ENTERED AND IN THE CORRECT FORMAT AS INCOMPLETE OR INCORRECT SUBMISSIONS WILL INFLUENCE YOUR FINAL SCORE
</t>
    </r>
    <r>
      <rPr>
        <b/>
        <sz val="12"/>
        <rFont val="Arial"/>
        <family val="2"/>
      </rPr>
      <t>THESE FORMS ARE ISSUED IN MS EXCEL 2016 AND SHOULD BE RETURNED IN MS EXCEL 2016 FORMAT.
FAILURE TO COMPLY MIGHT RENDER YOUR TENDER NON-NRESPONSIVE.</t>
    </r>
  </si>
  <si>
    <t>PROJECT</t>
  </si>
  <si>
    <t>POSITION</t>
  </si>
  <si>
    <r>
      <t xml:space="preserve">PLEASE NOTE THAT THIS SPREADSHEET IS SET UP TO OPERATE IN </t>
    </r>
    <r>
      <rPr>
        <b/>
        <sz val="10"/>
        <color indexed="10"/>
        <rFont val="Arial"/>
        <family val="2"/>
      </rPr>
      <t>MS EXCEL 2013</t>
    </r>
    <r>
      <rPr>
        <b/>
        <sz val="10"/>
        <color indexed="8"/>
        <rFont val="Arial"/>
        <family val="2"/>
      </rPr>
      <t xml:space="preserve"> VERSION</t>
    </r>
  </si>
  <si>
    <t>NONE</t>
  </si>
  <si>
    <t>PL1</t>
  </si>
  <si>
    <t>Project Leader</t>
  </si>
  <si>
    <t>MANAGERIAL POSITION</t>
  </si>
  <si>
    <t>PL</t>
  </si>
  <si>
    <t>MAM</t>
  </si>
  <si>
    <t>PL2</t>
  </si>
  <si>
    <t>CANDIDATE COMPANY STATUS</t>
  </si>
  <si>
    <t>QUALITY MANAGEMENT SYSTEM TYPE</t>
  </si>
  <si>
    <t>QUALITY SYSTEM COMPLETENESS</t>
  </si>
  <si>
    <t>FOR SANRAL USE</t>
  </si>
  <si>
    <t>MAS</t>
  </si>
  <si>
    <t>PL(T)</t>
  </si>
  <si>
    <t>Project Leader (Toll)</t>
  </si>
  <si>
    <t>EDMS: 6238058</t>
  </si>
  <si>
    <t>MPP</t>
  </si>
  <si>
    <t>APL1</t>
  </si>
  <si>
    <t>Alternate Project Leader</t>
  </si>
  <si>
    <t>NON-MANAGERIAL POSITION</t>
  </si>
  <si>
    <t>APL</t>
  </si>
  <si>
    <t>FEB 2021 VERSION</t>
  </si>
  <si>
    <t>MPS</t>
  </si>
  <si>
    <t>APL2</t>
  </si>
  <si>
    <t>MPA</t>
  </si>
  <si>
    <t>ETS</t>
  </si>
  <si>
    <t>Electronics System Engineer</t>
  </si>
  <si>
    <t>CLICK ON LINKS BELOW TO ENTER KEY PERSONNEL DETAILS ON B1 &amp; B2 FORMS</t>
  </si>
  <si>
    <t>CLICK ON LINKS BELOW TO ENTER DETAILS ON B3 - B5 FORMS</t>
  </si>
  <si>
    <t>MSS</t>
  </si>
  <si>
    <t>ACE1</t>
  </si>
  <si>
    <t>Alternate Contracts Engineer</t>
  </si>
  <si>
    <t>ACE</t>
  </si>
  <si>
    <t>Original Key Staff</t>
  </si>
  <si>
    <t>Alternate Key Staff</t>
  </si>
  <si>
    <t>MSA</t>
  </si>
  <si>
    <t>ACE2</t>
  </si>
  <si>
    <t>GOTO FORM B3</t>
  </si>
  <si>
    <t>MSC</t>
  </si>
  <si>
    <t>ACE3</t>
  </si>
  <si>
    <t>MSB</t>
  </si>
  <si>
    <t>DS1</t>
  </si>
  <si>
    <t>Design Specialist 1</t>
  </si>
  <si>
    <t>DS</t>
  </si>
  <si>
    <t>MSG</t>
  </si>
  <si>
    <t>DS2</t>
  </si>
  <si>
    <t>Design Specialist 2</t>
  </si>
  <si>
    <t>Please note the option for an alternate Key Person is allowed but will only be evaluated if the proposed original Key Person becomes overcommitted during the evaluation period.</t>
  </si>
  <si>
    <t>DSS</t>
  </si>
  <si>
    <t>DS3</t>
  </si>
  <si>
    <t>Design Specialist 3</t>
  </si>
  <si>
    <t>GOTO FORM B4</t>
  </si>
  <si>
    <t>DSA</t>
  </si>
  <si>
    <t>DS4</t>
  </si>
  <si>
    <t>Design Specialist 4</t>
  </si>
  <si>
    <t>DSC</t>
  </si>
  <si>
    <t>DS5</t>
  </si>
  <si>
    <t>Design Specialist 5</t>
  </si>
  <si>
    <t>DSG</t>
  </si>
  <si>
    <t>DS(T)</t>
  </si>
  <si>
    <t>Design Specialist (Toll)</t>
  </si>
  <si>
    <t>DSB</t>
  </si>
  <si>
    <t>CE1</t>
  </si>
  <si>
    <t>Contracts Engineer</t>
  </si>
  <si>
    <t>CE</t>
  </si>
  <si>
    <t>GOTO FORM B5</t>
  </si>
  <si>
    <t>DIS</t>
  </si>
  <si>
    <t>CE2</t>
  </si>
  <si>
    <t>DIA</t>
  </si>
  <si>
    <t>CE(T)</t>
  </si>
  <si>
    <t>Contracts Engineer (Toll)</t>
  </si>
  <si>
    <t>DIC</t>
  </si>
  <si>
    <t>RE1</t>
  </si>
  <si>
    <t>Resident Engineer</t>
  </si>
  <si>
    <t>RE</t>
  </si>
  <si>
    <t>DIB</t>
  </si>
  <si>
    <t>RE2</t>
  </si>
  <si>
    <t>GOTO FORM B6 - PAST PERFORMANCE</t>
  </si>
  <si>
    <t>DIG</t>
  </si>
  <si>
    <t>CM(T)</t>
  </si>
  <si>
    <t>Contracts Manager (Toll)</t>
  </si>
  <si>
    <t>DNS</t>
  </si>
  <si>
    <t>ARE1</t>
  </si>
  <si>
    <t>Assistant Resident Engineer</t>
  </si>
  <si>
    <t>ARE</t>
  </si>
  <si>
    <t>DNA</t>
  </si>
  <si>
    <t>ARE2</t>
  </si>
  <si>
    <t>DNC</t>
  </si>
  <si>
    <t>ARE3</t>
  </si>
  <si>
    <t>DNB</t>
  </si>
  <si>
    <t>SMT1</t>
  </si>
  <si>
    <t>Senior Materials Technician</t>
  </si>
  <si>
    <t>MT</t>
  </si>
  <si>
    <t>GOTO FORM B7</t>
  </si>
  <si>
    <t>DNG</t>
  </si>
  <si>
    <t>SMT2</t>
  </si>
  <si>
    <t>RRM</t>
  </si>
  <si>
    <t>ETS(T)</t>
  </si>
  <si>
    <t>Electronics System Engineer  (Toll)</t>
  </si>
  <si>
    <t>OF</t>
  </si>
  <si>
    <t>RM1</t>
  </si>
  <si>
    <t>RRM Route Manager</t>
  </si>
  <si>
    <t>RM</t>
  </si>
  <si>
    <t>TF</t>
  </si>
  <si>
    <t>RM2</t>
  </si>
  <si>
    <t>TO</t>
  </si>
  <si>
    <t>ES</t>
  </si>
  <si>
    <t>Electrical Systems Engineer (Toll)</t>
  </si>
  <si>
    <t>Verification Certificate Attached?</t>
  </si>
  <si>
    <t>BEE SCORE=</t>
  </si>
  <si>
    <t>ENTER BEE LEVEL CONTRIBUTOR SCORE FROM CERTIFICATE AND ATTACH CERTIFICATE TO YOUR FINANCIAL SUBMISSION</t>
  </si>
  <si>
    <t>ARM1</t>
  </si>
  <si>
    <t>Assistant Route Manager - RRM</t>
  </si>
  <si>
    <t>ARM</t>
  </si>
  <si>
    <t>PLEASE NOTE THAT A VALID CURRENT VERIFICATION CERTIFICATE IS A REQUIREMENT OTHERWISE ZERO POINTS WILL BE ALLOCATED FOR PREFERENCE.</t>
  </si>
  <si>
    <t xml:space="preserve">Combined Economic interest of BP in JV Enterprise (%) = </t>
  </si>
  <si>
    <t>ARM2</t>
  </si>
  <si>
    <t>MS</t>
  </si>
  <si>
    <t>Mechanical Systems Engineer (Toll)</t>
  </si>
  <si>
    <t>TO TOP</t>
  </si>
  <si>
    <t>(FILL IN DROP DOWN BOXES AND BLOCKS HIGHLIGHTED IN YELLOW)</t>
  </si>
  <si>
    <t>Community Based Projects</t>
  </si>
  <si>
    <t>FORM B1:</t>
  </si>
  <si>
    <t xml:space="preserve">POSITION = </t>
  </si>
  <si>
    <t>CANDIDATE'S TECHNICAL/MANAGERIAL RECORD</t>
  </si>
  <si>
    <t>Personal Details of Candidate</t>
  </si>
  <si>
    <t>NAME</t>
  </si>
  <si>
    <t>ID  Number  or  Passport Number of Non-RSA Residents ( Enter with no spaces)</t>
  </si>
  <si>
    <t>POSITION IN TEAM</t>
  </si>
  <si>
    <t>Description</t>
  </si>
  <si>
    <t>TECHNICAL / MANAGERIAL EXPERIENCE</t>
  </si>
  <si>
    <t>(List only the most recent 3 projects that the tenderer considers relevant to the specified scope of works)</t>
  </si>
  <si>
    <t>CLIENT &amp; PROJECT NUMBER
(Note 2)</t>
  </si>
  <si>
    <t xml:space="preserve">       CLIENT (coded)</t>
  </si>
  <si>
    <t>PROJECT TYPE (coded)
(Note 3)
* Add additional info in Comments box below if required.</t>
  </si>
  <si>
    <t>RELEVANT KEY PERSON'S EXPERIENCE STARTED
(yyyy/mm/dd)
(Note 4)</t>
  </si>
  <si>
    <t>RELEVANT KEY PERSON'S EXPERIENCE ENDED
(yyyy/mm/dd)
(Note 4)</t>
  </si>
  <si>
    <t>VALUE
(in millions of Rand)
( * ,000,000)
(note 5)</t>
  </si>
  <si>
    <t>POSITION HELD
(Note 6)</t>
  </si>
  <si>
    <t>POSITION HELD (coded)</t>
  </si>
  <si>
    <t>Contact Person &amp; Position
(Note 7)</t>
  </si>
  <si>
    <t>Contact Number</t>
  </si>
  <si>
    <t>The tenderer shall attach a preliminary programme reflecting the proposed sequences and tempo of execution of the various activities.
Note to tenderer:
1. Summaries shall not be more than 2x A4 pages</t>
  </si>
  <si>
    <t>Comments:</t>
  </si>
  <si>
    <t>I declare that I have read and understood the meaning of the Note to tenderer # 4 on Page T-21 and confirm by my signature in the booklet that the information provided herein is true, that the position occupied, the projects reported and the</t>
  </si>
  <si>
    <t>corresponding responsibilities are truly the candidates own experiences.</t>
  </si>
  <si>
    <t>NO SIGNATURES ARE REQURED ON THIS FORM IF THE A5 RETURNABLE TECHNICAL BOOKLET IS SIGNED BY THE AUTHORIZED REPRESENTATIVE VOUCHING FOR ALL INFORMATION SUBMITTED</t>
  </si>
  <si>
    <t>FORM B2:</t>
  </si>
  <si>
    <t>CANDIDATE'S QUALIFICATION AND REGISTRATION RECORD</t>
  </si>
  <si>
    <t>POSITION IN TEAM (Note 1)</t>
  </si>
  <si>
    <t xml:space="preserve">POSITION IN TENDERING ENTITY </t>
  </si>
  <si>
    <t>Attach letter confirming permanent or contract employment / signed letter of consent.</t>
  </si>
  <si>
    <t>Registration with professional bodies</t>
  </si>
  <si>
    <t>Professional Registration Body</t>
  </si>
  <si>
    <t>ECSA (Note 2)</t>
  </si>
  <si>
    <t>SACPCMP (Note 2)</t>
  </si>
  <si>
    <t>Highest Engineering Qualification</t>
  </si>
  <si>
    <t>Institution</t>
  </si>
  <si>
    <t>Date Graduated</t>
  </si>
  <si>
    <t>Level of Registration</t>
  </si>
  <si>
    <t>Registration Number</t>
  </si>
  <si>
    <t>Actual Total Years Relevant Experience</t>
  </si>
  <si>
    <t>Initial Relevant Tertiary Qualification</t>
  </si>
  <si>
    <t>Date of Registration (yyyy/mm/dd)</t>
  </si>
  <si>
    <t>Reg Prof</t>
  </si>
  <si>
    <t>Qua System</t>
  </si>
  <si>
    <t>Bee Level</t>
  </si>
  <si>
    <t>% Equity</t>
  </si>
  <si>
    <t>JV Partners</t>
  </si>
  <si>
    <t>% Share</t>
  </si>
  <si>
    <t>Type of BEE Scorecard</t>
  </si>
  <si>
    <t>Economic Interest JV 1=</t>
  </si>
  <si>
    <t>Economic Interest JV 2=</t>
  </si>
  <si>
    <t>Economic Interest JV 3=</t>
  </si>
  <si>
    <t>Economic Interest JV 4=</t>
  </si>
  <si>
    <t>Economic Interest JV 5=</t>
  </si>
  <si>
    <t>Final Total Economic Interest=</t>
  </si>
  <si>
    <t>B7 Info:</t>
  </si>
  <si>
    <t>Tender Closing date:</t>
  </si>
  <si>
    <t>Name of 1st Targeted Enterprise / Subcontractor:</t>
  </si>
  <si>
    <t>State whether the Targeted Enterprise / Subcontractor is an EME or QSE:</t>
  </si>
  <si>
    <t>% of tendered contract value to be performed by this Targeted Enterprise/Sub-contractor:</t>
  </si>
  <si>
    <t>% Black Ownership of Targeted Enterprise / Subcontractor:</t>
  </si>
  <si>
    <t>B-BBEE status level of Targeted Enterprise / Subcontractor  (provide scorecard or affidavit as proof) :</t>
  </si>
  <si>
    <t>% of Rand value of Tendered Fee (excl provisional &amp; prime cost sums) but including provision for site staff salaries to be performed by this Targeted Enterprise: (Attach breakdown of % to the applicable items)</t>
  </si>
  <si>
    <t>What was the Targeted Enterprise / Subcontractor's turnover (excluding VAT) during the previous financial year? (Attach scanned copy of income statement as proof)</t>
  </si>
  <si>
    <t>Is the Targeted Enterprise / Subcontractor registered with CESA or SABTACO? (Attach scanned copy of current valid registration as proof)</t>
  </si>
  <si>
    <t>Provide SARS Tax Reference Number:
 (Attach scanned copy of current valid Tax Clearance Certificate)</t>
  </si>
  <si>
    <t>B6:</t>
  </si>
  <si>
    <t>I declare that I have read and understood the meaning of the Note to tenderer # 4 on Page T-21 and confirm by my signature hereto that the information provided herein is true.</t>
  </si>
  <si>
    <t>ALTERNATE KEY POSITION</t>
  </si>
  <si>
    <t>ECSA (Note 3)</t>
  </si>
  <si>
    <t>SACPCMP (Note 3)</t>
  </si>
  <si>
    <t>IS TENDER A JV =</t>
  </si>
  <si>
    <t>(FILL IN BLOCKS HIGHLIGHTED IN YELLOW)</t>
  </si>
  <si>
    <t>FORM B3</t>
  </si>
  <si>
    <t>Partner 1:</t>
  </si>
  <si>
    <t>TENDERER'S PROJECT STRUCTURE</t>
  </si>
  <si>
    <t>COMBINED PARTNER SUMMARY</t>
  </si>
  <si>
    <t>COMBINED SCORES</t>
  </si>
  <si>
    <t>HEAD OFFICE: (State City/Town)</t>
  </si>
  <si>
    <t>OTHER OFFICES (only list number, localities not required)</t>
  </si>
  <si>
    <t>REGISTERED PROFESSIONALS: ECSA</t>
  </si>
  <si>
    <t>REGISTERED PROFESSIONALS: SACPCMP</t>
  </si>
  <si>
    <t>TOTAL EMPLOYEES</t>
  </si>
  <si>
    <t>% SHARE OF JV AGREEMENT</t>
  </si>
  <si>
    <t>Name of all Partners, Members or Directors and their Professional Registration numbers</t>
  </si>
  <si>
    <t>Partner 2:</t>
  </si>
  <si>
    <t>Partner 3:</t>
  </si>
  <si>
    <t>Partner 4:</t>
  </si>
  <si>
    <t>Partner 5:</t>
  </si>
  <si>
    <t>I declare that I have read and understood the meaning of the Note to tenderer # 4 on Page T-21 and confirm by my signature in the booklet that the information provided herein is true.</t>
  </si>
  <si>
    <t xml:space="preserve">Notes to tenderer:
1. The intention of this form is to demonstrate the tenderer’s project structure, as well as the lines of responsibility between members of the project team and between the project team and the overall company structure.  The tenderer must attach his own organogram to this form.
2. Tenderers which are large companies may simplify the organogram by ‘rolling up’ portfolios e.g. combining directors/associates into one box of the organogram.  However, the individual positions of the key personnel within the structure must still be shown.
3. Joint Venture tenders will require each element of the venture to submit separate organograms that show the individual structure of each member company and the lines of responsibility of the proposed personnel involved in the project.  In addition there must also be a combined organogram that indicates how the joint venture itself will function and the proposed share of the work.  Joint Venture tenderers shall note that the share of work indicated will be used in the analysis of such a tenderers preference proposed on returnable form D1, and that if awarded the share of work shall become a contractual obligation between the members of the joint venture.
4. State the city or town where the company’s head office is located.  The locality of regional or satellite office, regardless of degree of autonomy or size is not required.  Only submit the number of offices other than the head office. Do not
count offices outside RSA.
5. Registered professional engineers, technicians or technologists means those who are involved in the road construction/transport industry as well as allied fields such as environmental professionals. Registered professionals of other
 disciplines (e.g. mechanical) are considered as employees only. 
</t>
  </si>
  <si>
    <t>FORM B4:</t>
  </si>
  <si>
    <t>CERTIFICATE OF QUALITY SYSTEMS</t>
  </si>
  <si>
    <t>PAGE 1</t>
  </si>
  <si>
    <t>Note to tenderer:</t>
  </si>
  <si>
    <t>1. Attach to this form a current ISO, or similar system, certificate or brief summary of the in-house systems used.</t>
  </si>
  <si>
    <t>2. Sufficient detail must be provided to clearly identify management systems for which accreditation has been issued, in the case of a certificate, or are being applied in the case of in-house programmes.</t>
  </si>
  <si>
    <t>3. Summaries shall not be more than 2x A4 pages</t>
  </si>
  <si>
    <t>4. Only relevant ISO accreditation contemplated for the work specified shall score maximum points.</t>
  </si>
  <si>
    <t>PAGE 2</t>
  </si>
  <si>
    <t>FORM B5:</t>
  </si>
  <si>
    <t>FORM B7:</t>
  </si>
  <si>
    <t>TARGETED ENTERPRISES / SUBCONTRACTOR DETAILS AND DECLARATION</t>
  </si>
  <si>
    <t>Number of Targeted Enterprise / Subcontractor Utilized:</t>
  </si>
  <si>
    <t>I declare that the information furnished by me is to my knowledge true and correct in all respects.</t>
  </si>
  <si>
    <t>Any false declarations will constitute a breach of the contract and the relevant person(s) will be disqualified from any further tender related matters, or if it becomes evident during contract stage that false information has been included, the contract will be terminated with immediate effect.</t>
  </si>
  <si>
    <t>Name:</t>
  </si>
  <si>
    <t>JV %</t>
  </si>
  <si>
    <t>MAX POINTS</t>
  </si>
  <si>
    <t>POINTS</t>
  </si>
  <si>
    <t>TOTAL</t>
  </si>
  <si>
    <t>1.3.1 OWNERSHIP FULFILLMENT DETAILS</t>
  </si>
  <si>
    <t>NO</t>
  </si>
  <si>
    <t>OWNERSHIP FULFILLMENT DETAILS</t>
  </si>
  <si>
    <t>NUMBER</t>
  </si>
  <si>
    <t>SCORE</t>
  </si>
  <si>
    <t>NO. OF BLACK PARTICIPANTS COMPLETELY RELEASED FROM THIRD PARTIES</t>
  </si>
  <si>
    <t>TOTAL NO. OF BLACK PARTICIPANTS BENEFITTING FROM ECONOMIC INTEREST</t>
  </si>
  <si>
    <t>Ratio</t>
  </si>
  <si>
    <t>4.4.1 MENTORSHIP PROGRAM</t>
  </si>
  <si>
    <t>MENTORSHIP PROGRAM</t>
  </si>
  <si>
    <t>WEIGHTING (a)</t>
  </si>
  <si>
    <t>1 (Y), 0 (N)</t>
  </si>
  <si>
    <t>Has a program been submitted</t>
  </si>
  <si>
    <t>Is it a recognised program (e.g. C&amp;U program of ECSA)</t>
  </si>
  <si>
    <t>MAXIMUM</t>
  </si>
  <si>
    <t>NO.</t>
  </si>
  <si>
    <t>CRITERIA</t>
  </si>
  <si>
    <t>SYSTEM IN PLACE (Y/N)</t>
  </si>
  <si>
    <t>1 (Y), 0 (N) (b)</t>
  </si>
  <si>
    <t>Management and Labour Skills Transfer</t>
  </si>
  <si>
    <t>Establishment of administrative systems</t>
  </si>
  <si>
    <t>Establishment of cost control systems</t>
  </si>
  <si>
    <t>Planning, tendering and programming skills transfer</t>
  </si>
  <si>
    <t>Business skills transfer with emphasis on entrepreneurial and negotiation skills</t>
  </si>
  <si>
    <t>Technical skills transfer with emphasis on innovation</t>
  </si>
  <si>
    <t>Legal compliance skills transfer</t>
  </si>
  <si>
    <t>Procurement skills transfer</t>
  </si>
  <si>
    <t>Assistance in establishing credit rating /history</t>
  </si>
  <si>
    <t>Assistance in establishing financial and loan capacity/history</t>
  </si>
  <si>
    <t>Contractual knowledge transfer</t>
  </si>
  <si>
    <t>A champion for enterprise development</t>
  </si>
  <si>
    <t>MAX</t>
  </si>
  <si>
    <t>Equity Ownership=</t>
  </si>
  <si>
    <t>Partners</t>
  </si>
  <si>
    <t>% Equity Ownership=</t>
  </si>
  <si>
    <t xml:space="preserve">BEE SCORE = </t>
  </si>
  <si>
    <t>FORM B6</t>
  </si>
  <si>
    <t>COMPANY PAST PERFORMANCE - RECORD</t>
  </si>
  <si>
    <t>HOME</t>
  </si>
  <si>
    <t>CIDB Rating</t>
  </si>
  <si>
    <t>X &lt; -0.1</t>
  </si>
  <si>
    <t>-0.1 ≤ X &lt;  0.9</t>
  </si>
  <si>
    <t>0.9 ≤ X &lt; 1.8</t>
  </si>
  <si>
    <t>X ≥ 1.8</t>
  </si>
  <si>
    <t>Poor</t>
  </si>
  <si>
    <t>Adequate</t>
  </si>
  <si>
    <t>Good</t>
  </si>
  <si>
    <t>Excellent</t>
  </si>
  <si>
    <t>SANRAL Score</t>
  </si>
  <si>
    <t>Project Experience</t>
  </si>
  <si>
    <t>CIDB SCORE</t>
  </si>
  <si>
    <t>Score Allocated</t>
  </si>
  <si>
    <t>Method for Score</t>
  </si>
  <si>
    <t>WORKINGS</t>
  </si>
  <si>
    <t>PSP</t>
  </si>
  <si>
    <t>OTHER SHEET PASSWORD = DATA</t>
  </si>
  <si>
    <t xml:space="preserve">Tenderer </t>
  </si>
  <si>
    <t>Wq</t>
  </si>
  <si>
    <t>%</t>
  </si>
  <si>
    <t xml:space="preserve">Tech. </t>
  </si>
  <si>
    <t>Man.</t>
  </si>
  <si>
    <t>CPD</t>
  </si>
  <si>
    <t>Org. Str.</t>
  </si>
  <si>
    <t>Qual. Sys.</t>
  </si>
  <si>
    <t>Threshold</t>
  </si>
  <si>
    <t>Key Positions</t>
  </si>
  <si>
    <t>PASTE FROM FINANCIAL SPREADSHEET</t>
  </si>
  <si>
    <t>Indicate Managerial position Y/N</t>
  </si>
  <si>
    <t>ACTUAL PSP SCORE</t>
  </si>
  <si>
    <t/>
  </si>
  <si>
    <t>Y</t>
  </si>
  <si>
    <t>CLIENT CODE</t>
  </si>
  <si>
    <t>AFFIDAVIT COMPLETED</t>
  </si>
  <si>
    <t xml:space="preserve">National Roads Authority </t>
  </si>
  <si>
    <t>N</t>
  </si>
  <si>
    <t>REGION LIST</t>
  </si>
  <si>
    <t>Concessionaire</t>
  </si>
  <si>
    <t>PARTICIPATION</t>
  </si>
  <si>
    <t>Alternate Project Leader 2</t>
  </si>
  <si>
    <t>HO</t>
  </si>
  <si>
    <t>Provincial Authority</t>
  </si>
  <si>
    <t>Co-ordinator</t>
  </si>
  <si>
    <t>DL(T)</t>
  </si>
  <si>
    <t>Design Leader (Toll)</t>
  </si>
  <si>
    <t>NR</t>
  </si>
  <si>
    <t>Relevant SOE</t>
  </si>
  <si>
    <t>Presenter</t>
  </si>
  <si>
    <t>ER</t>
  </si>
  <si>
    <t>Metro Council</t>
  </si>
  <si>
    <t>Author</t>
  </si>
  <si>
    <t>Alternate Contracts Engineer 3</t>
  </si>
  <si>
    <t>SR</t>
  </si>
  <si>
    <t>Municipality</t>
  </si>
  <si>
    <t>Panellist</t>
  </si>
  <si>
    <t>Design Specialist 1 - Pavement and Materials</t>
  </si>
  <si>
    <t>WR</t>
  </si>
  <si>
    <t>Private</t>
  </si>
  <si>
    <t>Session Chairperson</t>
  </si>
  <si>
    <t>Design Specialist 2 - Structures</t>
  </si>
  <si>
    <t>Other</t>
  </si>
  <si>
    <t>Lecturer</t>
  </si>
  <si>
    <t>Design Specialist 3 - Geometrics</t>
  </si>
  <si>
    <t>Co-author</t>
  </si>
  <si>
    <t>Design Specialist 4 - Traffic and Transportation</t>
  </si>
  <si>
    <t>Attendant</t>
  </si>
  <si>
    <t>B-BBEE Status</t>
  </si>
  <si>
    <t>Delegate</t>
  </si>
  <si>
    <t>Level of</t>
  </si>
  <si>
    <t>JV</t>
  </si>
  <si>
    <t>HOST INSTITUTE</t>
  </si>
  <si>
    <t>Student</t>
  </si>
  <si>
    <t>Contributor</t>
  </si>
  <si>
    <t>Acad. or Formal</t>
  </si>
  <si>
    <t>YES 2 Partners</t>
  </si>
  <si>
    <t>Ind. or Similar</t>
  </si>
  <si>
    <t>YES 3 Partners</t>
  </si>
  <si>
    <t>Assistant Resident Engineer 2</t>
  </si>
  <si>
    <t>YES 4 Partners</t>
  </si>
  <si>
    <t>RESPONSIVE</t>
  </si>
  <si>
    <t>YES 5 Partners</t>
  </si>
  <si>
    <t>Senior Materials Technician 2</t>
  </si>
  <si>
    <t>YES</t>
  </si>
  <si>
    <t>Electronics Systems Engineer (Toll)</t>
  </si>
  <si>
    <t>CATEGORY</t>
  </si>
  <si>
    <t>THRESHOLD</t>
  </si>
  <si>
    <t>Price</t>
  </si>
  <si>
    <t>Quality</t>
  </si>
  <si>
    <t>1 - RRM &amp; Adhoc Maintenance Type</t>
  </si>
  <si>
    <t>2 - Periodic Maintenance Type Projects</t>
  </si>
  <si>
    <t>Non-compliant Contributor</t>
  </si>
  <si>
    <t>3 - New Work, Upgrades and extensive rehab-type projects</t>
  </si>
  <si>
    <t>Relavancy</t>
  </si>
  <si>
    <t>Not - Relevant</t>
  </si>
  <si>
    <t>Relevant</t>
  </si>
  <si>
    <t>TENDERS</t>
  </si>
  <si>
    <t>Unknown</t>
  </si>
  <si>
    <t>0 - 30  Tenders</t>
  </si>
  <si>
    <t>Pr.Eng</t>
  </si>
  <si>
    <t>Not Relevant - Scores 0</t>
  </si>
  <si>
    <t>31 - 60 Tenders</t>
  </si>
  <si>
    <t>Pr. Tech</t>
  </si>
  <si>
    <t>Slightly Relevant - Scores 1</t>
  </si>
  <si>
    <t>Reg. Technician</t>
  </si>
  <si>
    <t>Relevant  - Scores 2</t>
  </si>
  <si>
    <t>Unregistered</t>
  </si>
  <si>
    <t>Tender Value</t>
  </si>
  <si>
    <t>Quality &amp; Price (W3)</t>
  </si>
  <si>
    <t>Preference</t>
  </si>
  <si>
    <t>&lt; R500 000.00</t>
  </si>
  <si>
    <t>&gt; R500 000.00</t>
  </si>
  <si>
    <t>Professional Engineer</t>
  </si>
  <si>
    <t>Professional Engineering Technologist</t>
  </si>
  <si>
    <t>Professional Certificated Engineer</t>
  </si>
  <si>
    <t>Professional Engineering Technician</t>
  </si>
  <si>
    <t>Candidate Engineer</t>
  </si>
  <si>
    <t>Candidate Engineering Technologist</t>
  </si>
  <si>
    <t>Candidate Certificated Engineer</t>
  </si>
  <si>
    <t>Candidate Engineering Technician</t>
  </si>
  <si>
    <t>QUAL. SELECTION</t>
  </si>
  <si>
    <t>DESCRIP.</t>
  </si>
  <si>
    <t>None</t>
  </si>
  <si>
    <t>Pr.ENG</t>
  </si>
  <si>
    <t>D. Eng</t>
  </si>
  <si>
    <t>Grade 9</t>
  </si>
  <si>
    <t>DEGREE</t>
  </si>
  <si>
    <t>M. Eng</t>
  </si>
  <si>
    <t>Grade 10 and National (vocational) Certificates level 2</t>
  </si>
  <si>
    <t>NQF 7</t>
  </si>
  <si>
    <t>Bsc. Eng</t>
  </si>
  <si>
    <t>Grade 11 and National (vocational) Certificates level 3</t>
  </si>
  <si>
    <t>Pr.Technol</t>
  </si>
  <si>
    <t>B.Tech Dip</t>
  </si>
  <si>
    <t>National Senior Certificate and National (vocational) Cert. level 4</t>
  </si>
  <si>
    <t>DIPLOMA</t>
  </si>
  <si>
    <t>NH Dip</t>
  </si>
  <si>
    <t>Higher Certificates and Advanced National (vocational) Cert.</t>
  </si>
  <si>
    <t>NQF 6</t>
  </si>
  <si>
    <t>N Dip</t>
  </si>
  <si>
    <t>Diploma and Advanced certificates</t>
  </si>
  <si>
    <t>1st Specialist Specific</t>
  </si>
  <si>
    <t>NQF 5</t>
  </si>
  <si>
    <t>Bachelors Degree and Advanced Diplomas</t>
  </si>
  <si>
    <t>2nd Specialist Specific</t>
  </si>
  <si>
    <t>Pr. Techni</t>
  </si>
  <si>
    <t>Honours, Post Grad diploma and Professional Qualifications</t>
  </si>
  <si>
    <t>3rd Specialist Specific</t>
  </si>
  <si>
    <t>NQF 4</t>
  </si>
  <si>
    <t>Masters Degree</t>
  </si>
  <si>
    <t>RELEVANCE</t>
  </si>
  <si>
    <t>4th Specialist Specific</t>
  </si>
  <si>
    <t>Matric</t>
  </si>
  <si>
    <t>Doctoral Degree</t>
  </si>
  <si>
    <t>Not relevant</t>
  </si>
  <si>
    <t>5th Specialist Specific</t>
  </si>
  <si>
    <t>NQF 3</t>
  </si>
  <si>
    <t>NQF 1</t>
  </si>
  <si>
    <t>6th Specialist Specific</t>
  </si>
  <si>
    <t>NQF 2</t>
  </si>
  <si>
    <t>Proj. Specific</t>
  </si>
  <si>
    <t>Design Specialist</t>
  </si>
  <si>
    <t>DA</t>
  </si>
  <si>
    <t>Design Assistant</t>
  </si>
  <si>
    <t>NQF 8</t>
  </si>
  <si>
    <t>NQF 9</t>
  </si>
  <si>
    <t>NQF 10</t>
  </si>
  <si>
    <t>No Key Person offered</t>
  </si>
  <si>
    <t>Key Person is NOT a full time employee of the tenderer</t>
  </si>
  <si>
    <t>Assistant Route Manager</t>
  </si>
  <si>
    <t>Key Person is a full time employee of the tenderer</t>
  </si>
  <si>
    <t>SMT</t>
  </si>
  <si>
    <t>CM</t>
  </si>
  <si>
    <t>Contracts Manager</t>
  </si>
  <si>
    <t>SA</t>
  </si>
  <si>
    <t>Site Agent</t>
  </si>
  <si>
    <t>PL (RIMS)</t>
  </si>
  <si>
    <t>Project Leader (RIMS)</t>
  </si>
  <si>
    <t>DS RSE</t>
  </si>
  <si>
    <t>Design Specialist - Road Safety Engineer</t>
  </si>
  <si>
    <t>Years Experience</t>
  </si>
  <si>
    <t>RIMS CO</t>
  </si>
  <si>
    <t>RIMS Co-ordinator</t>
  </si>
  <si>
    <t>&lt;5</t>
  </si>
  <si>
    <t>Non-Member</t>
  </si>
  <si>
    <t>CE(Toll)</t>
  </si>
  <si>
    <t>5-10</t>
  </si>
  <si>
    <t>Member</t>
  </si>
  <si>
    <t>CM(Toll)</t>
  </si>
  <si>
    <t>&gt;10</t>
  </si>
  <si>
    <t>ETS(Toll)</t>
  </si>
  <si>
    <t>TECHNICAL</t>
  </si>
  <si>
    <t>OHS</t>
  </si>
  <si>
    <t>Alternate CE's</t>
  </si>
  <si>
    <t>PE(E)</t>
  </si>
  <si>
    <t>Project Engineer (Client)</t>
  </si>
  <si>
    <t>Employee Status</t>
  </si>
  <si>
    <t>Undefined</t>
  </si>
  <si>
    <t>Director (Executive capacity)</t>
  </si>
  <si>
    <t>YES - 1 Alternate CE</t>
  </si>
  <si>
    <t>Director (Non-executive capacity)</t>
  </si>
  <si>
    <t>Verification Certificate</t>
  </si>
  <si>
    <t>YES - 2 Alternate CEs</t>
  </si>
  <si>
    <t>Associate (with shareholding in company)</t>
  </si>
  <si>
    <t>No Valid Certificate</t>
  </si>
  <si>
    <t>Associate (without shareholding in company)</t>
  </si>
  <si>
    <t>BEE Scorecard (Full)</t>
  </si>
  <si>
    <t>Ordinary employee or short-term contract for project</t>
  </si>
  <si>
    <t>BEE Scorecard (QSE)</t>
  </si>
  <si>
    <t>CIDB Annex 1</t>
  </si>
  <si>
    <t>CIDB Annex 4</t>
  </si>
  <si>
    <t>Company Status</t>
  </si>
  <si>
    <t>No certified OHS agent available</t>
  </si>
  <si>
    <t>&gt;20 reg. prof. in road infrastructure</t>
  </si>
  <si>
    <t>10 or less reg. prof. in road infrastructure</t>
  </si>
  <si>
    <t>Level 1 Certified Agent contracted by consultant for project</t>
  </si>
  <si>
    <t>between 11 and 20 reg. prof. in road infrastructure</t>
  </si>
  <si>
    <t>Level 2 Certified Agent contracted by consultant for project</t>
  </si>
  <si>
    <t>Level 3 Certified Agent contracted by consultant for project</t>
  </si>
  <si>
    <t>Level 1 Certified Agent in direct employ of consultant</t>
  </si>
  <si>
    <t>System Type</t>
  </si>
  <si>
    <t>Level 2 Certified Agent in direct employ of consultant</t>
  </si>
  <si>
    <t>System has ISO Certification</t>
  </si>
  <si>
    <t>System is an in-house production</t>
  </si>
  <si>
    <t>Level 3 Certified Agent in direct employ of consultant</t>
  </si>
  <si>
    <t>System has been registered for certification</t>
  </si>
  <si>
    <t>System has been registered for accreditation</t>
  </si>
  <si>
    <t>System has ISO Accreditation</t>
  </si>
  <si>
    <t>System Completeness</t>
  </si>
  <si>
    <t>No Distinction between design and con phases</t>
  </si>
  <si>
    <t>Distinction between design and con phases</t>
  </si>
  <si>
    <t>ES(T)</t>
  </si>
  <si>
    <t>Electrical Systems Engineer</t>
  </si>
  <si>
    <t>MS(T)</t>
  </si>
  <si>
    <t>Mechanical Systems Engineer</t>
  </si>
  <si>
    <t>Year</t>
  </si>
  <si>
    <t>Month</t>
  </si>
  <si>
    <t>Day</t>
  </si>
  <si>
    <t>Jan</t>
  </si>
  <si>
    <t>Feb</t>
  </si>
  <si>
    <t>Mar</t>
  </si>
  <si>
    <t>Apr</t>
  </si>
  <si>
    <t>May</t>
  </si>
  <si>
    <t>Jun</t>
  </si>
  <si>
    <t>Jul</t>
  </si>
  <si>
    <t>Aug</t>
  </si>
  <si>
    <t>Sep</t>
  </si>
  <si>
    <t>Oct</t>
  </si>
  <si>
    <t>Nov</t>
  </si>
  <si>
    <t>Dec</t>
  </si>
  <si>
    <t>TARGETED ENTERPRISE</t>
  </si>
  <si>
    <t>1 Targeted Enterprise</t>
  </si>
  <si>
    <t>2 Targeted Enterprise</t>
  </si>
  <si>
    <t>3 Targeted Enterprise</t>
  </si>
  <si>
    <t>4 Targeted Enterprise</t>
  </si>
  <si>
    <t>5 Targeted Enterprise</t>
  </si>
  <si>
    <t>6 Targeted Enterprise</t>
  </si>
  <si>
    <t>ANNEX 1 - PSP PERFORMANCE REPORT</t>
  </si>
  <si>
    <t>ISSUE OF A PSP PERFORMANCE REPORT</t>
  </si>
  <si>
    <t>SECTION A: EMPLOYER INFORMATION</t>
  </si>
  <si>
    <r>
      <t>ci</t>
    </r>
    <r>
      <rPr>
        <sz val="11"/>
        <color rgb="FFFF0000"/>
        <rFont val="Calibri"/>
        <family val="2"/>
        <scheme val="minor"/>
      </rPr>
      <t>d</t>
    </r>
    <r>
      <rPr>
        <sz val="10"/>
        <rFont val="Arial"/>
        <family val="2"/>
      </rPr>
      <t>b Employer Number (if applicable)</t>
    </r>
  </si>
  <si>
    <t>Employer Name</t>
  </si>
  <si>
    <t>SOUTH AFRICAN NATIONAL ROADS AGENCY SOC LTD</t>
  </si>
  <si>
    <t>SECTION B: CONTRACT DATA</t>
  </si>
  <si>
    <r>
      <t>ci</t>
    </r>
    <r>
      <rPr>
        <sz val="11"/>
        <color rgb="FFFF0000"/>
        <rFont val="Calibri"/>
        <family val="2"/>
        <scheme val="minor"/>
      </rPr>
      <t>d</t>
    </r>
    <r>
      <rPr>
        <sz val="10"/>
        <rFont val="Arial"/>
        <family val="2"/>
      </rPr>
      <t>b Contract Number (if applicable)</t>
    </r>
  </si>
  <si>
    <t>Contract Title</t>
  </si>
  <si>
    <t>CONTRACT NRA.N.00</t>
  </si>
  <si>
    <t>THE UPGRADE …</t>
  </si>
  <si>
    <t>Please indicate the project stage for which assessment is made</t>
  </si>
  <si>
    <t>Project initiation</t>
  </si>
  <si>
    <t>Inception</t>
  </si>
  <si>
    <t>Concept and viability</t>
  </si>
  <si>
    <t>Design development</t>
  </si>
  <si>
    <t>Documentation &amp; procurement</t>
  </si>
  <si>
    <t>Construction</t>
  </si>
  <si>
    <t>Close out</t>
  </si>
  <si>
    <t>Completion Date</t>
  </si>
  <si>
    <t>­</t>
  </si>
  <si>
    <t>SECTION C: REPORTING OFFICER'S INFORMATION</t>
  </si>
  <si>
    <t>Organisation Name</t>
  </si>
  <si>
    <t>Name of Reporting Officer</t>
  </si>
  <si>
    <t>Title</t>
  </si>
  <si>
    <t>Initials</t>
  </si>
  <si>
    <t>Surname</t>
  </si>
  <si>
    <t>Designation</t>
  </si>
  <si>
    <t>Email</t>
  </si>
  <si>
    <t>Mobile</t>
  </si>
  <si>
    <t>Office Telephone</t>
  </si>
  <si>
    <t>Date submitted to Employer</t>
  </si>
  <si>
    <t>Signature</t>
  </si>
  <si>
    <t>SECTION D: PSP PERFORMANCE INFORMATION</t>
  </si>
  <si>
    <t>Please select the appropriate grading that reflects the PSP's performance on the project</t>
  </si>
  <si>
    <t>Evaluation Criteria</t>
  </si>
  <si>
    <t>Grading</t>
  </si>
  <si>
    <t>Definition</t>
  </si>
  <si>
    <t>N/A</t>
  </si>
  <si>
    <t>Poor
(-1)</t>
  </si>
  <si>
    <t>Adequate
(0)</t>
  </si>
  <si>
    <t>Good
(1)</t>
  </si>
  <si>
    <t>Excellent
(2)</t>
  </si>
  <si>
    <t>Well below the acceptable standard of performance</t>
  </si>
  <si>
    <t>Meets the acceptance standard of performance</t>
  </si>
  <si>
    <t>Standard often exceeds the acceptable standard of performance</t>
  </si>
  <si>
    <t>Standard well above the acceptable standard of performance</t>
  </si>
  <si>
    <t>TIME MANAGEMENT</t>
  </si>
  <si>
    <t>Ability to meet programmed milestones</t>
  </si>
  <si>
    <t>Timely allocation of appropriate resources to critical activities</t>
  </si>
  <si>
    <t>Overall progress of the work</t>
  </si>
  <si>
    <t>Timely submission of progress reports</t>
  </si>
  <si>
    <t>Sub-total</t>
  </si>
  <si>
    <t>Aggregate (Sub-Total / 4)</t>
  </si>
  <si>
    <t>10% of composite evaluation (0.1 x Aggregate)</t>
  </si>
  <si>
    <t>A</t>
  </si>
  <si>
    <t>MANAGEMENT OF RESOURCES</t>
  </si>
  <si>
    <t>Appropriateness of skills and experience of personnel assigned to the work</t>
  </si>
  <si>
    <t>Adequacy of the number of personnel assigned to the work</t>
  </si>
  <si>
    <t>Skill and commitment in management of subconsultants and other suppliers</t>
  </si>
  <si>
    <t>Coordination of interfaces</t>
  </si>
  <si>
    <t>B</t>
  </si>
  <si>
    <t>CO-OPERATIVE RELATIONSHIPS</t>
  </si>
  <si>
    <t>Adoption and commitment to a cooperative contracting approach with clients, subconsultants, joint venture partners, contractors and suppliers</t>
  </si>
  <si>
    <t>Commitment to resolving issues through open and effective communication with a non-adversarial approach</t>
  </si>
  <si>
    <t>General cooperation and responsiveness, adherence to commitments</t>
  </si>
  <si>
    <t>Response to instruction</t>
  </si>
  <si>
    <t>Response to problems and changing circumstances</t>
  </si>
  <si>
    <t>Aggregate (Sub-Total / 5)</t>
  </si>
  <si>
    <t>C</t>
  </si>
  <si>
    <t>STANDARD OF SERVICE (Stages)</t>
  </si>
  <si>
    <t>Stage 0 - Project initiation</t>
  </si>
  <si>
    <t>WaS0</t>
  </si>
  <si>
    <t>Stage 1 - Inception</t>
  </si>
  <si>
    <t>WaS1</t>
  </si>
  <si>
    <t>Stage 2 - Concept and viability</t>
  </si>
  <si>
    <t>WaS2</t>
  </si>
  <si>
    <t>Stage 3 - Design development</t>
  </si>
  <si>
    <t>WaS3</t>
  </si>
  <si>
    <t>Stage 4 - Documentation and procurement</t>
  </si>
  <si>
    <t>WaS4</t>
  </si>
  <si>
    <t>Stage 5 - Construction</t>
  </si>
  <si>
    <t>WaS5</t>
  </si>
  <si>
    <t>Stage 6 - Close-out</t>
  </si>
  <si>
    <t>WaS6</t>
  </si>
  <si>
    <t>STANDARD OF SERVICE (All Stages)</t>
  </si>
  <si>
    <t>Aggregated score for Stage 0 Project initiation (WaS0) only OR</t>
  </si>
  <si>
    <t>Wa</t>
  </si>
  <si>
    <t>Sum of Weighted Aggregate of Stages (WaS1 + WaS2 + WaS3 + WaS4 + WaS5 + WaS6)</t>
  </si>
  <si>
    <t>D(i) = 75% Sum of weighted aggregates for Stages (0.75 x Wa)</t>
  </si>
  <si>
    <t>D(i)</t>
  </si>
  <si>
    <t>STANDARD OF SERVICE (Overall)</t>
  </si>
  <si>
    <t>Compliance with brief</t>
  </si>
  <si>
    <t>Adherence to budget</t>
  </si>
  <si>
    <t>Reviews and reports delivered in accordance with the brief</t>
  </si>
  <si>
    <t>Aggregate (Sub-Total / 3)</t>
  </si>
  <si>
    <t>D(ii) 25% Weighted aggregate of standard of service (0.25 x Aggregate score)</t>
  </si>
  <si>
    <t>STANDARD OF SERVICE (Stages and Overall)</t>
  </si>
  <si>
    <t>D(iii) = D(i) + (Dii)</t>
  </si>
  <si>
    <t>60% of composite evaluation (0.6 x D(iii))</t>
  </si>
  <si>
    <t>D</t>
  </si>
  <si>
    <t>Aggregated Score</t>
  </si>
  <si>
    <t>A + B + C + D</t>
  </si>
  <si>
    <t>X</t>
  </si>
  <si>
    <t>SECTION E: PSP / JV INFORMATION</t>
  </si>
  <si>
    <t>Name of main PSP</t>
  </si>
  <si>
    <t>Name of Joint Venture Partner</t>
  </si>
  <si>
    <t>Contact Person</t>
  </si>
  <si>
    <t>I/we</t>
  </si>
  <si>
    <t>with the Performance Assessment by the Reporting Officer</t>
  </si>
  <si>
    <t>I/we appeal the Performance Assessment by the Reporting Officer</t>
  </si>
  <si>
    <t>Date</t>
  </si>
  <si>
    <t>SECTION F: EMPLOYER'S REPRESENTATIVE INFORMATION</t>
  </si>
  <si>
    <t>I</t>
  </si>
  <si>
    <t>with the Reporting Officer's Assessment of the PSP Assessment Report</t>
  </si>
  <si>
    <t>SECTION G: ADJUDICATOR'S INFORMATION (if applicable)</t>
  </si>
  <si>
    <t>Name of Adjudicator</t>
  </si>
  <si>
    <t>SECTION H: OUTCOME OF ADJUDICATION (if applicable)</t>
  </si>
  <si>
    <t>Employer's Rating</t>
  </si>
  <si>
    <t>PSP's Rating</t>
  </si>
  <si>
    <t>Adjudication</t>
  </si>
  <si>
    <t>Time Management</t>
  </si>
  <si>
    <t>Management of Resources</t>
  </si>
  <si>
    <t>Cooperative relationships</t>
  </si>
  <si>
    <t>Standard of Service</t>
  </si>
  <si>
    <t>I, the undersigned warrant that:</t>
  </si>
  <si>
    <t>·  I am duly authorised to act as an Adjudicator;</t>
  </si>
  <si>
    <t>·  In my opinion, the outcome of this adjudication represents a fair outcome.</t>
  </si>
  <si>
    <t>On behalf of the PSP, I note the outcome of this Adjudication process.</t>
  </si>
  <si>
    <t>Signature: PSP's Representative</t>
  </si>
  <si>
    <t>On behalf of the Employer, I note the outcome of this Adjudication process.</t>
  </si>
  <si>
    <t>Signature: Employer's Representative</t>
  </si>
  <si>
    <t>AFFIDAVIT  FOR  PAST  PERFORMANCE</t>
  </si>
  <si>
    <t>REPORTS  ON  COMPLETED  PROJECTS</t>
  </si>
  <si>
    <t>I, the undersigned,</t>
  </si>
  <si>
    <t>Full name and surname</t>
  </si>
  <si>
    <t>Identity number</t>
  </si>
  <si>
    <t>hereby declare under oath as follows:</t>
  </si>
  <si>
    <r>
      <t>1.</t>
    </r>
    <r>
      <rPr>
        <sz val="7"/>
        <color rgb="FF000000"/>
        <rFont val="Times New Roman"/>
        <family val="1"/>
      </rPr>
      <t xml:space="preserve">     </t>
    </r>
    <r>
      <rPr>
        <sz val="10"/>
        <color rgb="FF000000"/>
        <rFont val="Arial"/>
        <family val="2"/>
      </rPr>
      <t>The contents of this statement are to the best of my knowledge a true reflection of the facts.</t>
    </r>
  </si>
  <si>
    <r>
      <t>2.</t>
    </r>
    <r>
      <rPr>
        <sz val="7"/>
        <color rgb="FF000000"/>
        <rFont val="Times New Roman"/>
        <family val="1"/>
      </rPr>
      <t xml:space="preserve">     </t>
    </r>
    <r>
      <rPr>
        <sz val="10"/>
        <color rgb="FF000000"/>
        <rFont val="Arial"/>
        <family val="2"/>
      </rPr>
      <t>I am the authorised signatory for the tendering entity.</t>
    </r>
  </si>
  <si>
    <t>Enterprise name</t>
  </si>
  <si>
    <t>(Tendering entity)</t>
  </si>
  <si>
    <t>Trading name</t>
  </si>
  <si>
    <t>(if applicable)</t>
  </si>
  <si>
    <r>
      <t>3.</t>
    </r>
    <r>
      <rPr>
        <sz val="7"/>
        <color rgb="FF000000"/>
        <rFont val="Times New Roman"/>
        <family val="1"/>
      </rPr>
      <t xml:space="preserve">     </t>
    </r>
    <r>
      <rPr>
        <sz val="10"/>
        <color rgb="FF000000"/>
        <rFont val="Arial"/>
        <family val="2"/>
      </rPr>
      <t>I hereby declare under oath, by ticking the applicable box below, that the Enterprise has only previously completed:</t>
    </r>
  </si>
  <si>
    <t>0 (zero) projects</t>
  </si>
  <si>
    <t>1 (one) project</t>
  </si>
  <si>
    <t>2 (two) projects</t>
  </si>
  <si>
    <t>and as a result cannot submit Past Performance Reports for the required 3 (three) projects.</t>
  </si>
  <si>
    <r>
      <t>4.</t>
    </r>
    <r>
      <rPr>
        <sz val="7"/>
        <color rgb="FF000000"/>
        <rFont val="Times New Roman"/>
        <family val="1"/>
      </rPr>
      <t xml:space="preserve">     </t>
    </r>
    <r>
      <rPr>
        <sz val="10"/>
        <color rgb="FF000000"/>
        <rFont val="Arial"/>
        <family val="2"/>
      </rPr>
      <t>I know and understand the contents of this affidavit and I have no objection to take the prescribed oath and consider the oath binding on my conscience and on the Owners of the Enterprise which I represent in this matter.</t>
    </r>
  </si>
  <si>
    <t>Signed and sworn before me at ……………………………………………………… on the
 …………… day of …………………………………………………….. 20………….</t>
  </si>
  <si>
    <t>……………………………………………………</t>
  </si>
  <si>
    <t>SIGNATURE  OF  DEPONENT</t>
  </si>
  <si>
    <t>The deponent having:</t>
  </si>
  <si>
    <t>1. Acknowledge that he/she knows and understands the contents hereof;</t>
  </si>
  <si>
    <t>2. Confirmed that he/she has no objection to the taking of the prescribed oath;  and</t>
  </si>
  <si>
    <t>3. That he/she considered the prescribed oath as binding upon his/her conscience.</t>
  </si>
  <si>
    <t>COMMISSIONER  OF  OATHS</t>
  </si>
  <si>
    <t>SANRAL CONSULTANT TENDER EVALUATION</t>
  </si>
  <si>
    <t>PROJECT RELEVANCE MATRIX CODE DESCRIPTION</t>
  </si>
  <si>
    <t>PL, CE, RE - CONVENTIONAL - NONE</t>
  </si>
  <si>
    <t>Key Person</t>
  </si>
  <si>
    <t>PL, CE, RE - CONVENTIONAL - MO/MA</t>
  </si>
  <si>
    <t>Maintenance Opertations and Adhoc Maintenance</t>
  </si>
  <si>
    <t>PL, CE, RE - CONVENTIONAL - MP/MS</t>
  </si>
  <si>
    <t>Periodic Maintenance and Special Maintenance</t>
  </si>
  <si>
    <t>PL, CE, RE - CONVENTIONAL - DS</t>
  </si>
  <si>
    <t>Development Strengthening</t>
  </si>
  <si>
    <t>PL, CE, RE - CONVENTIONAL - DI</t>
  </si>
  <si>
    <t>Development Improvement</t>
  </si>
  <si>
    <t>PL, CE, RE - CONVENTIONAL - DN</t>
  </si>
  <si>
    <t>Development New Facilities</t>
  </si>
  <si>
    <t>PL, CE, RE - CONVENTIONAL - CD</t>
  </si>
  <si>
    <t>Community Development</t>
  </si>
  <si>
    <t>PL, CE, RE - CONVENTIONAL - 0</t>
  </si>
  <si>
    <t>Routine Road Maintenance</t>
  </si>
  <si>
    <t>Materials Technician</t>
  </si>
  <si>
    <t>Maintenance Operations and Adhoc Maintenance (Excl. RRM Projects)</t>
  </si>
  <si>
    <t>Electronics Systems Engineer</t>
  </si>
  <si>
    <t>PE</t>
  </si>
  <si>
    <t>DS - Pavement and Materials - NONE</t>
  </si>
  <si>
    <t>DS - Pavement and Materials - MP/MS</t>
  </si>
  <si>
    <t>DS - Pavement and Materials - MSC</t>
  </si>
  <si>
    <t>Special Maintenance Concrete</t>
  </si>
  <si>
    <t>DS - Pavement and Materials - DS</t>
  </si>
  <si>
    <t>DS - Pavement and Materials - DI/DN</t>
  </si>
  <si>
    <t>Development Improvement / New Facilities</t>
  </si>
  <si>
    <t>DS - Pavement and Materials - 0</t>
  </si>
  <si>
    <t>Other Facilities (e.g. Weighbridges)</t>
  </si>
  <si>
    <t>Toll Facilities</t>
  </si>
  <si>
    <t>Toll Operations</t>
  </si>
  <si>
    <t>Electronic Toll Systems</t>
  </si>
  <si>
    <t>Electrical Systems</t>
  </si>
  <si>
    <t>Mechanical Systems</t>
  </si>
  <si>
    <t>DS - Structures - NONE</t>
  </si>
  <si>
    <t>DS - Structures - MSB</t>
  </si>
  <si>
    <t>Maintenance Special Bridge</t>
  </si>
  <si>
    <t>DS - Structures - DIB</t>
  </si>
  <si>
    <t>Development Improvement Bridge</t>
  </si>
  <si>
    <t>DS - Structures - DNB</t>
  </si>
  <si>
    <t>Development New Bridge</t>
  </si>
  <si>
    <t>DS - Structures - MSS</t>
  </si>
  <si>
    <t>Maintenance Special Structures</t>
  </si>
  <si>
    <t>DS - Structures - DIS</t>
  </si>
  <si>
    <t>Development Improvement Structures</t>
  </si>
  <si>
    <t>DS - Structures - DNS</t>
  </si>
  <si>
    <t>Development New Structures</t>
  </si>
  <si>
    <t>DS - Structures - 0</t>
  </si>
  <si>
    <t>DS - Electrical - NONE</t>
  </si>
  <si>
    <t>DS - Electrical - STREET LIGHTING</t>
  </si>
  <si>
    <t>Steet Lighting</t>
  </si>
  <si>
    <t>DS - Electrical - TRAFFIC LIGHTS</t>
  </si>
  <si>
    <t>Traffic Lights</t>
  </si>
  <si>
    <t>DS - Electrical - BUILDING RETICULATION</t>
  </si>
  <si>
    <t>Building Reticulation</t>
  </si>
  <si>
    <t>DS - Electrical - 0</t>
  </si>
  <si>
    <t>Please Specify Details in Comments Block</t>
  </si>
  <si>
    <t>DS - Geometrics - NONE</t>
  </si>
  <si>
    <t>DS - Geometrics - INTERSECTION IMPROVEMENTS</t>
  </si>
  <si>
    <t>Intersection Improvements</t>
  </si>
  <si>
    <t>DS - Geometrics - CAPACITY IMPROVEMENT</t>
  </si>
  <si>
    <t>Capacity Improvement</t>
  </si>
  <si>
    <t>DS - Geometrics - ADDITIONAL LANES</t>
  </si>
  <si>
    <t>Additional Lanes</t>
  </si>
  <si>
    <t>DS - Geometrics - INTERCHANGE DESIGN</t>
  </si>
  <si>
    <t>Interchange Design</t>
  </si>
  <si>
    <t>DS - Geometrics - H/V RE-ALIGNMENT</t>
  </si>
  <si>
    <t>Horizontal / Vertical Re-Alignment</t>
  </si>
  <si>
    <t>DS - Geometrics - NEW ALIGNMENT</t>
  </si>
  <si>
    <t>New Alignment</t>
  </si>
  <si>
    <t>DS - Geometrics - 0</t>
  </si>
  <si>
    <t>DS - TRAFFIC AND TRANSPORTATION - NONE</t>
  </si>
  <si>
    <t>DS - TRAFFIC AND TRANSPORTATION - Strategic modelling/ demand forecasting</t>
  </si>
  <si>
    <t>Strategic modelling/ demand forecasting</t>
  </si>
  <si>
    <t>DS - TRAFFIC AND TRANSPORTATION - Static (meso) network simulation models</t>
  </si>
  <si>
    <t>Static (meso) network simulation models</t>
  </si>
  <si>
    <t>DS - TRAFFIC AND TRANSPORTATION - Dynamic (micro) simulation modelling</t>
  </si>
  <si>
    <t>Dynamic (micro) simulation modelling</t>
  </si>
  <si>
    <t>DS - TRAFFIC AND TRANSPORTATION - Traffic impact studies / local intersections</t>
  </si>
  <si>
    <t>Traffic impact studies / local intersections</t>
  </si>
  <si>
    <t>DS - TRAFFIC AND TRANSPORTATION - NMT and PT operations</t>
  </si>
  <si>
    <t>NMT and PT operations</t>
  </si>
  <si>
    <t>DS - TRAFFIC AND TRANSPORTATION - Transport economic studies</t>
  </si>
  <si>
    <t>Transport economic studies</t>
  </si>
  <si>
    <t>DS - TRAFFIC AND TRANSPORTATION - Transport policy development</t>
  </si>
  <si>
    <t>Transport policy development</t>
  </si>
  <si>
    <t>DS - TRAFFIC AND TRANSPORTATION - ITS systems</t>
  </si>
  <si>
    <t>ITS systems</t>
  </si>
  <si>
    <t>DS - TRAFFIC AND TRANSPORTATION - 0</t>
  </si>
  <si>
    <t>DS - GEOTECHNICAL - NONE</t>
  </si>
  <si>
    <t>DS - GEOTECHNICAL - FOUNDATIONS (PILING, PILE CAPS)</t>
  </si>
  <si>
    <t>FOUNDATIONS (PILING, PILE CAPS)</t>
  </si>
  <si>
    <t>DS - GEOTECHNICAL - DEEP EXCAVATIONS (DEEP CUTS/HIGH FILLS)</t>
  </si>
  <si>
    <t>DEEP EXCAVATIONS (DEEP CUTS/HIGH FILLS)</t>
  </si>
  <si>
    <t>DS - GEOTECHNICAL - ADDITIONAL LANES</t>
  </si>
  <si>
    <t>ADDITIONAL LANES</t>
  </si>
  <si>
    <t>DS - GEOTECHNICAL - RETAINING STRUCTURES</t>
  </si>
  <si>
    <t>RETAINING STRUCTURES</t>
  </si>
  <si>
    <t>DS - GEOTECHNICAL - ROCK ANCHORS (MOUNTAIN PASSES)</t>
  </si>
  <si>
    <t>ROCK ANCHORS (MOUNTAIN PASSES)</t>
  </si>
  <si>
    <t>DS - GEOTECHNICAL - MATERIAL &amp; ROCK SOURCES</t>
  </si>
  <si>
    <t>MATERIAL &amp; ROCK SOURCES</t>
  </si>
  <si>
    <t>DS - GEOTECHNICAL - ENGINEERING GEOPHYSICS</t>
  </si>
  <si>
    <t>ENGINEERING GEOPHYSICS</t>
  </si>
  <si>
    <t>DS - GEOTECHNICAL - REMOTE SENSING (GIS)</t>
  </si>
  <si>
    <t>REMOTE SENSING (GIS)</t>
  </si>
  <si>
    <t>DS - GEOTECHNICAL - ENGINEERING GEOLOGICAL MAPPING</t>
  </si>
  <si>
    <t>ENGINEERING GEOLOGICAL MAPPING</t>
  </si>
  <si>
    <t>DS - GEOTECHNICAL - SUBSURFACE DRAINING (GEOHYDROLOGY)</t>
  </si>
  <si>
    <t>SUBSURFACE DRAINING (GEOHYDROLOGY)</t>
  </si>
  <si>
    <t>DS - GEOTECHNICAL - 0</t>
  </si>
  <si>
    <t>DS - ELECTRONIC SYSTEMS - NONE</t>
  </si>
  <si>
    <t>DS - ELECTRONIC SYSTEMS - MAJOR TCC (WEIGH BRIDGES)</t>
  </si>
  <si>
    <t>Major Traffic Control Centres (Weighbridge)</t>
  </si>
  <si>
    <t>DS - ELECTRONIC SYSTEMS - TOLLS</t>
  </si>
  <si>
    <t>Tolls</t>
  </si>
  <si>
    <t>DS - ELECTRONIC SYSTEMS - FMS</t>
  </si>
  <si>
    <t>Freeway Managment Systems</t>
  </si>
  <si>
    <t>DS - ELECTRONIC SYSTEMS - MINOR TCC (BASIC WEIGH BRIDGE)</t>
  </si>
  <si>
    <t>Minor Traffic Control Centres (Basic Weighbridge)</t>
  </si>
  <si>
    <t>DS - ELECTRONIC SYSTEMS - 0</t>
  </si>
  <si>
    <t>SETUP INFO FOR TECHNICAL SUBMISSION</t>
  </si>
  <si>
    <t>Contract Number:</t>
  </si>
  <si>
    <t>TENDER CLOSIND DATE:</t>
  </si>
  <si>
    <t>ALT</t>
  </si>
  <si>
    <t>Position</t>
  </si>
  <si>
    <t>Design Specialist: Road Safety Engineer/ Auditor</t>
  </si>
  <si>
    <t>Man/Non-Man</t>
  </si>
  <si>
    <t>Man</t>
  </si>
  <si>
    <t>Non-Man</t>
  </si>
  <si>
    <t>Appl. Matrix</t>
  </si>
  <si>
    <t>PL, CE, RE - CONVENTIONAL - RIMS</t>
  </si>
  <si>
    <t>Dropdown1</t>
  </si>
  <si>
    <t>Dropdown2</t>
  </si>
  <si>
    <t>MO/MA</t>
  </si>
  <si>
    <t>Dropdown3</t>
  </si>
  <si>
    <t>MP/MS</t>
  </si>
  <si>
    <t>Dropdown4</t>
  </si>
  <si>
    <t>Dropdown5</t>
  </si>
  <si>
    <t>DI</t>
  </si>
  <si>
    <t>Dropdown6</t>
  </si>
  <si>
    <t>DN</t>
  </si>
  <si>
    <t>Dropdown7</t>
  </si>
  <si>
    <t>CD</t>
  </si>
  <si>
    <t>Dropdown8</t>
  </si>
  <si>
    <t>RIMS</t>
  </si>
  <si>
    <t>Dropdown9</t>
  </si>
  <si>
    <t>Dropdown10</t>
  </si>
  <si>
    <t>Dropdown11</t>
  </si>
  <si>
    <t>Dropdown12</t>
  </si>
  <si>
    <t>Dropdown13</t>
  </si>
  <si>
    <t>X.002-218-2024(NT)&amp;N.004-116-2024(T)</t>
  </si>
  <si>
    <t>DS RSE - Design Specialist: Road Safety Engineer/ Auditor - Road Safety</t>
  </si>
  <si>
    <t>Road Safety</t>
  </si>
  <si>
    <t>Geometric Improvement</t>
  </si>
  <si>
    <t>LoS Capacity</t>
  </si>
  <si>
    <t>Road Safety Audit (Team Leader)</t>
  </si>
  <si>
    <t>Road Safety Audit (Team Member)</t>
  </si>
  <si>
    <t>Crash Investigation (Lead Investigator)</t>
  </si>
  <si>
    <t>PL, CE, RE - CONVENTIONAL - RRM</t>
  </si>
  <si>
    <t>CE - RRM - NONE</t>
  </si>
  <si>
    <t>CE - RRM - RRM</t>
  </si>
  <si>
    <t>CE - RRM - MO/MA (Excl. RRM)</t>
  </si>
  <si>
    <t>CE - RRM - MP/MS</t>
  </si>
  <si>
    <t>CE - RRM - DS</t>
  </si>
  <si>
    <t>CE - RRM - DI</t>
  </si>
  <si>
    <t>CE - RRM - DN</t>
  </si>
  <si>
    <t>CE - RRM - CD</t>
  </si>
  <si>
    <t>CE - RRM - 0</t>
  </si>
  <si>
    <t>DS - Geometrics - ROUTE DETERMINATION</t>
  </si>
  <si>
    <t>DS RSE - Design Specialist: Road Safety Engineer/ Auditor - NONE</t>
  </si>
  <si>
    <t>DS RSE - Design Specialist: Road Safety Engineer/ Auditor - Geometric Improvement</t>
  </si>
  <si>
    <t>DS RSE - Design Specialist: Road Safety Engineer/ Auditor - LoS Capacity</t>
  </si>
  <si>
    <t>DS RSE - Design Specialist: Road Safety Engineer/ Auditor - RIMS</t>
  </si>
  <si>
    <t>DS RSE - Design Specialist: Road Safety Engineer/ Auditor - RRM</t>
  </si>
  <si>
    <t>DS RSE - Design Specialist: Road Safety Engineer/ Auditor - Road Safety Audit (Team Leader)</t>
  </si>
  <si>
    <t>DS RSE - Design Specialist: Road Safety Engineer/ Auditor - Road Safety Audit (Team Member)</t>
  </si>
  <si>
    <t>DS RSE - Design Specialist: Road Safety Engineer/ Auditor - Crash Investigation (Lead Investigator)</t>
  </si>
  <si>
    <t>DS RSE - Design Specialist: Road Safety Engineer/ Auditor - 0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</si>
</sst>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quot;R&quot;\ * #,##0.00_ ;_ &quot;R&quot;\ * \-#,##0.00_ ;_ &quot;R&quot;\ * &quot;-&quot;??_ ;_ @_ "/>
    <numFmt numFmtId="165" formatCode="&quot;R&quot;\ #,##0.00"/>
    <numFmt numFmtId="166" formatCode="0.0"/>
    <numFmt numFmtId="167" formatCode="0.0%"/>
  </numFmts>
  <fonts count="6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sz val="18"/>
      <name val="Arial"/>
      <family val="2"/>
    </font>
    <font>
      <sz val="16"/>
      <name val="Arial"/>
      <family val="2"/>
    </font>
    <font>
      <b/>
      <sz val="24"/>
      <name val="Arial"/>
      <family val="2"/>
    </font>
    <font>
      <b/>
      <sz val="10"/>
      <name val="Arial"/>
      <family val="2"/>
    </font>
    <font>
      <sz val="10"/>
      <color indexed="9"/>
      <name val="Arial"/>
      <family val="2"/>
    </font>
    <font>
      <b/>
      <sz val="14"/>
      <name val="Arial"/>
      <family val="2"/>
    </font>
    <font>
      <b/>
      <sz val="9"/>
      <name val="Arial"/>
      <family val="2"/>
    </font>
    <font>
      <u/>
      <sz val="10"/>
      <name val="Arial"/>
      <family val="2"/>
    </font>
    <font>
      <sz val="12"/>
      <name val="Arial"/>
      <family val="2"/>
    </font>
    <font>
      <b/>
      <sz val="10"/>
      <color indexed="9"/>
      <name val="Arial"/>
      <family val="2"/>
    </font>
    <font>
      <b/>
      <sz val="12"/>
      <color indexed="9"/>
      <name val="Arial"/>
      <family val="2"/>
    </font>
    <font>
      <b/>
      <sz val="10"/>
      <color indexed="12"/>
      <name val="Arial"/>
      <family val="2"/>
    </font>
    <font>
      <i/>
      <sz val="10"/>
      <name val="Arial"/>
      <family val="2"/>
    </font>
    <font>
      <b/>
      <sz val="12"/>
      <name val="Arial"/>
      <family val="2"/>
    </font>
    <font>
      <b/>
      <sz val="16"/>
      <name val="Arial"/>
      <family val="2"/>
    </font>
    <font>
      <b/>
      <u/>
      <sz val="18"/>
      <name val="Arial"/>
      <family val="2"/>
    </font>
    <font>
      <u/>
      <sz val="10"/>
      <color indexed="9"/>
      <name val="Arial"/>
      <family val="2"/>
    </font>
    <font>
      <b/>
      <u/>
      <sz val="18"/>
      <color indexed="10"/>
      <name val="Arial"/>
      <family val="2"/>
    </font>
    <font>
      <b/>
      <sz val="8"/>
      <color indexed="9"/>
      <name val="Arial"/>
      <family val="2"/>
    </font>
    <font>
      <b/>
      <sz val="10"/>
      <color indexed="10"/>
      <name val="Arial"/>
      <family val="2"/>
    </font>
    <font>
      <b/>
      <sz val="9"/>
      <color indexed="81"/>
      <name val="Tahoma"/>
      <family val="2"/>
    </font>
    <font>
      <b/>
      <sz val="10"/>
      <color indexed="8"/>
      <name val="Arial"/>
      <family val="2"/>
    </font>
    <font>
      <b/>
      <sz val="9"/>
      <color indexed="9"/>
      <name val="Arial"/>
      <family val="2"/>
    </font>
    <font>
      <sz val="10"/>
      <color theme="0"/>
      <name val="Arial"/>
      <family val="2"/>
    </font>
    <font>
      <b/>
      <sz val="10"/>
      <color rgb="FFFF0000"/>
      <name val="Arial"/>
      <family val="2"/>
    </font>
    <font>
      <sz val="13"/>
      <name val="Arial"/>
      <family val="2"/>
    </font>
    <font>
      <sz val="12"/>
      <color theme="0"/>
      <name val="Arial"/>
      <family val="2"/>
    </font>
    <font>
      <sz val="8"/>
      <color theme="0"/>
      <name val="Arial"/>
      <family val="2"/>
    </font>
    <font>
      <b/>
      <u/>
      <sz val="12"/>
      <name val="Arial"/>
      <family val="2"/>
    </font>
    <font>
      <sz val="10"/>
      <name val="Arial"/>
      <family val="2"/>
    </font>
    <font>
      <b/>
      <sz val="10"/>
      <color theme="0"/>
      <name val="Arial"/>
      <family val="2"/>
    </font>
    <font>
      <b/>
      <sz val="20"/>
      <color indexed="9"/>
      <name val="Arial"/>
      <family val="2"/>
    </font>
    <font>
      <b/>
      <sz val="11"/>
      <color theme="0"/>
      <name val="Arial"/>
      <family val="2"/>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b/>
      <sz val="12"/>
      <color theme="0"/>
      <name val="Calibri"/>
      <family val="2"/>
      <scheme val="minor"/>
    </font>
    <font>
      <sz val="11"/>
      <color theme="1"/>
      <name val="Calibri"/>
      <family val="2"/>
    </font>
    <font>
      <sz val="10"/>
      <color theme="1"/>
      <name val="Calibri"/>
      <family val="2"/>
      <scheme val="minor"/>
    </font>
    <font>
      <b/>
      <sz val="11"/>
      <color theme="0" tint="-0.249977111117893"/>
      <name val="Calibri"/>
      <family val="2"/>
      <scheme val="minor"/>
    </font>
    <font>
      <b/>
      <sz val="11"/>
      <color theme="0" tint="-0.34998626667073579"/>
      <name val="Calibri"/>
      <family val="2"/>
      <scheme val="minor"/>
    </font>
    <font>
      <sz val="11"/>
      <color theme="0" tint="-0.34998626667073579"/>
      <name val="Calibri"/>
      <family val="2"/>
      <scheme val="minor"/>
    </font>
    <font>
      <b/>
      <sz val="11"/>
      <color rgb="FFFF0000"/>
      <name val="Calibri"/>
      <family val="2"/>
      <scheme val="minor"/>
    </font>
    <font>
      <sz val="11"/>
      <color rgb="FF000000"/>
      <name val="Calibri"/>
      <family val="2"/>
    </font>
    <font>
      <b/>
      <u/>
      <sz val="11"/>
      <name val="Calibri"/>
      <family val="2"/>
      <scheme val="minor"/>
    </font>
    <font>
      <b/>
      <sz val="11"/>
      <color rgb="FFFF0000"/>
      <name val="Arial"/>
      <family val="2"/>
    </font>
    <font>
      <u/>
      <sz val="10"/>
      <color theme="0"/>
      <name val="Arial"/>
      <family val="2"/>
    </font>
    <font>
      <sz val="9"/>
      <color theme="0"/>
      <name val="Verdana"/>
      <family val="2"/>
    </font>
    <font>
      <sz val="11"/>
      <color theme="0"/>
      <name val="Calibri"/>
      <family val="2"/>
    </font>
    <font>
      <b/>
      <sz val="10"/>
      <color rgb="FF000000"/>
      <name val="Arial"/>
      <family val="2"/>
    </font>
    <font>
      <sz val="10"/>
      <color rgb="FF000000"/>
      <name val="Arial"/>
      <family val="2"/>
    </font>
    <font>
      <sz val="7"/>
      <color rgb="FF000000"/>
      <name val="Times New Roman"/>
      <family val="1"/>
    </font>
    <font>
      <sz val="11"/>
      <name val="Arial"/>
      <family val="2"/>
    </font>
    <font>
      <b/>
      <sz val="12"/>
      <color rgb="FF000000"/>
      <name val="Arial"/>
      <family val="2"/>
    </font>
    <font>
      <b/>
      <sz val="14"/>
      <color rgb="FF000080"/>
      <name val="Arial"/>
      <family val="2"/>
    </font>
    <font>
      <b/>
      <sz val="8"/>
      <color rgb="FF000080"/>
      <name val="Arial"/>
      <family val="2"/>
    </font>
    <font>
      <b/>
      <sz val="10"/>
      <color rgb="FF000080"/>
      <name val="Arial"/>
      <family val="2"/>
    </font>
  </fonts>
  <fills count="19">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2"/>
        <bgColor indexed="64"/>
      </patternFill>
    </fill>
    <fill>
      <patternFill patternType="solid">
        <fgColor indexed="9"/>
        <bgColor indexed="64"/>
      </patternFill>
    </fill>
    <fill>
      <patternFill patternType="solid">
        <fgColor indexed="41"/>
        <bgColor indexed="64"/>
      </patternFill>
    </fill>
    <fill>
      <patternFill patternType="solid">
        <fgColor theme="1"/>
        <bgColor indexed="64"/>
      </patternFill>
    </fill>
    <fill>
      <patternFill patternType="solid">
        <fgColor rgb="FFFFCC99"/>
        <bgColor indexed="64"/>
      </patternFill>
    </fill>
    <fill>
      <patternFill patternType="solid">
        <fgColor rgb="FFFFFF6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AA600"/>
        <bgColor indexed="64"/>
      </patternFill>
    </fill>
    <fill>
      <patternFill patternType="solid">
        <fgColor rgb="FFE2AC00"/>
        <bgColor indexed="64"/>
      </patternFill>
    </fill>
    <fill>
      <patternFill patternType="solid">
        <fgColor rgb="FFDEA900"/>
        <bgColor indexed="64"/>
      </patternFill>
    </fill>
    <fill>
      <patternFill patternType="solid">
        <fgColor theme="0" tint="-0.14996795556505021"/>
        <bgColor indexed="64"/>
      </patternFill>
    </fill>
    <fill>
      <patternFill patternType="solid">
        <fgColor rgb="FFFFFF99"/>
        <bgColor indexed="64"/>
      </patternFill>
    </fill>
    <fill>
      <patternFill patternType="solid">
        <fgColor theme="4" tint="0.59999389629810485"/>
        <bgColor indexed="64"/>
      </patternFill>
    </fill>
    <fill>
      <patternFill patternType="solid">
        <fgColor theme="3" tint="0.79998168889431442"/>
        <bgColor indexed="64"/>
      </patternFill>
    </fill>
  </fills>
  <borders count="82">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style="thin">
        <color indexed="64"/>
      </top>
      <bottom/>
      <diagonal/>
    </border>
    <border>
      <left/>
      <right/>
      <top style="thick">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style="thick">
        <color indexed="64"/>
      </right>
      <top/>
      <bottom style="thick">
        <color indexed="64"/>
      </bottom>
      <diagonal/>
    </border>
    <border>
      <left style="thin">
        <color indexed="64"/>
      </left>
      <right style="thin">
        <color indexed="64"/>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double">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n">
        <color indexed="64"/>
      </left>
      <right style="double">
        <color indexed="64"/>
      </right>
      <top/>
      <bottom/>
      <diagonal/>
    </border>
    <border>
      <left/>
      <right style="double">
        <color indexed="64"/>
      </right>
      <top/>
      <bottom/>
      <diagonal/>
    </border>
    <border>
      <left style="medium">
        <color auto="1"/>
      </left>
      <right style="medium">
        <color auto="1"/>
      </right>
      <top style="medium">
        <color auto="1"/>
      </top>
      <bottom style="medium">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indexed="64"/>
      </left>
      <right/>
      <top style="thin">
        <color indexed="64"/>
      </top>
      <bottom/>
      <diagonal/>
    </border>
    <border>
      <left style="thick">
        <color rgb="FFFF0000"/>
      </left>
      <right/>
      <top style="thick">
        <color rgb="FFFF0000"/>
      </top>
      <bottom/>
      <diagonal/>
    </border>
    <border>
      <left/>
      <right/>
      <top style="thick">
        <color rgb="FFFF0000"/>
      </top>
      <bottom/>
      <diagonal/>
    </border>
    <border>
      <left style="thick">
        <color rgb="FFFF0000"/>
      </left>
      <right/>
      <top/>
      <bottom/>
      <diagonal/>
    </border>
    <border>
      <left style="thick">
        <color rgb="FFFF0000"/>
      </left>
      <right/>
      <top/>
      <bottom style="thick">
        <color rgb="FFFF0000"/>
      </bottom>
      <diagonal/>
    </border>
    <border>
      <left/>
      <right/>
      <top/>
      <bottom style="thick">
        <color rgb="FFFF0000"/>
      </bottom>
      <diagonal/>
    </border>
    <border>
      <left style="medium">
        <color indexed="64"/>
      </left>
      <right style="medium">
        <color indexed="64"/>
      </right>
      <top style="medium">
        <color indexed="64"/>
      </top>
      <bottom/>
      <diagonal/>
    </border>
    <border>
      <left style="thick">
        <color rgb="FFFF0000"/>
      </left>
      <right/>
      <top style="thick">
        <color rgb="FFFF0000"/>
      </top>
      <bottom style="thin">
        <color auto="1"/>
      </bottom>
      <diagonal/>
    </border>
    <border>
      <left style="thin">
        <color auto="1"/>
      </left>
      <right style="thick">
        <color rgb="FFFF0000"/>
      </right>
      <top style="thick">
        <color rgb="FFFF0000"/>
      </top>
      <bottom style="thin">
        <color auto="1"/>
      </bottom>
      <diagonal/>
    </border>
    <border>
      <left style="thick">
        <color rgb="FFFF0000"/>
      </left>
      <right/>
      <top style="thin">
        <color auto="1"/>
      </top>
      <bottom style="thin">
        <color auto="1"/>
      </bottom>
      <diagonal/>
    </border>
    <border>
      <left style="thin">
        <color auto="1"/>
      </left>
      <right style="thick">
        <color rgb="FFFF0000"/>
      </right>
      <top style="thin">
        <color auto="1"/>
      </top>
      <bottom style="thin">
        <color auto="1"/>
      </bottom>
      <diagonal/>
    </border>
    <border>
      <left style="thick">
        <color rgb="FFFF0000"/>
      </left>
      <right/>
      <top style="thin">
        <color auto="1"/>
      </top>
      <bottom style="thick">
        <color rgb="FFFF0000"/>
      </bottom>
      <diagonal/>
    </border>
    <border>
      <left style="thin">
        <color auto="1"/>
      </left>
      <right style="thick">
        <color rgb="FFFF0000"/>
      </right>
      <top style="thin">
        <color auto="1"/>
      </top>
      <bottom style="thick">
        <color rgb="FFFF0000"/>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thin">
        <color indexed="64"/>
      </right>
      <top style="thin">
        <color theme="1"/>
      </top>
      <bottom style="thin">
        <color theme="1"/>
      </bottom>
      <diagonal/>
    </border>
    <border>
      <left style="thin">
        <color theme="1"/>
      </left>
      <right style="thin">
        <color theme="1"/>
      </right>
      <top style="thin">
        <color theme="1"/>
      </top>
      <bottom/>
      <diagonal/>
    </border>
    <border>
      <left style="thin">
        <color theme="1"/>
      </left>
      <right/>
      <top style="thin">
        <color theme="1"/>
      </top>
      <bottom/>
      <diagonal/>
    </border>
    <border>
      <left/>
      <right/>
      <top style="thin">
        <color theme="1"/>
      </top>
      <bottom/>
      <diagonal/>
    </border>
    <border>
      <left style="thin">
        <color indexed="64"/>
      </left>
      <right style="thin">
        <color theme="1"/>
      </right>
      <top style="thin">
        <color indexed="64"/>
      </top>
      <bottom/>
      <diagonal/>
    </border>
    <border>
      <left style="thin">
        <color theme="1"/>
      </left>
      <right style="thin">
        <color theme="1"/>
      </right>
      <top style="thin">
        <color indexed="64"/>
      </top>
      <bottom/>
      <diagonal/>
    </border>
    <border>
      <left style="thin">
        <color theme="1"/>
      </left>
      <right style="thin">
        <color indexed="64"/>
      </right>
      <top style="thin">
        <color indexed="64"/>
      </top>
      <bottom/>
      <diagonal/>
    </border>
    <border>
      <left style="thin">
        <color theme="1"/>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4">
    <xf numFmtId="0" fontId="0" fillId="0" borderId="0"/>
    <xf numFmtId="0" fontId="6" fillId="0" borderId="0" applyNumberFormat="0" applyFill="0" applyBorder="0" applyAlignment="0" applyProtection="0">
      <alignment vertical="top"/>
      <protection locked="0"/>
    </xf>
    <xf numFmtId="9" fontId="5" fillId="0" borderId="0" applyFont="0" applyFill="0" applyBorder="0" applyAlignment="0" applyProtection="0"/>
    <xf numFmtId="0" fontId="5" fillId="0" borderId="0"/>
    <xf numFmtId="0" fontId="5" fillId="0" borderId="0"/>
    <xf numFmtId="0" fontId="5" fillId="0" borderId="0"/>
    <xf numFmtId="9" fontId="5" fillId="0" borderId="0" applyFont="0" applyFill="0" applyBorder="0" applyAlignment="0" applyProtection="0"/>
    <xf numFmtId="0" fontId="4" fillId="0" borderId="0"/>
    <xf numFmtId="0" fontId="5" fillId="0" borderId="0"/>
    <xf numFmtId="164" fontId="37" fillId="0" borderId="0" applyFont="0" applyFill="0" applyBorder="0" applyAlignment="0" applyProtection="0"/>
    <xf numFmtId="0" fontId="5" fillId="0" borderId="0"/>
    <xf numFmtId="0" fontId="3" fillId="0" borderId="0"/>
    <xf numFmtId="0" fontId="2" fillId="0" borderId="0"/>
    <xf numFmtId="9" fontId="2" fillId="0" borderId="0" applyFont="0" applyFill="0" applyBorder="0" applyAlignment="0" applyProtection="0"/>
  </cellStyleXfs>
  <cellXfs count="633">
    <xf numFmtId="0" fontId="0" fillId="0" borderId="0" xfId="0"/>
    <xf numFmtId="0" fontId="8" fillId="0" borderId="0" xfId="0" applyFont="1" applyAlignment="1">
      <alignment vertical="center"/>
    </xf>
    <xf numFmtId="0" fontId="9" fillId="0" borderId="0" xfId="0" applyFont="1" applyAlignment="1">
      <alignment vertical="center"/>
    </xf>
    <xf numFmtId="0" fontId="0" fillId="0" borderId="0" xfId="0" applyAlignment="1">
      <alignment horizontal="center" vertical="center"/>
    </xf>
    <xf numFmtId="0" fontId="9" fillId="0" borderId="0" xfId="0" applyFont="1"/>
    <xf numFmtId="0" fontId="10" fillId="0" borderId="0" xfId="0" applyFont="1" applyAlignment="1">
      <alignment vertical="center" shrinkToFit="1"/>
    </xf>
    <xf numFmtId="0" fontId="6" fillId="0" borderId="0" xfId="1" applyFill="1" applyAlignment="1" applyProtection="1">
      <alignment horizontal="center" shrinkToFit="1"/>
    </xf>
    <xf numFmtId="0" fontId="6" fillId="0" borderId="0" xfId="1" applyFill="1" applyBorder="1" applyAlignment="1" applyProtection="1"/>
    <xf numFmtId="0" fontId="11" fillId="0" borderId="0" xfId="0" applyFont="1"/>
    <xf numFmtId="0" fontId="6" fillId="0" borderId="0" xfId="1" applyFill="1" applyAlignment="1" applyProtection="1">
      <alignment horizontal="center"/>
    </xf>
    <xf numFmtId="0" fontId="0" fillId="0" borderId="0" xfId="0" applyAlignment="1">
      <alignment vertical="center"/>
    </xf>
    <xf numFmtId="0" fontId="0" fillId="0" borderId="0" xfId="0" applyAlignment="1">
      <alignment vertical="center" wrapText="1"/>
    </xf>
    <xf numFmtId="0" fontId="0" fillId="0" borderId="0" xfId="0" applyProtection="1">
      <protection locked="0"/>
    </xf>
    <xf numFmtId="0" fontId="0" fillId="0" borderId="0" xfId="0" applyAlignment="1" applyProtection="1">
      <alignment horizontal="center"/>
      <protection locked="0"/>
    </xf>
    <xf numFmtId="0" fontId="0" fillId="0" borderId="0" xfId="0" applyAlignment="1" applyProtection="1">
      <alignment horizontal="left" vertical="center"/>
      <protection locked="0"/>
    </xf>
    <xf numFmtId="0" fontId="5" fillId="0" borderId="0" xfId="0" applyFont="1"/>
    <xf numFmtId="0" fontId="5"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vertical="top"/>
    </xf>
    <xf numFmtId="0" fontId="15" fillId="0" borderId="0" xfId="1" applyFont="1" applyFill="1" applyBorder="1" applyAlignment="1" applyProtection="1">
      <alignment horizontal="center" vertical="center"/>
    </xf>
    <xf numFmtId="0" fontId="6" fillId="0" borderId="0" xfId="1" applyFill="1" applyBorder="1" applyAlignment="1" applyProtection="1">
      <alignment horizontal="center" vertical="center"/>
    </xf>
    <xf numFmtId="0" fontId="0" fillId="0" borderId="0" xfId="0" applyAlignment="1">
      <alignment horizontal="center" vertical="center" wrapText="1"/>
    </xf>
    <xf numFmtId="0" fontId="11" fillId="0" borderId="0" xfId="1" applyFont="1" applyFill="1" applyBorder="1" applyAlignment="1" applyProtection="1">
      <alignment horizontal="center" vertical="center" wrapText="1"/>
    </xf>
    <xf numFmtId="2" fontId="18" fillId="0" borderId="0" xfId="0" applyNumberFormat="1" applyFont="1" applyAlignment="1" applyProtection="1">
      <alignment horizontal="center" vertical="center" wrapText="1"/>
      <protection locked="0"/>
    </xf>
    <xf numFmtId="0" fontId="5" fillId="3" borderId="0" xfId="1" applyFont="1" applyFill="1" applyAlignment="1" applyProtection="1">
      <alignment horizontal="center"/>
    </xf>
    <xf numFmtId="0" fontId="19" fillId="0" borderId="0" xfId="0" applyFont="1"/>
    <xf numFmtId="0" fontId="0" fillId="0" borderId="1" xfId="0" applyBorder="1"/>
    <xf numFmtId="0" fontId="11" fillId="0" borderId="2" xfId="0" applyFont="1" applyBorder="1"/>
    <xf numFmtId="0" fontId="0" fillId="0" borderId="2" xfId="0" applyBorder="1"/>
    <xf numFmtId="0" fontId="0" fillId="0" borderId="2" xfId="0" applyBorder="1" applyAlignment="1">
      <alignment horizontal="right"/>
    </xf>
    <xf numFmtId="0" fontId="20" fillId="0" borderId="2" xfId="0" applyFont="1" applyBorder="1"/>
    <xf numFmtId="0" fontId="11" fillId="0" borderId="2" xfId="0" applyFont="1" applyBorder="1" applyAlignment="1">
      <alignment horizontal="right"/>
    </xf>
    <xf numFmtId="0" fontId="0" fillId="0" borderId="3" xfId="0" applyBorder="1"/>
    <xf numFmtId="0" fontId="0" fillId="0" borderId="4" xfId="0" applyBorder="1"/>
    <xf numFmtId="0" fontId="0" fillId="0" borderId="0" xfId="0" applyAlignment="1">
      <alignment horizontal="right"/>
    </xf>
    <xf numFmtId="0" fontId="0" fillId="0" borderId="0" xfId="0" quotePrefix="1"/>
    <xf numFmtId="0" fontId="0" fillId="0" borderId="0" xfId="0" quotePrefix="1" applyAlignment="1">
      <alignment horizontal="center"/>
    </xf>
    <xf numFmtId="14" fontId="0" fillId="0" borderId="0" xfId="0" applyNumberFormat="1" applyAlignment="1" applyProtection="1">
      <alignment horizontal="center" vertical="center"/>
      <protection locked="0"/>
    </xf>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6" xfId="0" applyBorder="1" applyAlignment="1">
      <alignment vertical="center"/>
    </xf>
    <xf numFmtId="0" fontId="0" fillId="0" borderId="8" xfId="0" applyBorder="1" applyAlignment="1">
      <alignment vertical="center"/>
    </xf>
    <xf numFmtId="0" fontId="0" fillId="0" borderId="9" xfId="0" applyBorder="1" applyAlignment="1">
      <alignment horizontal="center"/>
    </xf>
    <xf numFmtId="0" fontId="0" fillId="0" borderId="4" xfId="0" applyBorder="1" applyAlignment="1">
      <alignment horizontal="center" vertical="center" wrapText="1"/>
    </xf>
    <xf numFmtId="0" fontId="0" fillId="4" borderId="6" xfId="0" applyFill="1" applyBorder="1" applyAlignment="1">
      <alignment vertical="center" wrapText="1"/>
    </xf>
    <xf numFmtId="0" fontId="0" fillId="0" borderId="6" xfId="0" applyBorder="1" applyAlignment="1">
      <alignment horizontal="left" vertical="center"/>
    </xf>
    <xf numFmtId="0" fontId="0" fillId="4" borderId="10" xfId="0" applyFill="1" applyBorder="1" applyAlignment="1">
      <alignment horizontal="center" vertical="center" wrapText="1"/>
    </xf>
    <xf numFmtId="0" fontId="0" fillId="0" borderId="10" xfId="0" applyBorder="1" applyAlignment="1">
      <alignment horizontal="center" vertical="center" wrapText="1"/>
    </xf>
    <xf numFmtId="0" fontId="0" fillId="0" borderId="5" xfId="0" applyBorder="1" applyAlignment="1">
      <alignment horizontal="center" vertical="center" wrapText="1"/>
    </xf>
    <xf numFmtId="0" fontId="0" fillId="0" borderId="4" xfId="0" applyBorder="1" applyAlignment="1">
      <alignment vertical="center" wrapText="1"/>
    </xf>
    <xf numFmtId="0" fontId="0" fillId="0" borderId="7" xfId="0" applyBorder="1" applyAlignment="1" applyProtection="1">
      <alignment vertical="center" wrapText="1"/>
      <protection locked="0"/>
    </xf>
    <xf numFmtId="0" fontId="0" fillId="0" borderId="8" xfId="0" applyBorder="1" applyAlignment="1" applyProtection="1">
      <alignment vertical="center" wrapText="1"/>
      <protection locked="0"/>
    </xf>
    <xf numFmtId="0" fontId="0" fillId="0" borderId="6" xfId="0" applyBorder="1" applyAlignment="1" applyProtection="1">
      <alignment vertical="center" wrapText="1"/>
      <protection locked="0"/>
    </xf>
    <xf numFmtId="0" fontId="0" fillId="0" borderId="10" xfId="0" applyBorder="1" applyAlignment="1" applyProtection="1">
      <alignment vertical="center" wrapText="1"/>
      <protection locked="0"/>
    </xf>
    <xf numFmtId="0" fontId="0" fillId="0" borderId="0" xfId="0" applyAlignment="1">
      <alignment horizontal="center" vertical="top" wrapText="1"/>
    </xf>
    <xf numFmtId="0" fontId="0" fillId="0" borderId="0" xfId="0" applyAlignment="1">
      <alignment horizontal="center"/>
    </xf>
    <xf numFmtId="0" fontId="0" fillId="0" borderId="11" xfId="0" applyBorder="1"/>
    <xf numFmtId="0" fontId="0" fillId="0" borderId="12" xfId="0" applyBorder="1"/>
    <xf numFmtId="0" fontId="0" fillId="0" borderId="12" xfId="0" applyBorder="1" applyAlignment="1">
      <alignment horizontal="center" vertical="top" wrapText="1"/>
    </xf>
    <xf numFmtId="0" fontId="0" fillId="0" borderId="12" xfId="0" applyBorder="1" applyAlignment="1">
      <alignment horizontal="center"/>
    </xf>
    <xf numFmtId="0" fontId="0" fillId="0" borderId="12" xfId="0" applyBorder="1" applyAlignment="1">
      <alignment horizontal="center" vertical="center" wrapText="1"/>
    </xf>
    <xf numFmtId="0" fontId="0" fillId="0" borderId="13" xfId="0" applyBorder="1"/>
    <xf numFmtId="0" fontId="0" fillId="0" borderId="2" xfId="0" applyBorder="1" applyAlignment="1">
      <alignment vertical="center"/>
    </xf>
    <xf numFmtId="0" fontId="0" fillId="0" borderId="6" xfId="0" applyBorder="1" applyAlignment="1" applyProtection="1">
      <alignment horizontal="left" vertical="center"/>
      <protection locked="0"/>
    </xf>
    <xf numFmtId="0" fontId="0" fillId="0" borderId="7" xfId="0" applyBorder="1" applyAlignment="1" applyProtection="1">
      <alignment vertical="center"/>
      <protection locked="0"/>
    </xf>
    <xf numFmtId="0" fontId="0" fillId="0" borderId="8" xfId="0" applyBorder="1" applyAlignment="1" applyProtection="1">
      <alignment vertical="center"/>
      <protection locked="0"/>
    </xf>
    <xf numFmtId="0" fontId="0" fillId="0" borderId="4" xfId="0" applyBorder="1" applyAlignment="1">
      <alignment vertical="center"/>
    </xf>
    <xf numFmtId="166" fontId="0" fillId="0" borderId="0" xfId="0" applyNumberFormat="1" applyAlignment="1">
      <alignment horizontal="center" vertical="center" wrapText="1"/>
    </xf>
    <xf numFmtId="0" fontId="0" fillId="0" borderId="5" xfId="0" applyBorder="1" applyAlignment="1">
      <alignment horizontal="center" vertical="center"/>
    </xf>
    <xf numFmtId="0" fontId="5" fillId="3" borderId="0" xfId="1" applyFont="1" applyFill="1" applyAlignment="1" applyProtection="1"/>
    <xf numFmtId="0" fontId="6" fillId="3" borderId="0" xfId="1" applyFill="1" applyAlignment="1" applyProtection="1">
      <alignment horizontal="center"/>
    </xf>
    <xf numFmtId="0" fontId="11" fillId="0" borderId="0" xfId="0" applyFont="1" applyAlignment="1">
      <alignment horizontal="right"/>
    </xf>
    <xf numFmtId="0" fontId="11" fillId="0" borderId="0" xfId="0" applyFont="1" applyAlignment="1">
      <alignment horizontal="left" vertical="center"/>
    </xf>
    <xf numFmtId="0" fontId="0" fillId="0" borderId="0" xfId="0" applyAlignment="1">
      <alignment horizontal="left"/>
    </xf>
    <xf numFmtId="0" fontId="0" fillId="0" borderId="0" xfId="0" applyAlignment="1">
      <alignment horizontal="left" vertical="center"/>
    </xf>
    <xf numFmtId="0" fontId="21" fillId="0" borderId="0" xfId="0" applyFont="1" applyAlignment="1">
      <alignment horizontal="right" vertical="center"/>
    </xf>
    <xf numFmtId="0" fontId="0" fillId="0" borderId="16" xfId="0" applyBorder="1" applyAlignment="1">
      <alignment shrinkToFit="1"/>
    </xf>
    <xf numFmtId="0" fontId="0" fillId="0" borderId="16" xfId="0" applyBorder="1" applyAlignment="1">
      <alignment horizontal="center"/>
    </xf>
    <xf numFmtId="0" fontId="0" fillId="0" borderId="17" xfId="0" applyBorder="1" applyAlignment="1">
      <alignment shrinkToFit="1"/>
    </xf>
    <xf numFmtId="0" fontId="0" fillId="0" borderId="17" xfId="0" applyBorder="1" applyAlignment="1">
      <alignment horizontal="center"/>
    </xf>
    <xf numFmtId="0" fontId="0" fillId="0" borderId="18" xfId="0" applyBorder="1"/>
    <xf numFmtId="0" fontId="0" fillId="0" borderId="19" xfId="0" applyBorder="1"/>
    <xf numFmtId="0" fontId="5" fillId="0" borderId="0" xfId="1" applyFont="1" applyFill="1" applyBorder="1" applyAlignment="1" applyProtection="1">
      <alignment horizontal="center"/>
    </xf>
    <xf numFmtId="14" fontId="0" fillId="0" borderId="0" xfId="0" applyNumberFormat="1" applyAlignment="1">
      <alignment horizontal="center" vertical="center"/>
    </xf>
    <xf numFmtId="49" fontId="0" fillId="0" borderId="0" xfId="0" applyNumberFormat="1" applyAlignment="1">
      <alignment horizontal="center" vertical="center"/>
    </xf>
    <xf numFmtId="0" fontId="0" fillId="0" borderId="0" xfId="0" applyAlignment="1" applyProtection="1">
      <alignment vertical="top" wrapText="1"/>
      <protection locked="0"/>
    </xf>
    <xf numFmtId="0" fontId="0" fillId="0" borderId="2" xfId="0" applyBorder="1" applyAlignment="1" applyProtection="1">
      <alignment vertical="top" wrapText="1"/>
      <protection locked="0"/>
    </xf>
    <xf numFmtId="0" fontId="0" fillId="0" borderId="0" xfId="0" applyAlignment="1" applyProtection="1">
      <alignment vertical="top"/>
      <protection locked="0"/>
    </xf>
    <xf numFmtId="0" fontId="0" fillId="0" borderId="2" xfId="0" applyBorder="1" applyAlignment="1" applyProtection="1">
      <alignment vertical="top"/>
      <protection locked="0"/>
    </xf>
    <xf numFmtId="0" fontId="5" fillId="0" borderId="0" xfId="0" applyFont="1" applyAlignment="1">
      <alignment horizontal="center" vertical="center"/>
    </xf>
    <xf numFmtId="0" fontId="0" fillId="0" borderId="0" xfId="0" applyAlignment="1">
      <alignment horizontal="right" vertical="center"/>
    </xf>
    <xf numFmtId="2" fontId="11" fillId="0" borderId="0" xfId="0" applyNumberFormat="1" applyFont="1" applyAlignment="1">
      <alignment horizontal="center"/>
    </xf>
    <xf numFmtId="0" fontId="12" fillId="0" borderId="0" xfId="0" applyFont="1" applyAlignment="1">
      <alignment horizontal="center"/>
    </xf>
    <xf numFmtId="0" fontId="12" fillId="0" borderId="0" xfId="0" applyFont="1"/>
    <xf numFmtId="2" fontId="11" fillId="0" borderId="0" xfId="0" applyNumberFormat="1" applyFont="1" applyAlignment="1">
      <alignment horizontal="center" vertical="center"/>
    </xf>
    <xf numFmtId="0" fontId="11" fillId="0" borderId="0" xfId="0" applyFont="1" applyAlignment="1">
      <alignment horizontal="center" vertical="center"/>
    </xf>
    <xf numFmtId="0" fontId="11" fillId="0" borderId="0" xfId="0" applyFont="1" applyAlignment="1">
      <alignment horizontal="right" vertical="center"/>
    </xf>
    <xf numFmtId="0" fontId="0" fillId="0" borderId="20" xfId="0" applyBorder="1" applyAlignment="1">
      <alignment vertical="center"/>
    </xf>
    <xf numFmtId="0" fontId="0" fillId="0" borderId="20" xfId="0" applyBorder="1" applyAlignment="1">
      <alignment horizontal="center" vertical="center"/>
    </xf>
    <xf numFmtId="0" fontId="11" fillId="0" borderId="9" xfId="0" applyFont="1" applyBorder="1" applyAlignment="1">
      <alignment horizontal="right" vertical="center"/>
    </xf>
    <xf numFmtId="0" fontId="11" fillId="0" borderId="21" xfId="0" applyFont="1" applyBorder="1" applyAlignment="1">
      <alignment horizontal="left" vertical="center"/>
    </xf>
    <xf numFmtId="0" fontId="11" fillId="0" borderId="0" xfId="0" applyFont="1" applyAlignment="1">
      <alignment vertical="center" wrapText="1"/>
    </xf>
    <xf numFmtId="0" fontId="11" fillId="0" borderId="0" xfId="0" applyFont="1" applyAlignment="1">
      <alignment vertical="center"/>
    </xf>
    <xf numFmtId="0" fontId="6" fillId="3" borderId="0" xfId="1" applyFill="1" applyAlignment="1" applyProtection="1">
      <alignment horizontal="center" vertical="center"/>
    </xf>
    <xf numFmtId="0" fontId="8" fillId="0" borderId="0" xfId="0" applyFont="1" applyAlignment="1">
      <alignment horizontal="right"/>
    </xf>
    <xf numFmtId="2" fontId="8" fillId="0" borderId="0" xfId="0" applyNumberFormat="1" applyFont="1" applyAlignment="1">
      <alignment horizontal="left"/>
    </xf>
    <xf numFmtId="0" fontId="11" fillId="0" borderId="0" xfId="0" applyFont="1" applyAlignment="1">
      <alignment horizontal="center" vertical="center" wrapText="1"/>
    </xf>
    <xf numFmtId="0" fontId="5" fillId="0" borderId="0" xfId="2" applyNumberFormat="1" applyBorder="1" applyAlignment="1">
      <alignment horizontal="center"/>
    </xf>
    <xf numFmtId="0" fontId="11" fillId="0" borderId="0" xfId="0" applyFont="1" applyAlignment="1">
      <alignment horizontal="right" vertical="center" wrapText="1"/>
    </xf>
    <xf numFmtId="0" fontId="11" fillId="0" borderId="0" xfId="0" applyFont="1" applyAlignment="1">
      <alignment horizontal="left" vertical="center" wrapText="1"/>
    </xf>
    <xf numFmtId="0" fontId="12" fillId="0" borderId="0" xfId="0" applyFont="1" applyAlignment="1">
      <alignment vertical="center"/>
    </xf>
    <xf numFmtId="0" fontId="12" fillId="0" borderId="0" xfId="0" applyFont="1" applyAlignment="1">
      <alignment vertical="center" wrapText="1"/>
    </xf>
    <xf numFmtId="0" fontId="17" fillId="0" borderId="0" xfId="0" applyFont="1" applyAlignment="1">
      <alignment horizontal="center" vertical="center"/>
    </xf>
    <xf numFmtId="0" fontId="17" fillId="0" borderId="0" xfId="0" applyFont="1" applyAlignment="1">
      <alignment horizontal="center" vertical="center" shrinkToFit="1"/>
    </xf>
    <xf numFmtId="0" fontId="17" fillId="0" borderId="0" xfId="0" applyFont="1"/>
    <xf numFmtId="0" fontId="17" fillId="0" borderId="0" xfId="0" applyFont="1" applyAlignment="1">
      <alignment vertical="center"/>
    </xf>
    <xf numFmtId="0" fontId="17" fillId="0" borderId="0" xfId="0" applyFont="1" applyAlignment="1">
      <alignment horizontal="center" vertical="center" wrapText="1"/>
    </xf>
    <xf numFmtId="2" fontId="17" fillId="0" borderId="0" xfId="0" applyNumberFormat="1" applyFont="1" applyAlignment="1">
      <alignment horizontal="center" vertical="center" wrapText="1"/>
    </xf>
    <xf numFmtId="0" fontId="17" fillId="0" borderId="0" xfId="0" applyFont="1" applyAlignment="1">
      <alignment vertical="center" wrapText="1"/>
    </xf>
    <xf numFmtId="2" fontId="0" fillId="0" borderId="0" xfId="0" applyNumberFormat="1" applyAlignment="1">
      <alignment horizontal="left"/>
    </xf>
    <xf numFmtId="0" fontId="11" fillId="0" borderId="0" xfId="0" applyFont="1" applyAlignment="1">
      <alignment horizontal="center" vertical="center" shrinkToFit="1"/>
    </xf>
    <xf numFmtId="2" fontId="11" fillId="0" borderId="0" xfId="0" applyNumberFormat="1" applyFont="1" applyAlignment="1">
      <alignment horizontal="center" vertical="center" wrapText="1"/>
    </xf>
    <xf numFmtId="0" fontId="11" fillId="4" borderId="10" xfId="0" applyFont="1" applyFill="1" applyBorder="1" applyAlignment="1">
      <alignment horizontal="center" vertical="center"/>
    </xf>
    <xf numFmtId="0" fontId="0" fillId="0" borderId="5" xfId="0" applyBorder="1" applyAlignment="1">
      <alignment vertical="center"/>
    </xf>
    <xf numFmtId="0" fontId="0" fillId="0" borderId="0" xfId="0" applyAlignment="1" applyProtection="1">
      <alignment horizontal="center" vertical="center" wrapText="1"/>
      <protection locked="0"/>
    </xf>
    <xf numFmtId="0" fontId="0" fillId="0" borderId="0" xfId="0" applyAlignment="1">
      <alignment vertical="top" wrapText="1"/>
    </xf>
    <xf numFmtId="0" fontId="0" fillId="0" borderId="10" xfId="0" applyBorder="1"/>
    <xf numFmtId="0" fontId="16" fillId="0" borderId="0" xfId="0" applyFont="1" applyAlignment="1">
      <alignment vertical="top" wrapText="1"/>
    </xf>
    <xf numFmtId="0" fontId="11" fillId="3" borderId="0" xfId="1" applyFont="1" applyFill="1" applyAlignment="1" applyProtection="1">
      <alignment horizontal="center" vertical="center"/>
    </xf>
    <xf numFmtId="0" fontId="23" fillId="0" borderId="0" xfId="0" applyFont="1" applyAlignment="1">
      <alignment vertical="center"/>
    </xf>
    <xf numFmtId="0" fontId="24" fillId="0" borderId="0" xfId="1" applyFont="1" applyFill="1" applyAlignment="1" applyProtection="1">
      <alignment horizontal="center"/>
    </xf>
    <xf numFmtId="0" fontId="12" fillId="0" borderId="0" xfId="0" applyFont="1" applyAlignment="1" applyProtection="1">
      <alignment horizontal="center"/>
      <protection locked="0"/>
    </xf>
    <xf numFmtId="0" fontId="12" fillId="0" borderId="0" xfId="0" applyFont="1" applyAlignment="1">
      <alignment horizontal="left" vertical="center" shrinkToFit="1"/>
    </xf>
    <xf numFmtId="0" fontId="12" fillId="0" borderId="0" xfId="0" applyFont="1" applyAlignment="1">
      <alignment vertical="center" shrinkToFit="1"/>
    </xf>
    <xf numFmtId="0" fontId="0" fillId="0" borderId="22" xfId="0" applyBorder="1"/>
    <xf numFmtId="0" fontId="6" fillId="0" borderId="23" xfId="1" applyFill="1" applyBorder="1" applyAlignment="1" applyProtection="1">
      <alignment horizontal="center"/>
    </xf>
    <xf numFmtId="0" fontId="5" fillId="0" borderId="26" xfId="0" applyFont="1" applyBorder="1" applyAlignment="1">
      <alignment horizontal="center"/>
    </xf>
    <xf numFmtId="0" fontId="11" fillId="0" borderId="27" xfId="0" applyFont="1" applyBorder="1" applyAlignment="1">
      <alignment horizontal="center"/>
    </xf>
    <xf numFmtId="0" fontId="11" fillId="3" borderId="25" xfId="1" applyFont="1" applyFill="1" applyBorder="1" applyAlignment="1" applyProtection="1">
      <alignment horizontal="center"/>
    </xf>
    <xf numFmtId="0" fontId="0" fillId="0" borderId="0" xfId="0" applyAlignment="1">
      <alignment vertical="top"/>
    </xf>
    <xf numFmtId="14" fontId="0" fillId="2" borderId="10" xfId="0" applyNumberFormat="1" applyFill="1" applyBorder="1" applyAlignment="1" applyProtection="1">
      <alignment horizontal="center" vertical="center" wrapText="1"/>
      <protection locked="0"/>
    </xf>
    <xf numFmtId="0" fontId="12" fillId="0" borderId="0" xfId="0" applyFont="1" applyProtection="1">
      <protection locked="0"/>
    </xf>
    <xf numFmtId="0" fontId="12" fillId="0" borderId="0" xfId="0" applyFont="1" applyAlignment="1" applyProtection="1">
      <alignment horizontal="center" vertical="center" wrapText="1"/>
      <protection locked="0"/>
    </xf>
    <xf numFmtId="0" fontId="12" fillId="0" borderId="0" xfId="0" applyFont="1" applyAlignment="1" applyProtection="1">
      <alignment vertical="center"/>
      <protection locked="0"/>
    </xf>
    <xf numFmtId="0" fontId="24" fillId="0" borderId="0" xfId="0" applyFont="1" applyAlignment="1" applyProtection="1">
      <alignment horizontal="center" vertical="center"/>
      <protection locked="0"/>
    </xf>
    <xf numFmtId="0" fontId="12" fillId="0" borderId="0" xfId="0" applyFont="1" applyAlignment="1" applyProtection="1">
      <alignment horizontal="center" vertical="center"/>
      <protection locked="0"/>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5" fillId="0" borderId="0" xfId="0" applyFont="1" applyAlignment="1" applyProtection="1">
      <alignment horizontal="center"/>
      <protection locked="0"/>
    </xf>
    <xf numFmtId="0" fontId="6" fillId="0" borderId="0" xfId="1" applyFill="1" applyAlignment="1" applyProtection="1">
      <alignment horizontal="center" vertical="center"/>
    </xf>
    <xf numFmtId="0" fontId="5" fillId="0" borderId="10" xfId="0" applyFont="1" applyBorder="1" applyAlignment="1">
      <alignment vertical="center"/>
    </xf>
    <xf numFmtId="0" fontId="5" fillId="0" borderId="10" xfId="0" applyFont="1" applyBorder="1" applyAlignment="1">
      <alignment vertical="center" wrapText="1"/>
    </xf>
    <xf numFmtId="2" fontId="11" fillId="0" borderId="0" xfId="0" applyNumberFormat="1" applyFont="1" applyAlignment="1">
      <alignment horizontal="left"/>
    </xf>
    <xf numFmtId="0" fontId="29" fillId="0" borderId="0" xfId="1" applyFont="1" applyFill="1" applyBorder="1" applyAlignment="1" applyProtection="1"/>
    <xf numFmtId="0" fontId="5" fillId="5" borderId="10" xfId="0" applyFont="1" applyFill="1" applyBorder="1" applyAlignment="1">
      <alignment horizontal="center" vertical="center" wrapText="1"/>
    </xf>
    <xf numFmtId="0" fontId="31" fillId="0" borderId="0" xfId="0" applyFont="1"/>
    <xf numFmtId="0" fontId="5" fillId="0" borderId="6" xfId="0" applyFont="1" applyBorder="1" applyAlignment="1">
      <alignment vertical="center"/>
    </xf>
    <xf numFmtId="0" fontId="5" fillId="0" borderId="0" xfId="0" applyFont="1" applyProtection="1">
      <protection locked="0"/>
    </xf>
    <xf numFmtId="0" fontId="5" fillId="0" borderId="0" xfId="0" applyFont="1" applyAlignment="1" applyProtection="1">
      <alignment horizontal="center" vertical="center" wrapText="1"/>
      <protection locked="0"/>
    </xf>
    <xf numFmtId="0" fontId="5" fillId="0" borderId="0" xfId="0" applyFont="1" applyAlignment="1">
      <alignment horizontal="center" vertical="center" wrapText="1"/>
    </xf>
    <xf numFmtId="0" fontId="5" fillId="0" borderId="5" xfId="0" applyFont="1" applyBorder="1"/>
    <xf numFmtId="0" fontId="31" fillId="0" borderId="5" xfId="0" applyFont="1" applyBorder="1" applyAlignment="1">
      <alignment horizontal="center" vertical="center" wrapText="1"/>
    </xf>
    <xf numFmtId="0" fontId="31" fillId="0" borderId="0" xfId="0" applyFont="1" applyAlignment="1">
      <alignment horizontal="center" vertical="center" wrapText="1"/>
    </xf>
    <xf numFmtId="0" fontId="31" fillId="0" borderId="0" xfId="0" applyFont="1" applyAlignment="1" applyProtection="1">
      <alignment horizontal="center" vertical="center"/>
      <protection locked="0"/>
    </xf>
    <xf numFmtId="0" fontId="31" fillId="0" borderId="5" xfId="0" applyFont="1" applyBorder="1"/>
    <xf numFmtId="0" fontId="31" fillId="0" borderId="0" xfId="0" applyFont="1" applyAlignment="1">
      <alignment horizontal="center"/>
    </xf>
    <xf numFmtId="0" fontId="31" fillId="0" borderId="0" xfId="0" applyFont="1" applyProtection="1">
      <protection locked="0"/>
    </xf>
    <xf numFmtId="0" fontId="32" fillId="0" borderId="0" xfId="0" applyFont="1"/>
    <xf numFmtId="14" fontId="0" fillId="0" borderId="0" xfId="0" applyNumberFormat="1" applyAlignment="1">
      <alignment vertical="center" wrapText="1"/>
    </xf>
    <xf numFmtId="0" fontId="31" fillId="0" borderId="0" xfId="0" applyFont="1" applyAlignment="1">
      <alignment vertical="center" wrapText="1"/>
    </xf>
    <xf numFmtId="0" fontId="31" fillId="0" borderId="0" xfId="0" applyFont="1" applyAlignment="1">
      <alignment vertical="center"/>
    </xf>
    <xf numFmtId="0" fontId="24" fillId="0" borderId="0" xfId="0" applyFont="1" applyAlignment="1" applyProtection="1">
      <alignment horizontal="center" vertical="center" wrapText="1"/>
      <protection locked="0"/>
    </xf>
    <xf numFmtId="0" fontId="31" fillId="0" borderId="0" xfId="0" applyFont="1" applyAlignment="1" applyProtection="1">
      <alignment horizontal="center" vertical="center" wrapText="1"/>
      <protection locked="0"/>
    </xf>
    <xf numFmtId="0" fontId="13" fillId="0" borderId="0" xfId="0" applyFont="1" applyAlignment="1">
      <alignment horizontal="center" vertical="center"/>
    </xf>
    <xf numFmtId="0" fontId="11" fillId="0" borderId="0" xfId="0" applyFont="1" applyAlignment="1">
      <alignment vertical="top" wrapText="1"/>
    </xf>
    <xf numFmtId="0" fontId="34" fillId="0" borderId="0" xfId="1" applyFont="1" applyFill="1" applyBorder="1" applyAlignment="1" applyProtection="1">
      <alignment horizontal="center" vertical="center" wrapText="1"/>
    </xf>
    <xf numFmtId="2" fontId="34" fillId="0" borderId="0" xfId="0" applyNumberFormat="1" applyFont="1" applyAlignment="1">
      <alignment horizontal="center" vertical="center" wrapText="1"/>
    </xf>
    <xf numFmtId="0" fontId="35" fillId="0" borderId="0" xfId="1" applyFont="1" applyFill="1" applyBorder="1" applyAlignment="1" applyProtection="1">
      <alignment horizontal="center" vertical="center" wrapText="1"/>
    </xf>
    <xf numFmtId="2" fontId="34" fillId="0" borderId="0" xfId="1" applyNumberFormat="1" applyFont="1" applyFill="1" applyBorder="1" applyAlignment="1" applyProtection="1">
      <alignment horizontal="center" vertical="center" wrapText="1"/>
    </xf>
    <xf numFmtId="0" fontId="5" fillId="0" borderId="0" xfId="3"/>
    <xf numFmtId="0" fontId="5" fillId="0" borderId="0" xfId="3" applyAlignment="1">
      <alignment horizontal="center"/>
    </xf>
    <xf numFmtId="165" fontId="31" fillId="0" borderId="0" xfId="9" applyNumberFormat="1" applyFont="1" applyFill="1" applyBorder="1" applyAlignment="1" applyProtection="1">
      <alignment horizontal="center" vertical="center"/>
      <protection locked="0"/>
    </xf>
    <xf numFmtId="0" fontId="31" fillId="0" borderId="0" xfId="9" applyNumberFormat="1" applyFont="1" applyFill="1" applyBorder="1" applyAlignment="1" applyProtection="1">
      <alignment horizontal="center" vertical="center"/>
      <protection locked="0"/>
    </xf>
    <xf numFmtId="0" fontId="0" fillId="0" borderId="7" xfId="0" applyBorder="1" applyAlignment="1">
      <alignment horizontal="left" vertical="center"/>
    </xf>
    <xf numFmtId="0" fontId="5" fillId="0" borderId="6" xfId="0" applyFont="1" applyBorder="1" applyAlignment="1">
      <alignment horizontal="left" vertical="center"/>
    </xf>
    <xf numFmtId="0" fontId="0" fillId="0" borderId="8" xfId="0" applyBorder="1" applyAlignment="1">
      <alignment horizontal="center"/>
    </xf>
    <xf numFmtId="0" fontId="31" fillId="0" borderId="17" xfId="0" applyFont="1" applyBorder="1" applyAlignment="1">
      <alignment horizontal="center"/>
    </xf>
    <xf numFmtId="0" fontId="38" fillId="0" borderId="0" xfId="0" applyFont="1" applyAlignment="1">
      <alignment horizontal="left" vertical="center"/>
    </xf>
    <xf numFmtId="0" fontId="10" fillId="9" borderId="0" xfId="0" applyFont="1" applyFill="1" applyAlignment="1" applyProtection="1">
      <alignment vertical="center"/>
      <protection locked="0"/>
    </xf>
    <xf numFmtId="0" fontId="10" fillId="9" borderId="0" xfId="0" applyFont="1" applyFill="1" applyAlignment="1">
      <alignment vertical="center"/>
    </xf>
    <xf numFmtId="0" fontId="0" fillId="9" borderId="0" xfId="0" applyFill="1" applyAlignment="1">
      <alignment vertical="center"/>
    </xf>
    <xf numFmtId="0" fontId="5" fillId="9" borderId="6" xfId="0" applyFont="1" applyFill="1" applyBorder="1" applyAlignment="1" applyProtection="1">
      <alignment vertical="center"/>
      <protection locked="0"/>
    </xf>
    <xf numFmtId="0" fontId="0" fillId="9" borderId="7" xfId="0" applyFill="1" applyBorder="1" applyAlignment="1">
      <alignment vertical="center"/>
    </xf>
    <xf numFmtId="0" fontId="0" fillId="9" borderId="8" xfId="0" applyFill="1" applyBorder="1" applyAlignment="1">
      <alignment vertical="center"/>
    </xf>
    <xf numFmtId="0" fontId="0" fillId="9" borderId="6" xfId="0" applyFill="1" applyBorder="1" applyAlignment="1" applyProtection="1">
      <alignment horizontal="left" vertical="center"/>
      <protection locked="0"/>
    </xf>
    <xf numFmtId="0" fontId="0" fillId="9" borderId="8" xfId="0" applyFill="1" applyBorder="1" applyAlignment="1">
      <alignment horizontal="left" vertical="center"/>
    </xf>
    <xf numFmtId="0" fontId="5" fillId="9" borderId="10" xfId="0" applyFont="1" applyFill="1" applyBorder="1" applyAlignment="1" applyProtection="1">
      <alignment vertical="center" wrapText="1"/>
      <protection locked="0"/>
    </xf>
    <xf numFmtId="0" fontId="0" fillId="9" borderId="10" xfId="0" applyFill="1" applyBorder="1" applyAlignment="1" applyProtection="1">
      <alignment vertical="center" wrapText="1"/>
      <protection locked="0"/>
    </xf>
    <xf numFmtId="0" fontId="0" fillId="9" borderId="6" xfId="0" applyFill="1" applyBorder="1" applyAlignment="1" applyProtection="1">
      <alignment vertical="center" wrapText="1"/>
      <protection locked="0"/>
    </xf>
    <xf numFmtId="165"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horizontal="center" vertical="center" wrapText="1"/>
      <protection locked="0"/>
    </xf>
    <xf numFmtId="49" fontId="0" fillId="9" borderId="10" xfId="0" applyNumberFormat="1" applyFill="1" applyBorder="1" applyAlignment="1" applyProtection="1">
      <alignment horizontal="left" vertical="center" wrapText="1"/>
      <protection locked="0"/>
    </xf>
    <xf numFmtId="49"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vertical="center"/>
      <protection locked="0"/>
    </xf>
    <xf numFmtId="0" fontId="5" fillId="9" borderId="15" xfId="0" applyFont="1" applyFill="1" applyBorder="1" applyProtection="1">
      <protection locked="0"/>
    </xf>
    <xf numFmtId="0" fontId="11" fillId="0" borderId="0" xfId="0" applyFont="1" applyAlignment="1">
      <alignment wrapText="1"/>
    </xf>
    <xf numFmtId="167" fontId="22" fillId="0" borderId="0" xfId="2" applyNumberFormat="1" applyFont="1" applyFill="1" applyBorder="1" applyAlignment="1">
      <alignment vertical="center"/>
    </xf>
    <xf numFmtId="165" fontId="0" fillId="0" borderId="0" xfId="9" applyNumberFormat="1" applyFont="1" applyFill="1" applyBorder="1" applyAlignment="1" applyProtection="1">
      <alignment horizontal="center" vertical="center"/>
      <protection locked="0"/>
    </xf>
    <xf numFmtId="0" fontId="0" fillId="0" borderId="0" xfId="9" applyNumberFormat="1" applyFont="1" applyFill="1" applyBorder="1" applyAlignment="1" applyProtection="1">
      <alignment horizontal="center" vertical="center"/>
      <protection locked="0"/>
    </xf>
    <xf numFmtId="0" fontId="5" fillId="0" borderId="0" xfId="0" applyFont="1" applyAlignment="1">
      <alignment vertical="center" wrapText="1"/>
    </xf>
    <xf numFmtId="0" fontId="0" fillId="0" borderId="0" xfId="0" applyAlignment="1" applyProtection="1">
      <alignment vertical="center" wrapText="1"/>
      <protection locked="0"/>
    </xf>
    <xf numFmtId="14" fontId="0" fillId="0" borderId="0" xfId="0" applyNumberFormat="1" applyAlignment="1" applyProtection="1">
      <alignment horizontal="center" vertical="center" wrapText="1"/>
      <protection locked="0"/>
    </xf>
    <xf numFmtId="0" fontId="13" fillId="0" borderId="0" xfId="1" applyFont="1" applyFill="1" applyBorder="1" applyAlignment="1" applyProtection="1">
      <alignment vertical="center" wrapText="1"/>
    </xf>
    <xf numFmtId="0" fontId="0" fillId="0" borderId="0" xfId="0" applyAlignment="1">
      <alignment horizontal="left" vertical="center" wrapText="1"/>
    </xf>
    <xf numFmtId="0" fontId="32" fillId="0" borderId="0" xfId="0" applyFont="1" applyAlignment="1">
      <alignment vertical="top" wrapText="1"/>
    </xf>
    <xf numFmtId="0" fontId="5" fillId="10" borderId="46" xfId="0" applyFont="1" applyFill="1" applyBorder="1" applyAlignment="1">
      <alignment horizontal="center"/>
    </xf>
    <xf numFmtId="0" fontId="5" fillId="11" borderId="47" xfId="0" applyFont="1" applyFill="1" applyBorder="1" applyAlignment="1">
      <alignment horizontal="center"/>
    </xf>
    <xf numFmtId="0" fontId="5" fillId="11" borderId="48" xfId="0" applyFont="1" applyFill="1" applyBorder="1" applyAlignment="1">
      <alignment horizontal="center"/>
    </xf>
    <xf numFmtId="0" fontId="5" fillId="0" borderId="6" xfId="0" applyFont="1" applyBorder="1" applyAlignment="1" applyProtection="1">
      <alignment horizontal="left" vertical="center"/>
      <protection locked="0"/>
    </xf>
    <xf numFmtId="0" fontId="11" fillId="0" borderId="0" xfId="1" applyFont="1" applyFill="1" applyBorder="1" applyAlignment="1" applyProtection="1">
      <alignment horizontal="center"/>
    </xf>
    <xf numFmtId="0" fontId="11" fillId="0" borderId="25" xfId="0" applyFont="1" applyBorder="1" applyAlignment="1">
      <alignment horizontal="center"/>
    </xf>
    <xf numFmtId="0" fontId="11" fillId="0" borderId="29" xfId="1" applyFont="1" applyFill="1" applyBorder="1" applyAlignment="1" applyProtection="1">
      <alignment horizontal="center"/>
    </xf>
    <xf numFmtId="0" fontId="11" fillId="0" borderId="27" xfId="1" applyFont="1" applyFill="1" applyBorder="1" applyAlignment="1" applyProtection="1">
      <alignment horizontal="center"/>
    </xf>
    <xf numFmtId="0" fontId="3" fillId="0" borderId="50" xfId="11" applyBorder="1"/>
    <xf numFmtId="0" fontId="3" fillId="0" borderId="51" xfId="11" applyBorder="1"/>
    <xf numFmtId="0" fontId="3" fillId="0" borderId="52" xfId="11" applyBorder="1"/>
    <xf numFmtId="0" fontId="3" fillId="0" borderId="0" xfId="11"/>
    <xf numFmtId="0" fontId="3" fillId="0" borderId="0" xfId="11" applyAlignment="1">
      <alignment horizontal="right"/>
    </xf>
    <xf numFmtId="0" fontId="3" fillId="0" borderId="0" xfId="11" applyAlignment="1">
      <alignment horizontal="left"/>
    </xf>
    <xf numFmtId="0" fontId="3" fillId="0" borderId="0" xfId="11" applyAlignment="1">
      <alignment horizontal="center"/>
    </xf>
    <xf numFmtId="0" fontId="5" fillId="0" borderId="52" xfId="0" applyFont="1" applyBorder="1" applyAlignment="1">
      <alignment horizontal="left" vertical="center"/>
    </xf>
    <xf numFmtId="0" fontId="0" fillId="0" borderId="53" xfId="0" applyBorder="1"/>
    <xf numFmtId="0" fontId="0" fillId="0" borderId="54" xfId="0" applyBorder="1"/>
    <xf numFmtId="0" fontId="0" fillId="0" borderId="52" xfId="0" applyBorder="1"/>
    <xf numFmtId="0" fontId="3" fillId="0" borderId="52" xfId="11" applyBorder="1" applyAlignment="1">
      <alignment horizontal="left"/>
    </xf>
    <xf numFmtId="0" fontId="0" fillId="0" borderId="52" xfId="0" applyBorder="1" applyAlignment="1">
      <alignment horizontal="left" vertical="center"/>
    </xf>
    <xf numFmtId="14" fontId="3" fillId="0" borderId="0" xfId="11" applyNumberFormat="1" applyAlignment="1">
      <alignment horizontal="left"/>
    </xf>
    <xf numFmtId="0" fontId="31" fillId="0" borderId="0" xfId="0" applyFont="1" applyAlignment="1">
      <alignment horizontal="center" vertical="center"/>
    </xf>
    <xf numFmtId="0" fontId="12" fillId="0" borderId="0" xfId="0" applyFont="1" applyAlignment="1">
      <alignment horizontal="center" vertical="center" wrapText="1"/>
    </xf>
    <xf numFmtId="0" fontId="5" fillId="0" borderId="0" xfId="0" applyFont="1" applyAlignment="1" applyProtection="1">
      <alignment vertical="center" wrapText="1"/>
      <protection locked="0"/>
    </xf>
    <xf numFmtId="9" fontId="13" fillId="0" borderId="0" xfId="2" applyFont="1" applyFill="1" applyBorder="1" applyAlignment="1" applyProtection="1">
      <alignment vertical="center"/>
      <protection locked="0"/>
    </xf>
    <xf numFmtId="9" fontId="0" fillId="0" borderId="0" xfId="2" applyFont="1" applyFill="1" applyBorder="1" applyAlignment="1" applyProtection="1">
      <protection locked="0"/>
    </xf>
    <xf numFmtId="1" fontId="39" fillId="0" borderId="0" xfId="0" applyNumberFormat="1" applyFont="1" applyAlignment="1" applyProtection="1">
      <alignment horizontal="center" vertical="center" wrapText="1"/>
      <protection locked="0"/>
    </xf>
    <xf numFmtId="0" fontId="40" fillId="0" borderId="0" xfId="0" applyFont="1" applyAlignment="1">
      <alignment horizontal="center" vertical="center" wrapText="1"/>
    </xf>
    <xf numFmtId="0" fontId="5" fillId="0" borderId="0" xfId="3" applyAlignment="1">
      <alignment horizontal="left"/>
    </xf>
    <xf numFmtId="0" fontId="5" fillId="0" borderId="56" xfId="10" applyBorder="1" applyAlignment="1">
      <alignment horizontal="center" vertical="center"/>
    </xf>
    <xf numFmtId="0" fontId="5" fillId="0" borderId="58" xfId="10" applyBorder="1" applyAlignment="1">
      <alignment horizontal="center" vertical="center"/>
    </xf>
    <xf numFmtId="0" fontId="5" fillId="0" borderId="60" xfId="10" applyBorder="1" applyAlignment="1">
      <alignment horizontal="center" vertical="center"/>
    </xf>
    <xf numFmtId="0" fontId="5" fillId="0" borderId="57" xfId="10" applyBorder="1" applyAlignment="1">
      <alignment horizontal="left" vertical="center"/>
    </xf>
    <xf numFmtId="0" fontId="5" fillId="0" borderId="59" xfId="10" applyBorder="1" applyAlignment="1">
      <alignment horizontal="left" vertical="center"/>
    </xf>
    <xf numFmtId="0" fontId="5" fillId="0" borderId="61" xfId="10" applyBorder="1" applyAlignment="1">
      <alignment horizontal="left" vertical="center"/>
    </xf>
    <xf numFmtId="0" fontId="5" fillId="0" borderId="10" xfId="0" applyFont="1" applyBorder="1"/>
    <xf numFmtId="0" fontId="0" fillId="0" borderId="14" xfId="0" applyBorder="1" applyAlignment="1" applyProtection="1">
      <alignment vertical="center"/>
      <protection locked="0"/>
    </xf>
    <xf numFmtId="0" fontId="0" fillId="0" borderId="5" xfId="0" applyBorder="1" applyAlignment="1" applyProtection="1">
      <alignment vertical="center"/>
      <protection locked="0"/>
    </xf>
    <xf numFmtId="0" fontId="5" fillId="0" borderId="14" xfId="0" applyFont="1" applyBorder="1" applyAlignment="1" applyProtection="1">
      <alignment vertical="center" wrapText="1"/>
      <protection locked="0"/>
    </xf>
    <xf numFmtId="0" fontId="0" fillId="0" borderId="14" xfId="0" applyBorder="1" applyAlignment="1" applyProtection="1">
      <alignment vertical="center" wrapText="1"/>
      <protection locked="0"/>
    </xf>
    <xf numFmtId="0" fontId="2" fillId="0" borderId="0" xfId="12" applyProtection="1">
      <protection locked="0"/>
    </xf>
    <xf numFmtId="0" fontId="2" fillId="0" borderId="9" xfId="12" applyBorder="1" applyProtection="1">
      <protection locked="0"/>
    </xf>
    <xf numFmtId="0" fontId="2" fillId="0" borderId="0" xfId="12" applyAlignment="1" applyProtection="1">
      <alignment horizontal="center"/>
      <protection locked="0"/>
    </xf>
    <xf numFmtId="0" fontId="2" fillId="0" borderId="21" xfId="12" applyBorder="1" applyProtection="1">
      <protection locked="0"/>
    </xf>
    <xf numFmtId="0" fontId="2" fillId="0" borderId="0" xfId="12" applyAlignment="1" applyProtection="1">
      <alignment horizontal="right"/>
      <protection locked="0"/>
    </xf>
    <xf numFmtId="0" fontId="2" fillId="0" borderId="10" xfId="12" applyBorder="1" applyAlignment="1" applyProtection="1">
      <alignment horizontal="center"/>
      <protection locked="0"/>
    </xf>
    <xf numFmtId="0" fontId="44" fillId="0" borderId="0" xfId="12" applyFont="1" applyProtection="1">
      <protection locked="0"/>
    </xf>
    <xf numFmtId="0" fontId="47" fillId="0" borderId="0" xfId="12" applyFont="1" applyAlignment="1" applyProtection="1">
      <alignment horizontal="center"/>
      <protection locked="0"/>
    </xf>
    <xf numFmtId="0" fontId="2" fillId="0" borderId="10" xfId="12" applyBorder="1" applyProtection="1">
      <protection locked="0"/>
    </xf>
    <xf numFmtId="0" fontId="2" fillId="0" borderId="34" xfId="12" applyBorder="1" applyProtection="1">
      <protection locked="0"/>
    </xf>
    <xf numFmtId="0" fontId="2" fillId="0" borderId="35" xfId="12" applyBorder="1" applyProtection="1">
      <protection locked="0"/>
    </xf>
    <xf numFmtId="0" fontId="2" fillId="0" borderId="35" xfId="12" applyBorder="1" applyAlignment="1" applyProtection="1">
      <alignment horizontal="center"/>
      <protection locked="0"/>
    </xf>
    <xf numFmtId="0" fontId="2" fillId="0" borderId="32" xfId="12" applyBorder="1" applyProtection="1">
      <protection locked="0"/>
    </xf>
    <xf numFmtId="0" fontId="44" fillId="0" borderId="21" xfId="12" applyFont="1" applyBorder="1"/>
    <xf numFmtId="0" fontId="48" fillId="0" borderId="10" xfId="12" applyFont="1" applyBorder="1" applyAlignment="1" applyProtection="1">
      <alignment horizontal="left" vertical="center"/>
      <protection locked="0"/>
    </xf>
    <xf numFmtId="0" fontId="43" fillId="0" borderId="34" xfId="12" applyFont="1" applyBorder="1" applyAlignment="1" applyProtection="1">
      <alignment horizontal="center" vertical="center"/>
      <protection locked="0"/>
    </xf>
    <xf numFmtId="0" fontId="43" fillId="0" borderId="35" xfId="12" applyFont="1" applyBorder="1" applyAlignment="1" applyProtection="1">
      <alignment horizontal="center" vertical="center"/>
      <protection locked="0"/>
    </xf>
    <xf numFmtId="0" fontId="43" fillId="0" borderId="32" xfId="12" applyFont="1" applyBorder="1" applyAlignment="1" applyProtection="1">
      <alignment horizontal="center" vertical="center"/>
      <protection locked="0"/>
    </xf>
    <xf numFmtId="0" fontId="48" fillId="0" borderId="10" xfId="12" applyFont="1" applyBorder="1" applyAlignment="1" applyProtection="1">
      <alignment horizontal="left" vertical="center" wrapText="1"/>
      <protection locked="0"/>
    </xf>
    <xf numFmtId="0" fontId="43" fillId="0" borderId="6" xfId="12" applyFont="1" applyBorder="1" applyAlignment="1" applyProtection="1">
      <alignment vertical="center"/>
      <protection locked="0"/>
    </xf>
    <xf numFmtId="0" fontId="43" fillId="0" borderId="7" xfId="12" applyFont="1" applyBorder="1" applyAlignment="1" applyProtection="1">
      <alignment vertical="center"/>
      <protection locked="0"/>
    </xf>
    <xf numFmtId="0" fontId="43" fillId="0" borderId="8" xfId="12" applyFont="1" applyBorder="1" applyAlignment="1" applyProtection="1">
      <alignment vertical="center"/>
      <protection locked="0"/>
    </xf>
    <xf numFmtId="0" fontId="43" fillId="0" borderId="32" xfId="12" applyFont="1" applyBorder="1" applyAlignment="1" applyProtection="1">
      <alignment vertical="center"/>
      <protection locked="0"/>
    </xf>
    <xf numFmtId="0" fontId="49" fillId="0" borderId="8" xfId="12" applyFont="1" applyBorder="1" applyAlignment="1" applyProtection="1">
      <alignment horizontal="center" vertical="center"/>
      <protection locked="0"/>
    </xf>
    <xf numFmtId="0" fontId="43" fillId="0" borderId="21" xfId="12" applyFont="1" applyBorder="1" applyProtection="1">
      <protection locked="0"/>
    </xf>
    <xf numFmtId="0" fontId="2" fillId="0" borderId="30" xfId="12" applyBorder="1" applyAlignment="1" applyProtection="1">
      <alignment horizontal="center" vertical="center"/>
      <protection locked="0"/>
    </xf>
    <xf numFmtId="0" fontId="2" fillId="0" borderId="10" xfId="12" applyBorder="1" applyAlignment="1" applyProtection="1">
      <alignment horizontal="center" vertical="center"/>
      <protection locked="0"/>
    </xf>
    <xf numFmtId="0" fontId="43" fillId="0" borderId="10" xfId="12" applyFont="1" applyBorder="1" applyAlignment="1" applyProtection="1">
      <alignment horizontal="center" vertical="center"/>
      <protection locked="0"/>
    </xf>
    <xf numFmtId="0" fontId="2" fillId="0" borderId="36" xfId="12" applyBorder="1" applyProtection="1">
      <protection locked="0"/>
    </xf>
    <xf numFmtId="0" fontId="2" fillId="0" borderId="33" xfId="12" applyBorder="1" applyProtection="1">
      <protection locked="0"/>
    </xf>
    <xf numFmtId="2" fontId="2" fillId="0" borderId="10" xfId="12" applyNumberFormat="1" applyBorder="1" applyProtection="1">
      <protection locked="0"/>
    </xf>
    <xf numFmtId="9" fontId="0" fillId="0" borderId="10" xfId="13" applyFont="1" applyBorder="1" applyAlignment="1" applyProtection="1">
      <protection locked="0"/>
    </xf>
    <xf numFmtId="0" fontId="47" fillId="0" borderId="0" xfId="12" applyFont="1" applyProtection="1">
      <protection locked="0"/>
    </xf>
    <xf numFmtId="0" fontId="2" fillId="0" borderId="0" xfId="12"/>
    <xf numFmtId="0" fontId="2" fillId="0" borderId="0" xfId="12" applyAlignment="1">
      <alignment horizontal="center"/>
    </xf>
    <xf numFmtId="0" fontId="53" fillId="0" borderId="10" xfId="0" applyFont="1" applyBorder="1" applyAlignment="1">
      <alignment horizontal="center" vertical="center"/>
    </xf>
    <xf numFmtId="0" fontId="2" fillId="0" borderId="10" xfId="12" applyBorder="1"/>
    <xf numFmtId="0" fontId="2" fillId="0" borderId="75" xfId="12" applyBorder="1" applyAlignment="1">
      <alignment horizontal="center"/>
    </xf>
    <xf numFmtId="2" fontId="2" fillId="0" borderId="0" xfId="12" applyNumberFormat="1" applyAlignment="1">
      <alignment horizontal="center"/>
    </xf>
    <xf numFmtId="0" fontId="11" fillId="3" borderId="0" xfId="1" applyFont="1" applyFill="1" applyAlignment="1" applyProtection="1">
      <alignment horizontal="center"/>
    </xf>
    <xf numFmtId="0" fontId="54" fillId="0" borderId="0" xfId="12" applyFont="1" applyAlignment="1">
      <alignment horizontal="center"/>
    </xf>
    <xf numFmtId="0" fontId="2" fillId="0" borderId="0" xfId="12" applyAlignment="1">
      <alignment horizontal="left"/>
    </xf>
    <xf numFmtId="0" fontId="11" fillId="0" borderId="25" xfId="1" applyFont="1" applyFill="1" applyBorder="1" applyAlignment="1" applyProtection="1">
      <alignment horizontal="center"/>
    </xf>
    <xf numFmtId="0" fontId="43" fillId="0" borderId="0" xfId="12" applyFont="1" applyAlignment="1">
      <alignment horizontal="center"/>
    </xf>
    <xf numFmtId="0" fontId="32" fillId="0" borderId="0" xfId="0" applyFont="1" applyAlignment="1">
      <alignment horizontal="right" vertical="top"/>
    </xf>
    <xf numFmtId="0" fontId="52" fillId="0" borderId="0" xfId="12" applyFont="1"/>
    <xf numFmtId="0" fontId="11" fillId="0" borderId="49" xfId="0" applyFont="1" applyBorder="1" applyAlignment="1">
      <alignment horizontal="left"/>
    </xf>
    <xf numFmtId="0" fontId="14" fillId="0" borderId="26" xfId="0" applyFont="1" applyBorder="1" applyAlignment="1">
      <alignment horizontal="center"/>
    </xf>
    <xf numFmtId="0" fontId="11" fillId="3" borderId="0" xfId="1" applyFont="1" applyFill="1" applyBorder="1" applyAlignment="1" applyProtection="1">
      <alignment horizontal="center"/>
    </xf>
    <xf numFmtId="0" fontId="32" fillId="0" borderId="2" xfId="0" applyFont="1" applyBorder="1"/>
    <xf numFmtId="0" fontId="32" fillId="0" borderId="14" xfId="0" applyFont="1" applyBorder="1" applyAlignment="1">
      <alignment horizontal="left"/>
    </xf>
    <xf numFmtId="0" fontId="5" fillId="0" borderId="0" xfId="0" applyFont="1" applyAlignment="1">
      <alignment horizontal="right" vertical="center"/>
    </xf>
    <xf numFmtId="1" fontId="0" fillId="0" borderId="0" xfId="2" applyNumberFormat="1" applyFont="1" applyFill="1" applyBorder="1" applyAlignment="1" applyProtection="1">
      <alignment horizontal="center" vertical="center"/>
      <protection locked="0"/>
    </xf>
    <xf numFmtId="9" fontId="0" fillId="0" borderId="0" xfId="2" applyFont="1" applyFill="1" applyBorder="1" applyAlignment="1" applyProtection="1">
      <alignment horizontal="center" vertical="center"/>
      <protection locked="0"/>
    </xf>
    <xf numFmtId="0" fontId="0" fillId="0" borderId="0" xfId="2" applyNumberFormat="1" applyFont="1" applyFill="1" applyBorder="1" applyAlignment="1" applyProtection="1">
      <alignment horizontal="center" vertical="center"/>
      <protection locked="0"/>
    </xf>
    <xf numFmtId="9" fontId="31" fillId="0" borderId="0" xfId="2" applyFont="1" applyFill="1" applyBorder="1" applyAlignment="1" applyProtection="1">
      <alignment horizontal="center" vertical="center"/>
      <protection locked="0"/>
    </xf>
    <xf numFmtId="0" fontId="5" fillId="0" borderId="0" xfId="2" applyNumberFormat="1" applyFont="1" applyFill="1" applyBorder="1" applyAlignment="1" applyProtection="1">
      <alignment horizontal="center" vertical="center"/>
      <protection locked="0"/>
    </xf>
    <xf numFmtId="0" fontId="38" fillId="0" borderId="0" xfId="0" applyFont="1"/>
    <xf numFmtId="0" fontId="31" fillId="0" borderId="0" xfId="0" applyFont="1" applyAlignment="1">
      <alignment horizontal="right"/>
    </xf>
    <xf numFmtId="2" fontId="31" fillId="0" borderId="0" xfId="0" applyNumberFormat="1" applyFont="1" applyAlignment="1">
      <alignment horizontal="center"/>
    </xf>
    <xf numFmtId="10" fontId="31" fillId="0" borderId="0" xfId="0" applyNumberFormat="1" applyFont="1" applyAlignment="1">
      <alignment horizontal="center"/>
    </xf>
    <xf numFmtId="2" fontId="31" fillId="0" borderId="0" xfId="0" applyNumberFormat="1" applyFont="1"/>
    <xf numFmtId="9" fontId="31" fillId="0" borderId="0" xfId="0" applyNumberFormat="1" applyFont="1"/>
    <xf numFmtId="0" fontId="31" fillId="0" borderId="55" xfId="0" applyFont="1" applyBorder="1" applyAlignment="1">
      <alignment wrapText="1"/>
    </xf>
    <xf numFmtId="0" fontId="31" fillId="0" borderId="25" xfId="0" applyFont="1" applyBorder="1" applyAlignment="1">
      <alignment wrapText="1"/>
    </xf>
    <xf numFmtId="0" fontId="31" fillId="0" borderId="0" xfId="0" applyFont="1" applyAlignment="1">
      <alignment wrapText="1"/>
    </xf>
    <xf numFmtId="0" fontId="31" fillId="0" borderId="45" xfId="0" applyFont="1" applyBorder="1" applyAlignment="1">
      <alignment wrapText="1"/>
    </xf>
    <xf numFmtId="0" fontId="31" fillId="0" borderId="44" xfId="0" applyFont="1" applyBorder="1" applyAlignment="1">
      <alignment wrapText="1"/>
    </xf>
    <xf numFmtId="0" fontId="31" fillId="0" borderId="44" xfId="0" applyFont="1" applyBorder="1" applyAlignment="1">
      <alignment horizontal="center" vertical="top" wrapText="1"/>
    </xf>
    <xf numFmtId="0" fontId="56" fillId="0" borderId="0" xfId="0" applyFont="1" applyAlignment="1">
      <alignment horizontal="center" vertical="top" wrapText="1"/>
    </xf>
    <xf numFmtId="0" fontId="31" fillId="0" borderId="0" xfId="0" applyFont="1" applyAlignment="1">
      <alignment horizontal="center" wrapText="1"/>
    </xf>
    <xf numFmtId="0" fontId="31" fillId="0" borderId="0" xfId="0" applyFont="1" applyAlignment="1">
      <alignment horizontal="center" vertical="top" wrapText="1"/>
    </xf>
    <xf numFmtId="0" fontId="38" fillId="0" borderId="0" xfId="0" applyFont="1" applyAlignment="1">
      <alignment horizontal="center" vertical="center" wrapText="1"/>
    </xf>
    <xf numFmtId="0" fontId="57" fillId="0" borderId="0" xfId="0" applyFont="1"/>
    <xf numFmtId="0" fontId="58" fillId="0" borderId="43" xfId="0" applyFont="1" applyBorder="1"/>
    <xf numFmtId="0" fontId="58" fillId="0" borderId="44" xfId="0" applyFont="1" applyBorder="1"/>
    <xf numFmtId="0" fontId="58" fillId="0" borderId="45" xfId="0" applyFont="1" applyBorder="1"/>
    <xf numFmtId="49" fontId="31" fillId="0" borderId="0" xfId="0" applyNumberFormat="1" applyFont="1"/>
    <xf numFmtId="0" fontId="31" fillId="0" borderId="0" xfId="0" quotePrefix="1" applyFont="1"/>
    <xf numFmtId="10" fontId="31" fillId="0" borderId="0" xfId="2" applyNumberFormat="1" applyFont="1" applyFill="1" applyBorder="1" applyAlignment="1">
      <alignment horizontal="center" vertical="center"/>
    </xf>
    <xf numFmtId="10" fontId="31" fillId="0" borderId="0" xfId="0" applyNumberFormat="1" applyFont="1"/>
    <xf numFmtId="0" fontId="31" fillId="0" borderId="0" xfId="0" applyFont="1" applyAlignment="1">
      <alignment horizontal="left"/>
    </xf>
    <xf numFmtId="1" fontId="31" fillId="0" borderId="0" xfId="0" applyNumberFormat="1" applyFont="1" applyAlignment="1">
      <alignment horizontal="left"/>
    </xf>
    <xf numFmtId="2" fontId="31" fillId="0" borderId="0" xfId="0" applyNumberFormat="1" applyFont="1" applyAlignment="1">
      <alignment horizontal="left"/>
    </xf>
    <xf numFmtId="0" fontId="44" fillId="0" borderId="0" xfId="12" applyFont="1" applyAlignment="1">
      <alignment horizontal="center"/>
    </xf>
    <xf numFmtId="0" fontId="31" fillId="0" borderId="0" xfId="10" applyFont="1"/>
    <xf numFmtId="0" fontId="31" fillId="0" borderId="0" xfId="10" applyFont="1" applyAlignment="1">
      <alignment horizontal="right"/>
    </xf>
    <xf numFmtId="9" fontId="31" fillId="0" borderId="0" xfId="10" applyNumberFormat="1" applyFont="1" applyAlignment="1">
      <alignment horizontal="right"/>
    </xf>
    <xf numFmtId="1" fontId="31" fillId="0" borderId="0" xfId="10" applyNumberFormat="1" applyFont="1" applyAlignment="1">
      <alignment horizontal="right"/>
    </xf>
    <xf numFmtId="3" fontId="31" fillId="0" borderId="0" xfId="0" applyNumberFormat="1" applyFont="1"/>
    <xf numFmtId="165" fontId="31" fillId="0" borderId="0" xfId="10" applyNumberFormat="1" applyFont="1" applyAlignment="1">
      <alignment horizontal="right"/>
    </xf>
    <xf numFmtId="10" fontId="31" fillId="0" borderId="0" xfId="2" applyNumberFormat="1" applyFont="1" applyFill="1" applyBorder="1"/>
    <xf numFmtId="0" fontId="2" fillId="0" borderId="10" xfId="12" applyBorder="1" applyAlignment="1">
      <alignment horizontal="center"/>
    </xf>
    <xf numFmtId="0" fontId="2" fillId="0" borderId="6" xfId="12" applyBorder="1" applyAlignment="1">
      <alignment horizontal="center"/>
    </xf>
    <xf numFmtId="9" fontId="2" fillId="0" borderId="9" xfId="12" applyNumberFormat="1" applyBorder="1" applyAlignment="1">
      <alignment horizontal="center"/>
    </xf>
    <xf numFmtId="9" fontId="5" fillId="0" borderId="0" xfId="13" applyFont="1" applyBorder="1" applyAlignment="1">
      <alignment horizontal="center"/>
    </xf>
    <xf numFmtId="0" fontId="2" fillId="0" borderId="9" xfId="12" applyBorder="1" applyAlignment="1">
      <alignment horizontal="center"/>
    </xf>
    <xf numFmtId="0" fontId="53" fillId="0" borderId="9" xfId="0" applyFont="1" applyBorder="1" applyAlignment="1">
      <alignment horizontal="center" vertical="center"/>
    </xf>
    <xf numFmtId="0" fontId="53" fillId="0" borderId="0" xfId="0" applyFont="1" applyAlignment="1">
      <alignment horizontal="center" vertical="center"/>
    </xf>
    <xf numFmtId="0" fontId="2" fillId="16" borderId="10" xfId="12" applyFill="1" applyBorder="1" applyProtection="1">
      <protection locked="0"/>
    </xf>
    <xf numFmtId="0" fontId="13" fillId="0" borderId="0" xfId="1" applyFont="1" applyFill="1" applyAlignment="1" applyProtection="1">
      <alignment vertical="center" wrapText="1"/>
    </xf>
    <xf numFmtId="0" fontId="59" fillId="0" borderId="0" xfId="10" applyFont="1" applyAlignment="1">
      <alignment vertical="center"/>
    </xf>
    <xf numFmtId="0" fontId="59" fillId="0" borderId="0" xfId="10" applyFont="1" applyAlignment="1">
      <alignment horizontal="left" vertical="center"/>
    </xf>
    <xf numFmtId="0" fontId="5" fillId="0" borderId="0" xfId="10"/>
    <xf numFmtId="0" fontId="59" fillId="0" borderId="0" xfId="10" applyFont="1" applyAlignment="1">
      <alignment horizontal="center" vertical="center"/>
    </xf>
    <xf numFmtId="0" fontId="60" fillId="0" borderId="0" xfId="10" applyFont="1" applyAlignment="1">
      <alignment horizontal="justify" vertical="center"/>
    </xf>
    <xf numFmtId="0" fontId="60" fillId="0" borderId="0" xfId="10" applyFont="1" applyAlignment="1">
      <alignment vertical="center"/>
    </xf>
    <xf numFmtId="0" fontId="60" fillId="0" borderId="43" xfId="10" applyFont="1" applyBorder="1" applyAlignment="1">
      <alignment vertical="center" wrapText="1"/>
    </xf>
    <xf numFmtId="0" fontId="60" fillId="0" borderId="44" xfId="10" applyFont="1" applyBorder="1" applyAlignment="1">
      <alignment vertical="center" wrapText="1"/>
    </xf>
    <xf numFmtId="0" fontId="60" fillId="0" borderId="55" xfId="10" applyFont="1" applyBorder="1" applyAlignment="1">
      <alignment vertical="center" wrapText="1"/>
    </xf>
    <xf numFmtId="0" fontId="60" fillId="0" borderId="45" xfId="10" applyFont="1" applyBorder="1" applyAlignment="1">
      <alignment vertical="center" wrapText="1"/>
    </xf>
    <xf numFmtId="0" fontId="60" fillId="0" borderId="81" xfId="10" applyFont="1" applyBorder="1" applyAlignment="1" applyProtection="1">
      <alignment vertical="center" wrapText="1"/>
      <protection locked="0"/>
    </xf>
    <xf numFmtId="0" fontId="60" fillId="0" borderId="28" xfId="10" applyFont="1" applyBorder="1" applyAlignment="1" applyProtection="1">
      <alignment vertical="center" wrapText="1"/>
      <protection locked="0"/>
    </xf>
    <xf numFmtId="0" fontId="62" fillId="0" borderId="0" xfId="10" applyFont="1" applyAlignment="1">
      <alignment vertical="center"/>
    </xf>
    <xf numFmtId="9" fontId="1" fillId="0" borderId="10" xfId="12" quotePrefix="1" applyNumberFormat="1" applyFont="1" applyBorder="1" applyAlignment="1">
      <alignment horizontal="center"/>
    </xf>
    <xf numFmtId="0" fontId="5" fillId="0" borderId="0" xfId="0" applyFont="1" applyAlignment="1">
      <alignment horizontal="right" vertical="center" wrapText="1"/>
    </xf>
    <xf numFmtId="0" fontId="5" fillId="0" borderId="0" xfId="0" applyFont="1" applyAlignment="1">
      <alignment horizontal="left" vertical="center" wrapText="1"/>
    </xf>
    <xf numFmtId="0" fontId="5" fillId="0" borderId="0" xfId="0" applyFont="1" applyAlignment="1">
      <alignment wrapText="1"/>
    </xf>
    <xf numFmtId="0" fontId="0" fillId="18" borderId="0" xfId="0" applyFill="1"/>
    <xf numFmtId="0" fontId="5" fillId="0" borderId="24" xfId="0" applyFont="1" applyBorder="1" applyAlignment="1">
      <alignment horizontal="center"/>
    </xf>
    <xf numFmtId="0" fontId="5" fillId="0" borderId="9" xfId="0" applyFont="1" applyBorder="1" applyAlignment="1">
      <alignment vertical="center" shrinkToFit="1"/>
    </xf>
    <xf numFmtId="0" fontId="5" fillId="0" borderId="0" xfId="0" applyFont="1" applyAlignment="1">
      <alignment vertical="center" shrinkToFit="1"/>
    </xf>
    <xf numFmtId="0" fontId="5" fillId="0" borderId="25" xfId="1" applyFont="1" applyBorder="1" applyAlignment="1" applyProtection="1">
      <alignment horizontal="center"/>
    </xf>
    <xf numFmtId="0" fontId="5" fillId="0" borderId="25" xfId="0" applyFont="1" applyBorder="1" applyAlignment="1">
      <alignment horizontal="center"/>
    </xf>
    <xf numFmtId="0" fontId="5" fillId="0" borderId="0" xfId="0" applyFont="1" applyAlignment="1" applyProtection="1">
      <alignment horizontal="center" vertical="top"/>
      <protection locked="0"/>
    </xf>
    <xf numFmtId="0" fontId="5" fillId="0" borderId="28" xfId="0" applyFont="1" applyBorder="1" applyAlignment="1">
      <alignment horizontal="center"/>
    </xf>
    <xf numFmtId="0" fontId="5" fillId="4" borderId="10" xfId="0" applyFont="1" applyFill="1" applyBorder="1" applyAlignment="1">
      <alignment horizontal="center" vertical="center" wrapText="1"/>
    </xf>
    <xf numFmtId="0" fontId="15" fillId="0" borderId="0" xfId="0" applyFont="1" applyAlignment="1">
      <alignment horizontal="center" vertical="center" wrapText="1"/>
    </xf>
    <xf numFmtId="0" fontId="15" fillId="0" borderId="5" xfId="0" applyFont="1" applyBorder="1" applyAlignment="1">
      <alignment horizontal="center" vertical="center" wrapText="1"/>
    </xf>
    <xf numFmtId="9" fontId="5" fillId="0" borderId="20" xfId="0" applyNumberFormat="1" applyFont="1" applyBorder="1" applyAlignment="1">
      <alignment horizontal="center" vertical="center"/>
    </xf>
    <xf numFmtId="0" fontId="17" fillId="0" borderId="0" xfId="0" applyFont="1" applyAlignment="1">
      <alignment horizontal="center"/>
    </xf>
    <xf numFmtId="0" fontId="12" fillId="0" borderId="0" xfId="0" applyFont="1" applyAlignment="1">
      <alignment wrapText="1"/>
    </xf>
    <xf numFmtId="2" fontId="12" fillId="0" borderId="0" xfId="0" applyNumberFormat="1" applyFont="1" applyAlignment="1">
      <alignment horizontal="center"/>
    </xf>
    <xf numFmtId="0" fontId="17" fillId="0" borderId="0" xfId="0" applyFont="1" applyAlignment="1">
      <alignment horizontal="right"/>
    </xf>
    <xf numFmtId="2" fontId="17" fillId="0" borderId="0" xfId="0" applyNumberFormat="1" applyFont="1" applyAlignment="1">
      <alignment horizontal="center"/>
    </xf>
    <xf numFmtId="0" fontId="12" fillId="0" borderId="0" xfId="0" applyFont="1" applyAlignment="1">
      <alignment horizontal="center" vertical="center"/>
    </xf>
    <xf numFmtId="0" fontId="12" fillId="0" borderId="0" xfId="0" applyFont="1" applyAlignment="1">
      <alignment horizontal="center" wrapText="1"/>
    </xf>
    <xf numFmtId="0" fontId="12" fillId="0" borderId="0" xfId="0" applyFont="1" applyAlignment="1">
      <alignment horizontal="left"/>
    </xf>
    <xf numFmtId="0" fontId="12" fillId="0" borderId="0" xfId="0" applyFont="1" applyAlignment="1" applyProtection="1">
      <alignment horizontal="left"/>
      <protection locked="0"/>
    </xf>
    <xf numFmtId="0" fontId="17" fillId="0" borderId="0" xfId="0" applyFont="1" applyAlignment="1">
      <alignment horizontal="right" vertical="center"/>
    </xf>
    <xf numFmtId="0" fontId="5" fillId="0" borderId="0" xfId="0" applyFont="1" applyAlignment="1">
      <alignment horizontal="left" vertical="center"/>
    </xf>
    <xf numFmtId="0" fontId="11" fillId="0" borderId="10" xfId="0" applyFont="1" applyBorder="1" applyAlignment="1">
      <alignment horizontal="center" vertical="center"/>
    </xf>
    <xf numFmtId="0" fontId="11" fillId="0" borderId="10" xfId="0" applyFont="1" applyBorder="1" applyAlignment="1">
      <alignment horizontal="center" vertical="center" shrinkToFit="1"/>
    </xf>
    <xf numFmtId="0" fontId="11" fillId="0" borderId="10" xfId="0" applyFont="1" applyBorder="1"/>
    <xf numFmtId="0" fontId="11" fillId="0" borderId="10" xfId="0" applyFont="1" applyBorder="1" applyAlignment="1">
      <alignment horizontal="center"/>
    </xf>
    <xf numFmtId="2" fontId="11" fillId="0" borderId="10" xfId="0" applyNumberFormat="1" applyFont="1" applyBorder="1" applyAlignment="1">
      <alignment horizontal="center"/>
    </xf>
    <xf numFmtId="0" fontId="11" fillId="0" borderId="10" xfId="0" applyFont="1" applyBorder="1" applyAlignment="1">
      <alignment vertical="center"/>
    </xf>
    <xf numFmtId="0" fontId="11" fillId="0" borderId="10" xfId="0" applyFont="1" applyBorder="1" applyAlignment="1">
      <alignment vertical="center" wrapText="1"/>
    </xf>
    <xf numFmtId="9" fontId="1" fillId="0" borderId="10" xfId="12" applyNumberFormat="1" applyFont="1" applyBorder="1" applyAlignment="1">
      <alignment horizontal="center"/>
    </xf>
    <xf numFmtId="0" fontId="1" fillId="0" borderId="10" xfId="12" applyFont="1" applyBorder="1" applyAlignment="1">
      <alignment horizontal="center"/>
    </xf>
    <xf numFmtId="0" fontId="1" fillId="0" borderId="8" xfId="12" applyFont="1" applyBorder="1" applyAlignment="1">
      <alignment horizontal="right"/>
    </xf>
    <xf numFmtId="2" fontId="1" fillId="16" borderId="10" xfId="2" applyNumberFormat="1" applyFont="1" applyFill="1" applyBorder="1" applyAlignment="1" applyProtection="1">
      <alignment horizontal="center"/>
      <protection locked="0"/>
    </xf>
    <xf numFmtId="14" fontId="31" fillId="0" borderId="0" xfId="0" applyNumberFormat="1" applyFont="1"/>
    <xf numFmtId="0" fontId="5" fillId="0" borderId="0" xfId="0" applyFont="1" applyAlignment="1">
      <alignment horizontal="left" vertical="top"/>
    </xf>
    <xf numFmtId="0" fontId="13" fillId="0" borderId="0" xfId="0" applyFont="1" applyAlignment="1" applyProtection="1">
      <alignment horizontal="center" vertical="center"/>
      <protection locked="0"/>
    </xf>
    <xf numFmtId="0" fontId="11" fillId="0" borderId="0" xfId="1" applyFont="1" applyFill="1" applyBorder="1" applyAlignment="1" applyProtection="1">
      <alignment horizontal="center" vertical="center"/>
    </xf>
    <xf numFmtId="0" fontId="25" fillId="0" borderId="0" xfId="0" applyFont="1" applyAlignment="1">
      <alignment vertical="center"/>
    </xf>
    <xf numFmtId="0" fontId="16" fillId="0" borderId="0" xfId="0" applyFont="1" applyAlignment="1">
      <alignment vertical="top"/>
    </xf>
    <xf numFmtId="0" fontId="33" fillId="0" borderId="0" xfId="0" applyFont="1" applyAlignment="1">
      <alignment horizontal="left" vertical="top"/>
    </xf>
    <xf numFmtId="0" fontId="21" fillId="0" borderId="0" xfId="0" applyFont="1" applyAlignment="1">
      <alignment horizontal="center" vertical="center"/>
    </xf>
    <xf numFmtId="14" fontId="13" fillId="0" borderId="0" xfId="0" applyNumberFormat="1" applyFont="1" applyAlignment="1" applyProtection="1">
      <alignment horizontal="center" vertical="center"/>
      <protection locked="0"/>
    </xf>
    <xf numFmtId="0" fontId="21" fillId="0" borderId="0" xfId="0" applyFont="1" applyAlignment="1">
      <alignment vertical="center"/>
    </xf>
    <xf numFmtId="0" fontId="5" fillId="0" borderId="77" xfId="0" applyFont="1" applyBorder="1" applyAlignment="1">
      <alignment horizontal="left" vertical="center"/>
    </xf>
    <xf numFmtId="0" fontId="0" fillId="0" borderId="78" xfId="0" applyBorder="1" applyAlignment="1">
      <alignment horizontal="left" vertical="center"/>
    </xf>
    <xf numFmtId="0" fontId="0" fillId="0" borderId="79" xfId="0" applyBorder="1" applyAlignment="1">
      <alignment horizontal="left" vertical="center"/>
    </xf>
    <xf numFmtId="0" fontId="0" fillId="9" borderId="76" xfId="0" applyFill="1" applyBorder="1" applyAlignment="1" applyProtection="1">
      <alignment horizontal="center" vertical="center"/>
      <protection locked="0"/>
    </xf>
    <xf numFmtId="1" fontId="0" fillId="9" borderId="6" xfId="0" applyNumberFormat="1" applyFill="1" applyBorder="1" applyAlignment="1" applyProtection="1">
      <alignment horizontal="center" vertical="center"/>
      <protection locked="0"/>
    </xf>
    <xf numFmtId="1" fontId="0" fillId="9" borderId="8" xfId="0" applyNumberFormat="1" applyFill="1" applyBorder="1" applyAlignment="1" applyProtection="1">
      <alignment horizontal="center" vertical="center"/>
      <protection locked="0"/>
    </xf>
    <xf numFmtId="0" fontId="5" fillId="0" borderId="6" xfId="0" applyFont="1" applyBorder="1" applyAlignment="1">
      <alignment horizontal="center" wrapText="1"/>
    </xf>
    <xf numFmtId="0" fontId="5" fillId="0" borderId="8" xfId="0" applyFont="1" applyBorder="1" applyAlignment="1">
      <alignment horizontal="center" wrapText="1"/>
    </xf>
    <xf numFmtId="0" fontId="0" fillId="0" borderId="36" xfId="0" applyBorder="1" applyAlignment="1" applyProtection="1">
      <alignment horizontal="left" vertical="top" wrapText="1"/>
      <protection locked="0"/>
    </xf>
    <xf numFmtId="0" fontId="0" fillId="0" borderId="14" xfId="0" applyBorder="1" applyAlignment="1" applyProtection="1">
      <alignment horizontal="left" vertical="top" wrapText="1"/>
      <protection locked="0"/>
    </xf>
    <xf numFmtId="0" fontId="0" fillId="0" borderId="33" xfId="0"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21" xfId="0" applyBorder="1" applyAlignment="1" applyProtection="1">
      <alignment horizontal="left" vertical="top" wrapText="1"/>
      <protection locked="0"/>
    </xf>
    <xf numFmtId="0" fontId="0" fillId="0" borderId="34" xfId="0" applyBorder="1" applyAlignment="1" applyProtection="1">
      <alignment horizontal="left" vertical="top" wrapText="1"/>
      <protection locked="0"/>
    </xf>
    <xf numFmtId="0" fontId="0" fillId="0" borderId="35" xfId="0" applyBorder="1" applyAlignment="1" applyProtection="1">
      <alignment horizontal="left" vertical="top" wrapText="1"/>
      <protection locked="0"/>
    </xf>
    <xf numFmtId="0" fontId="0" fillId="0" borderId="32" xfId="0" applyBorder="1" applyAlignment="1" applyProtection="1">
      <alignment horizontal="left" vertical="top" wrapText="1"/>
      <protection locked="0"/>
    </xf>
    <xf numFmtId="0" fontId="32" fillId="7" borderId="0" xfId="0" applyFont="1" applyFill="1" applyAlignment="1">
      <alignment horizontal="center" vertical="center" wrapText="1"/>
    </xf>
    <xf numFmtId="0" fontId="0" fillId="0" borderId="6"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10" xfId="0" applyBorder="1" applyAlignment="1">
      <alignment horizontal="left" vertical="center"/>
    </xf>
    <xf numFmtId="0" fontId="0" fillId="9" borderId="6" xfId="0" applyFill="1" applyBorder="1" applyAlignment="1" applyProtection="1">
      <alignment horizontal="left" vertical="center"/>
      <protection locked="0"/>
    </xf>
    <xf numFmtId="0" fontId="0" fillId="9" borderId="8" xfId="0" applyFill="1" applyBorder="1" applyAlignment="1" applyProtection="1">
      <alignment horizontal="left" vertical="center"/>
      <protection locked="0"/>
    </xf>
    <xf numFmtId="14" fontId="0" fillId="2" borderId="6" xfId="0" applyNumberFormat="1" applyFill="1" applyBorder="1" applyAlignment="1" applyProtection="1">
      <alignment horizontal="left" vertical="center"/>
      <protection locked="0"/>
    </xf>
    <xf numFmtId="14" fontId="0" fillId="2" borderId="8" xfId="0" applyNumberFormat="1" applyFill="1" applyBorder="1" applyAlignment="1" applyProtection="1">
      <alignment horizontal="left" vertical="center"/>
      <protection locked="0"/>
    </xf>
    <xf numFmtId="2" fontId="0" fillId="0" borderId="20" xfId="0" applyNumberFormat="1" applyBorder="1" applyAlignment="1" applyProtection="1">
      <alignment horizontal="left" vertical="center"/>
      <protection locked="0"/>
    </xf>
    <xf numFmtId="2" fontId="0" fillId="0" borderId="41" xfId="0" applyNumberFormat="1" applyBorder="1" applyAlignment="1" applyProtection="1">
      <alignment horizontal="left" vertical="center"/>
      <protection locked="0"/>
    </xf>
    <xf numFmtId="0" fontId="0" fillId="0" borderId="6" xfId="0" applyBorder="1" applyAlignment="1">
      <alignment horizontal="left"/>
    </xf>
    <xf numFmtId="0" fontId="0" fillId="0" borderId="8" xfId="0" applyBorder="1" applyAlignment="1">
      <alignment horizontal="left"/>
    </xf>
    <xf numFmtId="0" fontId="0" fillId="9" borderId="31" xfId="0" applyFill="1" applyBorder="1" applyAlignment="1" applyProtection="1">
      <alignment horizontal="left" vertical="center"/>
      <protection locked="0"/>
    </xf>
    <xf numFmtId="0" fontId="11" fillId="4" borderId="31" xfId="0" applyFont="1" applyFill="1" applyBorder="1" applyAlignment="1">
      <alignment horizontal="center" vertical="center" shrinkToFit="1"/>
    </xf>
    <xf numFmtId="0" fontId="11" fillId="4" borderId="8" xfId="0" applyFont="1" applyFill="1" applyBorder="1" applyAlignment="1">
      <alignment horizontal="center" vertical="center" shrinkToFit="1"/>
    </xf>
    <xf numFmtId="0" fontId="5" fillId="0" borderId="0" xfId="0" applyFont="1" applyAlignment="1">
      <alignment horizontal="right" vertical="center" wrapText="1"/>
    </xf>
    <xf numFmtId="0" fontId="5" fillId="0" borderId="0" xfId="0" applyFont="1" applyAlignment="1">
      <alignment horizontal="center" vertical="center" wrapText="1"/>
    </xf>
    <xf numFmtId="0" fontId="5" fillId="0" borderId="0" xfId="0" applyFont="1" applyAlignment="1">
      <alignment horizontal="left" vertical="top" wrapText="1"/>
    </xf>
    <xf numFmtId="0" fontId="5" fillId="0" borderId="0" xfId="0" applyFont="1" applyAlignment="1">
      <alignment horizontal="left" vertical="center" wrapText="1"/>
    </xf>
    <xf numFmtId="0" fontId="5"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0" fontId="5" fillId="0" borderId="0" xfId="0" applyFont="1" applyAlignment="1" applyProtection="1">
      <alignment horizontal="center" vertical="center" wrapText="1"/>
      <protection locked="0"/>
    </xf>
    <xf numFmtId="165" fontId="0" fillId="0" borderId="0" xfId="9" applyNumberFormat="1" applyFont="1" applyFill="1" applyBorder="1" applyAlignment="1" applyProtection="1">
      <alignment horizontal="center" vertical="center"/>
      <protection locked="0"/>
    </xf>
    <xf numFmtId="0" fontId="11" fillId="4" borderId="6" xfId="0" applyFont="1" applyFill="1" applyBorder="1" applyAlignment="1">
      <alignment horizontal="center" vertical="center"/>
    </xf>
    <xf numFmtId="0" fontId="11" fillId="4" borderId="8" xfId="0" applyFont="1" applyFill="1" applyBorder="1" applyAlignment="1">
      <alignment horizontal="center" vertical="center"/>
    </xf>
    <xf numFmtId="0" fontId="0" fillId="0" borderId="9" xfId="0" applyBorder="1" applyAlignment="1" applyProtection="1">
      <alignment horizontal="left" vertical="center"/>
      <protection locked="0"/>
    </xf>
    <xf numFmtId="0" fontId="0" fillId="0" borderId="42" xfId="0" applyBorder="1" applyAlignment="1" applyProtection="1">
      <alignment horizontal="left" vertical="center"/>
      <protection locked="0"/>
    </xf>
    <xf numFmtId="0" fontId="13" fillId="0" borderId="0" xfId="0" applyFont="1" applyAlignment="1">
      <alignment horizontal="center" vertical="center"/>
    </xf>
    <xf numFmtId="0" fontId="5" fillId="0" borderId="6" xfId="0" applyFont="1" applyBorder="1" applyAlignment="1">
      <alignment horizontal="left"/>
    </xf>
    <xf numFmtId="0" fontId="11" fillId="4" borderId="31" xfId="0" applyFont="1" applyFill="1" applyBorder="1" applyAlignment="1">
      <alignment horizontal="center" vertical="center"/>
    </xf>
    <xf numFmtId="0" fontId="11" fillId="0" borderId="10" xfId="0" applyFont="1" applyBorder="1" applyAlignment="1">
      <alignment horizontal="left" vertical="center"/>
    </xf>
    <xf numFmtId="0" fontId="11" fillId="4" borderId="10" xfId="0" applyFont="1" applyFill="1" applyBorder="1" applyAlignment="1">
      <alignment horizontal="center" vertical="center"/>
    </xf>
    <xf numFmtId="0" fontId="5" fillId="0" borderId="6" xfId="0" applyFont="1" applyBorder="1" applyAlignment="1">
      <alignment horizontal="center" vertical="center" wrapText="1"/>
    </xf>
    <xf numFmtId="0" fontId="5" fillId="0" borderId="8" xfId="0" applyFont="1" applyBorder="1" applyAlignment="1">
      <alignment horizontal="center" vertical="center" wrapText="1"/>
    </xf>
    <xf numFmtId="0" fontId="26" fillId="0" borderId="0" xfId="1" applyFont="1" applyFill="1" applyBorder="1" applyAlignment="1" applyProtection="1">
      <alignment horizontal="center" vertical="center" wrapText="1"/>
    </xf>
    <xf numFmtId="0" fontId="17" fillId="0" borderId="0" xfId="0" applyFont="1" applyAlignment="1">
      <alignment horizontal="center" vertical="center" wrapText="1"/>
    </xf>
    <xf numFmtId="0" fontId="13" fillId="8" borderId="0" xfId="1" applyFont="1" applyFill="1" applyAlignment="1" applyProtection="1">
      <alignment horizontal="center" vertical="center" wrapText="1"/>
    </xf>
    <xf numFmtId="0" fontId="30" fillId="0" borderId="0" xfId="0" applyFont="1" applyAlignment="1">
      <alignment horizontal="center" vertical="top" wrapText="1"/>
    </xf>
    <xf numFmtId="0" fontId="16" fillId="0" borderId="0" xfId="0" applyFont="1" applyAlignment="1">
      <alignment horizontal="left" vertical="top" wrapText="1"/>
    </xf>
    <xf numFmtId="0" fontId="11" fillId="4" borderId="6" xfId="0" applyFont="1" applyFill="1" applyBorder="1" applyAlignment="1">
      <alignment horizontal="center"/>
    </xf>
    <xf numFmtId="0" fontId="11" fillId="4" borderId="7" xfId="0" applyFont="1" applyFill="1" applyBorder="1" applyAlignment="1">
      <alignment horizontal="center"/>
    </xf>
    <xf numFmtId="0" fontId="11" fillId="4" borderId="8" xfId="0" applyFont="1" applyFill="1" applyBorder="1" applyAlignment="1">
      <alignment horizontal="center"/>
    </xf>
    <xf numFmtId="0" fontId="11" fillId="4" borderId="37" xfId="0" applyFont="1" applyFill="1" applyBorder="1" applyAlignment="1">
      <alignment horizontal="center"/>
    </xf>
    <xf numFmtId="0" fontId="11" fillId="4" borderId="38" xfId="0" applyFont="1" applyFill="1" applyBorder="1" applyAlignment="1">
      <alignment horizontal="center"/>
    </xf>
    <xf numFmtId="0" fontId="55" fillId="17" borderId="26" xfId="0" applyFont="1" applyFill="1" applyBorder="1" applyAlignment="1">
      <alignment horizontal="center" vertical="center" wrapText="1"/>
    </xf>
    <xf numFmtId="0" fontId="21" fillId="8" borderId="0" xfId="1" applyFont="1" applyFill="1" applyAlignment="1" applyProtection="1">
      <alignment horizontal="center" vertical="center" wrapText="1"/>
    </xf>
    <xf numFmtId="0" fontId="11" fillId="6" borderId="39"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0" fillId="9" borderId="10" xfId="0" applyFill="1" applyBorder="1" applyAlignment="1" applyProtection="1">
      <alignment horizontal="center" vertical="center"/>
      <protection locked="0"/>
    </xf>
    <xf numFmtId="0" fontId="0" fillId="0" borderId="0" xfId="0" applyAlignment="1" applyProtection="1">
      <alignment horizontal="left" vertical="top"/>
      <protection locked="0"/>
    </xf>
    <xf numFmtId="0" fontId="5" fillId="2" borderId="10" xfId="0" applyFont="1" applyFill="1" applyBorder="1" applyAlignment="1">
      <alignment horizontal="center" vertical="center" wrapText="1"/>
    </xf>
    <xf numFmtId="0" fontId="0" fillId="0" borderId="10" xfId="0" applyBorder="1" applyAlignment="1" applyProtection="1">
      <alignment horizontal="center" vertical="center"/>
      <protection locked="0"/>
    </xf>
    <xf numFmtId="0" fontId="0" fillId="0" borderId="9" xfId="0" applyBorder="1" applyAlignment="1">
      <alignment horizontal="left" vertical="center"/>
    </xf>
    <xf numFmtId="0" fontId="0" fillId="0" borderId="0" xfId="0" applyAlignment="1">
      <alignment horizontal="left" vertical="center"/>
    </xf>
    <xf numFmtId="0" fontId="0" fillId="0" borderId="21" xfId="0" applyBorder="1" applyAlignment="1">
      <alignment horizontal="left" vertical="center"/>
    </xf>
    <xf numFmtId="0" fontId="5" fillId="9" borderId="10" xfId="0" applyFont="1" applyFill="1" applyBorder="1" applyAlignment="1" applyProtection="1">
      <alignment horizontal="center" vertical="center"/>
      <protection locked="0"/>
    </xf>
    <xf numFmtId="0" fontId="0" fillId="0" borderId="36" xfId="0" applyBorder="1" applyAlignment="1">
      <alignment horizontal="left" vertical="top" wrapText="1"/>
    </xf>
    <xf numFmtId="0" fontId="0" fillId="0" borderId="14" xfId="0" applyBorder="1" applyAlignment="1">
      <alignment horizontal="left" vertical="top" wrapText="1"/>
    </xf>
    <xf numFmtId="0" fontId="0" fillId="0" borderId="33"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21" xfId="0"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0" borderId="32" xfId="0" applyBorder="1" applyAlignment="1">
      <alignment horizontal="left" vertical="top" wrapText="1"/>
    </xf>
    <xf numFmtId="0" fontId="12" fillId="0" borderId="0" xfId="0" applyFont="1" applyAlignment="1">
      <alignment horizontal="left" wrapText="1"/>
    </xf>
    <xf numFmtId="0" fontId="12" fillId="0" borderId="0" xfId="0" applyFont="1" applyAlignment="1">
      <alignment horizontal="center"/>
    </xf>
    <xf numFmtId="0" fontId="0" fillId="0" borderId="10" xfId="0" applyBorder="1" applyAlignment="1">
      <alignment horizontal="center" vertical="center"/>
    </xf>
    <xf numFmtId="0" fontId="13" fillId="0" borderId="2" xfId="0" applyFont="1" applyBorder="1" applyAlignment="1">
      <alignment horizontal="center" vertical="center"/>
    </xf>
    <xf numFmtId="165" fontId="31" fillId="0" borderId="0" xfId="9" applyNumberFormat="1" applyFont="1" applyFill="1" applyBorder="1" applyAlignment="1" applyProtection="1">
      <alignment horizontal="center" vertical="center"/>
      <protection locked="0"/>
    </xf>
    <xf numFmtId="0" fontId="1" fillId="0" borderId="6" xfId="12" applyFont="1" applyBorder="1" applyAlignment="1">
      <alignment horizontal="right" vertical="center"/>
    </xf>
    <xf numFmtId="0" fontId="1" fillId="0" borderId="8" xfId="12" applyFont="1" applyBorder="1" applyAlignment="1">
      <alignment horizontal="right" vertical="center"/>
    </xf>
    <xf numFmtId="0" fontId="43" fillId="0" borderId="0" xfId="12" applyFont="1" applyAlignment="1">
      <alignment horizontal="center" vertical="center" wrapText="1"/>
    </xf>
    <xf numFmtId="0" fontId="2" fillId="0" borderId="6" xfId="12" applyBorder="1" applyAlignment="1">
      <alignment horizontal="center"/>
    </xf>
    <xf numFmtId="0" fontId="2" fillId="0" borderId="7" xfId="12" applyBorder="1" applyAlignment="1">
      <alignment horizontal="center"/>
    </xf>
    <xf numFmtId="0" fontId="2" fillId="0" borderId="8" xfId="12" applyBorder="1" applyAlignment="1">
      <alignment horizontal="center"/>
    </xf>
    <xf numFmtId="0" fontId="2" fillId="16" borderId="6" xfId="12" applyFill="1" applyBorder="1" applyAlignment="1" applyProtection="1">
      <alignment horizontal="left"/>
      <protection locked="0"/>
    </xf>
    <xf numFmtId="0" fontId="2" fillId="16" borderId="7" xfId="12" applyFill="1" applyBorder="1" applyAlignment="1" applyProtection="1">
      <alignment horizontal="left"/>
      <protection locked="0"/>
    </xf>
    <xf numFmtId="0" fontId="2" fillId="16" borderId="8" xfId="12" applyFill="1" applyBorder="1" applyAlignment="1" applyProtection="1">
      <alignment horizontal="left"/>
      <protection locked="0"/>
    </xf>
    <xf numFmtId="0" fontId="31" fillId="0" borderId="0" xfId="0" applyFont="1" applyAlignment="1">
      <alignment horizontal="center"/>
    </xf>
    <xf numFmtId="0" fontId="31" fillId="0" borderId="0" xfId="0" applyFont="1" applyAlignment="1">
      <alignment horizontal="left"/>
    </xf>
    <xf numFmtId="0" fontId="45" fillId="12" borderId="10" xfId="12" applyFont="1" applyFill="1" applyBorder="1" applyAlignment="1" applyProtection="1">
      <alignment horizontal="center"/>
      <protection locked="0"/>
    </xf>
    <xf numFmtId="0" fontId="2" fillId="0" borderId="6" xfId="12" applyBorder="1" applyAlignment="1" applyProtection="1">
      <alignment horizontal="center"/>
      <protection locked="0"/>
    </xf>
    <xf numFmtId="0" fontId="2" fillId="0" borderId="7" xfId="12" applyBorder="1" applyAlignment="1" applyProtection="1">
      <alignment horizontal="center"/>
      <protection locked="0"/>
    </xf>
    <xf numFmtId="0" fontId="2" fillId="0" borderId="8" xfId="12" applyBorder="1" applyAlignment="1" applyProtection="1">
      <alignment horizontal="center"/>
      <protection locked="0"/>
    </xf>
    <xf numFmtId="0" fontId="45" fillId="12" borderId="62" xfId="12" applyFont="1" applyFill="1" applyBorder="1" applyAlignment="1" applyProtection="1">
      <alignment horizontal="center" vertical="center"/>
      <protection locked="0"/>
    </xf>
    <xf numFmtId="0" fontId="44" fillId="12" borderId="63" xfId="12" applyFont="1" applyFill="1" applyBorder="1" applyAlignment="1" applyProtection="1">
      <alignment horizontal="center" vertical="center"/>
      <protection locked="0"/>
    </xf>
    <xf numFmtId="0" fontId="44" fillId="12" borderId="64" xfId="12" applyFont="1" applyFill="1" applyBorder="1" applyAlignment="1" applyProtection="1">
      <alignment horizontal="center" vertical="center"/>
      <protection locked="0"/>
    </xf>
    <xf numFmtId="0" fontId="44" fillId="12" borderId="65" xfId="12" applyFont="1" applyFill="1" applyBorder="1" applyAlignment="1" applyProtection="1">
      <alignment horizontal="center" vertical="center"/>
      <protection locked="0"/>
    </xf>
    <xf numFmtId="0" fontId="44" fillId="12" borderId="66" xfId="12" applyFont="1" applyFill="1" applyBorder="1" applyAlignment="1" applyProtection="1">
      <alignment horizontal="center" vertical="center"/>
      <protection locked="0"/>
    </xf>
    <xf numFmtId="0" fontId="44" fillId="12" borderId="67" xfId="12" applyFont="1" applyFill="1" applyBorder="1" applyAlignment="1" applyProtection="1">
      <alignment horizontal="center" vertical="center"/>
      <protection locked="0"/>
    </xf>
    <xf numFmtId="0" fontId="46" fillId="12" borderId="65" xfId="12" applyFont="1" applyFill="1" applyBorder="1" applyAlignment="1" applyProtection="1">
      <alignment horizontal="center"/>
      <protection locked="0"/>
    </xf>
    <xf numFmtId="0" fontId="46" fillId="12" borderId="66" xfId="12" applyFont="1" applyFill="1" applyBorder="1" applyAlignment="1" applyProtection="1">
      <alignment horizontal="center"/>
      <protection locked="0"/>
    </xf>
    <xf numFmtId="0" fontId="46" fillId="12" borderId="67" xfId="12" applyFont="1" applyFill="1" applyBorder="1" applyAlignment="1" applyProtection="1">
      <alignment horizontal="center"/>
      <protection locked="0"/>
    </xf>
    <xf numFmtId="0" fontId="2" fillId="0" borderId="0" xfId="12" applyAlignment="1" applyProtection="1">
      <alignment horizontal="right" vertical="top"/>
      <protection locked="0"/>
    </xf>
    <xf numFmtId="0" fontId="43" fillId="0" borderId="10" xfId="12" applyFont="1" applyBorder="1" applyAlignment="1" applyProtection="1">
      <alignment horizontal="left"/>
      <protection locked="0"/>
    </xf>
    <xf numFmtId="0" fontId="2" fillId="0" borderId="10" xfId="12" applyBorder="1" applyAlignment="1" applyProtection="1">
      <alignment horizontal="left"/>
      <protection locked="0"/>
    </xf>
    <xf numFmtId="0" fontId="2" fillId="0" borderId="10" xfId="12" applyBorder="1" applyAlignment="1" applyProtection="1">
      <alignment horizontal="right"/>
      <protection locked="0"/>
    </xf>
    <xf numFmtId="0" fontId="2" fillId="0" borderId="0" xfId="12" applyAlignment="1" applyProtection="1">
      <alignment horizontal="right" vertical="top" wrapText="1"/>
      <protection locked="0"/>
    </xf>
    <xf numFmtId="49" fontId="2" fillId="0" borderId="6" xfId="12" applyNumberFormat="1" applyBorder="1" applyAlignment="1" applyProtection="1">
      <alignment horizontal="center"/>
      <protection locked="0"/>
    </xf>
    <xf numFmtId="49" fontId="2" fillId="0" borderId="8" xfId="12" applyNumberFormat="1" applyBorder="1" applyAlignment="1" applyProtection="1">
      <alignment horizontal="center"/>
      <protection locked="0"/>
    </xf>
    <xf numFmtId="0" fontId="2" fillId="0" borderId="10" xfId="12" applyBorder="1" applyAlignment="1" applyProtection="1">
      <alignment horizontal="center"/>
      <protection locked="0"/>
    </xf>
    <xf numFmtId="0" fontId="2" fillId="0" borderId="9" xfId="12" applyBorder="1" applyAlignment="1" applyProtection="1">
      <alignment horizontal="right"/>
      <protection locked="0"/>
    </xf>
    <xf numFmtId="0" fontId="2" fillId="0" borderId="0" xfId="12" applyAlignment="1" applyProtection="1">
      <alignment horizontal="right"/>
      <protection locked="0"/>
    </xf>
    <xf numFmtId="0" fontId="2" fillId="0" borderId="21" xfId="12" applyBorder="1" applyAlignment="1" applyProtection="1">
      <alignment horizontal="right" vertical="center"/>
      <protection locked="0"/>
    </xf>
    <xf numFmtId="0" fontId="46" fillId="12" borderId="62" xfId="12" applyFont="1" applyFill="1" applyBorder="1" applyAlignment="1" applyProtection="1">
      <alignment horizontal="center"/>
      <protection locked="0"/>
    </xf>
    <xf numFmtId="0" fontId="46" fillId="12" borderId="63" xfId="12" applyFont="1" applyFill="1" applyBorder="1" applyAlignment="1" applyProtection="1">
      <alignment horizontal="center"/>
      <protection locked="0"/>
    </xf>
    <xf numFmtId="0" fontId="46" fillId="12" borderId="64" xfId="12" applyFont="1" applyFill="1" applyBorder="1" applyAlignment="1" applyProtection="1">
      <alignment horizontal="center"/>
      <protection locked="0"/>
    </xf>
    <xf numFmtId="0" fontId="2" fillId="0" borderId="0" xfId="12" applyAlignment="1" applyProtection="1">
      <alignment horizontal="center" vertical="center"/>
      <protection locked="0"/>
    </xf>
    <xf numFmtId="0" fontId="41" fillId="13" borderId="66" xfId="12" applyFont="1" applyFill="1" applyBorder="1" applyAlignment="1" applyProtection="1">
      <alignment horizontal="center" vertical="center"/>
      <protection locked="0"/>
    </xf>
    <xf numFmtId="0" fontId="41" fillId="13" borderId="68" xfId="12" applyFont="1" applyFill="1" applyBorder="1" applyAlignment="1" applyProtection="1">
      <alignment horizontal="center" vertical="center"/>
      <protection locked="0"/>
    </xf>
    <xf numFmtId="0" fontId="2" fillId="0" borderId="0" xfId="12" applyAlignment="1" applyProtection="1">
      <alignment horizontal="right" vertical="center"/>
      <protection locked="0"/>
    </xf>
    <xf numFmtId="0" fontId="2" fillId="0" borderId="6" xfId="12" applyBorder="1" applyAlignment="1" applyProtection="1">
      <alignment horizontal="left"/>
      <protection locked="0"/>
    </xf>
    <xf numFmtId="0" fontId="2" fillId="0" borderId="7" xfId="12" applyBorder="1" applyAlignment="1" applyProtection="1">
      <alignment horizontal="left"/>
      <protection locked="0"/>
    </xf>
    <xf numFmtId="0" fontId="2" fillId="0" borderId="8" xfId="12" applyBorder="1" applyAlignment="1" applyProtection="1">
      <alignment horizontal="left"/>
      <protection locked="0"/>
    </xf>
    <xf numFmtId="49" fontId="2" fillId="0" borderId="10" xfId="12" applyNumberFormat="1" applyBorder="1" applyAlignment="1" applyProtection="1">
      <alignment horizontal="center"/>
      <protection locked="0"/>
    </xf>
    <xf numFmtId="0" fontId="43" fillId="0" borderId="69" xfId="12" applyFont="1" applyBorder="1" applyAlignment="1" applyProtection="1">
      <alignment horizontal="center" vertical="center"/>
      <protection locked="0"/>
    </xf>
    <xf numFmtId="0" fontId="43" fillId="0" borderId="70" xfId="12" applyFont="1" applyBorder="1" applyAlignment="1" applyProtection="1">
      <alignment horizontal="center" vertical="center"/>
      <protection locked="0"/>
    </xf>
    <xf numFmtId="0" fontId="43" fillId="0" borderId="74" xfId="12" applyFont="1" applyBorder="1" applyAlignment="1" applyProtection="1">
      <alignment horizontal="center" vertical="center"/>
      <protection locked="0"/>
    </xf>
    <xf numFmtId="0" fontId="43" fillId="0" borderId="0" xfId="12" applyFont="1" applyAlignment="1" applyProtection="1">
      <alignment horizontal="center" vertical="center"/>
      <protection locked="0"/>
    </xf>
    <xf numFmtId="0" fontId="43" fillId="0" borderId="36" xfId="12" applyFont="1" applyBorder="1" applyAlignment="1" applyProtection="1">
      <alignment horizontal="center" vertical="center"/>
      <protection locked="0"/>
    </xf>
    <xf numFmtId="0" fontId="43" fillId="0" borderId="14" xfId="12" applyFont="1" applyBorder="1" applyAlignment="1" applyProtection="1">
      <alignment horizontal="center" vertical="center"/>
      <protection locked="0"/>
    </xf>
    <xf numFmtId="0" fontId="43" fillId="0" borderId="33" xfId="12" applyFont="1" applyBorder="1" applyAlignment="1" applyProtection="1">
      <alignment horizontal="center" vertical="center"/>
      <protection locked="0"/>
    </xf>
    <xf numFmtId="0" fontId="43" fillId="0" borderId="34" xfId="12" applyFont="1" applyBorder="1" applyAlignment="1" applyProtection="1">
      <alignment horizontal="center" vertical="center"/>
      <protection locked="0"/>
    </xf>
    <xf numFmtId="0" fontId="43" fillId="0" borderId="35" xfId="12" applyFont="1" applyBorder="1" applyAlignment="1" applyProtection="1">
      <alignment horizontal="center" vertical="center"/>
      <protection locked="0"/>
    </xf>
    <xf numFmtId="0" fontId="43" fillId="0" borderId="32" xfId="12" applyFont="1" applyBorder="1" applyAlignment="1" applyProtection="1">
      <alignment horizontal="center" vertical="center"/>
      <protection locked="0"/>
    </xf>
    <xf numFmtId="0" fontId="43" fillId="0" borderId="71" xfId="12" applyFont="1" applyBorder="1" applyAlignment="1" applyProtection="1">
      <alignment horizontal="center" vertical="center" wrapText="1"/>
      <protection locked="0"/>
    </xf>
    <xf numFmtId="0" fontId="43" fillId="0" borderId="72" xfId="12" applyFont="1" applyBorder="1" applyAlignment="1" applyProtection="1">
      <alignment horizontal="center" vertical="center"/>
      <protection locked="0"/>
    </xf>
    <xf numFmtId="0" fontId="43" fillId="0" borderId="73" xfId="12" applyFont="1" applyBorder="1" applyAlignment="1" applyProtection="1">
      <alignment horizontal="center" vertical="center"/>
      <protection locked="0"/>
    </xf>
    <xf numFmtId="0" fontId="43" fillId="0" borderId="9" xfId="12" applyFont="1" applyBorder="1" applyAlignment="1" applyProtection="1">
      <alignment horizontal="center" vertical="center" wrapText="1"/>
      <protection locked="0"/>
    </xf>
    <xf numFmtId="0" fontId="43" fillId="0" borderId="0" xfId="12" applyFont="1" applyAlignment="1" applyProtection="1">
      <alignment horizontal="center" vertical="center" wrapText="1"/>
      <protection locked="0"/>
    </xf>
    <xf numFmtId="0" fontId="43" fillId="0" borderId="21" xfId="12" applyFont="1" applyBorder="1" applyAlignment="1" applyProtection="1">
      <alignment horizontal="center" vertical="center" wrapText="1"/>
      <protection locked="0"/>
    </xf>
    <xf numFmtId="0" fontId="48" fillId="0" borderId="6" xfId="12" applyFont="1" applyBorder="1" applyAlignment="1" applyProtection="1">
      <alignment horizontal="left" vertical="center" wrapText="1"/>
      <protection locked="0"/>
    </xf>
    <xf numFmtId="0" fontId="48" fillId="0" borderId="8" xfId="12" applyFont="1" applyBorder="1" applyAlignment="1" applyProtection="1">
      <alignment horizontal="left" vertical="center" wrapText="1"/>
      <protection locked="0"/>
    </xf>
    <xf numFmtId="0" fontId="41" fillId="14" borderId="10" xfId="12" applyFont="1" applyFill="1" applyBorder="1" applyAlignment="1" applyProtection="1">
      <alignment horizontal="center"/>
      <protection locked="0"/>
    </xf>
    <xf numFmtId="0" fontId="48" fillId="0" borderId="10" xfId="12" applyFont="1" applyBorder="1" applyAlignment="1" applyProtection="1">
      <alignment horizontal="left" vertical="center" wrapText="1"/>
      <protection locked="0"/>
    </xf>
    <xf numFmtId="0" fontId="43" fillId="0" borderId="10" xfId="12" applyFont="1" applyBorder="1" applyAlignment="1" applyProtection="1">
      <alignment horizontal="left" vertical="center"/>
      <protection locked="0"/>
    </xf>
    <xf numFmtId="0" fontId="43" fillId="0" borderId="6" xfId="12" applyFont="1" applyBorder="1" applyAlignment="1" applyProtection="1">
      <alignment horizontal="center" vertical="center"/>
      <protection locked="0"/>
    </xf>
    <xf numFmtId="0" fontId="43" fillId="0" borderId="7" xfId="12" applyFont="1" applyBorder="1" applyAlignment="1" applyProtection="1">
      <alignment horizontal="center" vertical="center"/>
      <protection locked="0"/>
    </xf>
    <xf numFmtId="0" fontId="43" fillId="0" borderId="8" xfId="12" applyFont="1" applyBorder="1" applyAlignment="1" applyProtection="1">
      <alignment horizontal="center" vertical="center"/>
      <protection locked="0"/>
    </xf>
    <xf numFmtId="0" fontId="2" fillId="0" borderId="10" xfId="12" applyBorder="1" applyAlignment="1" applyProtection="1">
      <alignment horizontal="center" vertical="center"/>
      <protection locked="0"/>
    </xf>
    <xf numFmtId="0" fontId="43" fillId="0" borderId="6" xfId="12" applyFont="1" applyBorder="1" applyAlignment="1" applyProtection="1">
      <alignment horizontal="left" vertical="center"/>
      <protection locked="0"/>
    </xf>
    <xf numFmtId="0" fontId="43" fillId="0" borderId="7" xfId="12" applyFont="1" applyBorder="1" applyAlignment="1" applyProtection="1">
      <alignment horizontal="left" vertical="center"/>
      <protection locked="0"/>
    </xf>
    <xf numFmtId="2" fontId="2" fillId="0" borderId="10" xfId="12" applyNumberFormat="1" applyBorder="1" applyAlignment="1" applyProtection="1">
      <alignment horizontal="center" vertical="center"/>
      <protection locked="0"/>
    </xf>
    <xf numFmtId="0" fontId="43" fillId="0" borderId="6" xfId="12" applyFont="1" applyBorder="1" applyAlignment="1" applyProtection="1">
      <alignment horizontal="left"/>
      <protection locked="0"/>
    </xf>
    <xf numFmtId="0" fontId="43" fillId="0" borderId="7" xfId="12" applyFont="1" applyBorder="1" applyAlignment="1" applyProtection="1">
      <alignment horizontal="left"/>
      <protection locked="0"/>
    </xf>
    <xf numFmtId="0" fontId="43" fillId="0" borderId="10" xfId="12" applyFont="1" applyBorder="1" applyAlignment="1" applyProtection="1">
      <alignment horizontal="center" vertical="center"/>
      <protection locked="0"/>
    </xf>
    <xf numFmtId="0" fontId="41" fillId="14" borderId="0" xfId="12" applyFont="1" applyFill="1" applyAlignment="1" applyProtection="1">
      <alignment horizontal="center"/>
      <protection locked="0"/>
    </xf>
    <xf numFmtId="0" fontId="41" fillId="0" borderId="10" xfId="12" applyFont="1" applyBorder="1" applyAlignment="1" applyProtection="1">
      <alignment horizontal="center" vertical="center"/>
      <protection locked="0"/>
    </xf>
    <xf numFmtId="0" fontId="48" fillId="0" borderId="10" xfId="12" applyFont="1" applyBorder="1" applyAlignment="1">
      <alignment horizontal="left"/>
    </xf>
    <xf numFmtId="0" fontId="50" fillId="0" borderId="10" xfId="12" applyFont="1" applyBorder="1" applyAlignment="1">
      <alignment horizontal="center"/>
    </xf>
    <xf numFmtId="0" fontId="41" fillId="13" borderId="63" xfId="12" applyFont="1" applyFill="1" applyBorder="1" applyAlignment="1" applyProtection="1">
      <alignment horizontal="center" vertical="center"/>
      <protection locked="0"/>
    </xf>
    <xf numFmtId="0" fontId="41" fillId="13" borderId="72" xfId="12" applyFont="1" applyFill="1" applyBorder="1" applyAlignment="1" applyProtection="1">
      <alignment horizontal="center" vertical="center"/>
      <protection locked="0"/>
    </xf>
    <xf numFmtId="0" fontId="43" fillId="0" borderId="9" xfId="12" applyFont="1" applyBorder="1" applyAlignment="1" applyProtection="1">
      <alignment horizontal="center" vertical="center"/>
      <protection locked="0"/>
    </xf>
    <xf numFmtId="0" fontId="43" fillId="0" borderId="21" xfId="12" applyFont="1" applyBorder="1" applyAlignment="1" applyProtection="1">
      <alignment horizontal="center" vertical="center"/>
      <protection locked="0"/>
    </xf>
    <xf numFmtId="0" fontId="2" fillId="15" borderId="6" xfId="12" applyFill="1" applyBorder="1" applyAlignment="1">
      <alignment horizontal="center"/>
    </xf>
    <xf numFmtId="0" fontId="2" fillId="15" borderId="7" xfId="12" applyFill="1" applyBorder="1" applyAlignment="1">
      <alignment horizontal="center"/>
    </xf>
    <xf numFmtId="0" fontId="2" fillId="15" borderId="8" xfId="12" applyFill="1" applyBorder="1" applyAlignment="1">
      <alignment horizontal="center"/>
    </xf>
    <xf numFmtId="0" fontId="43" fillId="0" borderId="36" xfId="12" applyFont="1" applyBorder="1" applyAlignment="1" applyProtection="1">
      <alignment horizontal="left" wrapText="1"/>
      <protection locked="0"/>
    </xf>
    <xf numFmtId="0" fontId="43" fillId="0" borderId="14" xfId="12" applyFont="1" applyBorder="1" applyAlignment="1" applyProtection="1">
      <alignment horizontal="left" wrapText="1"/>
      <protection locked="0"/>
    </xf>
    <xf numFmtId="0" fontId="50" fillId="0" borderId="33" xfId="12" applyFont="1" applyBorder="1" applyAlignment="1" applyProtection="1">
      <alignment horizontal="center" vertical="center" wrapText="1"/>
      <protection locked="0"/>
    </xf>
    <xf numFmtId="0" fontId="50" fillId="0" borderId="32" xfId="12" applyFont="1" applyBorder="1" applyAlignment="1" applyProtection="1">
      <alignment horizontal="center" vertical="center" wrapText="1"/>
      <protection locked="0"/>
    </xf>
    <xf numFmtId="0" fontId="43" fillId="0" borderId="34" xfId="12" applyFont="1" applyBorder="1" applyAlignment="1" applyProtection="1">
      <alignment horizontal="left" wrapText="1"/>
      <protection locked="0"/>
    </xf>
    <xf numFmtId="0" fontId="43" fillId="0" borderId="35" xfId="12" applyFont="1" applyBorder="1" applyAlignment="1" applyProtection="1">
      <alignment horizontal="left" wrapText="1"/>
      <protection locked="0"/>
    </xf>
    <xf numFmtId="0" fontId="43" fillId="0" borderId="36" xfId="12" applyFont="1" applyBorder="1" applyAlignment="1" applyProtection="1">
      <alignment horizontal="left" vertical="center"/>
      <protection locked="0"/>
    </xf>
    <xf numFmtId="0" fontId="43" fillId="0" borderId="14" xfId="12" applyFont="1" applyBorder="1" applyAlignment="1" applyProtection="1">
      <alignment horizontal="left" vertical="center"/>
      <protection locked="0"/>
    </xf>
    <xf numFmtId="0" fontId="43" fillId="0" borderId="34" xfId="12" applyFont="1" applyBorder="1" applyAlignment="1" applyProtection="1">
      <alignment horizontal="left" vertical="center"/>
      <protection locked="0"/>
    </xf>
    <xf numFmtId="0" fontId="43" fillId="0" borderId="35" xfId="12" applyFont="1" applyBorder="1" applyAlignment="1" applyProtection="1">
      <alignment horizontal="left" vertical="center"/>
      <protection locked="0"/>
    </xf>
    <xf numFmtId="0" fontId="51" fillId="0" borderId="33" xfId="12" applyFont="1" applyBorder="1" applyAlignment="1" applyProtection="1">
      <alignment horizontal="center" vertical="center"/>
      <protection locked="0"/>
    </xf>
    <xf numFmtId="0" fontId="51" fillId="0" borderId="32" xfId="12" applyFont="1" applyBorder="1" applyAlignment="1" applyProtection="1">
      <alignment horizontal="center" vertical="center"/>
      <protection locked="0"/>
    </xf>
    <xf numFmtId="2" fontId="2" fillId="0" borderId="10" xfId="12" applyNumberFormat="1" applyBorder="1" applyAlignment="1" applyProtection="1">
      <alignment horizontal="center"/>
      <protection locked="0"/>
    </xf>
    <xf numFmtId="0" fontId="2" fillId="0" borderId="9" xfId="12" applyBorder="1" applyAlignment="1" applyProtection="1">
      <alignment horizontal="left" vertical="center"/>
      <protection locked="0"/>
    </xf>
    <xf numFmtId="0" fontId="2" fillId="0" borderId="0" xfId="12" applyAlignment="1" applyProtection="1">
      <alignment horizontal="left" vertical="center"/>
      <protection locked="0"/>
    </xf>
    <xf numFmtId="0" fontId="2" fillId="0" borderId="21" xfId="12" applyBorder="1" applyAlignment="1" applyProtection="1">
      <alignment horizontal="right"/>
      <protection locked="0"/>
    </xf>
    <xf numFmtId="0" fontId="2" fillId="0" borderId="0" xfId="12" applyAlignment="1" applyProtection="1">
      <alignment horizontal="right" vertical="center" wrapText="1"/>
      <protection locked="0"/>
    </xf>
    <xf numFmtId="0" fontId="2" fillId="0" borderId="21" xfId="12" applyBorder="1" applyAlignment="1" applyProtection="1">
      <alignment horizontal="right" vertical="center" wrapText="1"/>
      <protection locked="0"/>
    </xf>
    <xf numFmtId="0" fontId="59" fillId="0" borderId="0" xfId="10" applyFont="1" applyAlignment="1" applyProtection="1">
      <alignment horizontal="left" vertical="center"/>
      <protection locked="0"/>
    </xf>
    <xf numFmtId="0" fontId="60" fillId="0" borderId="0" xfId="10" applyFont="1" applyAlignment="1">
      <alignment horizontal="left" vertical="center"/>
    </xf>
    <xf numFmtId="0" fontId="60" fillId="0" borderId="0" xfId="10" applyFont="1" applyAlignment="1">
      <alignment horizontal="left" vertical="center" wrapText="1"/>
    </xf>
    <xf numFmtId="0" fontId="60" fillId="0" borderId="0" xfId="10" applyFont="1" applyAlignment="1" applyProtection="1">
      <alignment horizontal="left" vertical="center" wrapText="1"/>
      <protection locked="0"/>
    </xf>
    <xf numFmtId="0" fontId="59" fillId="0" borderId="0" xfId="10" applyFont="1" applyAlignment="1">
      <alignment horizontal="center" vertical="center"/>
    </xf>
    <xf numFmtId="0" fontId="60" fillId="0" borderId="80" xfId="10" applyFont="1" applyBorder="1" applyAlignment="1" applyProtection="1">
      <alignment horizontal="center" vertical="center" wrapText="1"/>
      <protection locked="0"/>
    </xf>
    <xf numFmtId="0" fontId="60" fillId="0" borderId="81" xfId="10" applyFont="1" applyBorder="1" applyAlignment="1" applyProtection="1">
      <alignment horizontal="center" vertical="center" wrapText="1"/>
      <protection locked="0"/>
    </xf>
    <xf numFmtId="0" fontId="60" fillId="0" borderId="22" xfId="10" applyFont="1" applyBorder="1" applyAlignment="1" applyProtection="1">
      <alignment horizontal="center" vertical="center" wrapText="1"/>
      <protection locked="0"/>
    </xf>
    <xf numFmtId="0" fontId="60" fillId="0" borderId="24" xfId="10" applyFont="1" applyBorder="1" applyAlignment="1" applyProtection="1">
      <alignment horizontal="center" vertical="center" wrapText="1"/>
      <protection locked="0"/>
    </xf>
    <xf numFmtId="0" fontId="60" fillId="0" borderId="25" xfId="10" applyFont="1" applyBorder="1" applyAlignment="1" applyProtection="1">
      <alignment horizontal="center" vertical="center" wrapText="1"/>
      <protection locked="0"/>
    </xf>
    <xf numFmtId="0" fontId="60" fillId="0" borderId="26" xfId="10" applyFont="1" applyBorder="1" applyAlignment="1" applyProtection="1">
      <alignment horizontal="center" vertical="center" wrapText="1"/>
      <protection locked="0"/>
    </xf>
    <xf numFmtId="0" fontId="60" fillId="0" borderId="29" xfId="10" applyFont="1" applyBorder="1" applyAlignment="1" applyProtection="1">
      <alignment horizontal="center" vertical="center" wrapText="1"/>
      <protection locked="0"/>
    </xf>
    <xf numFmtId="0" fontId="60" fillId="0" borderId="28" xfId="10" applyFont="1" applyBorder="1" applyAlignment="1" applyProtection="1">
      <alignment horizontal="center" vertical="center" wrapText="1"/>
      <protection locked="0"/>
    </xf>
    <xf numFmtId="0" fontId="13" fillId="0" borderId="0" xfId="3" applyFont="1" applyAlignment="1">
      <alignment horizontal="center"/>
    </xf>
    <xf numFmtId="0" fontId="36" fillId="0" borderId="0" xfId="3" applyFont="1" applyAlignment="1">
      <alignment horizontal="center"/>
    </xf>
  </cellXfs>
  <cellStyles count="14">
    <cellStyle name="Currency" xfId="9" builtinId="4"/>
    <cellStyle name="Hyperlink" xfId="1" builtinId="8"/>
    <cellStyle name="Normal" xfId="0" builtinId="0"/>
    <cellStyle name="Normal 10 2" xfId="10" xr:uid="{00000000-0005-0000-0000-000003000000}"/>
    <cellStyle name="Normal 2" xfId="3" xr:uid="{00000000-0005-0000-0000-000004000000}"/>
    <cellStyle name="Normal 3" xfId="4" xr:uid="{00000000-0005-0000-0000-000005000000}"/>
    <cellStyle name="Normal 4" xfId="5" xr:uid="{00000000-0005-0000-0000-000006000000}"/>
    <cellStyle name="Normal 5" xfId="7" xr:uid="{00000000-0005-0000-0000-000007000000}"/>
    <cellStyle name="Normal 6" xfId="8" xr:uid="{00000000-0005-0000-0000-000008000000}"/>
    <cellStyle name="Normal 60" xfId="11" xr:uid="{00000000-0005-0000-0000-000009000000}"/>
    <cellStyle name="Normal 7" xfId="12" xr:uid="{00000000-0005-0000-0000-00000A000000}"/>
    <cellStyle name="Percent" xfId="2" builtinId="5"/>
    <cellStyle name="Percent 2" xfId="6" xr:uid="{00000000-0005-0000-0000-00000C000000}"/>
    <cellStyle name="Percent 3" xfId="13" xr:uid="{00000000-0005-0000-0000-00000D000000}"/>
  </cellStyles>
  <dxfs count="263">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color auto="1"/>
      </font>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auto="1"/>
      </font>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b/>
        <i val="0"/>
        <color theme="0"/>
      </font>
      <fill>
        <patternFill>
          <bgColor theme="1"/>
        </patternFill>
      </fill>
    </dxf>
    <dxf>
      <fill>
        <patternFill>
          <bgColor theme="0"/>
        </patternFill>
      </fill>
    </dxf>
    <dxf>
      <font>
        <condense val="0"/>
        <extend val="0"/>
        <color indexed="8"/>
      </font>
    </dxf>
    <dxf>
      <font>
        <b/>
        <i val="0"/>
        <color theme="0"/>
      </font>
      <fill>
        <patternFill>
          <bgColor theme="1"/>
        </patternFill>
      </fill>
    </dxf>
    <dxf>
      <fill>
        <patternFill>
          <bgColor theme="0"/>
        </patternFill>
      </fill>
    </dxf>
    <dxf>
      <font>
        <b/>
        <i val="0"/>
        <color theme="0"/>
      </font>
      <fill>
        <patternFill>
          <bgColor theme="1"/>
        </patternFill>
      </fill>
    </dxf>
    <dxf>
      <font>
        <color theme="1"/>
      </font>
      <fill>
        <patternFill patternType="solid">
          <bgColor theme="0"/>
        </patternFill>
      </fill>
    </dxf>
    <dxf>
      <font>
        <condense val="0"/>
        <extend val="0"/>
        <color indexed="8"/>
      </font>
    </dxf>
    <dxf>
      <font>
        <b/>
        <i val="0"/>
        <color theme="0"/>
      </font>
      <fill>
        <patternFill>
          <bgColor theme="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strike val="0"/>
        <color theme="0"/>
      </font>
      <fill>
        <patternFill>
          <bgColor rgb="FFFF0000"/>
        </patternFill>
      </fill>
    </dxf>
    <dxf>
      <font>
        <b/>
        <i val="0"/>
        <strike val="0"/>
        <condense val="0"/>
        <extend val="0"/>
        <color indexed="63"/>
      </font>
      <fill>
        <patternFill>
          <bgColor indexed="46"/>
        </patternFill>
      </fill>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condense val="0"/>
        <extend val="0"/>
        <color indexed="63"/>
      </font>
      <fill>
        <patternFill patternType="solid">
          <bgColor indexed="22"/>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b/>
        <i val="0"/>
        <strike val="0"/>
        <condense val="0"/>
        <extend val="0"/>
        <color indexed="63"/>
      </font>
      <fill>
        <patternFill>
          <bgColor rgb="FFFFFF66"/>
        </patternFill>
      </fill>
      <border>
        <left style="thin">
          <color indexed="64"/>
        </left>
        <right style="thin">
          <color indexed="64"/>
        </right>
        <top style="thin">
          <color indexed="64"/>
        </top>
        <bottom style="thin">
          <color indexed="64"/>
        </bottom>
      </border>
    </dxf>
    <dxf>
      <font>
        <condense val="0"/>
        <extend val="0"/>
        <color auto="1"/>
      </font>
      <fill>
        <patternFill>
          <bgColor indexed="42"/>
        </patternFill>
      </fill>
      <border>
        <left style="thin">
          <color indexed="64"/>
        </left>
        <right style="thin">
          <color indexed="64"/>
        </right>
        <top style="thin">
          <color indexed="64"/>
        </top>
        <bottom style="thin">
          <color indexed="64"/>
        </bottom>
      </border>
    </dxf>
    <dxf>
      <font>
        <b/>
        <i val="0"/>
        <condense val="0"/>
        <extend val="0"/>
        <color indexed="63"/>
      </font>
      <fill>
        <patternFill>
          <bgColor indexed="47"/>
        </patternFill>
      </fill>
    </dxf>
    <dxf>
      <font>
        <condense val="0"/>
        <extend val="0"/>
        <color indexed="9"/>
      </font>
      <fill>
        <patternFill patternType="none">
          <bgColor indexed="65"/>
        </patternFill>
      </fill>
      <border>
        <left/>
        <right/>
        <bottom/>
      </border>
    </dxf>
    <dxf>
      <font>
        <condense val="0"/>
        <extend val="0"/>
        <color indexed="9"/>
      </font>
      <fill>
        <patternFill patternType="none">
          <bgColor indexed="65"/>
        </patternFill>
      </fill>
      <border>
        <left/>
        <right/>
        <top/>
        <bottom/>
      </border>
    </dxf>
    <dxf>
      <font>
        <b/>
        <i val="0"/>
        <condense val="0"/>
        <extend val="0"/>
        <color indexed="63"/>
      </font>
      <fill>
        <patternFill>
          <bgColor indexed="47"/>
        </patternFill>
      </fill>
    </dxf>
    <dxf>
      <font>
        <condense val="0"/>
        <extend val="0"/>
        <color indexed="9"/>
      </font>
      <border>
        <left/>
        <right/>
        <top/>
        <bottom/>
      </border>
    </dxf>
    <dxf>
      <font>
        <condense val="0"/>
        <extend val="0"/>
        <color indexed="9"/>
      </font>
      <border>
        <left/>
        <right/>
        <top/>
        <bottom/>
      </border>
    </dxf>
    <dxf>
      <font>
        <condense val="0"/>
        <extend val="0"/>
        <color indexed="10"/>
      </font>
    </dxf>
    <dxf>
      <font>
        <condense val="0"/>
        <extend val="0"/>
        <color indexed="8"/>
      </font>
      <border>
        <left/>
        <right/>
        <top style="thin">
          <color indexed="64"/>
        </top>
        <bottom/>
      </border>
    </dxf>
    <dxf>
      <font>
        <condense val="0"/>
        <extend val="0"/>
        <color indexed="9"/>
      </font>
    </dxf>
    <dxf>
      <font>
        <condense val="0"/>
        <extend val="0"/>
        <color indexed="9"/>
      </font>
      <border>
        <left/>
        <right/>
        <top/>
        <bottom/>
      </border>
    </dxf>
    <dxf>
      <font>
        <condense val="0"/>
        <extend val="0"/>
        <color indexed="9"/>
      </font>
    </dxf>
    <dxf>
      <font>
        <condense val="0"/>
        <extend val="0"/>
        <color indexed="9"/>
      </font>
      <border>
        <left/>
        <right/>
        <top/>
        <bottom/>
      </border>
    </dxf>
    <dxf>
      <font>
        <condense val="0"/>
        <extend val="0"/>
        <color indexed="9"/>
      </font>
      <fill>
        <patternFill patternType="none">
          <bgColor indexed="65"/>
        </patternFill>
      </fill>
      <border>
        <left/>
        <right/>
        <top/>
        <bottom/>
      </border>
    </dxf>
    <dxf>
      <font>
        <condense val="0"/>
        <extend val="0"/>
        <color indexed="63"/>
      </font>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border>
        <left/>
        <right style="thin">
          <color indexed="64"/>
        </right>
        <top style="thin">
          <color indexed="64"/>
        </top>
        <bottom/>
      </border>
    </dxf>
    <dxf>
      <font>
        <condense val="0"/>
        <extend val="0"/>
        <color indexed="63"/>
      </font>
      <border>
        <left style="thin">
          <color indexed="64"/>
        </left>
        <right style="thin">
          <color indexed="64"/>
        </right>
        <top style="thin">
          <color indexed="64"/>
        </top>
        <bottom/>
      </border>
    </dxf>
    <dxf>
      <font>
        <condense val="0"/>
        <extend val="0"/>
        <color indexed="63"/>
      </font>
      <border>
        <left/>
        <right/>
        <top/>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9"/>
      </font>
      <border>
        <left/>
        <right/>
        <top/>
        <bottom/>
      </border>
    </dxf>
  </dxfs>
  <tableStyles count="0" defaultTableStyle="TableStyleMedium9" defaultPivotStyle="PivotStyleLight16"/>
  <colors>
    <mruColors>
      <color rgb="FFFFFF99"/>
      <color rgb="FFFFCC99"/>
      <color rgb="FFFFFF66"/>
      <color rgb="FFCCFFCC"/>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Drop" dropLines="2" dropStyle="combo" dx="16" fmlaLink="$C$33" fmlaRange="'WORKINGS MATRIX'!$L$103:$L$104" noThreeD="1" sel="1" val="0"/>
</file>

<file path=xl/ctrlProps/ctrlProp2.xml><?xml version="1.0" encoding="utf-8"?>
<formControlPr xmlns="http://schemas.microsoft.com/office/spreadsheetml/2009/9/main" objectType="Drop" dropLines="5" dropStyle="combo" dx="16" fmlaLink="$F$3333" fmlaRange="'WORKINGS MATRIX'!$C$17:$C$21" noThreeD="1" sel="1" val="0"/>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Drop" dropLines="3" dropStyle="combo" dx="16" fmlaLink="$E$6" fmlaRange="'WORKINGS MATRIX'!$D$114:$D$116" noThreeD="1" sel="3" val="0"/>
</file>

<file path=xl/ctrlProps/ctrlProp6.xml><?xml version="1.0" encoding="utf-8"?>
<formControlPr xmlns="http://schemas.microsoft.com/office/spreadsheetml/2009/9/main" objectType="Drop" dropLines="13" dropStyle="combo" dx="16" fmlaLink="F147" fmlaRange="SETUP!$C$10:$C$22" noThreeD="1" sel="1" val="0"/>
</file>

<file path=xl/ctrlProps/ctrlProp7.xml><?xml version="1.0" encoding="utf-8"?>
<formControlPr xmlns="http://schemas.microsoft.com/office/spreadsheetml/2009/9/main" objectType="Drop" dropLines="13" dropStyle="combo" dx="16" fmlaLink="F148" fmlaRange="SETUP!$C$10:$C$22" noThreeD="1" sel="1" val="0"/>
</file>

<file path=xl/ctrlProps/ctrlProp8.xml><?xml version="1.0" encoding="utf-8"?>
<formControlPr xmlns="http://schemas.microsoft.com/office/spreadsheetml/2009/9/main" objectType="Drop" dropLines="13" dropStyle="combo" dx="16" fmlaLink="F149" fmlaRange="SETUP!$C$10:$C$22" noThreeD="1" sel="1" val="0"/>
</file>

<file path=xl/ctrlProps/ctrlProp9.xml><?xml version="1.0" encoding="utf-8"?>
<formControlPr xmlns="http://schemas.microsoft.com/office/spreadsheetml/2009/9/main" objectType="Drop" dropLines="13" dropStyle="combo" dx="16" fmlaLink="K148" fmlaRange="'WORKINGS MATRIX'!$C$80:$C$102" noThreeD="1" sel="23" val="10"/>
</file>

<file path=xl/ctrlProps/ctrlProp10.xml><?xml version="1.0" encoding="utf-8"?>
<formControlPr xmlns="http://schemas.microsoft.com/office/spreadsheetml/2009/9/main" objectType="Drop" dropLines="13" dropStyle="combo" dx="16" fmlaLink="K149" fmlaRange="'WORKINGS MATRIX'!$C$80:$C$102" noThreeD="1" sel="23" val="10"/>
</file>

<file path=xl/ctrlProps/ctrlProp11.xml><?xml version="1.0" encoding="utf-8"?>
<formControlPr xmlns="http://schemas.microsoft.com/office/spreadsheetml/2009/9/main" objectType="Drop" dropLines="13" dropStyle="combo" dx="16" fmlaLink="K147" fmlaRange="'WORKINGS MATRIX'!$C$80:$C$102" noThreeD="1" sel="23" val="10"/>
</file>

<file path=xl/ctrlProps/ctrlProp12.xml><?xml version="1.0" encoding="utf-8"?>
<formControlPr xmlns="http://schemas.microsoft.com/office/spreadsheetml/2009/9/main" objectType="Drop" dropStyle="combo" dx="16" fmlaLink="C147" fmlaRange="'WORKINGS MATRIX'!$F$5:$F$12" noThreeD="1" sel="8" val="0"/>
</file>

<file path=xl/ctrlProps/ctrlProp13.xml><?xml version="1.0" encoding="utf-8"?>
<formControlPr xmlns="http://schemas.microsoft.com/office/spreadsheetml/2009/9/main" objectType="Drop" dropStyle="combo" dx="16" fmlaLink="C148" fmlaRange="'WORKINGS MATRIX'!$F$5:$F$12" noThreeD="1" sel="8" val="0"/>
</file>

<file path=xl/ctrlProps/ctrlProp14.xml><?xml version="1.0" encoding="utf-8"?>
<formControlPr xmlns="http://schemas.microsoft.com/office/spreadsheetml/2009/9/main" objectType="Drop" dropStyle="combo" dx="16" fmlaLink="C149" fmlaRange="'WORKINGS MATRIX'!$F$5:$F$12" noThreeD="1" sel="8" val="0"/>
</file>

<file path=xl/ctrlProps/ctrlProp15.xml><?xml version="1.0" encoding="utf-8"?>
<formControlPr xmlns="http://schemas.microsoft.com/office/spreadsheetml/2009/9/main" objectType="Drop" dropLines="13" dropStyle="combo" dx="16" fmlaLink="F247" fmlaRange="SETUP!$D$10:$D$22" noThreeD="1" sel="1" val="0"/>
</file>

<file path=xl/ctrlProps/ctrlProp16.xml><?xml version="1.0" encoding="utf-8"?>
<formControlPr xmlns="http://schemas.microsoft.com/office/spreadsheetml/2009/9/main" objectType="Drop" dropLines="13" dropStyle="combo" dx="16" fmlaLink="F248" fmlaRange="SETUP!$D$10:$D$22" noThreeD="1" sel="1" val="0"/>
</file>

<file path=xl/ctrlProps/ctrlProp17.xml><?xml version="1.0" encoding="utf-8"?>
<formControlPr xmlns="http://schemas.microsoft.com/office/spreadsheetml/2009/9/main" objectType="Drop" dropLines="13" dropStyle="combo" dx="16" fmlaLink="F249" fmlaRange="SETUP!$D$10:$D$22" noThreeD="1" sel="1" val="0"/>
</file>

<file path=xl/ctrlProps/ctrlProp18.xml><?xml version="1.0" encoding="utf-8"?>
<formControlPr xmlns="http://schemas.microsoft.com/office/spreadsheetml/2009/9/main" objectType="Drop" dropLines="13" dropStyle="combo" dx="16" fmlaLink="K248" fmlaRange="'WORKINGS MATRIX'!$C$80:$C$102" noThreeD="1" sel="23" val="10"/>
</file>

<file path=xl/ctrlProps/ctrlProp19.xml><?xml version="1.0" encoding="utf-8"?>
<formControlPr xmlns="http://schemas.microsoft.com/office/spreadsheetml/2009/9/main" objectType="Drop" dropLines="13" dropStyle="combo" dx="16" fmlaLink="K249" fmlaRange="'WORKINGS MATRIX'!$C$80:$C$102" noThreeD="1" sel="23" val="10"/>
</file>

<file path=xl/ctrlProps/ctrlProp20.xml><?xml version="1.0" encoding="utf-8"?>
<formControlPr xmlns="http://schemas.microsoft.com/office/spreadsheetml/2009/9/main" objectType="Drop" dropLines="13" dropStyle="combo" dx="16" fmlaLink="K247" fmlaRange="'WORKINGS MATRIX'!$C$80:$C$102" noThreeD="1" sel="23" val="10"/>
</file>

<file path=xl/ctrlProps/ctrlProp21.xml><?xml version="1.0" encoding="utf-8"?>
<formControlPr xmlns="http://schemas.microsoft.com/office/spreadsheetml/2009/9/main" objectType="Drop" dropStyle="combo" dx="16" fmlaLink="C247" fmlaRange="'WORKINGS MATRIX'!$F$5:$F$12" noThreeD="1" sel="8" val="0"/>
</file>

<file path=xl/ctrlProps/ctrlProp22.xml><?xml version="1.0" encoding="utf-8"?>
<formControlPr xmlns="http://schemas.microsoft.com/office/spreadsheetml/2009/9/main" objectType="Drop" dropStyle="combo" dx="16" fmlaLink="C248" fmlaRange="'WORKINGS MATRIX'!$F$5:$F$12" noThreeD="1" sel="8" val="0"/>
</file>

<file path=xl/ctrlProps/ctrlProp23.xml><?xml version="1.0" encoding="utf-8"?>
<formControlPr xmlns="http://schemas.microsoft.com/office/spreadsheetml/2009/9/main" objectType="Drop" dropStyle="combo" dx="16" fmlaLink="C249" fmlaRange="'WORKINGS MATRIX'!$F$5:$F$12" noThreeD="1" sel="8" val="0"/>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Lines="13" dropStyle="combo" dx="16" fmlaLink="F447" fmlaRange="SETUP!$F$10:$F$22" noThreeD="1" sel="1" val="0"/>
</file>

<file path=xl/ctrlProps/ctrlProp26.xml><?xml version="1.0" encoding="utf-8"?>
<formControlPr xmlns="http://schemas.microsoft.com/office/spreadsheetml/2009/9/main" objectType="Drop" dropLines="13" dropStyle="combo" dx="16" fmlaLink="F448" fmlaRange="SETUP!$F$10:$F$22" noThreeD="1" sel="1" val="0"/>
</file>

<file path=xl/ctrlProps/ctrlProp27.xml><?xml version="1.0" encoding="utf-8"?>
<formControlPr xmlns="http://schemas.microsoft.com/office/spreadsheetml/2009/9/main" objectType="Drop" dropLines="13" dropStyle="combo" dx="16" fmlaLink="F449" fmlaRange="SETUP!$F$10:$F$22" noThreeD="1" sel="1" val="0"/>
</file>

<file path=xl/ctrlProps/ctrlProp28.xml><?xml version="1.0" encoding="utf-8"?>
<formControlPr xmlns="http://schemas.microsoft.com/office/spreadsheetml/2009/9/main" objectType="Drop" dropLines="13" dropStyle="combo" dx="16" fmlaLink="K448" fmlaRange="'WORKINGS MATRIX'!$C$80:$C$102" noThreeD="1" sel="23" val="10"/>
</file>

<file path=xl/ctrlProps/ctrlProp29.xml><?xml version="1.0" encoding="utf-8"?>
<formControlPr xmlns="http://schemas.microsoft.com/office/spreadsheetml/2009/9/main" objectType="Drop" dropLines="13" dropStyle="combo" dx="16" fmlaLink="K449" fmlaRange="'WORKINGS MATRIX'!$C$80:$C$102" noThreeD="1" sel="23" val="10"/>
</file>

<file path=xl/ctrlProps/ctrlProp30.xml><?xml version="1.0" encoding="utf-8"?>
<formControlPr xmlns="http://schemas.microsoft.com/office/spreadsheetml/2009/9/main" objectType="Drop" dropLines="13" dropStyle="combo" dx="16" fmlaLink="K447" fmlaRange="'WORKINGS MATRIX'!$C$80:$C$102" noThreeD="1" sel="23" val="10"/>
</file>

<file path=xl/ctrlProps/ctrlProp31.xml><?xml version="1.0" encoding="utf-8"?>
<formControlPr xmlns="http://schemas.microsoft.com/office/spreadsheetml/2009/9/main" objectType="Drop" dropStyle="combo" dx="16" fmlaLink="C447" fmlaRange="'WORKINGS MATRIX'!$F$5:$F$12" noThreeD="1" sel="8" val="0"/>
</file>

<file path=xl/ctrlProps/ctrlProp32.xml><?xml version="1.0" encoding="utf-8"?>
<formControlPr xmlns="http://schemas.microsoft.com/office/spreadsheetml/2009/9/main" objectType="Drop" dropStyle="combo" dx="16" fmlaLink="C448" fmlaRange="'WORKINGS MATRIX'!$F$5:$F$12" noThreeD="1" sel="8" val="0"/>
</file>

<file path=xl/ctrlProps/ctrlProp33.xml><?xml version="1.0" encoding="utf-8"?>
<formControlPr xmlns="http://schemas.microsoft.com/office/spreadsheetml/2009/9/main" objectType="Drop" dropStyle="combo" dx="16" fmlaLink="C449" fmlaRange="'WORKINGS MATRIX'!$F$5:$F$12" noThreeD="1" sel="8" val="0"/>
</file>

<file path=xl/ctrlProps/ctrlProp34.xml><?xml version="1.0" encoding="utf-8"?>
<formControlPr xmlns="http://schemas.microsoft.com/office/spreadsheetml/2009/9/main" objectType="Drop" dropLines="13" dropStyle="combo" dx="16" fmlaLink="F547" fmlaRange="SETUP!$G$10:$G$22" noThreeD="1" sel="1" val="0"/>
</file>

<file path=xl/ctrlProps/ctrlProp35.xml><?xml version="1.0" encoding="utf-8"?>
<formControlPr xmlns="http://schemas.microsoft.com/office/spreadsheetml/2009/9/main" objectType="Drop" dropLines="30" dropStyle="combo" dx="16" fmlaLink="F548" fmlaRange="'WORKINGS MATRIX'!$J$39:$J$72" noThreeD="1" sel="1" val="0"/>
</file>

<file path=xl/ctrlProps/ctrlProp36.xml><?xml version="1.0" encoding="utf-8"?>
<formControlPr xmlns="http://schemas.microsoft.com/office/spreadsheetml/2009/9/main" objectType="Drop" dropLines="30" dropStyle="combo" dx="16" fmlaLink="F549" fmlaRange="'WORKINGS MATRIX'!$J$39:$J$72" noThreeD="1" sel="1" val="0"/>
</file>

<file path=xl/ctrlProps/ctrlProp37.xml><?xml version="1.0" encoding="utf-8"?>
<formControlPr xmlns="http://schemas.microsoft.com/office/spreadsheetml/2009/9/main" objectType="Drop" dropLines="13" dropStyle="combo" dx="16" fmlaLink="K548" fmlaRange="'WORKINGS MATRIX'!$C$80:$C$102" noThreeD="1" sel="23" val="10"/>
</file>

<file path=xl/ctrlProps/ctrlProp38.xml><?xml version="1.0" encoding="utf-8"?>
<formControlPr xmlns="http://schemas.microsoft.com/office/spreadsheetml/2009/9/main" objectType="Drop" dropLines="13" dropStyle="combo" dx="16" fmlaLink="K549" fmlaRange="'WORKINGS MATRIX'!$C$80:$C$102" noThreeD="1" sel="23" val="10"/>
</file>

<file path=xl/ctrlProps/ctrlProp39.xml><?xml version="1.0" encoding="utf-8"?>
<formControlPr xmlns="http://schemas.microsoft.com/office/spreadsheetml/2009/9/main" objectType="Drop" dropLines="13" dropStyle="combo" dx="16" fmlaLink="K547" fmlaRange="'WORKINGS MATRIX'!$C$80:$C$102" noThreeD="1" sel="23" val="10"/>
</file>

<file path=xl/ctrlProps/ctrlProp40.xml><?xml version="1.0" encoding="utf-8"?>
<formControlPr xmlns="http://schemas.microsoft.com/office/spreadsheetml/2009/9/main" objectType="Drop" dropStyle="combo" dx="16" fmlaLink="C547" fmlaRange="'WORKINGS MATRIX'!$F$5:$F$12" noThreeD="1" sel="8" val="0"/>
</file>

<file path=xl/ctrlProps/ctrlProp41.xml><?xml version="1.0" encoding="utf-8"?>
<formControlPr xmlns="http://schemas.microsoft.com/office/spreadsheetml/2009/9/main" objectType="Drop" dropStyle="combo" dx="16" fmlaLink="C548" fmlaRange="'WORKINGS MATRIX'!$F$5:$F$12" noThreeD="1" sel="8" val="0"/>
</file>

<file path=xl/ctrlProps/ctrlProp42.xml><?xml version="1.0" encoding="utf-8"?>
<formControlPr xmlns="http://schemas.microsoft.com/office/spreadsheetml/2009/9/main" objectType="Drop" dropStyle="combo" dx="16" fmlaLink="C549" fmlaRange="'WORKINGS MATRIX'!$F$5:$F$12" noThreeD="1" sel="8" val="0"/>
</file>

<file path=xl/ctrlProps/ctrlProp43.xml><?xml version="1.0" encoding="utf-8"?>
<formControlPr xmlns="http://schemas.microsoft.com/office/spreadsheetml/2009/9/main" objectType="Drop" dropLines="13" dropStyle="combo" dx="16" fmlaLink="F647" fmlaRange="SETUP!$H$10:$H$22" noThreeD="1" sel="1" val="0"/>
</file>

<file path=xl/ctrlProps/ctrlProp44.xml><?xml version="1.0" encoding="utf-8"?>
<formControlPr xmlns="http://schemas.microsoft.com/office/spreadsheetml/2009/9/main" objectType="Drop" dropLines="13" dropStyle="combo" dx="16" fmlaLink="F648" fmlaRange="SETUP!$H$10:$H$22" noThreeD="1" sel="1" val="0"/>
</file>

<file path=xl/ctrlProps/ctrlProp45.xml><?xml version="1.0" encoding="utf-8"?>
<formControlPr xmlns="http://schemas.microsoft.com/office/spreadsheetml/2009/9/main" objectType="Drop" dropLines="13" dropStyle="combo" dx="16" fmlaLink="F649" fmlaRange="SETUP!$H$10:$H$22" noThreeD="1" sel="1" val="0"/>
</file>

<file path=xl/ctrlProps/ctrlProp46.xml><?xml version="1.0" encoding="utf-8"?>
<formControlPr xmlns="http://schemas.microsoft.com/office/spreadsheetml/2009/9/main" objectType="Drop" dropLines="13" dropStyle="combo" dx="16" fmlaLink="K648" fmlaRange="'WORKINGS MATRIX'!$C$80:$C$102" noThreeD="1" sel="23" val="10"/>
</file>

<file path=xl/ctrlProps/ctrlProp47.xml><?xml version="1.0" encoding="utf-8"?>
<formControlPr xmlns="http://schemas.microsoft.com/office/spreadsheetml/2009/9/main" objectType="Drop" dropLines="13" dropStyle="combo" dx="16" fmlaLink="K649" fmlaRange="'WORKINGS MATRIX'!$C$80:$C$102" noThreeD="1" sel="23" val="10"/>
</file>

<file path=xl/ctrlProps/ctrlProp48.xml><?xml version="1.0" encoding="utf-8"?>
<formControlPr xmlns="http://schemas.microsoft.com/office/spreadsheetml/2009/9/main" objectType="Drop" dropLines="13" dropStyle="combo" dx="16" fmlaLink="K647" fmlaRange="'WORKINGS MATRIX'!$C$80:$C$102" noThreeD="1" sel="23" val="10"/>
</file>

<file path=xl/ctrlProps/ctrlProp49.xml><?xml version="1.0" encoding="utf-8"?>
<formControlPr xmlns="http://schemas.microsoft.com/office/spreadsheetml/2009/9/main" objectType="Drop" dropStyle="combo" dx="16" fmlaLink="C647" fmlaRange="'WORKINGS MATRIX'!$F$5:$F$12" noThreeD="1" sel="8" val="0"/>
</file>

<file path=xl/ctrlProps/ctrlProp50.xml><?xml version="1.0" encoding="utf-8"?>
<formControlPr xmlns="http://schemas.microsoft.com/office/spreadsheetml/2009/9/main" objectType="Drop" dropStyle="combo" dx="16" fmlaLink="C648" fmlaRange="'WORKINGS MATRIX'!$F$5:$F$12" noThreeD="1" sel="8" val="0"/>
</file>

<file path=xl/ctrlProps/ctrlProp51.xml><?xml version="1.0" encoding="utf-8"?>
<formControlPr xmlns="http://schemas.microsoft.com/office/spreadsheetml/2009/9/main" objectType="Drop" dropStyle="combo" dx="16" fmlaLink="C649" fmlaRange="'WORKINGS MATRIX'!$F$5:$F$12" noThreeD="1" sel="8" val="0"/>
</file>

<file path=xl/ctrlProps/ctrlProp52.xml><?xml version="1.0" encoding="utf-8"?>
<formControlPr xmlns="http://schemas.microsoft.com/office/spreadsheetml/2009/9/main" objectType="Drop" dropLines="13" dropStyle="combo" dx="16" fmlaLink="F747" fmlaRange="SETUP!$I$10:$I$22" noThreeD="1" sel="1" val="0"/>
</file>

<file path=xl/ctrlProps/ctrlProp53.xml><?xml version="1.0" encoding="utf-8"?>
<formControlPr xmlns="http://schemas.microsoft.com/office/spreadsheetml/2009/9/main" objectType="Drop" dropLines="13" dropStyle="combo" dx="16" fmlaLink="F748" fmlaRange="SETUP!$I$10:$I$22" noThreeD="1" sel="1" val="0"/>
</file>

<file path=xl/ctrlProps/ctrlProp54.xml><?xml version="1.0" encoding="utf-8"?>
<formControlPr xmlns="http://schemas.microsoft.com/office/spreadsheetml/2009/9/main" objectType="Drop" dropLines="13" dropStyle="combo" dx="16" fmlaLink="F749" fmlaRange="SETUP!$I$10:$I$22" noThreeD="1" sel="1" val="0"/>
</file>

<file path=xl/ctrlProps/ctrlProp55.xml><?xml version="1.0" encoding="utf-8"?>
<formControlPr xmlns="http://schemas.microsoft.com/office/spreadsheetml/2009/9/main" objectType="Drop" dropLines="13" dropStyle="combo" dx="16" fmlaLink="K748" fmlaRange="'WORKINGS MATRIX'!$C$80:$C$102" noThreeD="1" sel="23" val="10"/>
</file>

<file path=xl/ctrlProps/ctrlProp56.xml><?xml version="1.0" encoding="utf-8"?>
<formControlPr xmlns="http://schemas.microsoft.com/office/spreadsheetml/2009/9/main" objectType="Drop" dropLines="13" dropStyle="combo" dx="16" fmlaLink="K749" fmlaRange="'WORKINGS MATRIX'!$C$80:$C$102" noThreeD="1" sel="23" val="10"/>
</file>

<file path=xl/ctrlProps/ctrlProp57.xml><?xml version="1.0" encoding="utf-8"?>
<formControlPr xmlns="http://schemas.microsoft.com/office/spreadsheetml/2009/9/main" objectType="Drop" dropLines="13" dropStyle="combo" dx="16" fmlaLink="K747" fmlaRange="'WORKINGS MATRIX'!$C$80:$C$102" noThreeD="1" sel="23" val="10"/>
</file>

<file path=xl/ctrlProps/ctrlProp58.xml><?xml version="1.0" encoding="utf-8"?>
<formControlPr xmlns="http://schemas.microsoft.com/office/spreadsheetml/2009/9/main" objectType="Drop" dropStyle="combo" dx="16" fmlaLink="C747" fmlaRange="'WORKINGS MATRIX'!$F$5:$F$12" noThreeD="1" sel="8" val="0"/>
</file>

<file path=xl/ctrlProps/ctrlProp59.xml><?xml version="1.0" encoding="utf-8"?>
<formControlPr xmlns="http://schemas.microsoft.com/office/spreadsheetml/2009/9/main" objectType="Drop" dropStyle="combo" dx="16" fmlaLink="C748" fmlaRange="'WORKINGS MATRIX'!$F$5:$F$12" noThreeD="1" sel="8" val="0"/>
</file>

<file path=xl/ctrlProps/ctrlProp60.xml><?xml version="1.0" encoding="utf-8"?>
<formControlPr xmlns="http://schemas.microsoft.com/office/spreadsheetml/2009/9/main" objectType="Drop" dropStyle="combo" dx="16" fmlaLink="C749" fmlaRange="'WORKINGS MATRIX'!$F$5:$F$12" noThreeD="1" sel="8" val="0"/>
</file>

<file path=xl/ctrlProps/ctrlProp61.xml><?xml version="1.0" encoding="utf-8"?>
<formControlPr xmlns="http://schemas.microsoft.com/office/spreadsheetml/2009/9/main" objectType="Drop" dropLines="13" dropStyle="combo" dx="16" fmlaLink="F847" fmlaRange="SETUP!$J$10:$J$22" noThreeD="1" sel="1" val="0"/>
</file>

<file path=xl/ctrlProps/ctrlProp62.xml><?xml version="1.0" encoding="utf-8"?>
<formControlPr xmlns="http://schemas.microsoft.com/office/spreadsheetml/2009/9/main" objectType="Drop" dropLines="13" dropStyle="combo" dx="16" fmlaLink="F848" fmlaRange="SETUP!$J$10:$J$22" noThreeD="1" sel="1" val="0"/>
</file>

<file path=xl/ctrlProps/ctrlProp63.xml><?xml version="1.0" encoding="utf-8"?>
<formControlPr xmlns="http://schemas.microsoft.com/office/spreadsheetml/2009/9/main" objectType="Drop" dropLines="13" dropStyle="combo" dx="16" fmlaLink="F849" fmlaRange="SETUP!$J$10:$J$22" noThreeD="1" sel="1" val="0"/>
</file>

<file path=xl/ctrlProps/ctrlProp64.xml><?xml version="1.0" encoding="utf-8"?>
<formControlPr xmlns="http://schemas.microsoft.com/office/spreadsheetml/2009/9/main" objectType="Drop" dropLines="13" dropStyle="combo" dx="16" fmlaLink="K848" fmlaRange="'WORKINGS MATRIX'!$C$80:$C$102" noThreeD="1" sel="23" val="10"/>
</file>

<file path=xl/ctrlProps/ctrlProp65.xml><?xml version="1.0" encoding="utf-8"?>
<formControlPr xmlns="http://schemas.microsoft.com/office/spreadsheetml/2009/9/main" objectType="Drop" dropLines="13" dropStyle="combo" dx="16" fmlaLink="K849" fmlaRange="'WORKINGS MATRIX'!$C$80:$C$102" noThreeD="1" sel="23" val="10"/>
</file>

<file path=xl/ctrlProps/ctrlProp66.xml><?xml version="1.0" encoding="utf-8"?>
<formControlPr xmlns="http://schemas.microsoft.com/office/spreadsheetml/2009/9/main" objectType="Drop" dropLines="13" dropStyle="combo" dx="16" fmlaLink="K847" fmlaRange="'WORKINGS MATRIX'!$C$80:$C$102" noThreeD="1" sel="23" val="10"/>
</file>

<file path=xl/ctrlProps/ctrlProp67.xml><?xml version="1.0" encoding="utf-8"?>
<formControlPr xmlns="http://schemas.microsoft.com/office/spreadsheetml/2009/9/main" objectType="Drop" dropStyle="combo" dx="16" fmlaLink="C847" fmlaRange="'WORKINGS MATRIX'!$F$5:$F$12" noThreeD="1" sel="8" val="0"/>
</file>

<file path=xl/ctrlProps/ctrlProp68.xml><?xml version="1.0" encoding="utf-8"?>
<formControlPr xmlns="http://schemas.microsoft.com/office/spreadsheetml/2009/9/main" objectType="Drop" dropStyle="combo" dx="16" fmlaLink="C848" fmlaRange="'WORKINGS MATRIX'!$F$5:$F$12" noThreeD="1" sel="8" val="0"/>
</file>

<file path=xl/ctrlProps/ctrlProp69.xml><?xml version="1.0" encoding="utf-8"?>
<formControlPr xmlns="http://schemas.microsoft.com/office/spreadsheetml/2009/9/main" objectType="Drop" dropStyle="combo" dx="16" fmlaLink="C849" fmlaRange="'WORKINGS MATRIX'!$F$5:$F$12" noThreeD="1" sel="8" val="0"/>
</file>

<file path=xl/ctrlProps/ctrlProp70.xml><?xml version="1.0" encoding="utf-8"?>
<formControlPr xmlns="http://schemas.microsoft.com/office/spreadsheetml/2009/9/main" objectType="Drop" dropLines="13" dropStyle="combo" dx="16" fmlaLink="F947" fmlaRange="SETUP!$K$10:$K$22" noThreeD="1" sel="1" val="0"/>
</file>

<file path=xl/ctrlProps/ctrlProp71.xml><?xml version="1.0" encoding="utf-8"?>
<formControlPr xmlns="http://schemas.microsoft.com/office/spreadsheetml/2009/9/main" objectType="Drop" dropLines="13" dropStyle="combo" dx="16" fmlaLink="F948" fmlaRange="SETUP!$K$10:$K$22" noThreeD="1" sel="1" val="0"/>
</file>

<file path=xl/ctrlProps/ctrlProp72.xml><?xml version="1.0" encoding="utf-8"?>
<formControlPr xmlns="http://schemas.microsoft.com/office/spreadsheetml/2009/9/main" objectType="Drop" dropLines="13" dropStyle="combo" dx="16" fmlaLink="F949" fmlaRange="SETUP!$K$10:$K$22" noThreeD="1" sel="1" val="0"/>
</file>

<file path=xl/ctrlProps/ctrlProp73.xml><?xml version="1.0" encoding="utf-8"?>
<formControlPr xmlns="http://schemas.microsoft.com/office/spreadsheetml/2009/9/main" objectType="Drop" dropLines="13" dropStyle="combo" dx="16" fmlaLink="K948" fmlaRange="'WORKINGS MATRIX'!$C$80:$C$102" noThreeD="1" sel="23" val="10"/>
</file>

<file path=xl/ctrlProps/ctrlProp74.xml><?xml version="1.0" encoding="utf-8"?>
<formControlPr xmlns="http://schemas.microsoft.com/office/spreadsheetml/2009/9/main" objectType="Drop" dropLines="13" dropStyle="combo" dx="16" fmlaLink="K949" fmlaRange="'WORKINGS MATRIX'!$C$80:$C$102" noThreeD="1" sel="23" val="10"/>
</file>

<file path=xl/ctrlProps/ctrlProp75.xml><?xml version="1.0" encoding="utf-8"?>
<formControlPr xmlns="http://schemas.microsoft.com/office/spreadsheetml/2009/9/main" objectType="Drop" dropLines="13" dropStyle="combo" dx="16" fmlaLink="K947" fmlaRange="'WORKINGS MATRIX'!$C$80:$C$102" noThreeD="1" sel="23" val="10"/>
</file>

<file path=xl/ctrlProps/ctrlProp76.xml><?xml version="1.0" encoding="utf-8"?>
<formControlPr xmlns="http://schemas.microsoft.com/office/spreadsheetml/2009/9/main" objectType="Drop" dropStyle="combo" dx="16" fmlaLink="C947" fmlaRange="'WORKINGS MATRIX'!$F$5:$F$12" noThreeD="1" sel="8" val="0"/>
</file>

<file path=xl/ctrlProps/ctrlProp77.xml><?xml version="1.0" encoding="utf-8"?>
<formControlPr xmlns="http://schemas.microsoft.com/office/spreadsheetml/2009/9/main" objectType="Drop" dropStyle="combo" dx="16" fmlaLink="C948" fmlaRange="'WORKINGS MATRIX'!$F$5:$F$12" noThreeD="1" sel="8" val="0"/>
</file>

<file path=xl/ctrlProps/ctrlProp78.xml><?xml version="1.0" encoding="utf-8"?>
<formControlPr xmlns="http://schemas.microsoft.com/office/spreadsheetml/2009/9/main" objectType="Drop" dropStyle="combo" dx="16" fmlaLink="C949" fmlaRange="'WORKINGS MATRIX'!$F$5:$F$12" noThreeD="1" sel="8" val="0"/>
</file>

<file path=xl/ctrlProps/ctrlProp79.xml><?xml version="1.0" encoding="utf-8"?>
<formControlPr xmlns="http://schemas.microsoft.com/office/spreadsheetml/2009/9/main" objectType="Drop" dropLines="13" dropStyle="combo" dx="16" fmlaLink="F1047" fmlaRange="SETUP!$L$10:$L$22" noThreeD="1" sel="1" val="0"/>
</file>

<file path=xl/ctrlProps/ctrlProp80.xml><?xml version="1.0" encoding="utf-8"?>
<formControlPr xmlns="http://schemas.microsoft.com/office/spreadsheetml/2009/9/main" objectType="Drop" dropLines="13" dropStyle="combo" dx="16" fmlaLink="F1048" fmlaRange="SETUP!$L$10:$L$22" noThreeD="1" sel="1" val="0"/>
</file>

<file path=xl/ctrlProps/ctrlProp81.xml><?xml version="1.0" encoding="utf-8"?>
<formControlPr xmlns="http://schemas.microsoft.com/office/spreadsheetml/2009/9/main" objectType="Drop" dropLines="13" dropStyle="combo" dx="16" fmlaLink="F1049" fmlaRange="SETUP!$L$10:$L$22" noThreeD="1" sel="1" val="0"/>
</file>

<file path=xl/ctrlProps/ctrlProp82.xml><?xml version="1.0" encoding="utf-8"?>
<formControlPr xmlns="http://schemas.microsoft.com/office/spreadsheetml/2009/9/main" objectType="Drop" dropLines="13" dropStyle="combo" dx="16" fmlaLink="K1048" fmlaRange="'WORKINGS MATRIX'!$C$80:$C$102" noThreeD="1" sel="23" val="10"/>
</file>

<file path=xl/ctrlProps/ctrlProp83.xml><?xml version="1.0" encoding="utf-8"?>
<formControlPr xmlns="http://schemas.microsoft.com/office/spreadsheetml/2009/9/main" objectType="Drop" dropLines="13" dropStyle="combo" dx="16" fmlaLink="K1049" fmlaRange="'WORKINGS MATRIX'!$C$80:$C$102" noThreeD="1" sel="23" val="10"/>
</file>

<file path=xl/ctrlProps/ctrlProp84.xml><?xml version="1.0" encoding="utf-8"?>
<formControlPr xmlns="http://schemas.microsoft.com/office/spreadsheetml/2009/9/main" objectType="Drop" dropLines="13" dropStyle="combo" dx="16" fmlaLink="K1047" fmlaRange="'WORKINGS MATRIX'!$C$80:$C$102" noThreeD="1" sel="23" val="10"/>
</file>

<file path=xl/ctrlProps/ctrlProp85.xml><?xml version="1.0" encoding="utf-8"?>
<formControlPr xmlns="http://schemas.microsoft.com/office/spreadsheetml/2009/9/main" objectType="Drop" dropStyle="combo" dx="16" fmlaLink="C1047" fmlaRange="'WORKINGS MATRIX'!$F$5:$F$12" noThreeD="1" sel="8" val="0"/>
</file>

<file path=xl/ctrlProps/ctrlProp86.xml><?xml version="1.0" encoding="utf-8"?>
<formControlPr xmlns="http://schemas.microsoft.com/office/spreadsheetml/2009/9/main" objectType="Drop" dropStyle="combo" dx="16" fmlaLink="C1048" fmlaRange="'WORKINGS MATRIX'!$F$5:$F$12" noThreeD="1" sel="8" val="0"/>
</file>

<file path=xl/ctrlProps/ctrlProp87.xml><?xml version="1.0" encoding="utf-8"?>
<formControlPr xmlns="http://schemas.microsoft.com/office/spreadsheetml/2009/9/main" objectType="Drop" dropStyle="combo" dx="16" fmlaLink="C1049" fmlaRange="'WORKINGS MATRIX'!$F$5:$F$12" noThreeD="1" sel="8" val="0"/>
</file>

<file path=xl/ctrlProps/ctrlProp88.xml><?xml version="1.0" encoding="utf-8"?>
<formControlPr xmlns="http://schemas.microsoft.com/office/spreadsheetml/2009/9/main" objectType="Drop" dropLines="13" dropStyle="combo" dx="16" fmlaLink="F1147" fmlaRange="SETUP!$M$10:$M$22" noThreeD="1" sel="1" val="0"/>
</file>

<file path=xl/ctrlProps/ctrlProp89.xml><?xml version="1.0" encoding="utf-8"?>
<formControlPr xmlns="http://schemas.microsoft.com/office/spreadsheetml/2009/9/main" objectType="Drop" dropLines="13" dropStyle="combo" dx="16" fmlaLink="F1148" fmlaRange="SETUP!$M$10:$M$22" noThreeD="1" sel="1" val="0"/>
</file>

<file path=xl/ctrlProps/ctrlProp90.xml><?xml version="1.0" encoding="utf-8"?>
<formControlPr xmlns="http://schemas.microsoft.com/office/spreadsheetml/2009/9/main" objectType="Drop" dropLines="13" dropStyle="combo" dx="16" fmlaLink="F1149" fmlaRange="SETUP!$M$10:$M$22" noThreeD="1" sel="1" val="0"/>
</file>

<file path=xl/ctrlProps/ctrlProp91.xml><?xml version="1.0" encoding="utf-8"?>
<formControlPr xmlns="http://schemas.microsoft.com/office/spreadsheetml/2009/9/main" objectType="Drop" dropLines="13" dropStyle="combo" dx="16" fmlaLink="K1148" fmlaRange="'WORKINGS MATRIX'!$C$80:$C$102" noThreeD="1" sel="23" val="10"/>
</file>

<file path=xl/ctrlProps/ctrlProp92.xml><?xml version="1.0" encoding="utf-8"?>
<formControlPr xmlns="http://schemas.microsoft.com/office/spreadsheetml/2009/9/main" objectType="Drop" dropLines="13" dropStyle="combo" dx="16" fmlaLink="K1149" fmlaRange="'WORKINGS MATRIX'!$C$80:$C$102" noThreeD="1" sel="23" val="10"/>
</file>

<file path=xl/ctrlProps/ctrlProp93.xml><?xml version="1.0" encoding="utf-8"?>
<formControlPr xmlns="http://schemas.microsoft.com/office/spreadsheetml/2009/9/main" objectType="Drop" dropLines="13" dropStyle="combo" dx="16" fmlaLink="K1147" fmlaRange="'WORKINGS MATRIX'!$C$80:$C$102" noThreeD="1" sel="23" val="10"/>
</file>

<file path=xl/ctrlProps/ctrlProp94.xml><?xml version="1.0" encoding="utf-8"?>
<formControlPr xmlns="http://schemas.microsoft.com/office/spreadsheetml/2009/9/main" objectType="Drop" dropStyle="combo" dx="16" fmlaLink="C1147" fmlaRange="'WORKINGS MATRIX'!$F$5:$F$12" noThreeD="1" sel="8" val="0"/>
</file>

<file path=xl/ctrlProps/ctrlProp95.xml><?xml version="1.0" encoding="utf-8"?>
<formControlPr xmlns="http://schemas.microsoft.com/office/spreadsheetml/2009/9/main" objectType="Drop" dropStyle="combo" dx="16" fmlaLink="C1148" fmlaRange="'WORKINGS MATRIX'!$F$5:$F$12" noThreeD="1" sel="8" val="0"/>
</file>

<file path=xl/ctrlProps/ctrlProp96.xml><?xml version="1.0" encoding="utf-8"?>
<formControlPr xmlns="http://schemas.microsoft.com/office/spreadsheetml/2009/9/main" objectType="Drop" dropStyle="combo" dx="16" fmlaLink="C1149" fmlaRange="'WORKINGS MATRIX'!$F$5:$F$12" noThreeD="1" sel="8" val="0"/>
</file>

<file path=xl/ctrlProps/ctrlProp97.xml><?xml version="1.0" encoding="utf-8"?>
<formControlPr xmlns="http://schemas.microsoft.com/office/spreadsheetml/2009/9/main" objectType="Drop" dropLines="13" dropStyle="combo" dx="16" fmlaLink="F1247" fmlaRange="SETUP!$N$10:$N$22" noThreeD="1" sel="1" val="0"/>
</file>

<file path=xl/ctrlProps/ctrlProp98.xml><?xml version="1.0" encoding="utf-8"?>
<formControlPr xmlns="http://schemas.microsoft.com/office/spreadsheetml/2009/9/main" objectType="Drop" dropLines="13" dropStyle="combo" dx="16" fmlaLink="F1248" fmlaRange="SETUP!$N$10:$N$22" noThreeD="1" sel="1" val="0"/>
</file>

<file path=xl/ctrlProps/ctrlProp99.xml><?xml version="1.0" encoding="utf-8"?>
<formControlPr xmlns="http://schemas.microsoft.com/office/spreadsheetml/2009/9/main" objectType="Drop" dropLines="13" dropStyle="combo" dx="16" fmlaLink="F1249" fmlaRange="SETUP!$N$10:$N$22" noThreeD="1" sel="1" val="0"/>
</file>

<file path=xl/ctrlProps/ctrlProp100.xml><?xml version="1.0" encoding="utf-8"?>
<formControlPr xmlns="http://schemas.microsoft.com/office/spreadsheetml/2009/9/main" objectType="Drop" dropLines="13" dropStyle="combo" dx="16" fmlaLink="K1248" fmlaRange="'WORKINGS MATRIX'!$C$80:$C$102" noThreeD="1" sel="23" val="10"/>
</file>

<file path=xl/ctrlProps/ctrlProp101.xml><?xml version="1.0" encoding="utf-8"?>
<formControlPr xmlns="http://schemas.microsoft.com/office/spreadsheetml/2009/9/main" objectType="Drop" dropLines="13" dropStyle="combo" dx="16" fmlaLink="K1249" fmlaRange="'WORKINGS MATRIX'!$C$80:$C$102" noThreeD="1" sel="23" val="10"/>
</file>

<file path=xl/ctrlProps/ctrlProp102.xml><?xml version="1.0" encoding="utf-8"?>
<formControlPr xmlns="http://schemas.microsoft.com/office/spreadsheetml/2009/9/main" objectType="Drop" dropLines="13" dropStyle="combo" dx="16" fmlaLink="K1247" fmlaRange="'WORKINGS MATRIX'!$C$80:$C$102" noThreeD="1" sel="23" val="10"/>
</file>

<file path=xl/ctrlProps/ctrlProp103.xml><?xml version="1.0" encoding="utf-8"?>
<formControlPr xmlns="http://schemas.microsoft.com/office/spreadsheetml/2009/9/main" objectType="Drop" dropStyle="combo" dx="16" fmlaLink="C1247" fmlaRange="'WORKINGS MATRIX'!$F$5:$F$12" noThreeD="1" sel="8" val="0"/>
</file>

<file path=xl/ctrlProps/ctrlProp104.xml><?xml version="1.0" encoding="utf-8"?>
<formControlPr xmlns="http://schemas.microsoft.com/office/spreadsheetml/2009/9/main" objectType="Drop" dropStyle="combo" dx="16" fmlaLink="C1248" fmlaRange="'WORKINGS MATRIX'!$F$5:$F$12" noThreeD="1" sel="8" val="0"/>
</file>

<file path=xl/ctrlProps/ctrlProp105.xml><?xml version="1.0" encoding="utf-8"?>
<formControlPr xmlns="http://schemas.microsoft.com/office/spreadsheetml/2009/9/main" objectType="Drop" dropStyle="combo" dx="16" fmlaLink="C1249" fmlaRange="'WORKINGS MATRIX'!$F$5:$F$12" noThreeD="1" sel="8" val="0"/>
</file>

<file path=xl/ctrlProps/ctrlProp106.xml><?xml version="1.0" encoding="utf-8"?>
<formControlPr xmlns="http://schemas.microsoft.com/office/spreadsheetml/2009/9/main" objectType="Drop" dropLines="13" dropStyle="combo" dx="16" fmlaLink="F1347" fmlaRange="SETUP!$O$10:$O$22" noThreeD="1" sel="1" val="0"/>
</file>

<file path=xl/ctrlProps/ctrlProp107.xml><?xml version="1.0" encoding="utf-8"?>
<formControlPr xmlns="http://schemas.microsoft.com/office/spreadsheetml/2009/9/main" objectType="Drop" dropLines="13" dropStyle="combo" dx="16" fmlaLink="F1348" fmlaRange="SETUP!$O$10:$O$22" noThreeD="1" sel="1" val="0"/>
</file>

<file path=xl/ctrlProps/ctrlProp108.xml><?xml version="1.0" encoding="utf-8"?>
<formControlPr xmlns="http://schemas.microsoft.com/office/spreadsheetml/2009/9/main" objectType="Drop" dropLines="13" dropStyle="combo" dx="16" fmlaLink="F1349" fmlaRange="SETUP!$O$10:$O$22" noThreeD="1" sel="1" val="0"/>
</file>

<file path=xl/ctrlProps/ctrlProp109.xml><?xml version="1.0" encoding="utf-8"?>
<formControlPr xmlns="http://schemas.microsoft.com/office/spreadsheetml/2009/9/main" objectType="Drop" dropLines="13" dropStyle="combo" dx="16" fmlaLink="K1348" fmlaRange="'WORKINGS MATRIX'!$C$80:$C$102" noThreeD="1" sel="23" val="10"/>
</file>

<file path=xl/ctrlProps/ctrlProp110.xml><?xml version="1.0" encoding="utf-8"?>
<formControlPr xmlns="http://schemas.microsoft.com/office/spreadsheetml/2009/9/main" objectType="Drop" dropLines="13" dropStyle="combo" dx="16" fmlaLink="K1349" fmlaRange="'WORKINGS MATRIX'!$C$80:$C$102" noThreeD="1" sel="23" val="10"/>
</file>

<file path=xl/ctrlProps/ctrlProp111.xml><?xml version="1.0" encoding="utf-8"?>
<formControlPr xmlns="http://schemas.microsoft.com/office/spreadsheetml/2009/9/main" objectType="Drop" dropLines="13" dropStyle="combo" dx="16" fmlaLink="K1347" fmlaRange="'WORKINGS MATRIX'!$C$80:$C$102" noThreeD="1" sel="23" val="10"/>
</file>

<file path=xl/ctrlProps/ctrlProp112.xml><?xml version="1.0" encoding="utf-8"?>
<formControlPr xmlns="http://schemas.microsoft.com/office/spreadsheetml/2009/9/main" objectType="Drop" dropStyle="combo" dx="16" fmlaLink="C1347" fmlaRange="'WORKINGS MATRIX'!$F$5:$F$12" noThreeD="1" sel="8" val="0"/>
</file>

<file path=xl/ctrlProps/ctrlProp113.xml><?xml version="1.0" encoding="utf-8"?>
<formControlPr xmlns="http://schemas.microsoft.com/office/spreadsheetml/2009/9/main" objectType="Drop" dropStyle="combo" dx="16" fmlaLink="C1348" fmlaRange="'WORKINGS MATRIX'!$F$5:$F$12" noThreeD="1" sel="8" val="0"/>
</file>

<file path=xl/ctrlProps/ctrlProp114.xml><?xml version="1.0" encoding="utf-8"?>
<formControlPr xmlns="http://schemas.microsoft.com/office/spreadsheetml/2009/9/main" objectType="Drop" dropStyle="combo" dx="16" fmlaLink="C1349" fmlaRange="'WORKINGS MATRIX'!$F$5:$F$12" noThreeD="1" sel="8" val="0"/>
</file>

<file path=xl/ctrlProps/ctrlProp115.xml><?xml version="1.0" encoding="utf-8"?>
<formControlPr xmlns="http://schemas.microsoft.com/office/spreadsheetml/2009/9/main" objectType="Drop" dropLines="13" dropStyle="combo" dx="16" fmlaLink="F1447" fmlaRange="SETUP!$P$10:$P$22" noThreeD="1" sel="1" val="0"/>
</file>

<file path=xl/ctrlProps/ctrlProp116.xml><?xml version="1.0" encoding="utf-8"?>
<formControlPr xmlns="http://schemas.microsoft.com/office/spreadsheetml/2009/9/main" objectType="Drop" dropLines="13" dropStyle="combo" dx="16" fmlaLink="F1448" fmlaRange="SETUP!$P$10:$P$22" noThreeD="1" sel="1" val="0"/>
</file>

<file path=xl/ctrlProps/ctrlProp117.xml><?xml version="1.0" encoding="utf-8"?>
<formControlPr xmlns="http://schemas.microsoft.com/office/spreadsheetml/2009/9/main" objectType="Drop" dropLines="13" dropStyle="combo" dx="16" fmlaLink="F1449" fmlaRange="SETUP!$P$10:$P$22" noThreeD="1" sel="1" val="0"/>
</file>

<file path=xl/ctrlProps/ctrlProp118.xml><?xml version="1.0" encoding="utf-8"?>
<formControlPr xmlns="http://schemas.microsoft.com/office/spreadsheetml/2009/9/main" objectType="Drop" dropLines="13" dropStyle="combo" dx="16" fmlaLink="K1448" fmlaRange="'WORKINGS MATRIX'!$C$80:$C$102" noThreeD="1" sel="23" val="10"/>
</file>

<file path=xl/ctrlProps/ctrlProp119.xml><?xml version="1.0" encoding="utf-8"?>
<formControlPr xmlns="http://schemas.microsoft.com/office/spreadsheetml/2009/9/main" objectType="Drop" dropLines="13" dropStyle="combo" dx="16" fmlaLink="K1449" fmlaRange="'WORKINGS MATRIX'!$C$80:$C$102" noThreeD="1" sel="23" val="10"/>
</file>

<file path=xl/ctrlProps/ctrlProp120.xml><?xml version="1.0" encoding="utf-8"?>
<formControlPr xmlns="http://schemas.microsoft.com/office/spreadsheetml/2009/9/main" objectType="Drop" dropLines="13" dropStyle="combo" dx="16" fmlaLink="K1447" fmlaRange="'WORKINGS MATRIX'!$C$80:$C$102" noThreeD="1" sel="23" val="10"/>
</file>

<file path=xl/ctrlProps/ctrlProp121.xml><?xml version="1.0" encoding="utf-8"?>
<formControlPr xmlns="http://schemas.microsoft.com/office/spreadsheetml/2009/9/main" objectType="Drop" dropStyle="combo" dx="16" fmlaLink="C1447" fmlaRange="'WORKINGS MATRIX'!$F$5:$F$12" noThreeD="1" sel="8" val="0"/>
</file>

<file path=xl/ctrlProps/ctrlProp122.xml><?xml version="1.0" encoding="utf-8"?>
<formControlPr xmlns="http://schemas.microsoft.com/office/spreadsheetml/2009/9/main" objectType="Drop" dropStyle="combo" dx="16" fmlaLink="C1448" fmlaRange="'WORKINGS MATRIX'!$F$5:$F$12" noThreeD="1" sel="8" val="0"/>
</file>

<file path=xl/ctrlProps/ctrlProp123.xml><?xml version="1.0" encoding="utf-8"?>
<formControlPr xmlns="http://schemas.microsoft.com/office/spreadsheetml/2009/9/main" objectType="Drop" dropStyle="combo" dx="16" fmlaLink="C1449" fmlaRange="'WORKINGS MATRIX'!$F$5:$F$12" noThreeD="1" sel="8" val="0"/>
</file>

<file path=xl/ctrlProps/ctrlProp124.xml><?xml version="1.0" encoding="utf-8"?>
<formControlPr xmlns="http://schemas.microsoft.com/office/spreadsheetml/2009/9/main" objectType="Drop" dropLines="10" dropStyle="combo" dx="16" fmlaLink="D76" fmlaRange="'WORKINGS MATRIX'!$O$41:$O$50" noThreeD="1" sel="10" val="0"/>
</file>

<file path=xl/ctrlProps/ctrlProp125.xml><?xml version="1.0" encoding="utf-8"?>
<formControlPr xmlns="http://schemas.microsoft.com/office/spreadsheetml/2009/9/main" objectType="Drop" dropLines="10" dropStyle="combo" dx="16" fmlaLink="D176" fmlaRange="'WORKINGS MATRIX'!$O$41:$O$50" noThreeD="1" sel="10" val="0"/>
</file>

<file path=xl/ctrlProps/ctrlProp126.xml><?xml version="1.0" encoding="utf-8"?>
<formControlPr xmlns="http://schemas.microsoft.com/office/spreadsheetml/2009/9/main" objectType="Drop" dropLines="10" dropStyle="combo" dx="16" fmlaLink="D276" fmlaRange="'WORKINGS MATRIX'!$O$41:$O$50" noThreeD="1" sel="10" val="0"/>
</file>

<file path=xl/ctrlProps/ctrlProp127.xml><?xml version="1.0" encoding="utf-8"?>
<formControlPr xmlns="http://schemas.microsoft.com/office/spreadsheetml/2009/9/main" objectType="Drop" dropLines="10" dropStyle="combo" dx="16" fmlaLink="D476" fmlaRange="'WORKINGS MATRIX'!$O$41:$O$50" noThreeD="1" sel="10" val="0"/>
</file>

<file path=xl/ctrlProps/ctrlProp128.xml><?xml version="1.0" encoding="utf-8"?>
<formControlPr xmlns="http://schemas.microsoft.com/office/spreadsheetml/2009/9/main" objectType="Drop" dropLines="10" dropStyle="combo" dx="16" fmlaLink="D576" fmlaRange="'WORKINGS MATRIX'!$O$41:$O$50" noThreeD="1" sel="10" val="0"/>
</file>

<file path=xl/ctrlProps/ctrlProp129.xml><?xml version="1.0" encoding="utf-8"?>
<formControlPr xmlns="http://schemas.microsoft.com/office/spreadsheetml/2009/9/main" objectType="Drop" dropLines="10" dropStyle="combo" dx="16" fmlaLink="D676" fmlaRange="'WORKINGS MATRIX'!$O$41:$O$50" noThreeD="1" sel="10" val="0"/>
</file>

<file path=xl/ctrlProps/ctrlProp130.xml><?xml version="1.0" encoding="utf-8"?>
<formControlPr xmlns="http://schemas.microsoft.com/office/spreadsheetml/2009/9/main" objectType="Drop" dropLines="10" dropStyle="combo" dx="16" fmlaLink="D776" fmlaRange="'WORKINGS MATRIX'!$O$41:$O$50" noThreeD="1" sel="10" val="0"/>
</file>

<file path=xl/ctrlProps/ctrlProp131.xml><?xml version="1.0" encoding="utf-8"?>
<formControlPr xmlns="http://schemas.microsoft.com/office/spreadsheetml/2009/9/main" objectType="Drop" dropLines="10" dropStyle="combo" dx="16" fmlaLink="D876" fmlaRange="'WORKINGS MATRIX'!$O$41:$O$50" noThreeD="1" sel="10" val="0"/>
</file>

<file path=xl/ctrlProps/ctrlProp132.xml><?xml version="1.0" encoding="utf-8"?>
<formControlPr xmlns="http://schemas.microsoft.com/office/spreadsheetml/2009/9/main" objectType="Drop" dropLines="10" dropStyle="combo" dx="16" fmlaLink="D976" fmlaRange="'WORKINGS MATRIX'!$O$41:$O$50" noThreeD="1" sel="10" val="0"/>
</file>

<file path=xl/ctrlProps/ctrlProp133.xml><?xml version="1.0" encoding="utf-8"?>
<formControlPr xmlns="http://schemas.microsoft.com/office/spreadsheetml/2009/9/main" objectType="Drop" dropLines="10" dropStyle="combo" dx="16" fmlaLink="D1076" fmlaRange="'WORKINGS MATRIX'!$O$41:$O$50" noThreeD="1" sel="10" val="0"/>
</file>

<file path=xl/ctrlProps/ctrlProp134.xml><?xml version="1.0" encoding="utf-8"?>
<formControlPr xmlns="http://schemas.microsoft.com/office/spreadsheetml/2009/9/main" objectType="Drop" dropLines="10" dropStyle="combo" dx="16" fmlaLink="D1176" fmlaRange="'WORKINGS MATRIX'!$O$41:$O$50" noThreeD="1" sel="10" val="0"/>
</file>

<file path=xl/ctrlProps/ctrlProp135.xml><?xml version="1.0" encoding="utf-8"?>
<formControlPr xmlns="http://schemas.microsoft.com/office/spreadsheetml/2009/9/main" objectType="Drop" dropLines="10" dropStyle="combo" dx="16" fmlaLink="D1276" fmlaRange="'WORKINGS MATRIX'!$O$41:$O$50" noThreeD="1" sel="10" val="0"/>
</file>

<file path=xl/ctrlProps/ctrlProp136.xml><?xml version="1.0" encoding="utf-8"?>
<formControlPr xmlns="http://schemas.microsoft.com/office/spreadsheetml/2009/9/main" objectType="Drop" dropLines="10" dropStyle="combo" dx="16" fmlaLink="D1376" fmlaRange="'WORKINGS MATRIX'!$O$41:$O$50" noThreeD="1" sel="10" val="0"/>
</file>

<file path=xl/ctrlProps/ctrlProp137.xml><?xml version="1.0" encoding="utf-8"?>
<formControlPr xmlns="http://schemas.microsoft.com/office/spreadsheetml/2009/9/main" objectType="Drop" dropLines="10" dropStyle="combo" dx="16" fmlaLink="D1476" fmlaRange="'WORKINGS MATRIX'!$O$41:$O$50" noThreeD="1" sel="10" val="0"/>
</file>

<file path=xl/ctrlProps/ctrlProp138.xml><?xml version="1.0" encoding="utf-8"?>
<formControlPr xmlns="http://schemas.microsoft.com/office/spreadsheetml/2009/9/main" objectType="Drop" dropLines="13" dropStyle="combo" dx="16" fmlaLink="F1547" fmlaRange="SETUP!$Q$10:$Q$22" noThreeD="1" sel="1" val="0"/>
</file>

<file path=xl/ctrlProps/ctrlProp139.xml><?xml version="1.0" encoding="utf-8"?>
<formControlPr xmlns="http://schemas.microsoft.com/office/spreadsheetml/2009/9/main" objectType="Drop" dropLines="13" dropStyle="combo" dx="16" fmlaLink="F1548" fmlaRange="SETUP!$Q$10:$Q$22" noThreeD="1" sel="1" val="0"/>
</file>

<file path=xl/ctrlProps/ctrlProp140.xml><?xml version="1.0" encoding="utf-8"?>
<formControlPr xmlns="http://schemas.microsoft.com/office/spreadsheetml/2009/9/main" objectType="Drop" dropLines="13" dropStyle="combo" dx="16" fmlaLink="F1549" fmlaRange="SETUP!$Q$10:$Q$22" noThreeD="1" sel="1" val="0"/>
</file>

<file path=xl/ctrlProps/ctrlProp141.xml><?xml version="1.0" encoding="utf-8"?>
<formControlPr xmlns="http://schemas.microsoft.com/office/spreadsheetml/2009/9/main" objectType="Drop" dropLines="13" dropStyle="combo" dx="16" fmlaLink="K1548" fmlaRange="'WORKINGS MATRIX'!$C$80:$C$102" noThreeD="1" sel="23" val="10"/>
</file>

<file path=xl/ctrlProps/ctrlProp142.xml><?xml version="1.0" encoding="utf-8"?>
<formControlPr xmlns="http://schemas.microsoft.com/office/spreadsheetml/2009/9/main" objectType="Drop" dropLines="13" dropStyle="combo" dx="16" fmlaLink="K1549" fmlaRange="'WORKINGS MATRIX'!$C$80:$C$102" noThreeD="1" sel="23" val="10"/>
</file>

<file path=xl/ctrlProps/ctrlProp143.xml><?xml version="1.0" encoding="utf-8"?>
<formControlPr xmlns="http://schemas.microsoft.com/office/spreadsheetml/2009/9/main" objectType="Drop" dropLines="13" dropStyle="combo" dx="16" fmlaLink="K1547" fmlaRange="'WORKINGS MATRIX'!$C$80:$C$102" noThreeD="1" sel="23" val="10"/>
</file>

<file path=xl/ctrlProps/ctrlProp144.xml><?xml version="1.0" encoding="utf-8"?>
<formControlPr xmlns="http://schemas.microsoft.com/office/spreadsheetml/2009/9/main" objectType="Drop" dropStyle="combo" dx="16" fmlaLink="C1547" fmlaRange="'WORKINGS MATRIX'!$F$5:$F$12" noThreeD="1" sel="8" val="0"/>
</file>

<file path=xl/ctrlProps/ctrlProp145.xml><?xml version="1.0" encoding="utf-8"?>
<formControlPr xmlns="http://schemas.microsoft.com/office/spreadsheetml/2009/9/main" objectType="Drop" dropStyle="combo" dx="16" fmlaLink="C1548" fmlaRange="'WORKINGS MATRIX'!$F$5:$F$12" noThreeD="1" sel="8" val="0"/>
</file>

<file path=xl/ctrlProps/ctrlProp146.xml><?xml version="1.0" encoding="utf-8"?>
<formControlPr xmlns="http://schemas.microsoft.com/office/spreadsheetml/2009/9/main" objectType="Drop" dropStyle="combo" dx="16" fmlaLink="C1549" fmlaRange="'WORKINGS MATRIX'!$F$5:$F$12" noThreeD="1" sel="8" val="0"/>
</file>

<file path=xl/ctrlProps/ctrlProp147.xml><?xml version="1.0" encoding="utf-8"?>
<formControlPr xmlns="http://schemas.microsoft.com/office/spreadsheetml/2009/9/main" objectType="Drop" dropLines="10" dropStyle="combo" dx="16" fmlaLink="D1576" fmlaRange="'WORKINGS MATRIX'!$O$41:$O$50" noThreeD="1" sel="10" val="0"/>
</file>

<file path=xl/ctrlProps/ctrlProp148.xml><?xml version="1.0" encoding="utf-8"?>
<formControlPr xmlns="http://schemas.microsoft.com/office/spreadsheetml/2009/9/main" objectType="Drop" dropLines="13" dropStyle="combo" dx="16" fmlaLink="F1647" fmlaRange="SETUP!$R$10:$R$22" noThreeD="1" sel="1" val="0"/>
</file>

<file path=xl/ctrlProps/ctrlProp149.xml><?xml version="1.0" encoding="utf-8"?>
<formControlPr xmlns="http://schemas.microsoft.com/office/spreadsheetml/2009/9/main" objectType="Drop" dropLines="13" dropStyle="combo" dx="16" fmlaLink="F1648" fmlaRange="SETUP!$R$10:$R$22" noThreeD="1" sel="1" val="0"/>
</file>

<file path=xl/ctrlProps/ctrlProp150.xml><?xml version="1.0" encoding="utf-8"?>
<formControlPr xmlns="http://schemas.microsoft.com/office/spreadsheetml/2009/9/main" objectType="Drop" dropLines="13" dropStyle="combo" dx="16" fmlaLink="F1649" fmlaRange="SETUP!$R$10:$R$22" noThreeD="1" sel="1" val="0"/>
</file>

<file path=xl/ctrlProps/ctrlProp151.xml><?xml version="1.0" encoding="utf-8"?>
<formControlPr xmlns="http://schemas.microsoft.com/office/spreadsheetml/2009/9/main" objectType="Drop" dropLines="13" dropStyle="combo" dx="16" fmlaLink="K1648" fmlaRange="'WORKINGS MATRIX'!$C$80:$C$102" noThreeD="1" sel="23" val="10"/>
</file>

<file path=xl/ctrlProps/ctrlProp152.xml><?xml version="1.0" encoding="utf-8"?>
<formControlPr xmlns="http://schemas.microsoft.com/office/spreadsheetml/2009/9/main" objectType="Drop" dropLines="13" dropStyle="combo" dx="16" fmlaLink="K1649" fmlaRange="'WORKINGS MATRIX'!$C$80:$C$102" noThreeD="1" sel="23" val="10"/>
</file>

<file path=xl/ctrlProps/ctrlProp153.xml><?xml version="1.0" encoding="utf-8"?>
<formControlPr xmlns="http://schemas.microsoft.com/office/spreadsheetml/2009/9/main" objectType="Drop" dropLines="13" dropStyle="combo" dx="16" fmlaLink="K1647" fmlaRange="'WORKINGS MATRIX'!$C$80:$C$102" noThreeD="1" sel="23" val="10"/>
</file>

<file path=xl/ctrlProps/ctrlProp154.xml><?xml version="1.0" encoding="utf-8"?>
<formControlPr xmlns="http://schemas.microsoft.com/office/spreadsheetml/2009/9/main" objectType="Drop" dropStyle="combo" dx="16" fmlaLink="C1647" fmlaRange="'WORKINGS MATRIX'!$F$5:$F$12" noThreeD="1" sel="8" val="0"/>
</file>

<file path=xl/ctrlProps/ctrlProp155.xml><?xml version="1.0" encoding="utf-8"?>
<formControlPr xmlns="http://schemas.microsoft.com/office/spreadsheetml/2009/9/main" objectType="Drop" dropStyle="combo" dx="16" fmlaLink="C1648" fmlaRange="'WORKINGS MATRIX'!$F$5:$F$12" noThreeD="1" sel="8" val="0"/>
</file>

<file path=xl/ctrlProps/ctrlProp156.xml><?xml version="1.0" encoding="utf-8"?>
<formControlPr xmlns="http://schemas.microsoft.com/office/spreadsheetml/2009/9/main" objectType="Drop" dropStyle="combo" dx="16" fmlaLink="C1649" fmlaRange="'WORKINGS MATRIX'!$F$5:$F$12" noThreeD="1" sel="8" val="0"/>
</file>

<file path=xl/ctrlProps/ctrlProp157.xml><?xml version="1.0" encoding="utf-8"?>
<formControlPr xmlns="http://schemas.microsoft.com/office/spreadsheetml/2009/9/main" objectType="Drop" dropLines="10" dropStyle="combo" dx="16" fmlaLink="D1676" fmlaRange="'WORKINGS MATRIX'!$O$41:$O$50" noThreeD="1" sel="10" val="0"/>
</file>

<file path=xl/ctrlProps/ctrlProp158.xml><?xml version="1.0" encoding="utf-8"?>
<formControlPr xmlns="http://schemas.microsoft.com/office/spreadsheetml/2009/9/main" objectType="Drop" dropLines="13" dropStyle="combo" dx="16" fmlaLink="F1747" fmlaRange="SETUP!$S$10:$S$22" noThreeD="1" sel="1" val="0"/>
</file>

<file path=xl/ctrlProps/ctrlProp159.xml><?xml version="1.0" encoding="utf-8"?>
<formControlPr xmlns="http://schemas.microsoft.com/office/spreadsheetml/2009/9/main" objectType="Drop" dropLines="13" dropStyle="combo" dx="16" fmlaLink="F1748" fmlaRange="SETUP!$S$10:$S$22" noThreeD="1" sel="1" val="0"/>
</file>

<file path=xl/ctrlProps/ctrlProp160.xml><?xml version="1.0" encoding="utf-8"?>
<formControlPr xmlns="http://schemas.microsoft.com/office/spreadsheetml/2009/9/main" objectType="Drop" dropLines="13" dropStyle="combo" dx="16" fmlaLink="F1749" fmlaRange="SETUP!$S$10:$S$22" noThreeD="1" sel="1" val="0"/>
</file>

<file path=xl/ctrlProps/ctrlProp161.xml><?xml version="1.0" encoding="utf-8"?>
<formControlPr xmlns="http://schemas.microsoft.com/office/spreadsheetml/2009/9/main" objectType="Drop" dropLines="13" dropStyle="combo" dx="16" fmlaLink="K1748" fmlaRange="'WORKINGS MATRIX'!$C$80:$C$102" noThreeD="1" sel="23" val="10"/>
</file>

<file path=xl/ctrlProps/ctrlProp162.xml><?xml version="1.0" encoding="utf-8"?>
<formControlPr xmlns="http://schemas.microsoft.com/office/spreadsheetml/2009/9/main" objectType="Drop" dropLines="13" dropStyle="combo" dx="16" fmlaLink="K1749" fmlaRange="'WORKINGS MATRIX'!$C$80:$C$102" noThreeD="1" sel="23" val="10"/>
</file>

<file path=xl/ctrlProps/ctrlProp163.xml><?xml version="1.0" encoding="utf-8"?>
<formControlPr xmlns="http://schemas.microsoft.com/office/spreadsheetml/2009/9/main" objectType="Drop" dropLines="13" dropStyle="combo" dx="16" fmlaLink="K1747" fmlaRange="'WORKINGS MATRIX'!$C$80:$C$102" noThreeD="1" sel="23" val="10"/>
</file>

<file path=xl/ctrlProps/ctrlProp164.xml><?xml version="1.0" encoding="utf-8"?>
<formControlPr xmlns="http://schemas.microsoft.com/office/spreadsheetml/2009/9/main" objectType="Drop" dropStyle="combo" dx="16" fmlaLink="C1747" fmlaRange="'WORKINGS MATRIX'!$F$5:$F$12" noThreeD="1" sel="8" val="0"/>
</file>

<file path=xl/ctrlProps/ctrlProp165.xml><?xml version="1.0" encoding="utf-8"?>
<formControlPr xmlns="http://schemas.microsoft.com/office/spreadsheetml/2009/9/main" objectType="Drop" dropStyle="combo" dx="16" fmlaLink="C1748" fmlaRange="'WORKINGS MATRIX'!$F$5:$F$12" noThreeD="1" sel="8" val="0"/>
</file>

<file path=xl/ctrlProps/ctrlProp166.xml><?xml version="1.0" encoding="utf-8"?>
<formControlPr xmlns="http://schemas.microsoft.com/office/spreadsheetml/2009/9/main" objectType="Drop" dropStyle="combo" dx="16" fmlaLink="C1749" fmlaRange="'WORKINGS MATRIX'!$F$5:$F$12" noThreeD="1" sel="8" val="0"/>
</file>

<file path=xl/ctrlProps/ctrlProp167.xml><?xml version="1.0" encoding="utf-8"?>
<formControlPr xmlns="http://schemas.microsoft.com/office/spreadsheetml/2009/9/main" objectType="Drop" dropLines="10" dropStyle="combo" dx="16" fmlaLink="D1776" fmlaRange="'WORKINGS MATRIX'!$O$41:$O$50" noThreeD="1" sel="10" val="0"/>
</file>

<file path=xl/ctrlProps/ctrlProp168.xml><?xml version="1.0" encoding="utf-8"?>
<formControlPr xmlns="http://schemas.microsoft.com/office/spreadsheetml/2009/9/main" objectType="Drop" dropLines="13" dropStyle="combo" dx="16" fmlaLink="F1847" fmlaRange="SETUP!$T$10:$T$22" noThreeD="1" sel="1" val="0"/>
</file>

<file path=xl/ctrlProps/ctrlProp169.xml><?xml version="1.0" encoding="utf-8"?>
<formControlPr xmlns="http://schemas.microsoft.com/office/spreadsheetml/2009/9/main" objectType="Drop" dropLines="13" dropStyle="combo" dx="16" fmlaLink="F1848" fmlaRange="SETUP!$T$10:$T$22" noThreeD="1" sel="1" val="0"/>
</file>

<file path=xl/ctrlProps/ctrlProp170.xml><?xml version="1.0" encoding="utf-8"?>
<formControlPr xmlns="http://schemas.microsoft.com/office/spreadsheetml/2009/9/main" objectType="Drop" dropLines="13" dropStyle="combo" dx="16" fmlaLink="F1849" fmlaRange="SETUP!$T$10:$T$22" noThreeD="1" sel="1" val="0"/>
</file>

<file path=xl/ctrlProps/ctrlProp171.xml><?xml version="1.0" encoding="utf-8"?>
<formControlPr xmlns="http://schemas.microsoft.com/office/spreadsheetml/2009/9/main" objectType="Drop" dropLines="13" dropStyle="combo" dx="16" fmlaLink="K1848" fmlaRange="'WORKINGS MATRIX'!$C$80:$C$102" noThreeD="1" sel="23" val="10"/>
</file>

<file path=xl/ctrlProps/ctrlProp172.xml><?xml version="1.0" encoding="utf-8"?>
<formControlPr xmlns="http://schemas.microsoft.com/office/spreadsheetml/2009/9/main" objectType="Drop" dropLines="13" dropStyle="combo" dx="16" fmlaLink="K1849" fmlaRange="'WORKINGS MATRIX'!$C$80:$C$102" noThreeD="1" sel="23" val="10"/>
</file>

<file path=xl/ctrlProps/ctrlProp173.xml><?xml version="1.0" encoding="utf-8"?>
<formControlPr xmlns="http://schemas.microsoft.com/office/spreadsheetml/2009/9/main" objectType="Drop" dropLines="13" dropStyle="combo" dx="16" fmlaLink="K1847" fmlaRange="'WORKINGS MATRIX'!$C$80:$C$102" noThreeD="1" sel="23" val="10"/>
</file>

<file path=xl/ctrlProps/ctrlProp174.xml><?xml version="1.0" encoding="utf-8"?>
<formControlPr xmlns="http://schemas.microsoft.com/office/spreadsheetml/2009/9/main" objectType="Drop" dropStyle="combo" dx="16" fmlaLink="C1847" fmlaRange="'WORKINGS MATRIX'!$F$5:$F$12" noThreeD="1" sel="8" val="0"/>
</file>

<file path=xl/ctrlProps/ctrlProp175.xml><?xml version="1.0" encoding="utf-8"?>
<formControlPr xmlns="http://schemas.microsoft.com/office/spreadsheetml/2009/9/main" objectType="Drop" dropStyle="combo" dx="16" fmlaLink="C1848" fmlaRange="'WORKINGS MATRIX'!$F$5:$F$12" noThreeD="1" sel="8" val="0"/>
</file>

<file path=xl/ctrlProps/ctrlProp176.xml><?xml version="1.0" encoding="utf-8"?>
<formControlPr xmlns="http://schemas.microsoft.com/office/spreadsheetml/2009/9/main" objectType="Drop" dropStyle="combo" dx="16" fmlaLink="C1849" fmlaRange="'WORKINGS MATRIX'!$F$5:$F$12" noThreeD="1" sel="8" val="0"/>
</file>

<file path=xl/ctrlProps/ctrlProp177.xml><?xml version="1.0" encoding="utf-8"?>
<formControlPr xmlns="http://schemas.microsoft.com/office/spreadsheetml/2009/9/main" objectType="Drop" dropLines="10" dropStyle="combo" dx="16" fmlaLink="D1876" fmlaRange="'WORKINGS MATRIX'!$O$41:$O$50" noThreeD="1" sel="10" val="0"/>
</file>

<file path=xl/ctrlProps/ctrlProp178.xml><?xml version="1.0" encoding="utf-8"?>
<formControlPr xmlns="http://schemas.microsoft.com/office/spreadsheetml/2009/9/main" objectType="Drop" dropLines="13" dropStyle="combo" dx="16" fmlaLink="F1947" fmlaRange="SETUP!$U$10:$U$22" noThreeD="1" sel="1" val="0"/>
</file>

<file path=xl/ctrlProps/ctrlProp179.xml><?xml version="1.0" encoding="utf-8"?>
<formControlPr xmlns="http://schemas.microsoft.com/office/spreadsheetml/2009/9/main" objectType="Drop" dropLines="13" dropStyle="combo" dx="16" fmlaLink="F1948" fmlaRange="SETUP!$U$10:$U$22" noThreeD="1" sel="1" val="0"/>
</file>

<file path=xl/ctrlProps/ctrlProp180.xml><?xml version="1.0" encoding="utf-8"?>
<formControlPr xmlns="http://schemas.microsoft.com/office/spreadsheetml/2009/9/main" objectType="Drop" dropLines="13" dropStyle="combo" dx="16" fmlaLink="F1949" fmlaRange="SETUP!$U$10:$U$22" noThreeD="1" sel="1" val="0"/>
</file>

<file path=xl/ctrlProps/ctrlProp181.xml><?xml version="1.0" encoding="utf-8"?>
<formControlPr xmlns="http://schemas.microsoft.com/office/spreadsheetml/2009/9/main" objectType="Drop" dropLines="13" dropStyle="combo" dx="16" fmlaLink="K1948" fmlaRange="'WORKINGS MATRIX'!$C$80:$C$102" noThreeD="1" sel="23" val="10"/>
</file>

<file path=xl/ctrlProps/ctrlProp182.xml><?xml version="1.0" encoding="utf-8"?>
<formControlPr xmlns="http://schemas.microsoft.com/office/spreadsheetml/2009/9/main" objectType="Drop" dropLines="13" dropStyle="combo" dx="16" fmlaLink="K1949" fmlaRange="'WORKINGS MATRIX'!$C$80:$C$102" noThreeD="1" sel="23" val="10"/>
</file>

<file path=xl/ctrlProps/ctrlProp183.xml><?xml version="1.0" encoding="utf-8"?>
<formControlPr xmlns="http://schemas.microsoft.com/office/spreadsheetml/2009/9/main" objectType="Drop" dropLines="13" dropStyle="combo" dx="16" fmlaLink="K1947" fmlaRange="'WORKINGS MATRIX'!$C$80:$C$102" noThreeD="1" sel="23" val="10"/>
</file>

<file path=xl/ctrlProps/ctrlProp184.xml><?xml version="1.0" encoding="utf-8"?>
<formControlPr xmlns="http://schemas.microsoft.com/office/spreadsheetml/2009/9/main" objectType="Drop" dropStyle="combo" dx="16" fmlaLink="C1947" fmlaRange="'WORKINGS MATRIX'!$F$5:$F$12" noThreeD="1" sel="8" val="0"/>
</file>

<file path=xl/ctrlProps/ctrlProp185.xml><?xml version="1.0" encoding="utf-8"?>
<formControlPr xmlns="http://schemas.microsoft.com/office/spreadsheetml/2009/9/main" objectType="Drop" dropStyle="combo" dx="16" fmlaLink="C1948" fmlaRange="'WORKINGS MATRIX'!$F$5:$F$12" noThreeD="1" sel="8" val="0"/>
</file>

<file path=xl/ctrlProps/ctrlProp186.xml><?xml version="1.0" encoding="utf-8"?>
<formControlPr xmlns="http://schemas.microsoft.com/office/spreadsheetml/2009/9/main" objectType="Drop" dropStyle="combo" dx="16" fmlaLink="C1949" fmlaRange="'WORKINGS MATRIX'!$F$5:$F$12" noThreeD="1" sel="8" val="0"/>
</file>

<file path=xl/ctrlProps/ctrlProp187.xml><?xml version="1.0" encoding="utf-8"?>
<formControlPr xmlns="http://schemas.microsoft.com/office/spreadsheetml/2009/9/main" objectType="Drop" dropLines="10" dropStyle="combo" dx="16" fmlaLink="D1976" fmlaRange="'WORKINGS MATRIX'!$O$41:$O$50" noThreeD="1" sel="10" val="0"/>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Drop" dropLines="20" dropStyle="combo" dx="16" fmlaLink="$P$75" fmlaRange="'WORKINGS MATRIX'!$C$200:$C$301" noThreeD="1" sel="1" val="0"/>
</file>

<file path=xl/ctrlProps/ctrlProp192.xml><?xml version="1.0" encoding="utf-8"?>
<formControlPr xmlns="http://schemas.microsoft.com/office/spreadsheetml/2009/9/main" objectType="Drop" dropLines="13" dropStyle="combo" dx="16" fmlaLink="$Q$75" fmlaRange="'WORKINGS MATRIX'!$D$200:$D$212" noThreeD="1" sel="1" val="0"/>
</file>

<file path=xl/ctrlProps/ctrlProp193.xml><?xml version="1.0" encoding="utf-8"?>
<formControlPr xmlns="http://schemas.microsoft.com/office/spreadsheetml/2009/9/main" objectType="Drop" dropLines="32" dropStyle="combo" dx="16" fmlaLink="$R$75" fmlaRange="'WORKINGS MATRIX'!$E$200:$E$231" noThreeD="1" sel="1" val="0"/>
</file>

<file path=xl/ctrlProps/ctrlProp194.xml><?xml version="1.0" encoding="utf-8"?>
<formControlPr xmlns="http://schemas.microsoft.com/office/spreadsheetml/2009/9/main" objectType="Drop" dropLines="20" dropStyle="combo" dx="16" fmlaLink="$P$76" fmlaRange="'WORKINGS MATRIX'!$C$200:$C$301" noThreeD="1" sel="1" val="0"/>
</file>

<file path=xl/ctrlProps/ctrlProp195.xml><?xml version="1.0" encoding="utf-8"?>
<formControlPr xmlns="http://schemas.microsoft.com/office/spreadsheetml/2009/9/main" objectType="Drop" dropLines="13" dropStyle="combo" dx="16" fmlaLink="$Q$76" fmlaRange="'WORKINGS MATRIX'!$D$200:$D$212" noThreeD="1" sel="1" val="0"/>
</file>

<file path=xl/ctrlProps/ctrlProp196.xml><?xml version="1.0" encoding="utf-8"?>
<formControlPr xmlns="http://schemas.microsoft.com/office/spreadsheetml/2009/9/main" objectType="Drop" dropLines="32" dropStyle="combo" dx="16" fmlaLink="$R$76" fmlaRange="'WORKINGS MATRIX'!$E$200:$E$231" noThreeD="1" sel="1" val="0"/>
</file>

<file path=xl/ctrlProps/ctrlProp197.xml><?xml version="1.0" encoding="utf-8"?>
<formControlPr xmlns="http://schemas.microsoft.com/office/spreadsheetml/2009/9/main" objectType="Drop" dropLines="20" dropStyle="combo" dx="16" fmlaLink="$P$77" fmlaRange="'WORKINGS MATRIX'!$C$200:$C$301" noThreeD="1" sel="1" val="0"/>
</file>

<file path=xl/ctrlProps/ctrlProp198.xml><?xml version="1.0" encoding="utf-8"?>
<formControlPr xmlns="http://schemas.microsoft.com/office/spreadsheetml/2009/9/main" objectType="Drop" dropLines="13" dropStyle="combo" dx="16" fmlaLink="$Q$77" fmlaRange="'WORKINGS MATRIX'!$D$200:$D$212" noThreeD="1" sel="1" val="0"/>
</file>

<file path=xl/ctrlProps/ctrlProp199.xml><?xml version="1.0" encoding="utf-8"?>
<formControlPr xmlns="http://schemas.microsoft.com/office/spreadsheetml/2009/9/main" objectType="Drop" dropLines="32" dropStyle="combo" dx="16" fmlaLink="$R$77" fmlaRange="'WORKINGS MATRIX'!$E$200:$E$231" noThreeD="1" sel="1" val="0"/>
</file>

<file path=xl/ctrlProps/ctrlProp200.xml><?xml version="1.0" encoding="utf-8"?>
<formControlPr xmlns="http://schemas.microsoft.com/office/spreadsheetml/2009/9/main" objectType="Drop" dropLines="20" dropStyle="combo" dx="16" fmlaLink="$P$78" fmlaRange="'WORKINGS MATRIX'!$C$200:$C$301" noThreeD="1" sel="1" val="0"/>
</file>

<file path=xl/ctrlProps/ctrlProp201.xml><?xml version="1.0" encoding="utf-8"?>
<formControlPr xmlns="http://schemas.microsoft.com/office/spreadsheetml/2009/9/main" objectType="Drop" dropLines="13" dropStyle="combo" dx="16" fmlaLink="$Q$78" fmlaRange="'WORKINGS MATRIX'!$D$200:$D$212" noThreeD="1" sel="1" val="0"/>
</file>

<file path=xl/ctrlProps/ctrlProp202.xml><?xml version="1.0" encoding="utf-8"?>
<formControlPr xmlns="http://schemas.microsoft.com/office/spreadsheetml/2009/9/main" objectType="Drop" dropLines="32" dropStyle="combo" dx="16" fmlaLink="$R$78" fmlaRange="'WORKINGS MATRIX'!$E$200:$E$231" noThreeD="1" sel="1" val="0"/>
</file>

<file path=xl/ctrlProps/ctrlProp203.xml><?xml version="1.0" encoding="utf-8"?>
<formControlPr xmlns="http://schemas.microsoft.com/office/spreadsheetml/2009/9/main" objectType="Drop" dropLines="20" dropStyle="combo" dx="16" fmlaLink="$P$152" fmlaRange="'WORKINGS MATRIX'!$C$200:$C$301" noThreeD="1" sel="1" val="100"/>
</file>

<file path=xl/ctrlProps/ctrlProp204.xml><?xml version="1.0" encoding="utf-8"?>
<formControlPr xmlns="http://schemas.microsoft.com/office/spreadsheetml/2009/9/main" objectType="Drop" dropLines="13" dropStyle="combo" dx="16" fmlaLink="$Q$152" fmlaRange="'WORKINGS MATRIX'!$D$200:$D$212" noThreeD="1" sel="1" val="0"/>
</file>

<file path=xl/ctrlProps/ctrlProp205.xml><?xml version="1.0" encoding="utf-8"?>
<formControlPr xmlns="http://schemas.microsoft.com/office/spreadsheetml/2009/9/main" objectType="Drop" dropLines="32" dropStyle="combo" dx="16" fmlaLink="$R$152" fmlaRange="'WORKINGS MATRIX'!$E$200:$E$231" noThreeD="1" sel="1" val="0"/>
</file>

<file path=xl/ctrlProps/ctrlProp206.xml><?xml version="1.0" encoding="utf-8"?>
<formControlPr xmlns="http://schemas.microsoft.com/office/spreadsheetml/2009/9/main" objectType="Drop" dropLines="20" dropStyle="combo" dx="16" fmlaLink="$P$153" fmlaRange="'WORKINGS MATRIX'!$C$200:$C$301" noThreeD="1" sel="1" val="0"/>
</file>

<file path=xl/ctrlProps/ctrlProp207.xml><?xml version="1.0" encoding="utf-8"?>
<formControlPr xmlns="http://schemas.microsoft.com/office/spreadsheetml/2009/9/main" objectType="Drop" dropLines="13" dropStyle="combo" dx="16" fmlaLink="$Q$153" fmlaRange="'WORKINGS MATRIX'!$D$200:$D$212" noThreeD="1" sel="1" val="0"/>
</file>

<file path=xl/ctrlProps/ctrlProp208.xml><?xml version="1.0" encoding="utf-8"?>
<formControlPr xmlns="http://schemas.microsoft.com/office/spreadsheetml/2009/9/main" objectType="Drop" dropLines="32" dropStyle="combo" dx="16" fmlaLink="$R$153" fmlaRange="'WORKINGS MATRIX'!$E$200:$E$231" noThreeD="1" sel="1" val="0"/>
</file>

<file path=xl/ctrlProps/ctrlProp209.xml><?xml version="1.0" encoding="utf-8"?>
<formControlPr xmlns="http://schemas.microsoft.com/office/spreadsheetml/2009/9/main" objectType="Drop" dropLines="20" dropStyle="combo" dx="16" fmlaLink="$P$154" fmlaRange="'WORKINGS MATRIX'!$C$200:$C$301" noThreeD="1" sel="1" val="0"/>
</file>

<file path=xl/ctrlProps/ctrlProp210.xml><?xml version="1.0" encoding="utf-8"?>
<formControlPr xmlns="http://schemas.microsoft.com/office/spreadsheetml/2009/9/main" objectType="Drop" dropLines="13" dropStyle="combo" dx="16" fmlaLink="$Q$154" fmlaRange="'WORKINGS MATRIX'!$D$200:$D$212" noThreeD="1" sel="1" val="0"/>
</file>

<file path=xl/ctrlProps/ctrlProp211.xml><?xml version="1.0" encoding="utf-8"?>
<formControlPr xmlns="http://schemas.microsoft.com/office/spreadsheetml/2009/9/main" objectType="Drop" dropLines="32" dropStyle="combo" dx="16" fmlaLink="$R$154" fmlaRange="'WORKINGS MATRIX'!$E$200:$E$231" noThreeD="1" sel="1" val="0"/>
</file>

<file path=xl/ctrlProps/ctrlProp212.xml><?xml version="1.0" encoding="utf-8"?>
<formControlPr xmlns="http://schemas.microsoft.com/office/spreadsheetml/2009/9/main" objectType="Drop" dropLines="20" dropStyle="combo" dx="16" fmlaLink="$P$177" fmlaRange="'WORKINGS MATRIX'!$C$200:$C$301" noThreeD="1" sel="1" val="0"/>
</file>

<file path=xl/ctrlProps/ctrlProp213.xml><?xml version="1.0" encoding="utf-8"?>
<formControlPr xmlns="http://schemas.microsoft.com/office/spreadsheetml/2009/9/main" objectType="Drop" dropLines="13" dropStyle="combo" dx="16" fmlaLink="$Q$177" fmlaRange="'WORKINGS MATRIX'!$D$200:$D$212" noThreeD="1" sel="1" val="0"/>
</file>

<file path=xl/ctrlProps/ctrlProp214.xml><?xml version="1.0" encoding="utf-8"?>
<formControlPr xmlns="http://schemas.microsoft.com/office/spreadsheetml/2009/9/main" objectType="Drop" dropLines="32" dropStyle="combo" dx="16" fmlaLink="$R$177" fmlaRange="'WORKINGS MATRIX'!$E$200:$E$231" noThreeD="1" sel="1" val="0"/>
</file>

<file path=xl/ctrlProps/ctrlProp215.xml><?xml version="1.0" encoding="utf-8"?>
<formControlPr xmlns="http://schemas.microsoft.com/office/spreadsheetml/2009/9/main" objectType="Drop" dropLines="20" dropStyle="combo" dx="16" fmlaLink="$P$178" fmlaRange="'WORKINGS MATRIX'!$C$200:$C$301" noThreeD="1" sel="1" val="0"/>
</file>

<file path=xl/ctrlProps/ctrlProp216.xml><?xml version="1.0" encoding="utf-8"?>
<formControlPr xmlns="http://schemas.microsoft.com/office/spreadsheetml/2009/9/main" objectType="Drop" dropLines="13" dropStyle="combo" dx="16" fmlaLink="$Q$178" fmlaRange="'WORKINGS MATRIX'!$D$200:$D$212" noThreeD="1" sel="1" val="0"/>
</file>

<file path=xl/ctrlProps/ctrlProp217.xml><?xml version="1.0" encoding="utf-8"?>
<formControlPr xmlns="http://schemas.microsoft.com/office/spreadsheetml/2009/9/main" objectType="Drop" dropLines="32" dropStyle="combo" dx="16" fmlaLink="$R$178" fmlaRange="'WORKINGS MATRIX'!$E$200:$E$231" noThreeD="1" sel="1" val="0"/>
</file>

<file path=xl/ctrlProps/ctrlProp218.xml><?xml version="1.0" encoding="utf-8"?>
<formControlPr xmlns="http://schemas.microsoft.com/office/spreadsheetml/2009/9/main" objectType="Drop" dropLines="20" dropStyle="combo" dx="16" fmlaLink="$P$175" fmlaRange="'WORKINGS MATRIX'!$C$200:$C$301" noThreeD="1" sel="1" val="0"/>
</file>

<file path=xl/ctrlProps/ctrlProp219.xml><?xml version="1.0" encoding="utf-8"?>
<formControlPr xmlns="http://schemas.microsoft.com/office/spreadsheetml/2009/9/main" objectType="Drop" dropLines="13" dropStyle="combo" dx="16" fmlaLink="$Q$175" fmlaRange="'WORKINGS MATRIX'!$D$200:$D$212" noThreeD="1" sel="1" val="0"/>
</file>

<file path=xl/ctrlProps/ctrlProp220.xml><?xml version="1.0" encoding="utf-8"?>
<formControlPr xmlns="http://schemas.microsoft.com/office/spreadsheetml/2009/9/main" objectType="Drop" dropLines="32" dropStyle="combo" dx="16" fmlaLink="$R$175" fmlaRange="'WORKINGS MATRIX'!$E$200:$E$231" noThreeD="1" sel="1" val="0"/>
</file>

<file path=xl/ctrlProps/ctrlProp221.xml><?xml version="1.0" encoding="utf-8"?>
<formControlPr xmlns="http://schemas.microsoft.com/office/spreadsheetml/2009/9/main" objectType="Drop" dropLines="20" dropStyle="combo" dx="16" fmlaLink="$P$176" fmlaRange="'WORKINGS MATRIX'!$C$200:$C$301" noThreeD="1" sel="1" val="0"/>
</file>

<file path=xl/ctrlProps/ctrlProp222.xml><?xml version="1.0" encoding="utf-8"?>
<formControlPr xmlns="http://schemas.microsoft.com/office/spreadsheetml/2009/9/main" objectType="Drop" dropLines="13" dropStyle="combo" dx="16" fmlaLink="$Q$176" fmlaRange="'WORKINGS MATRIX'!$D$200:$D$212" noThreeD="1" sel="1" val="0"/>
</file>

<file path=xl/ctrlProps/ctrlProp223.xml><?xml version="1.0" encoding="utf-8"?>
<formControlPr xmlns="http://schemas.microsoft.com/office/spreadsheetml/2009/9/main" objectType="Drop" dropLines="32" dropStyle="combo" dx="16" fmlaLink="$R$176" fmlaRange="'WORKINGS MATRIX'!$E$200:$E$231" noThreeD="1" sel="1" val="0"/>
</file>

<file path=xl/ctrlProps/ctrlProp224.xml><?xml version="1.0" encoding="utf-8"?>
<formControlPr xmlns="http://schemas.microsoft.com/office/spreadsheetml/2009/9/main" objectType="Drop" dropLines="20" dropStyle="combo" dx="16" fmlaLink="$P$252" fmlaRange="'WORKINGS MATRIX'!$C$200:$C$301" noThreeD="1" sel="1" val="0"/>
</file>

<file path=xl/ctrlProps/ctrlProp225.xml><?xml version="1.0" encoding="utf-8"?>
<formControlPr xmlns="http://schemas.microsoft.com/office/spreadsheetml/2009/9/main" objectType="Drop" dropLines="13" dropStyle="combo" dx="16" fmlaLink="$Q$252" fmlaRange="'WORKINGS MATRIX'!$D$200:$D$212" noThreeD="1" sel="1" val="0"/>
</file>

<file path=xl/ctrlProps/ctrlProp226.xml><?xml version="1.0" encoding="utf-8"?>
<formControlPr xmlns="http://schemas.microsoft.com/office/spreadsheetml/2009/9/main" objectType="Drop" dropLines="32" dropStyle="combo" dx="16" fmlaLink="$R$252" fmlaRange="'WORKINGS MATRIX'!$E$200:$E$231" noThreeD="1" sel="1" val="0"/>
</file>

<file path=xl/ctrlProps/ctrlProp227.xml><?xml version="1.0" encoding="utf-8"?>
<formControlPr xmlns="http://schemas.microsoft.com/office/spreadsheetml/2009/9/main" objectType="Drop" dropLines="20" dropStyle="combo" dx="16" fmlaLink="$P$253" fmlaRange="'WORKINGS MATRIX'!$C$200:$C$301" noThreeD="1" sel="1" val="0"/>
</file>

<file path=xl/ctrlProps/ctrlProp228.xml><?xml version="1.0" encoding="utf-8"?>
<formControlPr xmlns="http://schemas.microsoft.com/office/spreadsheetml/2009/9/main" objectType="Drop" dropLines="13" dropStyle="combo" dx="16" fmlaLink="$Q$253" fmlaRange="'WORKINGS MATRIX'!$D$200:$D$212" noThreeD="1" sel="1" val="0"/>
</file>

<file path=xl/ctrlProps/ctrlProp229.xml><?xml version="1.0" encoding="utf-8"?>
<formControlPr xmlns="http://schemas.microsoft.com/office/spreadsheetml/2009/9/main" objectType="Drop" dropLines="32" dropStyle="combo" dx="16" fmlaLink="$R$253" fmlaRange="'WORKINGS MATRIX'!$E$200:$E$231" noThreeD="1" sel="1" val="0"/>
</file>

<file path=xl/ctrlProps/ctrlProp230.xml><?xml version="1.0" encoding="utf-8"?>
<formControlPr xmlns="http://schemas.microsoft.com/office/spreadsheetml/2009/9/main" objectType="Drop" dropLines="20" dropStyle="combo" dx="16" fmlaLink="$P$254" fmlaRange="'WORKINGS MATRIX'!$C$200:$C$301" noThreeD="1" sel="1" val="0"/>
</file>

<file path=xl/ctrlProps/ctrlProp231.xml><?xml version="1.0" encoding="utf-8"?>
<formControlPr xmlns="http://schemas.microsoft.com/office/spreadsheetml/2009/9/main" objectType="Drop" dropLines="13" dropStyle="combo" dx="16" fmlaLink="$Q$254" fmlaRange="'WORKINGS MATRIX'!$D$200:$D$212" noThreeD="1" sel="1" val="0"/>
</file>

<file path=xl/ctrlProps/ctrlProp232.xml><?xml version="1.0" encoding="utf-8"?>
<formControlPr xmlns="http://schemas.microsoft.com/office/spreadsheetml/2009/9/main" objectType="Drop" dropLines="32" dropStyle="combo" dx="16" fmlaLink="$R$254" fmlaRange="'WORKINGS MATRIX'!$E$200:$E$231" noThreeD="1" sel="1" val="0"/>
</file>

<file path=xl/ctrlProps/ctrlProp233.xml><?xml version="1.0" encoding="utf-8"?>
<formControlPr xmlns="http://schemas.microsoft.com/office/spreadsheetml/2009/9/main" objectType="Drop" dropLines="20" dropStyle="combo" dx="16" fmlaLink="$P$277" fmlaRange="'WORKINGS MATRIX'!$C$200:$C$301" noThreeD="1" sel="1" val="0"/>
</file>

<file path=xl/ctrlProps/ctrlProp234.xml><?xml version="1.0" encoding="utf-8"?>
<formControlPr xmlns="http://schemas.microsoft.com/office/spreadsheetml/2009/9/main" objectType="Drop" dropLines="13" dropStyle="combo" dx="16" fmlaLink="$Q$277" fmlaRange="'WORKINGS MATRIX'!$D$200:$D$212" noThreeD="1" sel="1" val="0"/>
</file>

<file path=xl/ctrlProps/ctrlProp235.xml><?xml version="1.0" encoding="utf-8"?>
<formControlPr xmlns="http://schemas.microsoft.com/office/spreadsheetml/2009/9/main" objectType="Drop" dropLines="32" dropStyle="combo" dx="16" fmlaLink="$R$277" fmlaRange="'WORKINGS MATRIX'!$E$200:$E$231" noThreeD="1" sel="1" val="0"/>
</file>

<file path=xl/ctrlProps/ctrlProp236.xml><?xml version="1.0" encoding="utf-8"?>
<formControlPr xmlns="http://schemas.microsoft.com/office/spreadsheetml/2009/9/main" objectType="Drop" dropLines="20" dropStyle="combo" dx="16" fmlaLink="$P$278" fmlaRange="'WORKINGS MATRIX'!$C$200:$C$301" noThreeD="1" sel="1" val="0"/>
</file>

<file path=xl/ctrlProps/ctrlProp237.xml><?xml version="1.0" encoding="utf-8"?>
<formControlPr xmlns="http://schemas.microsoft.com/office/spreadsheetml/2009/9/main" objectType="Drop" dropLines="13" dropStyle="combo" dx="16" fmlaLink="$Q$278" fmlaRange="'WORKINGS MATRIX'!$D$200:$D$212" noThreeD="1" sel="1" val="0"/>
</file>

<file path=xl/ctrlProps/ctrlProp238.xml><?xml version="1.0" encoding="utf-8"?>
<formControlPr xmlns="http://schemas.microsoft.com/office/spreadsheetml/2009/9/main" objectType="Drop" dropLines="32" dropStyle="combo" dx="16" fmlaLink="$R$278" fmlaRange="'WORKINGS MATRIX'!$E$200:$E$231" noThreeD="1" sel="1" val="0"/>
</file>

<file path=xl/ctrlProps/ctrlProp239.xml><?xml version="1.0" encoding="utf-8"?>
<formControlPr xmlns="http://schemas.microsoft.com/office/spreadsheetml/2009/9/main" objectType="Drop" dropLines="20" dropStyle="combo" dx="16" fmlaLink="$P$275" fmlaRange="'WORKINGS MATRIX'!$C$200:$C$301" noThreeD="1" sel="1" val="0"/>
</file>

<file path=xl/ctrlProps/ctrlProp240.xml><?xml version="1.0" encoding="utf-8"?>
<formControlPr xmlns="http://schemas.microsoft.com/office/spreadsheetml/2009/9/main" objectType="Drop" dropLines="13" dropStyle="combo" dx="16" fmlaLink="$Q$275" fmlaRange="'WORKINGS MATRIX'!$D$200:$D$212" noThreeD="1" sel="1" val="0"/>
</file>

<file path=xl/ctrlProps/ctrlProp241.xml><?xml version="1.0" encoding="utf-8"?>
<formControlPr xmlns="http://schemas.microsoft.com/office/spreadsheetml/2009/9/main" objectType="Drop" dropLines="32" dropStyle="combo" dx="16" fmlaLink="$R$275" fmlaRange="'WORKINGS MATRIX'!$E$200:$E$231" noThreeD="1" sel="1" val="0"/>
</file>

<file path=xl/ctrlProps/ctrlProp242.xml><?xml version="1.0" encoding="utf-8"?>
<formControlPr xmlns="http://schemas.microsoft.com/office/spreadsheetml/2009/9/main" objectType="Drop" dropLines="20" dropStyle="combo" dx="16" fmlaLink="$P$276" fmlaRange="'WORKINGS MATRIX'!$C$200:$C$301" noThreeD="1" sel="1" val="0"/>
</file>

<file path=xl/ctrlProps/ctrlProp243.xml><?xml version="1.0" encoding="utf-8"?>
<formControlPr xmlns="http://schemas.microsoft.com/office/spreadsheetml/2009/9/main" objectType="Drop" dropLines="13" dropStyle="combo" dx="16" fmlaLink="$Q$276" fmlaRange="'WORKINGS MATRIX'!$D$200:$D$212" noThreeD="1" sel="1" val="0"/>
</file>

<file path=xl/ctrlProps/ctrlProp244.xml><?xml version="1.0" encoding="utf-8"?>
<formControlPr xmlns="http://schemas.microsoft.com/office/spreadsheetml/2009/9/main" objectType="Drop" dropLines="32" dropStyle="combo" dx="16" fmlaLink="$R$276" fmlaRange="'WORKINGS MATRIX'!$E$200:$E$231" noThreeD="1" sel="1" val="0"/>
</file>

<file path=xl/ctrlProps/ctrlProp245.xml><?xml version="1.0" encoding="utf-8"?>
<formControlPr xmlns="http://schemas.microsoft.com/office/spreadsheetml/2009/9/main" objectType="Drop" dropLines="20" dropStyle="combo" dx="16" fmlaLink="$P$452" fmlaRange="'WORKINGS MATRIX'!$C$200:$C$301" noThreeD="1" sel="1" val="100"/>
</file>

<file path=xl/ctrlProps/ctrlProp246.xml><?xml version="1.0" encoding="utf-8"?>
<formControlPr xmlns="http://schemas.microsoft.com/office/spreadsheetml/2009/9/main" objectType="Drop" dropLines="13" dropStyle="combo" dx="16" fmlaLink="$Q$452" fmlaRange="'WORKINGS MATRIX'!$D$200:$D$212" noThreeD="1" sel="1" val="0"/>
</file>

<file path=xl/ctrlProps/ctrlProp247.xml><?xml version="1.0" encoding="utf-8"?>
<formControlPr xmlns="http://schemas.microsoft.com/office/spreadsheetml/2009/9/main" objectType="Drop" dropLines="32" dropStyle="combo" dx="16" fmlaLink="$R$452" fmlaRange="'WORKINGS MATRIX'!$E$200:$E$231" noThreeD="1" sel="1" val="0"/>
</file>

<file path=xl/ctrlProps/ctrlProp248.xml><?xml version="1.0" encoding="utf-8"?>
<formControlPr xmlns="http://schemas.microsoft.com/office/spreadsheetml/2009/9/main" objectType="Drop" dropLines="20" dropStyle="combo" dx="16" fmlaLink="$P$453" fmlaRange="'WORKINGS MATRIX'!$C$200:$C$301" noThreeD="1" sel="1" val="0"/>
</file>

<file path=xl/ctrlProps/ctrlProp249.xml><?xml version="1.0" encoding="utf-8"?>
<formControlPr xmlns="http://schemas.microsoft.com/office/spreadsheetml/2009/9/main" objectType="Drop" dropLines="13" dropStyle="combo" dx="16" fmlaLink="$Q$453" fmlaRange="'WORKINGS MATRIX'!$D$200:$D$212" noThreeD="1" sel="1" val="0"/>
</file>

<file path=xl/ctrlProps/ctrlProp250.xml><?xml version="1.0" encoding="utf-8"?>
<formControlPr xmlns="http://schemas.microsoft.com/office/spreadsheetml/2009/9/main" objectType="Drop" dropLines="32" dropStyle="combo" dx="16" fmlaLink="$R$453" fmlaRange="'WORKINGS MATRIX'!$E$200:$E$231" noThreeD="1" sel="1" val="0"/>
</file>

<file path=xl/ctrlProps/ctrlProp251.xml><?xml version="1.0" encoding="utf-8"?>
<formControlPr xmlns="http://schemas.microsoft.com/office/spreadsheetml/2009/9/main" objectType="Drop" dropLines="20" dropStyle="combo" dx="16" fmlaLink="$P$454" fmlaRange="'WORKINGS MATRIX'!$C$200:$C$301" noThreeD="1" sel="1" val="0"/>
</file>

<file path=xl/ctrlProps/ctrlProp252.xml><?xml version="1.0" encoding="utf-8"?>
<formControlPr xmlns="http://schemas.microsoft.com/office/spreadsheetml/2009/9/main" objectType="Drop" dropLines="13" dropStyle="combo" dx="16" fmlaLink="$Q$454" fmlaRange="'WORKINGS MATRIX'!$D$200:$D$212" noThreeD="1" sel="1" val="0"/>
</file>

<file path=xl/ctrlProps/ctrlProp253.xml><?xml version="1.0" encoding="utf-8"?>
<formControlPr xmlns="http://schemas.microsoft.com/office/spreadsheetml/2009/9/main" objectType="Drop" dropLines="32" dropStyle="combo" dx="16" fmlaLink="$R$454" fmlaRange="'WORKINGS MATRIX'!$E$200:$E$231" noThreeD="1" sel="1" val="0"/>
</file>

<file path=xl/ctrlProps/ctrlProp254.xml><?xml version="1.0" encoding="utf-8"?>
<formControlPr xmlns="http://schemas.microsoft.com/office/spreadsheetml/2009/9/main" objectType="Drop" dropLines="20" dropStyle="combo" dx="16" fmlaLink="$P$477" fmlaRange="'WORKINGS MATRIX'!$C$200:$C$301" noThreeD="1" sel="1" val="0"/>
</file>

<file path=xl/ctrlProps/ctrlProp255.xml><?xml version="1.0" encoding="utf-8"?>
<formControlPr xmlns="http://schemas.microsoft.com/office/spreadsheetml/2009/9/main" objectType="Drop" dropLines="13" dropStyle="combo" dx="16" fmlaLink="$Q$477" fmlaRange="'WORKINGS MATRIX'!$D$200:$D$212" noThreeD="1" sel="1" val="0"/>
</file>

<file path=xl/ctrlProps/ctrlProp256.xml><?xml version="1.0" encoding="utf-8"?>
<formControlPr xmlns="http://schemas.microsoft.com/office/spreadsheetml/2009/9/main" objectType="Drop" dropLines="32" dropStyle="combo" dx="16" fmlaLink="$R$477" fmlaRange="'WORKINGS MATRIX'!$E$200:$E$231" noThreeD="1" sel="1" val="0"/>
</file>

<file path=xl/ctrlProps/ctrlProp257.xml><?xml version="1.0" encoding="utf-8"?>
<formControlPr xmlns="http://schemas.microsoft.com/office/spreadsheetml/2009/9/main" objectType="Drop" dropLines="20" dropStyle="combo" dx="16" fmlaLink="$P$478" fmlaRange="'WORKINGS MATRIX'!$C$200:$C$301" noThreeD="1" sel="1" val="0"/>
</file>

<file path=xl/ctrlProps/ctrlProp258.xml><?xml version="1.0" encoding="utf-8"?>
<formControlPr xmlns="http://schemas.microsoft.com/office/spreadsheetml/2009/9/main" objectType="Drop" dropLines="13" dropStyle="combo" dx="16" fmlaLink="$Q$478" fmlaRange="'WORKINGS MATRIX'!$D$200:$D$212" noThreeD="1" sel="1" val="0"/>
</file>

<file path=xl/ctrlProps/ctrlProp259.xml><?xml version="1.0" encoding="utf-8"?>
<formControlPr xmlns="http://schemas.microsoft.com/office/spreadsheetml/2009/9/main" objectType="Drop" dropLines="32" dropStyle="combo" dx="16" fmlaLink="$R$478" fmlaRange="'WORKINGS MATRIX'!$E$200:$E$231" noThreeD="1" sel="1" val="0"/>
</file>

<file path=xl/ctrlProps/ctrlProp260.xml><?xml version="1.0" encoding="utf-8"?>
<formControlPr xmlns="http://schemas.microsoft.com/office/spreadsheetml/2009/9/main" objectType="Drop" dropLines="20" dropStyle="combo" dx="16" fmlaLink="$P$475" fmlaRange="'WORKINGS MATRIX'!$C$200:$C$301" noThreeD="1" sel="1" val="0"/>
</file>

<file path=xl/ctrlProps/ctrlProp261.xml><?xml version="1.0" encoding="utf-8"?>
<formControlPr xmlns="http://schemas.microsoft.com/office/spreadsheetml/2009/9/main" objectType="Drop" dropLines="13" dropStyle="combo" dx="16" fmlaLink="$Q$475" fmlaRange="'WORKINGS MATRIX'!$D$200:$D$212" noThreeD="1" sel="1" val="0"/>
</file>

<file path=xl/ctrlProps/ctrlProp262.xml><?xml version="1.0" encoding="utf-8"?>
<formControlPr xmlns="http://schemas.microsoft.com/office/spreadsheetml/2009/9/main" objectType="Drop" dropLines="32" dropStyle="combo" dx="16" fmlaLink="$R$475" fmlaRange="'WORKINGS MATRIX'!$E$200:$E$231" noThreeD="1" sel="1" val="0"/>
</file>

<file path=xl/ctrlProps/ctrlProp263.xml><?xml version="1.0" encoding="utf-8"?>
<formControlPr xmlns="http://schemas.microsoft.com/office/spreadsheetml/2009/9/main" objectType="Drop" dropLines="20" dropStyle="combo" dx="16" fmlaLink="$P$476" fmlaRange="'WORKINGS MATRIX'!$C$200:$C$301" noThreeD="1" sel="1" val="0"/>
</file>

<file path=xl/ctrlProps/ctrlProp264.xml><?xml version="1.0" encoding="utf-8"?>
<formControlPr xmlns="http://schemas.microsoft.com/office/spreadsheetml/2009/9/main" objectType="Drop" dropLines="13" dropStyle="combo" dx="16" fmlaLink="$Q$476" fmlaRange="'WORKINGS MATRIX'!$D$200:$D$212" noThreeD="1" sel="1" val="0"/>
</file>

<file path=xl/ctrlProps/ctrlProp265.xml><?xml version="1.0" encoding="utf-8"?>
<formControlPr xmlns="http://schemas.microsoft.com/office/spreadsheetml/2009/9/main" objectType="Drop" dropLines="32" dropStyle="combo" dx="16" fmlaLink="$R$476" fmlaRange="'WORKINGS MATRIX'!$E$200:$E$231" noThreeD="1" sel="1" val="0"/>
</file>

<file path=xl/ctrlProps/ctrlProp266.xml><?xml version="1.0" encoding="utf-8"?>
<formControlPr xmlns="http://schemas.microsoft.com/office/spreadsheetml/2009/9/main" objectType="Drop" dropLines="20" dropStyle="combo" dx="16" fmlaLink="$P$552" fmlaRange="'WORKINGS MATRIX'!$C$200:$C$301" noThreeD="1" sel="1" val="100"/>
</file>

<file path=xl/ctrlProps/ctrlProp267.xml><?xml version="1.0" encoding="utf-8"?>
<formControlPr xmlns="http://schemas.microsoft.com/office/spreadsheetml/2009/9/main" objectType="Drop" dropLines="13" dropStyle="combo" dx="16" fmlaLink="$Q$552" fmlaRange="'WORKINGS MATRIX'!$D$200:$D$212" noThreeD="1" sel="1" val="0"/>
</file>

<file path=xl/ctrlProps/ctrlProp268.xml><?xml version="1.0" encoding="utf-8"?>
<formControlPr xmlns="http://schemas.microsoft.com/office/spreadsheetml/2009/9/main" objectType="Drop" dropLines="32" dropStyle="combo" dx="16" fmlaLink="$R$552" fmlaRange="'WORKINGS MATRIX'!$E$200:$E$231" noThreeD="1" sel="1" val="0"/>
</file>

<file path=xl/ctrlProps/ctrlProp269.xml><?xml version="1.0" encoding="utf-8"?>
<formControlPr xmlns="http://schemas.microsoft.com/office/spreadsheetml/2009/9/main" objectType="Drop" dropLines="20" dropStyle="combo" dx="16" fmlaLink="$P$553" fmlaRange="'WORKINGS MATRIX'!$C$200:$C$301" noThreeD="1" sel="1" val="0"/>
</file>

<file path=xl/ctrlProps/ctrlProp270.xml><?xml version="1.0" encoding="utf-8"?>
<formControlPr xmlns="http://schemas.microsoft.com/office/spreadsheetml/2009/9/main" objectType="Drop" dropLines="13" dropStyle="combo" dx="16" fmlaLink="$Q$553" fmlaRange="'WORKINGS MATRIX'!$D$200:$D$212" noThreeD="1" sel="1" val="0"/>
</file>

<file path=xl/ctrlProps/ctrlProp271.xml><?xml version="1.0" encoding="utf-8"?>
<formControlPr xmlns="http://schemas.microsoft.com/office/spreadsheetml/2009/9/main" objectType="Drop" dropLines="32" dropStyle="combo" dx="16" fmlaLink="$R$553" fmlaRange="'WORKINGS MATRIX'!$E$200:$E$231" noThreeD="1" sel="1" val="0"/>
</file>

<file path=xl/ctrlProps/ctrlProp272.xml><?xml version="1.0" encoding="utf-8"?>
<formControlPr xmlns="http://schemas.microsoft.com/office/spreadsheetml/2009/9/main" objectType="Drop" dropLines="20" dropStyle="combo" dx="16" fmlaLink="$P$554" fmlaRange="'WORKINGS MATRIX'!$C$200:$C$301" noThreeD="1" sel="1" val="0"/>
</file>

<file path=xl/ctrlProps/ctrlProp273.xml><?xml version="1.0" encoding="utf-8"?>
<formControlPr xmlns="http://schemas.microsoft.com/office/spreadsheetml/2009/9/main" objectType="Drop" dropLines="13" dropStyle="combo" dx="16" fmlaLink="$Q$554" fmlaRange="'WORKINGS MATRIX'!$D$200:$D$212" noThreeD="1" sel="1" val="0"/>
</file>

<file path=xl/ctrlProps/ctrlProp274.xml><?xml version="1.0" encoding="utf-8"?>
<formControlPr xmlns="http://schemas.microsoft.com/office/spreadsheetml/2009/9/main" objectType="Drop" dropLines="32" dropStyle="combo" dx="16" fmlaLink="$R$554" fmlaRange="'WORKINGS MATRIX'!$E$200:$E$231" noThreeD="1" sel="1" val="0"/>
</file>

<file path=xl/ctrlProps/ctrlProp275.xml><?xml version="1.0" encoding="utf-8"?>
<formControlPr xmlns="http://schemas.microsoft.com/office/spreadsheetml/2009/9/main" objectType="Drop" dropLines="20" dropStyle="combo" dx="16" fmlaLink="$P$577" fmlaRange="'WORKINGS MATRIX'!$C$200:$C$301" noThreeD="1" sel="1" val="0"/>
</file>

<file path=xl/ctrlProps/ctrlProp276.xml><?xml version="1.0" encoding="utf-8"?>
<formControlPr xmlns="http://schemas.microsoft.com/office/spreadsheetml/2009/9/main" objectType="Drop" dropLines="13" dropStyle="combo" dx="16" fmlaLink="$Q$577" fmlaRange="'WORKINGS MATRIX'!$D$200:$D$212" noThreeD="1" sel="1" val="0"/>
</file>

<file path=xl/ctrlProps/ctrlProp277.xml><?xml version="1.0" encoding="utf-8"?>
<formControlPr xmlns="http://schemas.microsoft.com/office/spreadsheetml/2009/9/main" objectType="Drop" dropLines="32" dropStyle="combo" dx="16" fmlaLink="$R$577" fmlaRange="'WORKINGS MATRIX'!$E$200:$E$231" noThreeD="1" sel="1" val="0"/>
</file>

<file path=xl/ctrlProps/ctrlProp278.xml><?xml version="1.0" encoding="utf-8"?>
<formControlPr xmlns="http://schemas.microsoft.com/office/spreadsheetml/2009/9/main" objectType="Drop" dropLines="20" dropStyle="combo" dx="16" fmlaLink="$P$578" fmlaRange="'WORKINGS MATRIX'!$C$200:$C$301" noThreeD="1" sel="1" val="0"/>
</file>

<file path=xl/ctrlProps/ctrlProp279.xml><?xml version="1.0" encoding="utf-8"?>
<formControlPr xmlns="http://schemas.microsoft.com/office/spreadsheetml/2009/9/main" objectType="Drop" dropLines="13" dropStyle="combo" dx="16" fmlaLink="$Q$578" fmlaRange="'WORKINGS MATRIX'!$D$200:$D$212" noThreeD="1" sel="1" val="0"/>
</file>

<file path=xl/ctrlProps/ctrlProp280.xml><?xml version="1.0" encoding="utf-8"?>
<formControlPr xmlns="http://schemas.microsoft.com/office/spreadsheetml/2009/9/main" objectType="Drop" dropLines="32" dropStyle="combo" dx="16" fmlaLink="$R$578" fmlaRange="'WORKINGS MATRIX'!$E$200:$E$231" noThreeD="1" sel="1" val="0"/>
</file>

<file path=xl/ctrlProps/ctrlProp281.xml><?xml version="1.0" encoding="utf-8"?>
<formControlPr xmlns="http://schemas.microsoft.com/office/spreadsheetml/2009/9/main" objectType="Drop" dropLines="20" dropStyle="combo" dx="16" fmlaLink="$P$575" fmlaRange="'WORKINGS MATRIX'!$C$200:$C$301" noThreeD="1" sel="1" val="0"/>
</file>

<file path=xl/ctrlProps/ctrlProp282.xml><?xml version="1.0" encoding="utf-8"?>
<formControlPr xmlns="http://schemas.microsoft.com/office/spreadsheetml/2009/9/main" objectType="Drop" dropLines="13" dropStyle="combo" dx="16" fmlaLink="$Q$575" fmlaRange="'WORKINGS MATRIX'!$D$200:$D$212" noThreeD="1" sel="1" val="0"/>
</file>

<file path=xl/ctrlProps/ctrlProp283.xml><?xml version="1.0" encoding="utf-8"?>
<formControlPr xmlns="http://schemas.microsoft.com/office/spreadsheetml/2009/9/main" objectType="Drop" dropLines="32" dropStyle="combo" dx="16" fmlaLink="$R$575" fmlaRange="'WORKINGS MATRIX'!$E$200:$E$231" noThreeD="1" sel="1" val="0"/>
</file>

<file path=xl/ctrlProps/ctrlProp284.xml><?xml version="1.0" encoding="utf-8"?>
<formControlPr xmlns="http://schemas.microsoft.com/office/spreadsheetml/2009/9/main" objectType="Drop" dropLines="20" dropStyle="combo" dx="16" fmlaLink="$P$576" fmlaRange="'WORKINGS MATRIX'!$C$200:$C$301" noThreeD="1" sel="1" val="0"/>
</file>

<file path=xl/ctrlProps/ctrlProp285.xml><?xml version="1.0" encoding="utf-8"?>
<formControlPr xmlns="http://schemas.microsoft.com/office/spreadsheetml/2009/9/main" objectType="Drop" dropLines="13" dropStyle="combo" dx="16" fmlaLink="$Q$576" fmlaRange="'WORKINGS MATRIX'!$D$200:$D$212" noThreeD="1" sel="1" val="0"/>
</file>

<file path=xl/ctrlProps/ctrlProp286.xml><?xml version="1.0" encoding="utf-8"?>
<formControlPr xmlns="http://schemas.microsoft.com/office/spreadsheetml/2009/9/main" objectType="Drop" dropLines="32" dropStyle="combo" dx="16" fmlaLink="$R$576" fmlaRange="'WORKINGS MATRIX'!$E$200:$E$231" noThreeD="1" sel="1" val="0"/>
</file>

<file path=xl/ctrlProps/ctrlProp287.xml><?xml version="1.0" encoding="utf-8"?>
<formControlPr xmlns="http://schemas.microsoft.com/office/spreadsheetml/2009/9/main" objectType="Drop" dropLines="20" dropStyle="combo" dx="16" fmlaLink="$P$652" fmlaRange="'WORKINGS MATRIX'!$C$200:$C$301" noThreeD="1" sel="1" val="100"/>
</file>

<file path=xl/ctrlProps/ctrlProp288.xml><?xml version="1.0" encoding="utf-8"?>
<formControlPr xmlns="http://schemas.microsoft.com/office/spreadsheetml/2009/9/main" objectType="Drop" dropLines="13" dropStyle="combo" dx="16" fmlaLink="$Q$652" fmlaRange="'WORKINGS MATRIX'!$D$200:$D$212" noThreeD="1" sel="1" val="0"/>
</file>

<file path=xl/ctrlProps/ctrlProp289.xml><?xml version="1.0" encoding="utf-8"?>
<formControlPr xmlns="http://schemas.microsoft.com/office/spreadsheetml/2009/9/main" objectType="Drop" dropLines="32" dropStyle="combo" dx="16" fmlaLink="$R$652" fmlaRange="'WORKINGS MATRIX'!$E$200:$E$231" noThreeD="1" sel="1" val="0"/>
</file>

<file path=xl/ctrlProps/ctrlProp290.xml><?xml version="1.0" encoding="utf-8"?>
<formControlPr xmlns="http://schemas.microsoft.com/office/spreadsheetml/2009/9/main" objectType="Drop" dropLines="20" dropStyle="combo" dx="16" fmlaLink="$P$653" fmlaRange="'WORKINGS MATRIX'!$C$200:$C$301" noThreeD="1" sel="1" val="0"/>
</file>

<file path=xl/ctrlProps/ctrlProp291.xml><?xml version="1.0" encoding="utf-8"?>
<formControlPr xmlns="http://schemas.microsoft.com/office/spreadsheetml/2009/9/main" objectType="Drop" dropLines="13" dropStyle="combo" dx="16" fmlaLink="$Q$653" fmlaRange="'WORKINGS MATRIX'!$D$200:$D$212" noThreeD="1" sel="1" val="0"/>
</file>

<file path=xl/ctrlProps/ctrlProp292.xml><?xml version="1.0" encoding="utf-8"?>
<formControlPr xmlns="http://schemas.microsoft.com/office/spreadsheetml/2009/9/main" objectType="Drop" dropLines="32" dropStyle="combo" dx="16" fmlaLink="$R$653" fmlaRange="'WORKINGS MATRIX'!$E$200:$E$231" noThreeD="1" sel="1" val="0"/>
</file>

<file path=xl/ctrlProps/ctrlProp293.xml><?xml version="1.0" encoding="utf-8"?>
<formControlPr xmlns="http://schemas.microsoft.com/office/spreadsheetml/2009/9/main" objectType="Drop" dropLines="20" dropStyle="combo" dx="16" fmlaLink="$P$654" fmlaRange="'WORKINGS MATRIX'!$C$200:$C$301" noThreeD="1" sel="1" val="0"/>
</file>

<file path=xl/ctrlProps/ctrlProp294.xml><?xml version="1.0" encoding="utf-8"?>
<formControlPr xmlns="http://schemas.microsoft.com/office/spreadsheetml/2009/9/main" objectType="Drop" dropLines="13" dropStyle="combo" dx="16" fmlaLink="$Q$654" fmlaRange="'WORKINGS MATRIX'!$D$200:$D$212" noThreeD="1" sel="1" val="0"/>
</file>

<file path=xl/ctrlProps/ctrlProp295.xml><?xml version="1.0" encoding="utf-8"?>
<formControlPr xmlns="http://schemas.microsoft.com/office/spreadsheetml/2009/9/main" objectType="Drop" dropLines="32" dropStyle="combo" dx="16" fmlaLink="$R$654" fmlaRange="'WORKINGS MATRIX'!$E$200:$E$231" noThreeD="1" sel="1" val="0"/>
</file>

<file path=xl/ctrlProps/ctrlProp296.xml><?xml version="1.0" encoding="utf-8"?>
<formControlPr xmlns="http://schemas.microsoft.com/office/spreadsheetml/2009/9/main" objectType="Drop" dropLines="20" dropStyle="combo" dx="16" fmlaLink="$P$677" fmlaRange="'WORKINGS MATRIX'!$C$200:$C$301" noThreeD="1" sel="1" val="0"/>
</file>

<file path=xl/ctrlProps/ctrlProp297.xml><?xml version="1.0" encoding="utf-8"?>
<formControlPr xmlns="http://schemas.microsoft.com/office/spreadsheetml/2009/9/main" objectType="Drop" dropLines="13" dropStyle="combo" dx="16" fmlaLink="$Q$677" fmlaRange="'WORKINGS MATRIX'!$D$200:$D$212" noThreeD="1" sel="1" val="0"/>
</file>

<file path=xl/ctrlProps/ctrlProp298.xml><?xml version="1.0" encoding="utf-8"?>
<formControlPr xmlns="http://schemas.microsoft.com/office/spreadsheetml/2009/9/main" objectType="Drop" dropLines="32" dropStyle="combo" dx="16" fmlaLink="$R$677" fmlaRange="'WORKINGS MATRIX'!$E$200:$E$231" noThreeD="1" sel="1" val="0"/>
</file>

<file path=xl/ctrlProps/ctrlProp299.xml><?xml version="1.0" encoding="utf-8"?>
<formControlPr xmlns="http://schemas.microsoft.com/office/spreadsheetml/2009/9/main" objectType="Drop" dropLines="20" dropStyle="combo" dx="16" fmlaLink="$P$678" fmlaRange="'WORKINGS MATRIX'!$C$200:$C$301" noThreeD="1" sel="1" val="0"/>
</file>

<file path=xl/ctrlProps/ctrlProp300.xml><?xml version="1.0" encoding="utf-8"?>
<formControlPr xmlns="http://schemas.microsoft.com/office/spreadsheetml/2009/9/main" objectType="Drop" dropLines="13" dropStyle="combo" dx="16" fmlaLink="$Q$678" fmlaRange="'WORKINGS MATRIX'!$D$200:$D$212" noThreeD="1" sel="1" val="0"/>
</file>

<file path=xl/ctrlProps/ctrlProp301.xml><?xml version="1.0" encoding="utf-8"?>
<formControlPr xmlns="http://schemas.microsoft.com/office/spreadsheetml/2009/9/main" objectType="Drop" dropLines="32" dropStyle="combo" dx="16" fmlaLink="$R$678" fmlaRange="'WORKINGS MATRIX'!$E$200:$E$231" noThreeD="1" sel="1" val="0"/>
</file>

<file path=xl/ctrlProps/ctrlProp302.xml><?xml version="1.0" encoding="utf-8"?>
<formControlPr xmlns="http://schemas.microsoft.com/office/spreadsheetml/2009/9/main" objectType="Drop" dropLines="20" dropStyle="combo" dx="16" fmlaLink="$P$675" fmlaRange="'WORKINGS MATRIX'!$C$200:$C$301" noThreeD="1" sel="1" val="0"/>
</file>

<file path=xl/ctrlProps/ctrlProp303.xml><?xml version="1.0" encoding="utf-8"?>
<formControlPr xmlns="http://schemas.microsoft.com/office/spreadsheetml/2009/9/main" objectType="Drop" dropLines="13" dropStyle="combo" dx="16" fmlaLink="$Q$675" fmlaRange="'WORKINGS MATRIX'!$D$200:$D$212" noThreeD="1" sel="1" val="0"/>
</file>

<file path=xl/ctrlProps/ctrlProp304.xml><?xml version="1.0" encoding="utf-8"?>
<formControlPr xmlns="http://schemas.microsoft.com/office/spreadsheetml/2009/9/main" objectType="Drop" dropLines="32" dropStyle="combo" dx="16" fmlaLink="$R$675" fmlaRange="'WORKINGS MATRIX'!$E$200:$E$231" noThreeD="1" sel="1" val="0"/>
</file>

<file path=xl/ctrlProps/ctrlProp305.xml><?xml version="1.0" encoding="utf-8"?>
<formControlPr xmlns="http://schemas.microsoft.com/office/spreadsheetml/2009/9/main" objectType="Drop" dropLines="20" dropStyle="combo" dx="16" fmlaLink="$P$676" fmlaRange="'WORKINGS MATRIX'!$C$200:$C$301" noThreeD="1" sel="1" val="0"/>
</file>

<file path=xl/ctrlProps/ctrlProp306.xml><?xml version="1.0" encoding="utf-8"?>
<formControlPr xmlns="http://schemas.microsoft.com/office/spreadsheetml/2009/9/main" objectType="Drop" dropLines="13" dropStyle="combo" dx="16" fmlaLink="$Q$676" fmlaRange="'WORKINGS MATRIX'!$D$200:$D$212" noThreeD="1" sel="1" val="0"/>
</file>

<file path=xl/ctrlProps/ctrlProp307.xml><?xml version="1.0" encoding="utf-8"?>
<formControlPr xmlns="http://schemas.microsoft.com/office/spreadsheetml/2009/9/main" objectType="Drop" dropLines="32" dropStyle="combo" dx="16" fmlaLink="$R$676" fmlaRange="'WORKINGS MATRIX'!$E$200:$E$231" noThreeD="1" sel="1" val="0"/>
</file>

<file path=xl/ctrlProps/ctrlProp308.xml><?xml version="1.0" encoding="utf-8"?>
<formControlPr xmlns="http://schemas.microsoft.com/office/spreadsheetml/2009/9/main" objectType="Drop" dropLines="20" dropStyle="combo" dx="16" fmlaLink="$P$752" fmlaRange="'WORKINGS MATRIX'!$C$200:$C$301" noThreeD="1" sel="1" val="100"/>
</file>

<file path=xl/ctrlProps/ctrlProp309.xml><?xml version="1.0" encoding="utf-8"?>
<formControlPr xmlns="http://schemas.microsoft.com/office/spreadsheetml/2009/9/main" objectType="Drop" dropLines="13" dropStyle="combo" dx="16" fmlaLink="$Q$752" fmlaRange="'WORKINGS MATRIX'!$D$200:$D$212" noThreeD="1" sel="1" val="0"/>
</file>

<file path=xl/ctrlProps/ctrlProp310.xml><?xml version="1.0" encoding="utf-8"?>
<formControlPr xmlns="http://schemas.microsoft.com/office/spreadsheetml/2009/9/main" objectType="Drop" dropLines="32" dropStyle="combo" dx="16" fmlaLink="$R$752" fmlaRange="'WORKINGS MATRIX'!$E$200:$E$231" noThreeD="1" sel="1" val="0"/>
</file>

<file path=xl/ctrlProps/ctrlProp311.xml><?xml version="1.0" encoding="utf-8"?>
<formControlPr xmlns="http://schemas.microsoft.com/office/spreadsheetml/2009/9/main" objectType="Drop" dropLines="20" dropStyle="combo" dx="16" fmlaLink="$P$753" fmlaRange="'WORKINGS MATRIX'!$C$200:$C$301" noThreeD="1" sel="1" val="0"/>
</file>

<file path=xl/ctrlProps/ctrlProp312.xml><?xml version="1.0" encoding="utf-8"?>
<formControlPr xmlns="http://schemas.microsoft.com/office/spreadsheetml/2009/9/main" objectType="Drop" dropLines="13" dropStyle="combo" dx="16" fmlaLink="$Q$753" fmlaRange="'WORKINGS MATRIX'!$D$200:$D$212" noThreeD="1" sel="1" val="0"/>
</file>

<file path=xl/ctrlProps/ctrlProp313.xml><?xml version="1.0" encoding="utf-8"?>
<formControlPr xmlns="http://schemas.microsoft.com/office/spreadsheetml/2009/9/main" objectType="Drop" dropLines="32" dropStyle="combo" dx="16" fmlaLink="$R$753" fmlaRange="'WORKINGS MATRIX'!$E$200:$E$231" noThreeD="1" sel="1" val="0"/>
</file>

<file path=xl/ctrlProps/ctrlProp314.xml><?xml version="1.0" encoding="utf-8"?>
<formControlPr xmlns="http://schemas.microsoft.com/office/spreadsheetml/2009/9/main" objectType="Drop" dropLines="20" dropStyle="combo" dx="16" fmlaLink="$P$754" fmlaRange="'WORKINGS MATRIX'!$C$200:$C$301" noThreeD="1" sel="1" val="0"/>
</file>

<file path=xl/ctrlProps/ctrlProp315.xml><?xml version="1.0" encoding="utf-8"?>
<formControlPr xmlns="http://schemas.microsoft.com/office/spreadsheetml/2009/9/main" objectType="Drop" dropLines="13" dropStyle="combo" dx="16" fmlaLink="$Q$754" fmlaRange="'WORKINGS MATRIX'!$D$200:$D$212" noThreeD="1" sel="1" val="0"/>
</file>

<file path=xl/ctrlProps/ctrlProp316.xml><?xml version="1.0" encoding="utf-8"?>
<formControlPr xmlns="http://schemas.microsoft.com/office/spreadsheetml/2009/9/main" objectType="Drop" dropLines="32" dropStyle="combo" dx="16" fmlaLink="$R$754" fmlaRange="'WORKINGS MATRIX'!$E$200:$E$231" noThreeD="1" sel="1" val="0"/>
</file>

<file path=xl/ctrlProps/ctrlProp317.xml><?xml version="1.0" encoding="utf-8"?>
<formControlPr xmlns="http://schemas.microsoft.com/office/spreadsheetml/2009/9/main" objectType="Drop" dropLines="20" dropStyle="combo" dx="16" fmlaLink="$P$777" fmlaRange="'WORKINGS MATRIX'!$C$200:$C$301" noThreeD="1" sel="1" val="0"/>
</file>

<file path=xl/ctrlProps/ctrlProp318.xml><?xml version="1.0" encoding="utf-8"?>
<formControlPr xmlns="http://schemas.microsoft.com/office/spreadsheetml/2009/9/main" objectType="Drop" dropLines="13" dropStyle="combo" dx="16" fmlaLink="$Q$777" fmlaRange="'WORKINGS MATRIX'!$D$200:$D$212" noThreeD="1" sel="1" val="0"/>
</file>

<file path=xl/ctrlProps/ctrlProp319.xml><?xml version="1.0" encoding="utf-8"?>
<formControlPr xmlns="http://schemas.microsoft.com/office/spreadsheetml/2009/9/main" objectType="Drop" dropLines="32" dropStyle="combo" dx="16" fmlaLink="$R$777" fmlaRange="'WORKINGS MATRIX'!$E$200:$E$231" noThreeD="1" sel="1" val="0"/>
</file>

<file path=xl/ctrlProps/ctrlProp320.xml><?xml version="1.0" encoding="utf-8"?>
<formControlPr xmlns="http://schemas.microsoft.com/office/spreadsheetml/2009/9/main" objectType="Drop" dropLines="20" dropStyle="combo" dx="16" fmlaLink="$P$778" fmlaRange="'WORKINGS MATRIX'!$C$200:$C$301" noThreeD="1" sel="1" val="0"/>
</file>

<file path=xl/ctrlProps/ctrlProp321.xml><?xml version="1.0" encoding="utf-8"?>
<formControlPr xmlns="http://schemas.microsoft.com/office/spreadsheetml/2009/9/main" objectType="Drop" dropLines="13" dropStyle="combo" dx="16" fmlaLink="$Q$778" fmlaRange="'WORKINGS MATRIX'!$D$200:$D$212" noThreeD="1" sel="1" val="0"/>
</file>

<file path=xl/ctrlProps/ctrlProp322.xml><?xml version="1.0" encoding="utf-8"?>
<formControlPr xmlns="http://schemas.microsoft.com/office/spreadsheetml/2009/9/main" objectType="Drop" dropLines="32" dropStyle="combo" dx="16" fmlaLink="$R$778" fmlaRange="'WORKINGS MATRIX'!$E$200:$E$231" noThreeD="1" sel="1" val="0"/>
</file>

<file path=xl/ctrlProps/ctrlProp323.xml><?xml version="1.0" encoding="utf-8"?>
<formControlPr xmlns="http://schemas.microsoft.com/office/spreadsheetml/2009/9/main" objectType="Drop" dropLines="20" dropStyle="combo" dx="16" fmlaLink="$P$775" fmlaRange="'WORKINGS MATRIX'!$C$200:$C$301" noThreeD="1" sel="1" val="0"/>
</file>

<file path=xl/ctrlProps/ctrlProp324.xml><?xml version="1.0" encoding="utf-8"?>
<formControlPr xmlns="http://schemas.microsoft.com/office/spreadsheetml/2009/9/main" objectType="Drop" dropLines="13" dropStyle="combo" dx="16" fmlaLink="$Q$775" fmlaRange="'WORKINGS MATRIX'!$D$200:$D$212" noThreeD="1" sel="1" val="0"/>
</file>

<file path=xl/ctrlProps/ctrlProp325.xml><?xml version="1.0" encoding="utf-8"?>
<formControlPr xmlns="http://schemas.microsoft.com/office/spreadsheetml/2009/9/main" objectType="Drop" dropLines="32" dropStyle="combo" dx="16" fmlaLink="$R$775" fmlaRange="'WORKINGS MATRIX'!$E$200:$E$231" noThreeD="1" sel="1" val="0"/>
</file>

<file path=xl/ctrlProps/ctrlProp326.xml><?xml version="1.0" encoding="utf-8"?>
<formControlPr xmlns="http://schemas.microsoft.com/office/spreadsheetml/2009/9/main" objectType="Drop" dropLines="20" dropStyle="combo" dx="16" fmlaLink="$P$776" fmlaRange="'WORKINGS MATRIX'!$C$200:$C$301" noThreeD="1" sel="1" val="0"/>
</file>

<file path=xl/ctrlProps/ctrlProp327.xml><?xml version="1.0" encoding="utf-8"?>
<formControlPr xmlns="http://schemas.microsoft.com/office/spreadsheetml/2009/9/main" objectType="Drop" dropLines="13" dropStyle="combo" dx="16" fmlaLink="$Q$776" fmlaRange="'WORKINGS MATRIX'!$D$200:$D$212" noThreeD="1" sel="1" val="0"/>
</file>

<file path=xl/ctrlProps/ctrlProp328.xml><?xml version="1.0" encoding="utf-8"?>
<formControlPr xmlns="http://schemas.microsoft.com/office/spreadsheetml/2009/9/main" objectType="Drop" dropLines="32" dropStyle="combo" dx="16" fmlaLink="$R$776" fmlaRange="'WORKINGS MATRIX'!$E$200:$E$231" noThreeD="1" sel="1" val="0"/>
</file>

<file path=xl/ctrlProps/ctrlProp329.xml><?xml version="1.0" encoding="utf-8"?>
<formControlPr xmlns="http://schemas.microsoft.com/office/spreadsheetml/2009/9/main" objectType="Drop" dropLines="20" dropStyle="combo" dx="16" fmlaLink="$P$852" fmlaRange="'WORKINGS MATRIX'!$C$200:$C$301" noThreeD="1" sel="1" val="82"/>
</file>

<file path=xl/ctrlProps/ctrlProp330.xml><?xml version="1.0" encoding="utf-8"?>
<formControlPr xmlns="http://schemas.microsoft.com/office/spreadsheetml/2009/9/main" objectType="Drop" dropLines="13" dropStyle="combo" dx="16" fmlaLink="$Q$852" fmlaRange="'WORKINGS MATRIX'!$D$200:$D$212" noThreeD="1" sel="1" val="0"/>
</file>

<file path=xl/ctrlProps/ctrlProp331.xml><?xml version="1.0" encoding="utf-8"?>
<formControlPr xmlns="http://schemas.microsoft.com/office/spreadsheetml/2009/9/main" objectType="Drop" dropLines="32" dropStyle="combo" dx="16" fmlaLink="$R$852" fmlaRange="'WORKINGS MATRIX'!$E$200:$E$231" noThreeD="1" sel="1" val="0"/>
</file>

<file path=xl/ctrlProps/ctrlProp332.xml><?xml version="1.0" encoding="utf-8"?>
<formControlPr xmlns="http://schemas.microsoft.com/office/spreadsheetml/2009/9/main" objectType="Drop" dropLines="20" dropStyle="combo" dx="16" fmlaLink="$P$853" fmlaRange="'WORKINGS MATRIX'!$C$200:$C$301" noThreeD="1" sel="1" val="0"/>
</file>

<file path=xl/ctrlProps/ctrlProp333.xml><?xml version="1.0" encoding="utf-8"?>
<formControlPr xmlns="http://schemas.microsoft.com/office/spreadsheetml/2009/9/main" objectType="Drop" dropLines="13" dropStyle="combo" dx="16" fmlaLink="$Q$853" fmlaRange="'WORKINGS MATRIX'!$D$200:$D$212" noThreeD="1" sel="1" val="0"/>
</file>

<file path=xl/ctrlProps/ctrlProp334.xml><?xml version="1.0" encoding="utf-8"?>
<formControlPr xmlns="http://schemas.microsoft.com/office/spreadsheetml/2009/9/main" objectType="Drop" dropLines="32" dropStyle="combo" dx="16" fmlaLink="$R$853" fmlaRange="'WORKINGS MATRIX'!$E$200:$E$231" noThreeD="1" sel="1" val="0"/>
</file>

<file path=xl/ctrlProps/ctrlProp335.xml><?xml version="1.0" encoding="utf-8"?>
<formControlPr xmlns="http://schemas.microsoft.com/office/spreadsheetml/2009/9/main" objectType="Drop" dropLines="20" dropStyle="combo" dx="16" fmlaLink="$P$854" fmlaRange="'WORKINGS MATRIX'!$C$200:$C$301" noThreeD="1" sel="1" val="0"/>
</file>

<file path=xl/ctrlProps/ctrlProp336.xml><?xml version="1.0" encoding="utf-8"?>
<formControlPr xmlns="http://schemas.microsoft.com/office/spreadsheetml/2009/9/main" objectType="Drop" dropLines="13" dropStyle="combo" dx="16" fmlaLink="$Q$854" fmlaRange="'WORKINGS MATRIX'!$D$200:$D$212" noThreeD="1" sel="1" val="0"/>
</file>

<file path=xl/ctrlProps/ctrlProp337.xml><?xml version="1.0" encoding="utf-8"?>
<formControlPr xmlns="http://schemas.microsoft.com/office/spreadsheetml/2009/9/main" objectType="Drop" dropLines="32" dropStyle="combo" dx="16" fmlaLink="$R$854" fmlaRange="'WORKINGS MATRIX'!$E$200:$E$231" noThreeD="1" sel="1" val="0"/>
</file>

<file path=xl/ctrlProps/ctrlProp338.xml><?xml version="1.0" encoding="utf-8"?>
<formControlPr xmlns="http://schemas.microsoft.com/office/spreadsheetml/2009/9/main" objectType="Drop" dropLines="20" dropStyle="combo" dx="16" fmlaLink="$P$877" fmlaRange="'WORKINGS MATRIX'!$C$200:$C$301" noThreeD="1" sel="1" val="0"/>
</file>

<file path=xl/ctrlProps/ctrlProp339.xml><?xml version="1.0" encoding="utf-8"?>
<formControlPr xmlns="http://schemas.microsoft.com/office/spreadsheetml/2009/9/main" objectType="Drop" dropLines="13" dropStyle="combo" dx="16" fmlaLink="$Q$877" fmlaRange="'WORKINGS MATRIX'!$D$200:$D$212" noThreeD="1" sel="1" val="0"/>
</file>

<file path=xl/ctrlProps/ctrlProp340.xml><?xml version="1.0" encoding="utf-8"?>
<formControlPr xmlns="http://schemas.microsoft.com/office/spreadsheetml/2009/9/main" objectType="Drop" dropLines="32" dropStyle="combo" dx="16" fmlaLink="$R$877" fmlaRange="'WORKINGS MATRIX'!$E$200:$E$231" noThreeD="1" sel="1" val="0"/>
</file>

<file path=xl/ctrlProps/ctrlProp341.xml><?xml version="1.0" encoding="utf-8"?>
<formControlPr xmlns="http://schemas.microsoft.com/office/spreadsheetml/2009/9/main" objectType="Drop" dropLines="20" dropStyle="combo" dx="16" fmlaLink="$P$878" fmlaRange="'WORKINGS MATRIX'!$C$200:$C$301" noThreeD="1" sel="1" val="0"/>
</file>

<file path=xl/ctrlProps/ctrlProp342.xml><?xml version="1.0" encoding="utf-8"?>
<formControlPr xmlns="http://schemas.microsoft.com/office/spreadsheetml/2009/9/main" objectType="Drop" dropLines="13" dropStyle="combo" dx="16" fmlaLink="$Q$878" fmlaRange="'WORKINGS MATRIX'!$D$200:$D$212" noThreeD="1" sel="1" val="0"/>
</file>

<file path=xl/ctrlProps/ctrlProp343.xml><?xml version="1.0" encoding="utf-8"?>
<formControlPr xmlns="http://schemas.microsoft.com/office/spreadsheetml/2009/9/main" objectType="Drop" dropLines="32" dropStyle="combo" dx="16" fmlaLink="$R$878" fmlaRange="'WORKINGS MATRIX'!$E$200:$E$231" noThreeD="1" sel="1" val="0"/>
</file>

<file path=xl/ctrlProps/ctrlProp344.xml><?xml version="1.0" encoding="utf-8"?>
<formControlPr xmlns="http://schemas.microsoft.com/office/spreadsheetml/2009/9/main" objectType="Drop" dropLines="20" dropStyle="combo" dx="16" fmlaLink="$P$875" fmlaRange="'WORKINGS MATRIX'!$C$200:$C$301" noThreeD="1" sel="1" val="0"/>
</file>

<file path=xl/ctrlProps/ctrlProp345.xml><?xml version="1.0" encoding="utf-8"?>
<formControlPr xmlns="http://schemas.microsoft.com/office/spreadsheetml/2009/9/main" objectType="Drop" dropLines="13" dropStyle="combo" dx="16" fmlaLink="$Q$875" fmlaRange="'WORKINGS MATRIX'!$D$200:$D$212" noThreeD="1" sel="1" val="0"/>
</file>

<file path=xl/ctrlProps/ctrlProp346.xml><?xml version="1.0" encoding="utf-8"?>
<formControlPr xmlns="http://schemas.microsoft.com/office/spreadsheetml/2009/9/main" objectType="Drop" dropLines="32" dropStyle="combo" dx="16" fmlaLink="$R$875" fmlaRange="'WORKINGS MATRIX'!$E$200:$E$231" noThreeD="1" sel="1" val="0"/>
</file>

<file path=xl/ctrlProps/ctrlProp347.xml><?xml version="1.0" encoding="utf-8"?>
<formControlPr xmlns="http://schemas.microsoft.com/office/spreadsheetml/2009/9/main" objectType="Drop" dropLines="20" dropStyle="combo" dx="16" fmlaLink="$P$876" fmlaRange="'WORKINGS MATRIX'!$C$200:$C$301" noThreeD="1" sel="1" val="0"/>
</file>

<file path=xl/ctrlProps/ctrlProp348.xml><?xml version="1.0" encoding="utf-8"?>
<formControlPr xmlns="http://schemas.microsoft.com/office/spreadsheetml/2009/9/main" objectType="Drop" dropLines="13" dropStyle="combo" dx="16" fmlaLink="$Q$876" fmlaRange="'WORKINGS MATRIX'!$D$200:$D$212" noThreeD="1" sel="1" val="0"/>
</file>

<file path=xl/ctrlProps/ctrlProp349.xml><?xml version="1.0" encoding="utf-8"?>
<formControlPr xmlns="http://schemas.microsoft.com/office/spreadsheetml/2009/9/main" objectType="Drop" dropLines="32" dropStyle="combo" dx="16" fmlaLink="$R$876" fmlaRange="'WORKINGS MATRIX'!$E$200:$E$231" noThreeD="1" sel="1" val="0"/>
</file>

<file path=xl/ctrlProps/ctrlProp350.xml><?xml version="1.0" encoding="utf-8"?>
<formControlPr xmlns="http://schemas.microsoft.com/office/spreadsheetml/2009/9/main" objectType="Drop" dropLines="20" dropStyle="combo" dx="16" fmlaLink="$P$952" fmlaRange="'WORKINGS MATRIX'!$C$200:$C$301" noThreeD="1" sel="1" val="82"/>
</file>

<file path=xl/ctrlProps/ctrlProp351.xml><?xml version="1.0" encoding="utf-8"?>
<formControlPr xmlns="http://schemas.microsoft.com/office/spreadsheetml/2009/9/main" objectType="Drop" dropLines="13" dropStyle="combo" dx="16" fmlaLink="$Q$952" fmlaRange="'WORKINGS MATRIX'!$D$200:$D$212" noThreeD="1" sel="1" val="0"/>
</file>

<file path=xl/ctrlProps/ctrlProp352.xml><?xml version="1.0" encoding="utf-8"?>
<formControlPr xmlns="http://schemas.microsoft.com/office/spreadsheetml/2009/9/main" objectType="Drop" dropLines="32" dropStyle="combo" dx="16" fmlaLink="$R$952" fmlaRange="'WORKINGS MATRIX'!$E$200:$E$231" noThreeD="1" sel="1" val="0"/>
</file>

<file path=xl/ctrlProps/ctrlProp353.xml><?xml version="1.0" encoding="utf-8"?>
<formControlPr xmlns="http://schemas.microsoft.com/office/spreadsheetml/2009/9/main" objectType="Drop" dropLines="20" dropStyle="combo" dx="16" fmlaLink="$P$953" fmlaRange="'WORKINGS MATRIX'!$C$200:$C$301" noThreeD="1" sel="1" val="0"/>
</file>

<file path=xl/ctrlProps/ctrlProp354.xml><?xml version="1.0" encoding="utf-8"?>
<formControlPr xmlns="http://schemas.microsoft.com/office/spreadsheetml/2009/9/main" objectType="Drop" dropLines="13" dropStyle="combo" dx="16" fmlaLink="$Q$953" fmlaRange="'WORKINGS MATRIX'!$D$200:$D$212" noThreeD="1" sel="1" val="0"/>
</file>

<file path=xl/ctrlProps/ctrlProp355.xml><?xml version="1.0" encoding="utf-8"?>
<formControlPr xmlns="http://schemas.microsoft.com/office/spreadsheetml/2009/9/main" objectType="Drop" dropLines="32" dropStyle="combo" dx="16" fmlaLink="$R$953" fmlaRange="'WORKINGS MATRIX'!$E$200:$E$231" noThreeD="1" sel="1" val="0"/>
</file>

<file path=xl/ctrlProps/ctrlProp356.xml><?xml version="1.0" encoding="utf-8"?>
<formControlPr xmlns="http://schemas.microsoft.com/office/spreadsheetml/2009/9/main" objectType="Drop" dropLines="20" dropStyle="combo" dx="16" fmlaLink="$P$954" fmlaRange="'WORKINGS MATRIX'!$C$200:$C$301" noThreeD="1" sel="1" val="0"/>
</file>

<file path=xl/ctrlProps/ctrlProp357.xml><?xml version="1.0" encoding="utf-8"?>
<formControlPr xmlns="http://schemas.microsoft.com/office/spreadsheetml/2009/9/main" objectType="Drop" dropLines="13" dropStyle="combo" dx="16" fmlaLink="$Q$954" fmlaRange="'WORKINGS MATRIX'!$D$200:$D$212" noThreeD="1" sel="1" val="0"/>
</file>

<file path=xl/ctrlProps/ctrlProp358.xml><?xml version="1.0" encoding="utf-8"?>
<formControlPr xmlns="http://schemas.microsoft.com/office/spreadsheetml/2009/9/main" objectType="Drop" dropLines="32" dropStyle="combo" dx="16" fmlaLink="$R$954" fmlaRange="'WORKINGS MATRIX'!$E$200:$E$231" noThreeD="1" sel="1" val="0"/>
</file>

<file path=xl/ctrlProps/ctrlProp359.xml><?xml version="1.0" encoding="utf-8"?>
<formControlPr xmlns="http://schemas.microsoft.com/office/spreadsheetml/2009/9/main" objectType="Drop" dropLines="20" dropStyle="combo" dx="16" fmlaLink="$P$977" fmlaRange="'WORKINGS MATRIX'!$C$200:$C$301" noThreeD="1" sel="1" val="0"/>
</file>

<file path=xl/ctrlProps/ctrlProp360.xml><?xml version="1.0" encoding="utf-8"?>
<formControlPr xmlns="http://schemas.microsoft.com/office/spreadsheetml/2009/9/main" objectType="Drop" dropLines="13" dropStyle="combo" dx="16" fmlaLink="$Q$977" fmlaRange="'WORKINGS MATRIX'!$D$200:$D$212" noThreeD="1" sel="1" val="0"/>
</file>

<file path=xl/ctrlProps/ctrlProp361.xml><?xml version="1.0" encoding="utf-8"?>
<formControlPr xmlns="http://schemas.microsoft.com/office/spreadsheetml/2009/9/main" objectType="Drop" dropLines="32" dropStyle="combo" dx="16" fmlaLink="$R$977" fmlaRange="'WORKINGS MATRIX'!$E$200:$E$231" noThreeD="1" sel="1" val="0"/>
</file>

<file path=xl/ctrlProps/ctrlProp362.xml><?xml version="1.0" encoding="utf-8"?>
<formControlPr xmlns="http://schemas.microsoft.com/office/spreadsheetml/2009/9/main" objectType="Drop" dropLines="20" dropStyle="combo" dx="16" fmlaLink="$P$978" fmlaRange="'WORKINGS MATRIX'!$C$200:$C$301" noThreeD="1" sel="1" val="0"/>
</file>

<file path=xl/ctrlProps/ctrlProp363.xml><?xml version="1.0" encoding="utf-8"?>
<formControlPr xmlns="http://schemas.microsoft.com/office/spreadsheetml/2009/9/main" objectType="Drop" dropLines="13" dropStyle="combo" dx="16" fmlaLink="$Q$978" fmlaRange="'WORKINGS MATRIX'!$D$200:$D$212" noThreeD="1" sel="1" val="0"/>
</file>

<file path=xl/ctrlProps/ctrlProp364.xml><?xml version="1.0" encoding="utf-8"?>
<formControlPr xmlns="http://schemas.microsoft.com/office/spreadsheetml/2009/9/main" objectType="Drop" dropLines="32" dropStyle="combo" dx="16" fmlaLink="$R$978" fmlaRange="'WORKINGS MATRIX'!$E$200:$E$231" noThreeD="1" sel="1" val="0"/>
</file>

<file path=xl/ctrlProps/ctrlProp365.xml><?xml version="1.0" encoding="utf-8"?>
<formControlPr xmlns="http://schemas.microsoft.com/office/spreadsheetml/2009/9/main" objectType="Drop" dropLines="20" dropStyle="combo" dx="16" fmlaLink="$P$975" fmlaRange="'WORKINGS MATRIX'!$C$200:$C$301" noThreeD="1" sel="1" val="0"/>
</file>

<file path=xl/ctrlProps/ctrlProp366.xml><?xml version="1.0" encoding="utf-8"?>
<formControlPr xmlns="http://schemas.microsoft.com/office/spreadsheetml/2009/9/main" objectType="Drop" dropLines="13" dropStyle="combo" dx="16" fmlaLink="$Q$975" fmlaRange="'WORKINGS MATRIX'!$D$200:$D$212" noThreeD="1" sel="1" val="0"/>
</file>

<file path=xl/ctrlProps/ctrlProp367.xml><?xml version="1.0" encoding="utf-8"?>
<formControlPr xmlns="http://schemas.microsoft.com/office/spreadsheetml/2009/9/main" objectType="Drop" dropLines="32" dropStyle="combo" dx="16" fmlaLink="$R$975" fmlaRange="'WORKINGS MATRIX'!$E$200:$E$231" noThreeD="1" sel="1" val="0"/>
</file>

<file path=xl/ctrlProps/ctrlProp368.xml><?xml version="1.0" encoding="utf-8"?>
<formControlPr xmlns="http://schemas.microsoft.com/office/spreadsheetml/2009/9/main" objectType="Drop" dropLines="20" dropStyle="combo" dx="16" fmlaLink="$P$976" fmlaRange="'WORKINGS MATRIX'!$C$200:$C$301" noThreeD="1" sel="1" val="0"/>
</file>

<file path=xl/ctrlProps/ctrlProp369.xml><?xml version="1.0" encoding="utf-8"?>
<formControlPr xmlns="http://schemas.microsoft.com/office/spreadsheetml/2009/9/main" objectType="Drop" dropLines="13" dropStyle="combo" dx="16" fmlaLink="$Q$976" fmlaRange="'WORKINGS MATRIX'!$D$200:$D$212" noThreeD="1" sel="1" val="0"/>
</file>

<file path=xl/ctrlProps/ctrlProp370.xml><?xml version="1.0" encoding="utf-8"?>
<formControlPr xmlns="http://schemas.microsoft.com/office/spreadsheetml/2009/9/main" objectType="Drop" dropLines="32" dropStyle="combo" dx="16" fmlaLink="$R$976" fmlaRange="'WORKINGS MATRIX'!$E$200:$E$231" noThreeD="1" sel="1" val="0"/>
</file>

<file path=xl/ctrlProps/ctrlProp371.xml><?xml version="1.0" encoding="utf-8"?>
<formControlPr xmlns="http://schemas.microsoft.com/office/spreadsheetml/2009/9/main" objectType="Drop" dropLines="20" dropStyle="combo" dx="16" fmlaLink="$P$1052" fmlaRange="'WORKINGS MATRIX'!$C$200:$C$301" noThreeD="1" sel="1" val="82"/>
</file>

<file path=xl/ctrlProps/ctrlProp372.xml><?xml version="1.0" encoding="utf-8"?>
<formControlPr xmlns="http://schemas.microsoft.com/office/spreadsheetml/2009/9/main" objectType="Drop" dropLines="13" dropStyle="combo" dx="16" fmlaLink="$Q$1052" fmlaRange="'WORKINGS MATRIX'!$D$200:$D$212" noThreeD="1" sel="1" val="0"/>
</file>

<file path=xl/ctrlProps/ctrlProp373.xml><?xml version="1.0" encoding="utf-8"?>
<formControlPr xmlns="http://schemas.microsoft.com/office/spreadsheetml/2009/9/main" objectType="Drop" dropLines="32" dropStyle="combo" dx="16" fmlaLink="$R$1052" fmlaRange="'WORKINGS MATRIX'!$E$200:$E$231" noThreeD="1" sel="1" val="0"/>
</file>

<file path=xl/ctrlProps/ctrlProp374.xml><?xml version="1.0" encoding="utf-8"?>
<formControlPr xmlns="http://schemas.microsoft.com/office/spreadsheetml/2009/9/main" objectType="Drop" dropLines="20" dropStyle="combo" dx="16" fmlaLink="$P$1053" fmlaRange="'WORKINGS MATRIX'!$C$200:$C$301" noThreeD="1" sel="1" val="0"/>
</file>

<file path=xl/ctrlProps/ctrlProp375.xml><?xml version="1.0" encoding="utf-8"?>
<formControlPr xmlns="http://schemas.microsoft.com/office/spreadsheetml/2009/9/main" objectType="Drop" dropLines="13" dropStyle="combo" dx="16" fmlaLink="$Q$1053" fmlaRange="'WORKINGS MATRIX'!$D$200:$D$212" noThreeD="1" sel="1" val="0"/>
</file>

<file path=xl/ctrlProps/ctrlProp376.xml><?xml version="1.0" encoding="utf-8"?>
<formControlPr xmlns="http://schemas.microsoft.com/office/spreadsheetml/2009/9/main" objectType="Drop" dropLines="32" dropStyle="combo" dx="16" fmlaLink="$R$1053" fmlaRange="'WORKINGS MATRIX'!$E$200:$E$231" noThreeD="1" sel="1" val="0"/>
</file>

<file path=xl/ctrlProps/ctrlProp377.xml><?xml version="1.0" encoding="utf-8"?>
<formControlPr xmlns="http://schemas.microsoft.com/office/spreadsheetml/2009/9/main" objectType="Drop" dropLines="20" dropStyle="combo" dx="16" fmlaLink="$P$1054" fmlaRange="'WORKINGS MATRIX'!$C$200:$C$301" noThreeD="1" sel="1" val="0"/>
</file>

<file path=xl/ctrlProps/ctrlProp378.xml><?xml version="1.0" encoding="utf-8"?>
<formControlPr xmlns="http://schemas.microsoft.com/office/spreadsheetml/2009/9/main" objectType="Drop" dropLines="13" dropStyle="combo" dx="16" fmlaLink="$Q$1054" fmlaRange="'WORKINGS MATRIX'!$D$200:$D$212" noThreeD="1" sel="1" val="0"/>
</file>

<file path=xl/ctrlProps/ctrlProp379.xml><?xml version="1.0" encoding="utf-8"?>
<formControlPr xmlns="http://schemas.microsoft.com/office/spreadsheetml/2009/9/main" objectType="Drop" dropLines="32" dropStyle="combo" dx="16" fmlaLink="$R$1054" fmlaRange="'WORKINGS MATRIX'!$E$200:$E$231" noThreeD="1" sel="1" val="0"/>
</file>

<file path=xl/ctrlProps/ctrlProp380.xml><?xml version="1.0" encoding="utf-8"?>
<formControlPr xmlns="http://schemas.microsoft.com/office/spreadsheetml/2009/9/main" objectType="Drop" dropLines="20" dropStyle="combo" dx="16" fmlaLink="$P$1077" fmlaRange="'WORKINGS MATRIX'!$C$200:$C$301" noThreeD="1" sel="1" val="0"/>
</file>

<file path=xl/ctrlProps/ctrlProp381.xml><?xml version="1.0" encoding="utf-8"?>
<formControlPr xmlns="http://schemas.microsoft.com/office/spreadsheetml/2009/9/main" objectType="Drop" dropLines="13" dropStyle="combo" dx="16" fmlaLink="$Q$1077" fmlaRange="'WORKINGS MATRIX'!$D$200:$D$212" noThreeD="1" sel="1" val="0"/>
</file>

<file path=xl/ctrlProps/ctrlProp382.xml><?xml version="1.0" encoding="utf-8"?>
<formControlPr xmlns="http://schemas.microsoft.com/office/spreadsheetml/2009/9/main" objectType="Drop" dropLines="32" dropStyle="combo" dx="16" fmlaLink="$R$1077" fmlaRange="'WORKINGS MATRIX'!$E$200:$E$231" noThreeD="1" sel="1" val="0"/>
</file>

<file path=xl/ctrlProps/ctrlProp383.xml><?xml version="1.0" encoding="utf-8"?>
<formControlPr xmlns="http://schemas.microsoft.com/office/spreadsheetml/2009/9/main" objectType="Drop" dropLines="20" dropStyle="combo" dx="16" fmlaLink="$P$1078" fmlaRange="'WORKINGS MATRIX'!$C$200:$C$301" noThreeD="1" sel="1" val="0"/>
</file>

<file path=xl/ctrlProps/ctrlProp384.xml><?xml version="1.0" encoding="utf-8"?>
<formControlPr xmlns="http://schemas.microsoft.com/office/spreadsheetml/2009/9/main" objectType="Drop" dropLines="13" dropStyle="combo" dx="16" fmlaLink="$Q$1078" fmlaRange="'WORKINGS MATRIX'!$D$200:$D$212" noThreeD="1" sel="1" val="0"/>
</file>

<file path=xl/ctrlProps/ctrlProp385.xml><?xml version="1.0" encoding="utf-8"?>
<formControlPr xmlns="http://schemas.microsoft.com/office/spreadsheetml/2009/9/main" objectType="Drop" dropLines="32" dropStyle="combo" dx="16" fmlaLink="$R$1078" fmlaRange="'WORKINGS MATRIX'!$E$200:$E$231" noThreeD="1" sel="1" val="0"/>
</file>

<file path=xl/ctrlProps/ctrlProp386.xml><?xml version="1.0" encoding="utf-8"?>
<formControlPr xmlns="http://schemas.microsoft.com/office/spreadsheetml/2009/9/main" objectType="Drop" dropLines="20" dropStyle="combo" dx="16" fmlaLink="$P$1075" fmlaRange="'WORKINGS MATRIX'!$C$200:$C$301" noThreeD="1" sel="1" val="0"/>
</file>

<file path=xl/ctrlProps/ctrlProp387.xml><?xml version="1.0" encoding="utf-8"?>
<formControlPr xmlns="http://schemas.microsoft.com/office/spreadsheetml/2009/9/main" objectType="Drop" dropLines="13" dropStyle="combo" dx="16" fmlaLink="$Q$1075" fmlaRange="'WORKINGS MATRIX'!$D$200:$D$212" noThreeD="1" sel="1" val="0"/>
</file>

<file path=xl/ctrlProps/ctrlProp388.xml><?xml version="1.0" encoding="utf-8"?>
<formControlPr xmlns="http://schemas.microsoft.com/office/spreadsheetml/2009/9/main" objectType="Drop" dropLines="32" dropStyle="combo" dx="16" fmlaLink="$R$1075" fmlaRange="'WORKINGS MATRIX'!$E$200:$E$231" noThreeD="1" sel="1" val="0"/>
</file>

<file path=xl/ctrlProps/ctrlProp389.xml><?xml version="1.0" encoding="utf-8"?>
<formControlPr xmlns="http://schemas.microsoft.com/office/spreadsheetml/2009/9/main" objectType="Drop" dropLines="20" dropStyle="combo" dx="16" fmlaLink="$P$1076" fmlaRange="'WORKINGS MATRIX'!$C$200:$C$301" noThreeD="1" sel="1" val="0"/>
</file>

<file path=xl/ctrlProps/ctrlProp390.xml><?xml version="1.0" encoding="utf-8"?>
<formControlPr xmlns="http://schemas.microsoft.com/office/spreadsheetml/2009/9/main" objectType="Drop" dropLines="13" dropStyle="combo" dx="16" fmlaLink="$Q$1076" fmlaRange="'WORKINGS MATRIX'!$D$200:$D$212" noThreeD="1" sel="1" val="0"/>
</file>

<file path=xl/ctrlProps/ctrlProp391.xml><?xml version="1.0" encoding="utf-8"?>
<formControlPr xmlns="http://schemas.microsoft.com/office/spreadsheetml/2009/9/main" objectType="Drop" dropLines="32" dropStyle="combo" dx="16" fmlaLink="$R$1076" fmlaRange="'WORKINGS MATRIX'!$E$200:$E$231" noThreeD="1" sel="1" val="0"/>
</file>

<file path=xl/ctrlProps/ctrlProp392.xml><?xml version="1.0" encoding="utf-8"?>
<formControlPr xmlns="http://schemas.microsoft.com/office/spreadsheetml/2009/9/main" objectType="Drop" dropLines="20" dropStyle="combo" dx="16" fmlaLink="$P$1152" fmlaRange="'WORKINGS MATRIX'!$C$200:$C$301" noThreeD="1" sel="1" val="82"/>
</file>

<file path=xl/ctrlProps/ctrlProp393.xml><?xml version="1.0" encoding="utf-8"?>
<formControlPr xmlns="http://schemas.microsoft.com/office/spreadsheetml/2009/9/main" objectType="Drop" dropLines="13" dropStyle="combo" dx="16" fmlaLink="$Q$1152" fmlaRange="'WORKINGS MATRIX'!$D$200:$D$212" noThreeD="1" sel="1" val="0"/>
</file>

<file path=xl/ctrlProps/ctrlProp394.xml><?xml version="1.0" encoding="utf-8"?>
<formControlPr xmlns="http://schemas.microsoft.com/office/spreadsheetml/2009/9/main" objectType="Drop" dropLines="32" dropStyle="combo" dx="16" fmlaLink="$R$1152" fmlaRange="'WORKINGS MATRIX'!$E$200:$E$231" noThreeD="1" sel="1" val="0"/>
</file>

<file path=xl/ctrlProps/ctrlProp395.xml><?xml version="1.0" encoding="utf-8"?>
<formControlPr xmlns="http://schemas.microsoft.com/office/spreadsheetml/2009/9/main" objectType="Drop" dropLines="20" dropStyle="combo" dx="16" fmlaLink="$P$1153" fmlaRange="'WORKINGS MATRIX'!$C$200:$C$301" noThreeD="1" sel="1" val="0"/>
</file>

<file path=xl/ctrlProps/ctrlProp396.xml><?xml version="1.0" encoding="utf-8"?>
<formControlPr xmlns="http://schemas.microsoft.com/office/spreadsheetml/2009/9/main" objectType="Drop" dropLines="13" dropStyle="combo" dx="16" fmlaLink="$Q$1153" fmlaRange="'WORKINGS MATRIX'!$D$200:$D$212" noThreeD="1" sel="1" val="0"/>
</file>

<file path=xl/ctrlProps/ctrlProp397.xml><?xml version="1.0" encoding="utf-8"?>
<formControlPr xmlns="http://schemas.microsoft.com/office/spreadsheetml/2009/9/main" objectType="Drop" dropLines="32" dropStyle="combo" dx="16" fmlaLink="$R$1153" fmlaRange="'WORKINGS MATRIX'!$E$200:$E$231" noThreeD="1" sel="1" val="0"/>
</file>

<file path=xl/ctrlProps/ctrlProp398.xml><?xml version="1.0" encoding="utf-8"?>
<formControlPr xmlns="http://schemas.microsoft.com/office/spreadsheetml/2009/9/main" objectType="Drop" dropLines="20" dropStyle="combo" dx="16" fmlaLink="$P$1154" fmlaRange="'WORKINGS MATRIX'!$C$200:$C$301" noThreeD="1" sel="1" val="0"/>
</file>

<file path=xl/ctrlProps/ctrlProp399.xml><?xml version="1.0" encoding="utf-8"?>
<formControlPr xmlns="http://schemas.microsoft.com/office/spreadsheetml/2009/9/main" objectType="Drop" dropLines="13" dropStyle="combo" dx="16" fmlaLink="$Q$1154" fmlaRange="'WORKINGS MATRIX'!$D$200:$D$212" noThreeD="1" sel="1" val="0"/>
</file>

<file path=xl/ctrlProps/ctrlProp400.xml><?xml version="1.0" encoding="utf-8"?>
<formControlPr xmlns="http://schemas.microsoft.com/office/spreadsheetml/2009/9/main" objectType="Drop" dropLines="32" dropStyle="combo" dx="16" fmlaLink="$R$1154" fmlaRange="'WORKINGS MATRIX'!$E$200:$E$231" noThreeD="1" sel="1" val="0"/>
</file>

<file path=xl/ctrlProps/ctrlProp401.xml><?xml version="1.0" encoding="utf-8"?>
<formControlPr xmlns="http://schemas.microsoft.com/office/spreadsheetml/2009/9/main" objectType="Drop" dropLines="20" dropStyle="combo" dx="16" fmlaLink="$P$1177" fmlaRange="'WORKINGS MATRIX'!$C$200:$C$301" noThreeD="1" sel="1" val="0"/>
</file>

<file path=xl/ctrlProps/ctrlProp402.xml><?xml version="1.0" encoding="utf-8"?>
<formControlPr xmlns="http://schemas.microsoft.com/office/spreadsheetml/2009/9/main" objectType="Drop" dropLines="13" dropStyle="combo" dx="16" fmlaLink="$Q$1177" fmlaRange="'WORKINGS MATRIX'!$D$200:$D$212" noThreeD="1" sel="1" val="0"/>
</file>

<file path=xl/ctrlProps/ctrlProp403.xml><?xml version="1.0" encoding="utf-8"?>
<formControlPr xmlns="http://schemas.microsoft.com/office/spreadsheetml/2009/9/main" objectType="Drop" dropLines="32" dropStyle="combo" dx="16" fmlaLink="$R$1177" fmlaRange="'WORKINGS MATRIX'!$E$200:$E$231" noThreeD="1" sel="1" val="0"/>
</file>

<file path=xl/ctrlProps/ctrlProp404.xml><?xml version="1.0" encoding="utf-8"?>
<formControlPr xmlns="http://schemas.microsoft.com/office/spreadsheetml/2009/9/main" objectType="Drop" dropLines="20" dropStyle="combo" dx="16" fmlaLink="$P$1178" fmlaRange="'WORKINGS MATRIX'!$C$200:$C$301" noThreeD="1" sel="1" val="0"/>
</file>

<file path=xl/ctrlProps/ctrlProp405.xml><?xml version="1.0" encoding="utf-8"?>
<formControlPr xmlns="http://schemas.microsoft.com/office/spreadsheetml/2009/9/main" objectType="Drop" dropLines="13" dropStyle="combo" dx="16" fmlaLink="$Q$1178" fmlaRange="'WORKINGS MATRIX'!$D$200:$D$212" noThreeD="1" sel="1" val="0"/>
</file>

<file path=xl/ctrlProps/ctrlProp406.xml><?xml version="1.0" encoding="utf-8"?>
<formControlPr xmlns="http://schemas.microsoft.com/office/spreadsheetml/2009/9/main" objectType="Drop" dropLines="32" dropStyle="combo" dx="16" fmlaLink="$R$1178" fmlaRange="'WORKINGS MATRIX'!$E$200:$E$231" noThreeD="1" sel="1" val="0"/>
</file>

<file path=xl/ctrlProps/ctrlProp407.xml><?xml version="1.0" encoding="utf-8"?>
<formControlPr xmlns="http://schemas.microsoft.com/office/spreadsheetml/2009/9/main" objectType="Drop" dropLines="20" dropStyle="combo" dx="16" fmlaLink="$P$1175" fmlaRange="'WORKINGS MATRIX'!$C$200:$C$301" noThreeD="1" sel="1" val="0"/>
</file>

<file path=xl/ctrlProps/ctrlProp408.xml><?xml version="1.0" encoding="utf-8"?>
<formControlPr xmlns="http://schemas.microsoft.com/office/spreadsheetml/2009/9/main" objectType="Drop" dropLines="13" dropStyle="combo" dx="16" fmlaLink="$Q$1175" fmlaRange="'WORKINGS MATRIX'!$D$200:$D$212" noThreeD="1" sel="1" val="0"/>
</file>

<file path=xl/ctrlProps/ctrlProp409.xml><?xml version="1.0" encoding="utf-8"?>
<formControlPr xmlns="http://schemas.microsoft.com/office/spreadsheetml/2009/9/main" objectType="Drop" dropLines="32" dropStyle="combo" dx="16" fmlaLink="$R$1175" fmlaRange="'WORKINGS MATRIX'!$E$200:$E$231" noThreeD="1" sel="1" val="0"/>
</file>

<file path=xl/ctrlProps/ctrlProp410.xml><?xml version="1.0" encoding="utf-8"?>
<formControlPr xmlns="http://schemas.microsoft.com/office/spreadsheetml/2009/9/main" objectType="Drop" dropLines="20" dropStyle="combo" dx="16" fmlaLink="$P$1176" fmlaRange="'WORKINGS MATRIX'!$C$200:$C$301" noThreeD="1" sel="1" val="0"/>
</file>

<file path=xl/ctrlProps/ctrlProp411.xml><?xml version="1.0" encoding="utf-8"?>
<formControlPr xmlns="http://schemas.microsoft.com/office/spreadsheetml/2009/9/main" objectType="Drop" dropLines="13" dropStyle="combo" dx="16" fmlaLink="$Q$1176" fmlaRange="'WORKINGS MATRIX'!$D$200:$D$212" noThreeD="1" sel="1" val="0"/>
</file>

<file path=xl/ctrlProps/ctrlProp412.xml><?xml version="1.0" encoding="utf-8"?>
<formControlPr xmlns="http://schemas.microsoft.com/office/spreadsheetml/2009/9/main" objectType="Drop" dropLines="32" dropStyle="combo" dx="16" fmlaLink="$R$1176" fmlaRange="'WORKINGS MATRIX'!$E$200:$E$231" noThreeD="1" sel="1" val="0"/>
</file>

<file path=xl/ctrlProps/ctrlProp413.xml><?xml version="1.0" encoding="utf-8"?>
<formControlPr xmlns="http://schemas.microsoft.com/office/spreadsheetml/2009/9/main" objectType="Drop" dropLines="20" dropStyle="combo" dx="16" fmlaLink="$P$1252" fmlaRange="'WORKINGS MATRIX'!$C$200:$C$301" noThreeD="1" sel="1" val="82"/>
</file>

<file path=xl/ctrlProps/ctrlProp414.xml><?xml version="1.0" encoding="utf-8"?>
<formControlPr xmlns="http://schemas.microsoft.com/office/spreadsheetml/2009/9/main" objectType="Drop" dropLines="13" dropStyle="combo" dx="16" fmlaLink="$Q$1252" fmlaRange="'WORKINGS MATRIX'!$D$200:$D$212" noThreeD="1" sel="1" val="0"/>
</file>

<file path=xl/ctrlProps/ctrlProp415.xml><?xml version="1.0" encoding="utf-8"?>
<formControlPr xmlns="http://schemas.microsoft.com/office/spreadsheetml/2009/9/main" objectType="Drop" dropLines="32" dropStyle="combo" dx="16" fmlaLink="$R$1252" fmlaRange="'WORKINGS MATRIX'!$E$200:$E$231" noThreeD="1" sel="1" val="0"/>
</file>

<file path=xl/ctrlProps/ctrlProp416.xml><?xml version="1.0" encoding="utf-8"?>
<formControlPr xmlns="http://schemas.microsoft.com/office/spreadsheetml/2009/9/main" objectType="Drop" dropLines="20" dropStyle="combo" dx="16" fmlaLink="$P$1253" fmlaRange="'WORKINGS MATRIX'!$C$200:$C$301" noThreeD="1" sel="1" val="0"/>
</file>

<file path=xl/ctrlProps/ctrlProp417.xml><?xml version="1.0" encoding="utf-8"?>
<formControlPr xmlns="http://schemas.microsoft.com/office/spreadsheetml/2009/9/main" objectType="Drop" dropLines="13" dropStyle="combo" dx="16" fmlaLink="$Q$1253" fmlaRange="'WORKINGS MATRIX'!$D$200:$D$212" noThreeD="1" sel="1" val="0"/>
</file>

<file path=xl/ctrlProps/ctrlProp418.xml><?xml version="1.0" encoding="utf-8"?>
<formControlPr xmlns="http://schemas.microsoft.com/office/spreadsheetml/2009/9/main" objectType="Drop" dropLines="32" dropStyle="combo" dx="16" fmlaLink="$R$1253" fmlaRange="'WORKINGS MATRIX'!$E$200:$E$231" noThreeD="1" sel="1" val="0"/>
</file>

<file path=xl/ctrlProps/ctrlProp419.xml><?xml version="1.0" encoding="utf-8"?>
<formControlPr xmlns="http://schemas.microsoft.com/office/spreadsheetml/2009/9/main" objectType="Drop" dropLines="20" dropStyle="combo" dx="16" fmlaLink="$P$1254" fmlaRange="'WORKINGS MATRIX'!$C$200:$C$301" noThreeD="1" sel="1" val="0"/>
</file>

<file path=xl/ctrlProps/ctrlProp420.xml><?xml version="1.0" encoding="utf-8"?>
<formControlPr xmlns="http://schemas.microsoft.com/office/spreadsheetml/2009/9/main" objectType="Drop" dropLines="13" dropStyle="combo" dx="16" fmlaLink="$Q$1254" fmlaRange="'WORKINGS MATRIX'!$D$200:$D$212" noThreeD="1" sel="1" val="0"/>
</file>

<file path=xl/ctrlProps/ctrlProp421.xml><?xml version="1.0" encoding="utf-8"?>
<formControlPr xmlns="http://schemas.microsoft.com/office/spreadsheetml/2009/9/main" objectType="Drop" dropLines="32" dropStyle="combo" dx="16" fmlaLink="$R$1254" fmlaRange="'WORKINGS MATRIX'!$E$200:$E$231" noThreeD="1" sel="1" val="0"/>
</file>

<file path=xl/ctrlProps/ctrlProp422.xml><?xml version="1.0" encoding="utf-8"?>
<formControlPr xmlns="http://schemas.microsoft.com/office/spreadsheetml/2009/9/main" objectType="Drop" dropLines="20" dropStyle="combo" dx="16" fmlaLink="$P$1277" fmlaRange="'WORKINGS MATRIX'!$C$200:$C$301" noThreeD="1" sel="1" val="0"/>
</file>

<file path=xl/ctrlProps/ctrlProp423.xml><?xml version="1.0" encoding="utf-8"?>
<formControlPr xmlns="http://schemas.microsoft.com/office/spreadsheetml/2009/9/main" objectType="Drop" dropLines="13" dropStyle="combo" dx="16" fmlaLink="$Q$1277" fmlaRange="'WORKINGS MATRIX'!$D$200:$D$212" noThreeD="1" sel="1" val="0"/>
</file>

<file path=xl/ctrlProps/ctrlProp424.xml><?xml version="1.0" encoding="utf-8"?>
<formControlPr xmlns="http://schemas.microsoft.com/office/spreadsheetml/2009/9/main" objectType="Drop" dropLines="32" dropStyle="combo" dx="16" fmlaLink="$R$1277" fmlaRange="'WORKINGS MATRIX'!$E$200:$E$231" noThreeD="1" sel="1" val="0"/>
</file>

<file path=xl/ctrlProps/ctrlProp425.xml><?xml version="1.0" encoding="utf-8"?>
<formControlPr xmlns="http://schemas.microsoft.com/office/spreadsheetml/2009/9/main" objectType="Drop" dropLines="20" dropStyle="combo" dx="16" fmlaLink="$P$1278" fmlaRange="'WORKINGS MATRIX'!$C$200:$C$301" noThreeD="1" sel="1" val="0"/>
</file>

<file path=xl/ctrlProps/ctrlProp426.xml><?xml version="1.0" encoding="utf-8"?>
<formControlPr xmlns="http://schemas.microsoft.com/office/spreadsheetml/2009/9/main" objectType="Drop" dropLines="13" dropStyle="combo" dx="16" fmlaLink="$Q$1278" fmlaRange="'WORKINGS MATRIX'!$D$200:$D$212" noThreeD="1" sel="1" val="0"/>
</file>

<file path=xl/ctrlProps/ctrlProp427.xml><?xml version="1.0" encoding="utf-8"?>
<formControlPr xmlns="http://schemas.microsoft.com/office/spreadsheetml/2009/9/main" objectType="Drop" dropLines="32" dropStyle="combo" dx="16" fmlaLink="$R$1278" fmlaRange="'WORKINGS MATRIX'!$E$200:$E$231" noThreeD="1" sel="1" val="0"/>
</file>

<file path=xl/ctrlProps/ctrlProp428.xml><?xml version="1.0" encoding="utf-8"?>
<formControlPr xmlns="http://schemas.microsoft.com/office/spreadsheetml/2009/9/main" objectType="Drop" dropLines="20" dropStyle="combo" dx="16" fmlaLink="$P$1275" fmlaRange="'WORKINGS MATRIX'!$C$200:$C$301" noThreeD="1" sel="1" val="0"/>
</file>

<file path=xl/ctrlProps/ctrlProp429.xml><?xml version="1.0" encoding="utf-8"?>
<formControlPr xmlns="http://schemas.microsoft.com/office/spreadsheetml/2009/9/main" objectType="Drop" dropLines="13" dropStyle="combo" dx="16" fmlaLink="$Q$1275" fmlaRange="'WORKINGS MATRIX'!$D$200:$D$212" noThreeD="1" sel="1" val="0"/>
</file>

<file path=xl/ctrlProps/ctrlProp430.xml><?xml version="1.0" encoding="utf-8"?>
<formControlPr xmlns="http://schemas.microsoft.com/office/spreadsheetml/2009/9/main" objectType="Drop" dropLines="32" dropStyle="combo" dx="16" fmlaLink="$R$1275" fmlaRange="'WORKINGS MATRIX'!$E$200:$E$231" noThreeD="1" sel="1" val="0"/>
</file>

<file path=xl/ctrlProps/ctrlProp431.xml><?xml version="1.0" encoding="utf-8"?>
<formControlPr xmlns="http://schemas.microsoft.com/office/spreadsheetml/2009/9/main" objectType="Drop" dropLines="20" dropStyle="combo" dx="16" fmlaLink="$P$1276" fmlaRange="'WORKINGS MATRIX'!$C$200:$C$301" noThreeD="1" sel="1" val="0"/>
</file>

<file path=xl/ctrlProps/ctrlProp432.xml><?xml version="1.0" encoding="utf-8"?>
<formControlPr xmlns="http://schemas.microsoft.com/office/spreadsheetml/2009/9/main" objectType="Drop" dropLines="13" dropStyle="combo" dx="16" fmlaLink="$Q$1276" fmlaRange="'WORKINGS MATRIX'!$D$200:$D$212" noThreeD="1" sel="1" val="0"/>
</file>

<file path=xl/ctrlProps/ctrlProp433.xml><?xml version="1.0" encoding="utf-8"?>
<formControlPr xmlns="http://schemas.microsoft.com/office/spreadsheetml/2009/9/main" objectType="Drop" dropLines="32" dropStyle="combo" dx="16" fmlaLink="$R$1276" fmlaRange="'WORKINGS MATRIX'!$E$200:$E$231" noThreeD="1" sel="1" val="0"/>
</file>

<file path=xl/ctrlProps/ctrlProp434.xml><?xml version="1.0" encoding="utf-8"?>
<formControlPr xmlns="http://schemas.microsoft.com/office/spreadsheetml/2009/9/main" objectType="Drop" dropLines="20" dropStyle="combo" dx="16" fmlaLink="$P$1352" fmlaRange="'WORKINGS MATRIX'!$C$200:$C$301" noThreeD="1" sel="1" val="82"/>
</file>

<file path=xl/ctrlProps/ctrlProp435.xml><?xml version="1.0" encoding="utf-8"?>
<formControlPr xmlns="http://schemas.microsoft.com/office/spreadsheetml/2009/9/main" objectType="Drop" dropLines="13" dropStyle="combo" dx="16" fmlaLink="$Q$1352" fmlaRange="'WORKINGS MATRIX'!$D$200:$D$212" noThreeD="1" sel="1" val="0"/>
</file>

<file path=xl/ctrlProps/ctrlProp436.xml><?xml version="1.0" encoding="utf-8"?>
<formControlPr xmlns="http://schemas.microsoft.com/office/spreadsheetml/2009/9/main" objectType="Drop" dropLines="32" dropStyle="combo" dx="16" fmlaLink="$R$1352" fmlaRange="'WORKINGS MATRIX'!$E$200:$E$231" noThreeD="1" sel="1" val="0"/>
</file>

<file path=xl/ctrlProps/ctrlProp437.xml><?xml version="1.0" encoding="utf-8"?>
<formControlPr xmlns="http://schemas.microsoft.com/office/spreadsheetml/2009/9/main" objectType="Drop" dropLines="20" dropStyle="combo" dx="16" fmlaLink="$P$1353" fmlaRange="'WORKINGS MATRIX'!$C$200:$C$301" noThreeD="1" sel="1" val="0"/>
</file>

<file path=xl/ctrlProps/ctrlProp438.xml><?xml version="1.0" encoding="utf-8"?>
<formControlPr xmlns="http://schemas.microsoft.com/office/spreadsheetml/2009/9/main" objectType="Drop" dropLines="13" dropStyle="combo" dx="16" fmlaLink="$Q$1353" fmlaRange="'WORKINGS MATRIX'!$D$200:$D$212" noThreeD="1" sel="1" val="0"/>
</file>

<file path=xl/ctrlProps/ctrlProp439.xml><?xml version="1.0" encoding="utf-8"?>
<formControlPr xmlns="http://schemas.microsoft.com/office/spreadsheetml/2009/9/main" objectType="Drop" dropLines="32" dropStyle="combo" dx="16" fmlaLink="$R$1353" fmlaRange="'WORKINGS MATRIX'!$E$200:$E$231" noThreeD="1" sel="1" val="0"/>
</file>

<file path=xl/ctrlProps/ctrlProp440.xml><?xml version="1.0" encoding="utf-8"?>
<formControlPr xmlns="http://schemas.microsoft.com/office/spreadsheetml/2009/9/main" objectType="Drop" dropLines="20" dropStyle="combo" dx="16" fmlaLink="$P$1354" fmlaRange="'WORKINGS MATRIX'!$C$200:$C$301" noThreeD="1" sel="1" val="0"/>
</file>

<file path=xl/ctrlProps/ctrlProp441.xml><?xml version="1.0" encoding="utf-8"?>
<formControlPr xmlns="http://schemas.microsoft.com/office/spreadsheetml/2009/9/main" objectType="Drop" dropLines="13" dropStyle="combo" dx="16" fmlaLink="$Q$1354" fmlaRange="'WORKINGS MATRIX'!$D$200:$D$212" noThreeD="1" sel="1" val="0"/>
</file>

<file path=xl/ctrlProps/ctrlProp442.xml><?xml version="1.0" encoding="utf-8"?>
<formControlPr xmlns="http://schemas.microsoft.com/office/spreadsheetml/2009/9/main" objectType="Drop" dropLines="32" dropStyle="combo" dx="16" fmlaLink="$R$1354" fmlaRange="'WORKINGS MATRIX'!$E$200:$E$231" noThreeD="1" sel="1" val="0"/>
</file>

<file path=xl/ctrlProps/ctrlProp443.xml><?xml version="1.0" encoding="utf-8"?>
<formControlPr xmlns="http://schemas.microsoft.com/office/spreadsheetml/2009/9/main" objectType="Drop" dropLines="20" dropStyle="combo" dx="16" fmlaLink="$P$1377" fmlaRange="'WORKINGS MATRIX'!$C$200:$C$301" noThreeD="1" sel="1" val="0"/>
</file>

<file path=xl/ctrlProps/ctrlProp444.xml><?xml version="1.0" encoding="utf-8"?>
<formControlPr xmlns="http://schemas.microsoft.com/office/spreadsheetml/2009/9/main" objectType="Drop" dropLines="13" dropStyle="combo" dx="16" fmlaLink="$Q$1377" fmlaRange="'WORKINGS MATRIX'!$D$200:$D$212" noThreeD="1" sel="1" val="0"/>
</file>

<file path=xl/ctrlProps/ctrlProp445.xml><?xml version="1.0" encoding="utf-8"?>
<formControlPr xmlns="http://schemas.microsoft.com/office/spreadsheetml/2009/9/main" objectType="Drop" dropLines="32" dropStyle="combo" dx="16" fmlaLink="$R$1377" fmlaRange="'WORKINGS MATRIX'!$E$200:$E$231" noThreeD="1" sel="1" val="0"/>
</file>

<file path=xl/ctrlProps/ctrlProp446.xml><?xml version="1.0" encoding="utf-8"?>
<formControlPr xmlns="http://schemas.microsoft.com/office/spreadsheetml/2009/9/main" objectType="Drop" dropLines="20" dropStyle="combo" dx="16" fmlaLink="$P$1378" fmlaRange="'WORKINGS MATRIX'!$C$200:$C$301" noThreeD="1" sel="1" val="0"/>
</file>

<file path=xl/ctrlProps/ctrlProp447.xml><?xml version="1.0" encoding="utf-8"?>
<formControlPr xmlns="http://schemas.microsoft.com/office/spreadsheetml/2009/9/main" objectType="Drop" dropLines="13" dropStyle="combo" dx="16" fmlaLink="$Q$1378" fmlaRange="'WORKINGS MATRIX'!$D$200:$D$212" noThreeD="1" sel="1" val="0"/>
</file>

<file path=xl/ctrlProps/ctrlProp448.xml><?xml version="1.0" encoding="utf-8"?>
<formControlPr xmlns="http://schemas.microsoft.com/office/spreadsheetml/2009/9/main" objectType="Drop" dropLines="32" dropStyle="combo" dx="16" fmlaLink="$R$1378" fmlaRange="'WORKINGS MATRIX'!$E$200:$E$231" noThreeD="1" sel="1" val="0"/>
</file>

<file path=xl/ctrlProps/ctrlProp449.xml><?xml version="1.0" encoding="utf-8"?>
<formControlPr xmlns="http://schemas.microsoft.com/office/spreadsheetml/2009/9/main" objectType="Drop" dropLines="20" dropStyle="combo" dx="16" fmlaLink="$P$1375" fmlaRange="'WORKINGS MATRIX'!$C$200:$C$301" noThreeD="1" sel="1" val="0"/>
</file>

<file path=xl/ctrlProps/ctrlProp450.xml><?xml version="1.0" encoding="utf-8"?>
<formControlPr xmlns="http://schemas.microsoft.com/office/spreadsheetml/2009/9/main" objectType="Drop" dropLines="13" dropStyle="combo" dx="16" fmlaLink="$Q$1375" fmlaRange="'WORKINGS MATRIX'!$D$200:$D$212" noThreeD="1" sel="1" val="0"/>
</file>

<file path=xl/ctrlProps/ctrlProp451.xml><?xml version="1.0" encoding="utf-8"?>
<formControlPr xmlns="http://schemas.microsoft.com/office/spreadsheetml/2009/9/main" objectType="Drop" dropLines="32" dropStyle="combo" dx="16" fmlaLink="$R$1375" fmlaRange="'WORKINGS MATRIX'!$E$200:$E$231" noThreeD="1" sel="1" val="0"/>
</file>

<file path=xl/ctrlProps/ctrlProp452.xml><?xml version="1.0" encoding="utf-8"?>
<formControlPr xmlns="http://schemas.microsoft.com/office/spreadsheetml/2009/9/main" objectType="Drop" dropLines="20" dropStyle="combo" dx="16" fmlaLink="$P$1376" fmlaRange="'WORKINGS MATRIX'!$C$200:$C$301" noThreeD="1" sel="1" val="0"/>
</file>

<file path=xl/ctrlProps/ctrlProp453.xml><?xml version="1.0" encoding="utf-8"?>
<formControlPr xmlns="http://schemas.microsoft.com/office/spreadsheetml/2009/9/main" objectType="Drop" dropLines="13" dropStyle="combo" dx="16" fmlaLink="$Q$1376" fmlaRange="'WORKINGS MATRIX'!$D$200:$D$212" noThreeD="1" sel="1" val="0"/>
</file>

<file path=xl/ctrlProps/ctrlProp454.xml><?xml version="1.0" encoding="utf-8"?>
<formControlPr xmlns="http://schemas.microsoft.com/office/spreadsheetml/2009/9/main" objectType="Drop" dropLines="32" dropStyle="combo" dx="16" fmlaLink="$R$1376" fmlaRange="'WORKINGS MATRIX'!$E$200:$E$231" noThreeD="1" sel="1" val="0"/>
</file>

<file path=xl/ctrlProps/ctrlProp455.xml><?xml version="1.0" encoding="utf-8"?>
<formControlPr xmlns="http://schemas.microsoft.com/office/spreadsheetml/2009/9/main" objectType="Drop" dropLines="20" dropStyle="combo" dx="16" fmlaLink="$P$1452" fmlaRange="'WORKINGS MATRIX'!$C$200:$C$301" noThreeD="1" sel="1" val="82"/>
</file>

<file path=xl/ctrlProps/ctrlProp456.xml><?xml version="1.0" encoding="utf-8"?>
<formControlPr xmlns="http://schemas.microsoft.com/office/spreadsheetml/2009/9/main" objectType="Drop" dropLines="13" dropStyle="combo" dx="16" fmlaLink="$Q$1452" fmlaRange="'WORKINGS MATRIX'!$D$200:$D$212" noThreeD="1" sel="1" val="0"/>
</file>

<file path=xl/ctrlProps/ctrlProp457.xml><?xml version="1.0" encoding="utf-8"?>
<formControlPr xmlns="http://schemas.microsoft.com/office/spreadsheetml/2009/9/main" objectType="Drop" dropLines="32" dropStyle="combo" dx="16" fmlaLink="$R$1452" fmlaRange="'WORKINGS MATRIX'!$E$200:$E$231" noThreeD="1" sel="1" val="0"/>
</file>

<file path=xl/ctrlProps/ctrlProp458.xml><?xml version="1.0" encoding="utf-8"?>
<formControlPr xmlns="http://schemas.microsoft.com/office/spreadsheetml/2009/9/main" objectType="Drop" dropLines="20" dropStyle="combo" dx="16" fmlaLink="$P$1453" fmlaRange="'WORKINGS MATRIX'!$C$200:$C$301" noThreeD="1" sel="1" val="0"/>
</file>

<file path=xl/ctrlProps/ctrlProp459.xml><?xml version="1.0" encoding="utf-8"?>
<formControlPr xmlns="http://schemas.microsoft.com/office/spreadsheetml/2009/9/main" objectType="Drop" dropLines="13" dropStyle="combo" dx="16" fmlaLink="$Q$1453" fmlaRange="'WORKINGS MATRIX'!$D$200:$D$212" noThreeD="1" sel="1" val="0"/>
</file>

<file path=xl/ctrlProps/ctrlProp460.xml><?xml version="1.0" encoding="utf-8"?>
<formControlPr xmlns="http://schemas.microsoft.com/office/spreadsheetml/2009/9/main" objectType="Drop" dropLines="32" dropStyle="combo" dx="16" fmlaLink="$R$1453" fmlaRange="'WORKINGS MATRIX'!$E$200:$E$231" noThreeD="1" sel="1" val="0"/>
</file>

<file path=xl/ctrlProps/ctrlProp461.xml><?xml version="1.0" encoding="utf-8"?>
<formControlPr xmlns="http://schemas.microsoft.com/office/spreadsheetml/2009/9/main" objectType="Drop" dropLines="20" dropStyle="combo" dx="16" fmlaLink="$P$1454" fmlaRange="'WORKINGS MATRIX'!$C$200:$C$301" noThreeD="1" sel="1" val="0"/>
</file>

<file path=xl/ctrlProps/ctrlProp462.xml><?xml version="1.0" encoding="utf-8"?>
<formControlPr xmlns="http://schemas.microsoft.com/office/spreadsheetml/2009/9/main" objectType="Drop" dropLines="13" dropStyle="combo" dx="16" fmlaLink="$Q$1454" fmlaRange="'WORKINGS MATRIX'!$D$200:$D$212" noThreeD="1" sel="1" val="0"/>
</file>

<file path=xl/ctrlProps/ctrlProp463.xml><?xml version="1.0" encoding="utf-8"?>
<formControlPr xmlns="http://schemas.microsoft.com/office/spreadsheetml/2009/9/main" objectType="Drop" dropLines="32" dropStyle="combo" dx="16" fmlaLink="$R$1454" fmlaRange="'WORKINGS MATRIX'!$E$200:$E$231" noThreeD="1" sel="1" val="0"/>
</file>

<file path=xl/ctrlProps/ctrlProp464.xml><?xml version="1.0" encoding="utf-8"?>
<formControlPr xmlns="http://schemas.microsoft.com/office/spreadsheetml/2009/9/main" objectType="Drop" dropLines="20" dropStyle="combo" dx="16" fmlaLink="$P$1477" fmlaRange="'WORKINGS MATRIX'!$C$200:$C$301" noThreeD="1" sel="1" val="0"/>
</file>

<file path=xl/ctrlProps/ctrlProp465.xml><?xml version="1.0" encoding="utf-8"?>
<formControlPr xmlns="http://schemas.microsoft.com/office/spreadsheetml/2009/9/main" objectType="Drop" dropLines="13" dropStyle="combo" dx="16" fmlaLink="$Q$1477" fmlaRange="'WORKINGS MATRIX'!$D$200:$D$212" noThreeD="1" sel="1" val="0"/>
</file>

<file path=xl/ctrlProps/ctrlProp466.xml><?xml version="1.0" encoding="utf-8"?>
<formControlPr xmlns="http://schemas.microsoft.com/office/spreadsheetml/2009/9/main" objectType="Drop" dropLines="32" dropStyle="combo" dx="16" fmlaLink="$R$1477" fmlaRange="'WORKINGS MATRIX'!$E$200:$E$231" noThreeD="1" sel="1" val="0"/>
</file>

<file path=xl/ctrlProps/ctrlProp467.xml><?xml version="1.0" encoding="utf-8"?>
<formControlPr xmlns="http://schemas.microsoft.com/office/spreadsheetml/2009/9/main" objectType="Drop" dropLines="20" dropStyle="combo" dx="16" fmlaLink="$P$1478" fmlaRange="'WORKINGS MATRIX'!$C$200:$C$301" noThreeD="1" sel="1" val="0"/>
</file>

<file path=xl/ctrlProps/ctrlProp468.xml><?xml version="1.0" encoding="utf-8"?>
<formControlPr xmlns="http://schemas.microsoft.com/office/spreadsheetml/2009/9/main" objectType="Drop" dropLines="13" dropStyle="combo" dx="16" fmlaLink="$Q$1478" fmlaRange="'WORKINGS MATRIX'!$D$200:$D$212" noThreeD="1" sel="1" val="0"/>
</file>

<file path=xl/ctrlProps/ctrlProp469.xml><?xml version="1.0" encoding="utf-8"?>
<formControlPr xmlns="http://schemas.microsoft.com/office/spreadsheetml/2009/9/main" objectType="Drop" dropLines="32" dropStyle="combo" dx="16" fmlaLink="$R$1478" fmlaRange="'WORKINGS MATRIX'!$E$200:$E$231" noThreeD="1" sel="1" val="0"/>
</file>

<file path=xl/ctrlProps/ctrlProp470.xml><?xml version="1.0" encoding="utf-8"?>
<formControlPr xmlns="http://schemas.microsoft.com/office/spreadsheetml/2009/9/main" objectType="Drop" dropLines="20" dropStyle="combo" dx="16" fmlaLink="$P$1475" fmlaRange="'WORKINGS MATRIX'!$C$200:$C$301" noThreeD="1" sel="1" val="0"/>
</file>

<file path=xl/ctrlProps/ctrlProp471.xml><?xml version="1.0" encoding="utf-8"?>
<formControlPr xmlns="http://schemas.microsoft.com/office/spreadsheetml/2009/9/main" objectType="Drop" dropLines="13" dropStyle="combo" dx="16" fmlaLink="$Q$1475" fmlaRange="'WORKINGS MATRIX'!$D$200:$D$212" noThreeD="1" sel="1" val="0"/>
</file>

<file path=xl/ctrlProps/ctrlProp472.xml><?xml version="1.0" encoding="utf-8"?>
<formControlPr xmlns="http://schemas.microsoft.com/office/spreadsheetml/2009/9/main" objectType="Drop" dropLines="32" dropStyle="combo" dx="16" fmlaLink="$R$1475" fmlaRange="'WORKINGS MATRIX'!$E$200:$E$231" noThreeD="1" sel="1" val="0"/>
</file>

<file path=xl/ctrlProps/ctrlProp473.xml><?xml version="1.0" encoding="utf-8"?>
<formControlPr xmlns="http://schemas.microsoft.com/office/spreadsheetml/2009/9/main" objectType="Drop" dropLines="20" dropStyle="combo" dx="16" fmlaLink="$P$1476" fmlaRange="'WORKINGS MATRIX'!$C$200:$C$301" noThreeD="1" sel="1" val="0"/>
</file>

<file path=xl/ctrlProps/ctrlProp474.xml><?xml version="1.0" encoding="utf-8"?>
<formControlPr xmlns="http://schemas.microsoft.com/office/spreadsheetml/2009/9/main" objectType="Drop" dropLines="13" dropStyle="combo" dx="16" fmlaLink="$Q$1476" fmlaRange="'WORKINGS MATRIX'!$D$200:$D$212" noThreeD="1" sel="1" val="0"/>
</file>

<file path=xl/ctrlProps/ctrlProp475.xml><?xml version="1.0" encoding="utf-8"?>
<formControlPr xmlns="http://schemas.microsoft.com/office/spreadsheetml/2009/9/main" objectType="Drop" dropLines="32" dropStyle="combo" dx="16" fmlaLink="$R$1476" fmlaRange="'WORKINGS MATRIX'!$E$200:$E$231" noThreeD="1" sel="1" val="0"/>
</file>

<file path=xl/ctrlProps/ctrlProp476.xml><?xml version="1.0" encoding="utf-8"?>
<formControlPr xmlns="http://schemas.microsoft.com/office/spreadsheetml/2009/9/main" objectType="Drop" dropLines="20" dropStyle="combo" dx="16" fmlaLink="$P$1552" fmlaRange="'WORKINGS MATRIX'!$C$200:$C$301" noThreeD="1" sel="1" val="82"/>
</file>

<file path=xl/ctrlProps/ctrlProp477.xml><?xml version="1.0" encoding="utf-8"?>
<formControlPr xmlns="http://schemas.microsoft.com/office/spreadsheetml/2009/9/main" objectType="Drop" dropLines="13" dropStyle="combo" dx="16" fmlaLink="$Q$1552" fmlaRange="'WORKINGS MATRIX'!$D$200:$D$212" noThreeD="1" sel="1" val="0"/>
</file>

<file path=xl/ctrlProps/ctrlProp478.xml><?xml version="1.0" encoding="utf-8"?>
<formControlPr xmlns="http://schemas.microsoft.com/office/spreadsheetml/2009/9/main" objectType="Drop" dropLines="32" dropStyle="combo" dx="16" fmlaLink="$R$1552" fmlaRange="'WORKINGS MATRIX'!$E$200:$E$231" noThreeD="1" sel="1" val="0"/>
</file>

<file path=xl/ctrlProps/ctrlProp479.xml><?xml version="1.0" encoding="utf-8"?>
<formControlPr xmlns="http://schemas.microsoft.com/office/spreadsheetml/2009/9/main" objectType="Drop" dropLines="20" dropStyle="combo" dx="16" fmlaLink="$P$1553" fmlaRange="'WORKINGS MATRIX'!$C$200:$C$301" noThreeD="1" sel="1" val="0"/>
</file>

<file path=xl/ctrlProps/ctrlProp480.xml><?xml version="1.0" encoding="utf-8"?>
<formControlPr xmlns="http://schemas.microsoft.com/office/spreadsheetml/2009/9/main" objectType="Drop" dropLines="13" dropStyle="combo" dx="16" fmlaLink="$Q$1553" fmlaRange="'WORKINGS MATRIX'!$D$200:$D$212" noThreeD="1" sel="1" val="0"/>
</file>

<file path=xl/ctrlProps/ctrlProp481.xml><?xml version="1.0" encoding="utf-8"?>
<formControlPr xmlns="http://schemas.microsoft.com/office/spreadsheetml/2009/9/main" objectType="Drop" dropLines="32" dropStyle="combo" dx="16" fmlaLink="$R$1553" fmlaRange="'WORKINGS MATRIX'!$E$200:$E$231" noThreeD="1" sel="1" val="0"/>
</file>

<file path=xl/ctrlProps/ctrlProp482.xml><?xml version="1.0" encoding="utf-8"?>
<formControlPr xmlns="http://schemas.microsoft.com/office/spreadsheetml/2009/9/main" objectType="Drop" dropLines="20" dropStyle="combo" dx="16" fmlaLink="$P$1554" fmlaRange="'WORKINGS MATRIX'!$C$200:$C$301" noThreeD="1" sel="1" val="0"/>
</file>

<file path=xl/ctrlProps/ctrlProp483.xml><?xml version="1.0" encoding="utf-8"?>
<formControlPr xmlns="http://schemas.microsoft.com/office/spreadsheetml/2009/9/main" objectType="Drop" dropLines="13" dropStyle="combo" dx="16" fmlaLink="$Q$1554" fmlaRange="'WORKINGS MATRIX'!$D$200:$D$212" noThreeD="1" sel="1" val="0"/>
</file>

<file path=xl/ctrlProps/ctrlProp484.xml><?xml version="1.0" encoding="utf-8"?>
<formControlPr xmlns="http://schemas.microsoft.com/office/spreadsheetml/2009/9/main" objectType="Drop" dropLines="32" dropStyle="combo" dx="16" fmlaLink="$R$1554" fmlaRange="'WORKINGS MATRIX'!$E$200:$E$231" noThreeD="1" sel="1" val="0"/>
</file>

<file path=xl/ctrlProps/ctrlProp485.xml><?xml version="1.0" encoding="utf-8"?>
<formControlPr xmlns="http://schemas.microsoft.com/office/spreadsheetml/2009/9/main" objectType="Drop" dropLines="20" dropStyle="combo" dx="16" fmlaLink="$P$1577" fmlaRange="'WORKINGS MATRIX'!$C$200:$C$301" noThreeD="1" sel="1" val="0"/>
</file>

<file path=xl/ctrlProps/ctrlProp486.xml><?xml version="1.0" encoding="utf-8"?>
<formControlPr xmlns="http://schemas.microsoft.com/office/spreadsheetml/2009/9/main" objectType="Drop" dropLines="13" dropStyle="combo" dx="16" fmlaLink="$Q$1577" fmlaRange="'WORKINGS MATRIX'!$D$200:$D$212" noThreeD="1" sel="1" val="0"/>
</file>

<file path=xl/ctrlProps/ctrlProp487.xml><?xml version="1.0" encoding="utf-8"?>
<formControlPr xmlns="http://schemas.microsoft.com/office/spreadsheetml/2009/9/main" objectType="Drop" dropLines="32" dropStyle="combo" dx="16" fmlaLink="$R$1577" fmlaRange="'WORKINGS MATRIX'!$E$200:$E$231" noThreeD="1" sel="1" val="0"/>
</file>

<file path=xl/ctrlProps/ctrlProp488.xml><?xml version="1.0" encoding="utf-8"?>
<formControlPr xmlns="http://schemas.microsoft.com/office/spreadsheetml/2009/9/main" objectType="Drop" dropLines="20" dropStyle="combo" dx="16" fmlaLink="$P$1578" fmlaRange="'WORKINGS MATRIX'!$C$200:$C$301" noThreeD="1" sel="1" val="0"/>
</file>

<file path=xl/ctrlProps/ctrlProp489.xml><?xml version="1.0" encoding="utf-8"?>
<formControlPr xmlns="http://schemas.microsoft.com/office/spreadsheetml/2009/9/main" objectType="Drop" dropLines="13" dropStyle="combo" dx="16" fmlaLink="$Q$1578" fmlaRange="'WORKINGS MATRIX'!$D$200:$D$212" noThreeD="1" sel="1" val="0"/>
</file>

<file path=xl/ctrlProps/ctrlProp490.xml><?xml version="1.0" encoding="utf-8"?>
<formControlPr xmlns="http://schemas.microsoft.com/office/spreadsheetml/2009/9/main" objectType="Drop" dropLines="32" dropStyle="combo" dx="16" fmlaLink="$R$1578" fmlaRange="'WORKINGS MATRIX'!$E$200:$E$231" noThreeD="1" sel="1" val="0"/>
</file>

<file path=xl/ctrlProps/ctrlProp491.xml><?xml version="1.0" encoding="utf-8"?>
<formControlPr xmlns="http://schemas.microsoft.com/office/spreadsheetml/2009/9/main" objectType="Drop" dropLines="20" dropStyle="combo" dx="16" fmlaLink="$P$1575" fmlaRange="'WORKINGS MATRIX'!$C$200:$C$301" noThreeD="1" sel="1" val="0"/>
</file>

<file path=xl/ctrlProps/ctrlProp492.xml><?xml version="1.0" encoding="utf-8"?>
<formControlPr xmlns="http://schemas.microsoft.com/office/spreadsheetml/2009/9/main" objectType="Drop" dropLines="13" dropStyle="combo" dx="16" fmlaLink="$Q$1575" fmlaRange="'WORKINGS MATRIX'!$D$200:$D$212" noThreeD="1" sel="1" val="0"/>
</file>

<file path=xl/ctrlProps/ctrlProp493.xml><?xml version="1.0" encoding="utf-8"?>
<formControlPr xmlns="http://schemas.microsoft.com/office/spreadsheetml/2009/9/main" objectType="Drop" dropLines="32" dropStyle="combo" dx="16" fmlaLink="$R$1575" fmlaRange="'WORKINGS MATRIX'!$E$200:$E$231" noThreeD="1" sel="1" val="0"/>
</file>

<file path=xl/ctrlProps/ctrlProp494.xml><?xml version="1.0" encoding="utf-8"?>
<formControlPr xmlns="http://schemas.microsoft.com/office/spreadsheetml/2009/9/main" objectType="Drop" dropLines="20" dropStyle="combo" dx="16" fmlaLink="$P$1576" fmlaRange="'WORKINGS MATRIX'!$C$200:$C$301" noThreeD="1" sel="1" val="0"/>
</file>

<file path=xl/ctrlProps/ctrlProp495.xml><?xml version="1.0" encoding="utf-8"?>
<formControlPr xmlns="http://schemas.microsoft.com/office/spreadsheetml/2009/9/main" objectType="Drop" dropLines="13" dropStyle="combo" dx="16" fmlaLink="$Q$1576" fmlaRange="'WORKINGS MATRIX'!$D$200:$D$212" noThreeD="1" sel="1" val="0"/>
</file>

<file path=xl/ctrlProps/ctrlProp496.xml><?xml version="1.0" encoding="utf-8"?>
<formControlPr xmlns="http://schemas.microsoft.com/office/spreadsheetml/2009/9/main" objectType="Drop" dropLines="32" dropStyle="combo" dx="16" fmlaLink="$R$1576" fmlaRange="'WORKINGS MATRIX'!$E$200:$E$231" noThreeD="1" sel="1" val="0"/>
</file>

<file path=xl/ctrlProps/ctrlProp497.xml><?xml version="1.0" encoding="utf-8"?>
<formControlPr xmlns="http://schemas.microsoft.com/office/spreadsheetml/2009/9/main" objectType="Drop" dropLines="20" dropStyle="combo" dx="16" fmlaLink="$P$1652" fmlaRange="'WORKINGS MATRIX'!$C$200:$C$301" noThreeD="1" sel="1" val="82"/>
</file>

<file path=xl/ctrlProps/ctrlProp498.xml><?xml version="1.0" encoding="utf-8"?>
<formControlPr xmlns="http://schemas.microsoft.com/office/spreadsheetml/2009/9/main" objectType="Drop" dropLines="13" dropStyle="combo" dx="16" fmlaLink="$Q$1652" fmlaRange="'WORKINGS MATRIX'!$D$200:$D$212" noThreeD="1" sel="1" val="0"/>
</file>

<file path=xl/ctrlProps/ctrlProp499.xml><?xml version="1.0" encoding="utf-8"?>
<formControlPr xmlns="http://schemas.microsoft.com/office/spreadsheetml/2009/9/main" objectType="Drop" dropLines="32" dropStyle="combo" dx="16" fmlaLink="$R$1652" fmlaRange="'WORKINGS MATRIX'!$E$200:$E$231" noThreeD="1" sel="1" val="0"/>
</file>

<file path=xl/ctrlProps/ctrlProp500.xml><?xml version="1.0" encoding="utf-8"?>
<formControlPr xmlns="http://schemas.microsoft.com/office/spreadsheetml/2009/9/main" objectType="Drop" dropLines="20" dropStyle="combo" dx="16" fmlaLink="$P$1653" fmlaRange="'WORKINGS MATRIX'!$C$200:$C$301" noThreeD="1" sel="1" val="0"/>
</file>

<file path=xl/ctrlProps/ctrlProp501.xml><?xml version="1.0" encoding="utf-8"?>
<formControlPr xmlns="http://schemas.microsoft.com/office/spreadsheetml/2009/9/main" objectType="Drop" dropLines="13" dropStyle="combo" dx="16" fmlaLink="$Q$1653" fmlaRange="'WORKINGS MATRIX'!$D$200:$D$212" noThreeD="1" sel="1" val="0"/>
</file>

<file path=xl/ctrlProps/ctrlProp502.xml><?xml version="1.0" encoding="utf-8"?>
<formControlPr xmlns="http://schemas.microsoft.com/office/spreadsheetml/2009/9/main" objectType="Drop" dropLines="32" dropStyle="combo" dx="16" fmlaLink="$R$1653" fmlaRange="'WORKINGS MATRIX'!$E$200:$E$231" noThreeD="1" sel="1" val="0"/>
</file>

<file path=xl/ctrlProps/ctrlProp503.xml><?xml version="1.0" encoding="utf-8"?>
<formControlPr xmlns="http://schemas.microsoft.com/office/spreadsheetml/2009/9/main" objectType="Drop" dropLines="20" dropStyle="combo" dx="16" fmlaLink="$P$1654" fmlaRange="'WORKINGS MATRIX'!$C$200:$C$301" noThreeD="1" sel="1" val="0"/>
</file>

<file path=xl/ctrlProps/ctrlProp504.xml><?xml version="1.0" encoding="utf-8"?>
<formControlPr xmlns="http://schemas.microsoft.com/office/spreadsheetml/2009/9/main" objectType="Drop" dropLines="13" dropStyle="combo" dx="16" fmlaLink="$Q$1654" fmlaRange="'WORKINGS MATRIX'!$D$200:$D$212" noThreeD="1" sel="1" val="0"/>
</file>

<file path=xl/ctrlProps/ctrlProp505.xml><?xml version="1.0" encoding="utf-8"?>
<formControlPr xmlns="http://schemas.microsoft.com/office/spreadsheetml/2009/9/main" objectType="Drop" dropLines="32" dropStyle="combo" dx="16" fmlaLink="$R$1654" fmlaRange="'WORKINGS MATRIX'!$E$200:$E$231" noThreeD="1" sel="1" val="0"/>
</file>

<file path=xl/ctrlProps/ctrlProp506.xml><?xml version="1.0" encoding="utf-8"?>
<formControlPr xmlns="http://schemas.microsoft.com/office/spreadsheetml/2009/9/main" objectType="Drop" dropLines="20" dropStyle="combo" dx="16" fmlaLink="$P$1677" fmlaRange="'WORKINGS MATRIX'!$C$200:$C$301" noThreeD="1" sel="1" val="0"/>
</file>

<file path=xl/ctrlProps/ctrlProp507.xml><?xml version="1.0" encoding="utf-8"?>
<formControlPr xmlns="http://schemas.microsoft.com/office/spreadsheetml/2009/9/main" objectType="Drop" dropLines="13" dropStyle="combo" dx="16" fmlaLink="$Q$1677" fmlaRange="'WORKINGS MATRIX'!$D$200:$D$212" noThreeD="1" sel="1" val="0"/>
</file>

<file path=xl/ctrlProps/ctrlProp508.xml><?xml version="1.0" encoding="utf-8"?>
<formControlPr xmlns="http://schemas.microsoft.com/office/spreadsheetml/2009/9/main" objectType="Drop" dropLines="32" dropStyle="combo" dx="16" fmlaLink="$R$1677" fmlaRange="'WORKINGS MATRIX'!$E$200:$E$231" noThreeD="1" sel="1" val="0"/>
</file>

<file path=xl/ctrlProps/ctrlProp509.xml><?xml version="1.0" encoding="utf-8"?>
<formControlPr xmlns="http://schemas.microsoft.com/office/spreadsheetml/2009/9/main" objectType="Drop" dropLines="20" dropStyle="combo" dx="16" fmlaLink="$P$1678" fmlaRange="'WORKINGS MATRIX'!$C$200:$C$301" noThreeD="1" sel="1" val="0"/>
</file>

<file path=xl/ctrlProps/ctrlProp510.xml><?xml version="1.0" encoding="utf-8"?>
<formControlPr xmlns="http://schemas.microsoft.com/office/spreadsheetml/2009/9/main" objectType="Drop" dropLines="13" dropStyle="combo" dx="16" fmlaLink="$Q$1678" fmlaRange="'WORKINGS MATRIX'!$D$200:$D$212" noThreeD="1" sel="1" val="0"/>
</file>

<file path=xl/ctrlProps/ctrlProp511.xml><?xml version="1.0" encoding="utf-8"?>
<formControlPr xmlns="http://schemas.microsoft.com/office/spreadsheetml/2009/9/main" objectType="Drop" dropLines="32" dropStyle="combo" dx="16" fmlaLink="$R$1678" fmlaRange="'WORKINGS MATRIX'!$E$200:$E$231" noThreeD="1" sel="1" val="0"/>
</file>

<file path=xl/ctrlProps/ctrlProp512.xml><?xml version="1.0" encoding="utf-8"?>
<formControlPr xmlns="http://schemas.microsoft.com/office/spreadsheetml/2009/9/main" objectType="Drop" dropLines="20" dropStyle="combo" dx="16" fmlaLink="$P$1675" fmlaRange="'WORKINGS MATRIX'!$C$200:$C$301" noThreeD="1" sel="1" val="0"/>
</file>

<file path=xl/ctrlProps/ctrlProp513.xml><?xml version="1.0" encoding="utf-8"?>
<formControlPr xmlns="http://schemas.microsoft.com/office/spreadsheetml/2009/9/main" objectType="Drop" dropLines="13" dropStyle="combo" dx="16" fmlaLink="$Q$1675" fmlaRange="'WORKINGS MATRIX'!$D$200:$D$212" noThreeD="1" sel="1" val="0"/>
</file>

<file path=xl/ctrlProps/ctrlProp514.xml><?xml version="1.0" encoding="utf-8"?>
<formControlPr xmlns="http://schemas.microsoft.com/office/spreadsheetml/2009/9/main" objectType="Drop" dropLines="32" dropStyle="combo" dx="16" fmlaLink="$R$1675" fmlaRange="'WORKINGS MATRIX'!$E$200:$E$231" noThreeD="1" sel="1" val="0"/>
</file>

<file path=xl/ctrlProps/ctrlProp515.xml><?xml version="1.0" encoding="utf-8"?>
<formControlPr xmlns="http://schemas.microsoft.com/office/spreadsheetml/2009/9/main" objectType="Drop" dropLines="20" dropStyle="combo" dx="16" fmlaLink="$P$1676" fmlaRange="'WORKINGS MATRIX'!$C$200:$C$301" noThreeD="1" sel="1" val="0"/>
</file>

<file path=xl/ctrlProps/ctrlProp516.xml><?xml version="1.0" encoding="utf-8"?>
<formControlPr xmlns="http://schemas.microsoft.com/office/spreadsheetml/2009/9/main" objectType="Drop" dropLines="13" dropStyle="combo" dx="16" fmlaLink="$Q$1676" fmlaRange="'WORKINGS MATRIX'!$D$200:$D$212" noThreeD="1" sel="1" val="0"/>
</file>

<file path=xl/ctrlProps/ctrlProp517.xml><?xml version="1.0" encoding="utf-8"?>
<formControlPr xmlns="http://schemas.microsoft.com/office/spreadsheetml/2009/9/main" objectType="Drop" dropLines="32" dropStyle="combo" dx="16" fmlaLink="$R$1676" fmlaRange="'WORKINGS MATRIX'!$E$200:$E$231" noThreeD="1" sel="1" val="0"/>
</file>

<file path=xl/ctrlProps/ctrlProp518.xml><?xml version="1.0" encoding="utf-8"?>
<formControlPr xmlns="http://schemas.microsoft.com/office/spreadsheetml/2009/9/main" objectType="Drop" dropLines="20" dropStyle="combo" dx="16" fmlaLink="$P$1752" fmlaRange="'WORKINGS MATRIX'!$C$200:$C$301" noThreeD="1" sel="1" val="82"/>
</file>

<file path=xl/ctrlProps/ctrlProp519.xml><?xml version="1.0" encoding="utf-8"?>
<formControlPr xmlns="http://schemas.microsoft.com/office/spreadsheetml/2009/9/main" objectType="Drop" dropLines="13" dropStyle="combo" dx="16" fmlaLink="$Q$1752" fmlaRange="'WORKINGS MATRIX'!$D$200:$D$212" noThreeD="1" sel="1" val="0"/>
</file>

<file path=xl/ctrlProps/ctrlProp520.xml><?xml version="1.0" encoding="utf-8"?>
<formControlPr xmlns="http://schemas.microsoft.com/office/spreadsheetml/2009/9/main" objectType="Drop" dropLines="32" dropStyle="combo" dx="16" fmlaLink="$R$1752" fmlaRange="'WORKINGS MATRIX'!$E$200:$E$231" noThreeD="1" sel="1" val="0"/>
</file>

<file path=xl/ctrlProps/ctrlProp521.xml><?xml version="1.0" encoding="utf-8"?>
<formControlPr xmlns="http://schemas.microsoft.com/office/spreadsheetml/2009/9/main" objectType="Drop" dropLines="20" dropStyle="combo" dx="16" fmlaLink="$P$1753" fmlaRange="'WORKINGS MATRIX'!$C$200:$C$301" noThreeD="1" sel="1" val="0"/>
</file>

<file path=xl/ctrlProps/ctrlProp522.xml><?xml version="1.0" encoding="utf-8"?>
<formControlPr xmlns="http://schemas.microsoft.com/office/spreadsheetml/2009/9/main" objectType="Drop" dropLines="13" dropStyle="combo" dx="16" fmlaLink="$Q$1753" fmlaRange="'WORKINGS MATRIX'!$D$200:$D$212" noThreeD="1" sel="1" val="0"/>
</file>

<file path=xl/ctrlProps/ctrlProp523.xml><?xml version="1.0" encoding="utf-8"?>
<formControlPr xmlns="http://schemas.microsoft.com/office/spreadsheetml/2009/9/main" objectType="Drop" dropLines="32" dropStyle="combo" dx="16" fmlaLink="$R$1753" fmlaRange="'WORKINGS MATRIX'!$E$200:$E$231" noThreeD="1" sel="1" val="0"/>
</file>

<file path=xl/ctrlProps/ctrlProp524.xml><?xml version="1.0" encoding="utf-8"?>
<formControlPr xmlns="http://schemas.microsoft.com/office/spreadsheetml/2009/9/main" objectType="Drop" dropLines="20" dropStyle="combo" dx="16" fmlaLink="$P$1754" fmlaRange="'WORKINGS MATRIX'!$C$200:$C$301" noThreeD="1" sel="1" val="0"/>
</file>

<file path=xl/ctrlProps/ctrlProp525.xml><?xml version="1.0" encoding="utf-8"?>
<formControlPr xmlns="http://schemas.microsoft.com/office/spreadsheetml/2009/9/main" objectType="Drop" dropLines="13" dropStyle="combo" dx="16" fmlaLink="$Q$1754" fmlaRange="'WORKINGS MATRIX'!$D$200:$D$212" noThreeD="1" sel="1" val="0"/>
</file>

<file path=xl/ctrlProps/ctrlProp526.xml><?xml version="1.0" encoding="utf-8"?>
<formControlPr xmlns="http://schemas.microsoft.com/office/spreadsheetml/2009/9/main" objectType="Drop" dropLines="32" dropStyle="combo" dx="16" fmlaLink="$R$1754" fmlaRange="'WORKINGS MATRIX'!$E$200:$E$231" noThreeD="1" sel="1" val="0"/>
</file>

<file path=xl/ctrlProps/ctrlProp527.xml><?xml version="1.0" encoding="utf-8"?>
<formControlPr xmlns="http://schemas.microsoft.com/office/spreadsheetml/2009/9/main" objectType="Drop" dropLines="20" dropStyle="combo" dx="16" fmlaLink="$P$1777" fmlaRange="'WORKINGS MATRIX'!$C$200:$C$301" noThreeD="1" sel="1" val="0"/>
</file>

<file path=xl/ctrlProps/ctrlProp528.xml><?xml version="1.0" encoding="utf-8"?>
<formControlPr xmlns="http://schemas.microsoft.com/office/spreadsheetml/2009/9/main" objectType="Drop" dropLines="13" dropStyle="combo" dx="16" fmlaLink="$Q$1777" fmlaRange="'WORKINGS MATRIX'!$D$200:$D$212" noThreeD="1" sel="1" val="0"/>
</file>

<file path=xl/ctrlProps/ctrlProp529.xml><?xml version="1.0" encoding="utf-8"?>
<formControlPr xmlns="http://schemas.microsoft.com/office/spreadsheetml/2009/9/main" objectType="Drop" dropLines="32" dropStyle="combo" dx="16" fmlaLink="$R$1777" fmlaRange="'WORKINGS MATRIX'!$E$200:$E$231" noThreeD="1" sel="1" val="0"/>
</file>

<file path=xl/ctrlProps/ctrlProp530.xml><?xml version="1.0" encoding="utf-8"?>
<formControlPr xmlns="http://schemas.microsoft.com/office/spreadsheetml/2009/9/main" objectType="Drop" dropLines="20" dropStyle="combo" dx="16" fmlaLink="$P$1778" fmlaRange="'WORKINGS MATRIX'!$C$200:$C$301" noThreeD="1" sel="1" val="0"/>
</file>

<file path=xl/ctrlProps/ctrlProp531.xml><?xml version="1.0" encoding="utf-8"?>
<formControlPr xmlns="http://schemas.microsoft.com/office/spreadsheetml/2009/9/main" objectType="Drop" dropLines="13" dropStyle="combo" dx="16" fmlaLink="$Q$1778" fmlaRange="'WORKINGS MATRIX'!$D$200:$D$212" noThreeD="1" sel="1" val="0"/>
</file>

<file path=xl/ctrlProps/ctrlProp532.xml><?xml version="1.0" encoding="utf-8"?>
<formControlPr xmlns="http://schemas.microsoft.com/office/spreadsheetml/2009/9/main" objectType="Drop" dropLines="32" dropStyle="combo" dx="16" fmlaLink="$R$1778" fmlaRange="'WORKINGS MATRIX'!$E$200:$E$231" noThreeD="1" sel="1" val="0"/>
</file>

<file path=xl/ctrlProps/ctrlProp533.xml><?xml version="1.0" encoding="utf-8"?>
<formControlPr xmlns="http://schemas.microsoft.com/office/spreadsheetml/2009/9/main" objectType="Drop" dropLines="20" dropStyle="combo" dx="16" fmlaLink="$P$1775" fmlaRange="'WORKINGS MATRIX'!$C$200:$C$301" noThreeD="1" sel="1" val="0"/>
</file>

<file path=xl/ctrlProps/ctrlProp534.xml><?xml version="1.0" encoding="utf-8"?>
<formControlPr xmlns="http://schemas.microsoft.com/office/spreadsheetml/2009/9/main" objectType="Drop" dropLines="13" dropStyle="combo" dx="16" fmlaLink="$Q$1775" fmlaRange="'WORKINGS MATRIX'!$D$200:$D$212" noThreeD="1" sel="1" val="0"/>
</file>

<file path=xl/ctrlProps/ctrlProp535.xml><?xml version="1.0" encoding="utf-8"?>
<formControlPr xmlns="http://schemas.microsoft.com/office/spreadsheetml/2009/9/main" objectType="Drop" dropLines="32" dropStyle="combo" dx="16" fmlaLink="$R$1775" fmlaRange="'WORKINGS MATRIX'!$E$200:$E$231" noThreeD="1" sel="1" val="0"/>
</file>

<file path=xl/ctrlProps/ctrlProp536.xml><?xml version="1.0" encoding="utf-8"?>
<formControlPr xmlns="http://schemas.microsoft.com/office/spreadsheetml/2009/9/main" objectType="Drop" dropLines="20" dropStyle="combo" dx="16" fmlaLink="$P$1776" fmlaRange="'WORKINGS MATRIX'!$C$200:$C$301" noThreeD="1" sel="1" val="0"/>
</file>

<file path=xl/ctrlProps/ctrlProp537.xml><?xml version="1.0" encoding="utf-8"?>
<formControlPr xmlns="http://schemas.microsoft.com/office/spreadsheetml/2009/9/main" objectType="Drop" dropLines="13" dropStyle="combo" dx="16" fmlaLink="$Q$1776" fmlaRange="'WORKINGS MATRIX'!$D$200:$D$212" noThreeD="1" sel="1" val="0"/>
</file>

<file path=xl/ctrlProps/ctrlProp538.xml><?xml version="1.0" encoding="utf-8"?>
<formControlPr xmlns="http://schemas.microsoft.com/office/spreadsheetml/2009/9/main" objectType="Drop" dropLines="32" dropStyle="combo" dx="16" fmlaLink="$R$1776" fmlaRange="'WORKINGS MATRIX'!$E$200:$E$231" noThreeD="1" sel="1" val="0"/>
</file>

<file path=xl/ctrlProps/ctrlProp539.xml><?xml version="1.0" encoding="utf-8"?>
<formControlPr xmlns="http://schemas.microsoft.com/office/spreadsheetml/2009/9/main" objectType="Drop" dropLines="20" dropStyle="combo" dx="16" fmlaLink="$P$1852" fmlaRange="'WORKINGS MATRIX'!$C$200:$C$301" noThreeD="1" sel="1" val="0"/>
</file>

<file path=xl/ctrlProps/ctrlProp540.xml><?xml version="1.0" encoding="utf-8"?>
<formControlPr xmlns="http://schemas.microsoft.com/office/spreadsheetml/2009/9/main" objectType="Drop" dropLines="13" dropStyle="combo" dx="16" fmlaLink="$Q$1852" fmlaRange="'WORKINGS MATRIX'!$D$200:$D$212" noThreeD="1" sel="1" val="0"/>
</file>

<file path=xl/ctrlProps/ctrlProp541.xml><?xml version="1.0" encoding="utf-8"?>
<formControlPr xmlns="http://schemas.microsoft.com/office/spreadsheetml/2009/9/main" objectType="Drop" dropLines="32" dropStyle="combo" dx="16" fmlaLink="$R$1852" fmlaRange="'WORKINGS MATRIX'!$E$200:$E$231" noThreeD="1" sel="1" val="0"/>
</file>

<file path=xl/ctrlProps/ctrlProp542.xml><?xml version="1.0" encoding="utf-8"?>
<formControlPr xmlns="http://schemas.microsoft.com/office/spreadsheetml/2009/9/main" objectType="Drop" dropLines="20" dropStyle="combo" dx="16" fmlaLink="$P$1853" fmlaRange="'WORKINGS MATRIX'!$C$200:$C$301" noThreeD="1" sel="1" val="0"/>
</file>

<file path=xl/ctrlProps/ctrlProp543.xml><?xml version="1.0" encoding="utf-8"?>
<formControlPr xmlns="http://schemas.microsoft.com/office/spreadsheetml/2009/9/main" objectType="Drop" dropLines="13" dropStyle="combo" dx="16" fmlaLink="$Q$1853" fmlaRange="'WORKINGS MATRIX'!$D$200:$D$212" noThreeD="1" sel="1" val="0"/>
</file>

<file path=xl/ctrlProps/ctrlProp544.xml><?xml version="1.0" encoding="utf-8"?>
<formControlPr xmlns="http://schemas.microsoft.com/office/spreadsheetml/2009/9/main" objectType="Drop" dropLines="32" dropStyle="combo" dx="16" fmlaLink="$R$1853" fmlaRange="'WORKINGS MATRIX'!$E$200:$E$231" noThreeD="1" sel="1" val="0"/>
</file>

<file path=xl/ctrlProps/ctrlProp545.xml><?xml version="1.0" encoding="utf-8"?>
<formControlPr xmlns="http://schemas.microsoft.com/office/spreadsheetml/2009/9/main" objectType="Drop" dropLines="20" dropStyle="combo" dx="16" fmlaLink="$P$1854" fmlaRange="'WORKINGS MATRIX'!$C$200:$C$301" noThreeD="1" sel="1" val="0"/>
</file>

<file path=xl/ctrlProps/ctrlProp546.xml><?xml version="1.0" encoding="utf-8"?>
<formControlPr xmlns="http://schemas.microsoft.com/office/spreadsheetml/2009/9/main" objectType="Drop" dropLines="13" dropStyle="combo" dx="16" fmlaLink="$Q$1854" fmlaRange="'WORKINGS MATRIX'!$D$200:$D$212" noThreeD="1" sel="1" val="0"/>
</file>

<file path=xl/ctrlProps/ctrlProp547.xml><?xml version="1.0" encoding="utf-8"?>
<formControlPr xmlns="http://schemas.microsoft.com/office/spreadsheetml/2009/9/main" objectType="Drop" dropLines="32" dropStyle="combo" dx="16" fmlaLink="$R$1854" fmlaRange="'WORKINGS MATRIX'!$E$200:$E$231" noThreeD="1" sel="1" val="0"/>
</file>

<file path=xl/ctrlProps/ctrlProp548.xml><?xml version="1.0" encoding="utf-8"?>
<formControlPr xmlns="http://schemas.microsoft.com/office/spreadsheetml/2009/9/main" objectType="Drop" dropLines="20" dropStyle="combo" dx="16" fmlaLink="$P$1877" fmlaRange="'WORKINGS MATRIX'!$C$200:$C$301" noThreeD="1" sel="1" val="0"/>
</file>

<file path=xl/ctrlProps/ctrlProp549.xml><?xml version="1.0" encoding="utf-8"?>
<formControlPr xmlns="http://schemas.microsoft.com/office/spreadsheetml/2009/9/main" objectType="Drop" dropLines="13" dropStyle="combo" dx="16" fmlaLink="$Q$1877" fmlaRange="'WORKINGS MATRIX'!$D$200:$D$212" noThreeD="1" sel="1" val="0"/>
</file>

<file path=xl/ctrlProps/ctrlProp550.xml><?xml version="1.0" encoding="utf-8"?>
<formControlPr xmlns="http://schemas.microsoft.com/office/spreadsheetml/2009/9/main" objectType="Drop" dropLines="32" dropStyle="combo" dx="16" fmlaLink="$R$1877" fmlaRange="'WORKINGS MATRIX'!$E$200:$E$231" noThreeD="1" sel="1" val="0"/>
</file>

<file path=xl/ctrlProps/ctrlProp551.xml><?xml version="1.0" encoding="utf-8"?>
<formControlPr xmlns="http://schemas.microsoft.com/office/spreadsheetml/2009/9/main" objectType="Drop" dropLines="20" dropStyle="combo" dx="16" fmlaLink="$P$1878" fmlaRange="'WORKINGS MATRIX'!$C$200:$C$301" noThreeD="1" sel="1" val="0"/>
</file>

<file path=xl/ctrlProps/ctrlProp552.xml><?xml version="1.0" encoding="utf-8"?>
<formControlPr xmlns="http://schemas.microsoft.com/office/spreadsheetml/2009/9/main" objectType="Drop" dropLines="13" dropStyle="combo" dx="16" fmlaLink="$Q$1878" fmlaRange="'WORKINGS MATRIX'!$D$200:$D$212" noThreeD="1" sel="1" val="0"/>
</file>

<file path=xl/ctrlProps/ctrlProp553.xml><?xml version="1.0" encoding="utf-8"?>
<formControlPr xmlns="http://schemas.microsoft.com/office/spreadsheetml/2009/9/main" objectType="Drop" dropLines="32" dropStyle="combo" dx="16" fmlaLink="$R$1878" fmlaRange="'WORKINGS MATRIX'!$E$200:$E$231" noThreeD="1" sel="1" val="0"/>
</file>

<file path=xl/ctrlProps/ctrlProp554.xml><?xml version="1.0" encoding="utf-8"?>
<formControlPr xmlns="http://schemas.microsoft.com/office/spreadsheetml/2009/9/main" objectType="Drop" dropLines="20" dropStyle="combo" dx="16" fmlaLink="$P$1875" fmlaRange="'WORKINGS MATRIX'!$C$200:$C$301" noThreeD="1" sel="1" val="0"/>
</file>

<file path=xl/ctrlProps/ctrlProp555.xml><?xml version="1.0" encoding="utf-8"?>
<formControlPr xmlns="http://schemas.microsoft.com/office/spreadsheetml/2009/9/main" objectType="Drop" dropLines="13" dropStyle="combo" dx="16" fmlaLink="$Q$1875" fmlaRange="'WORKINGS MATRIX'!$D$200:$D$212" noThreeD="1" sel="1" val="0"/>
</file>

<file path=xl/ctrlProps/ctrlProp556.xml><?xml version="1.0" encoding="utf-8"?>
<formControlPr xmlns="http://schemas.microsoft.com/office/spreadsheetml/2009/9/main" objectType="Drop" dropLines="32" dropStyle="combo" dx="16" fmlaLink="$R$1875" fmlaRange="'WORKINGS MATRIX'!$E$200:$E$231" noThreeD="1" sel="1" val="0"/>
</file>

<file path=xl/ctrlProps/ctrlProp557.xml><?xml version="1.0" encoding="utf-8"?>
<formControlPr xmlns="http://schemas.microsoft.com/office/spreadsheetml/2009/9/main" objectType="Drop" dropLines="20" dropStyle="combo" dx="16" fmlaLink="$P$1876" fmlaRange="'WORKINGS MATRIX'!$C$200:$C$301" noThreeD="1" sel="1" val="0"/>
</file>

<file path=xl/ctrlProps/ctrlProp558.xml><?xml version="1.0" encoding="utf-8"?>
<formControlPr xmlns="http://schemas.microsoft.com/office/spreadsheetml/2009/9/main" objectType="Drop" dropLines="13" dropStyle="combo" dx="16" fmlaLink="$Q$1876" fmlaRange="'WORKINGS MATRIX'!$D$200:$D$212" noThreeD="1" sel="1" val="0"/>
</file>

<file path=xl/ctrlProps/ctrlProp559.xml><?xml version="1.0" encoding="utf-8"?>
<formControlPr xmlns="http://schemas.microsoft.com/office/spreadsheetml/2009/9/main" objectType="Drop" dropLines="32" dropStyle="combo" dx="16" fmlaLink="$R$1876" fmlaRange="'WORKINGS MATRIX'!$E$200:$E$231" noThreeD="1" sel="1" val="0"/>
</file>

<file path=xl/ctrlProps/ctrlProp560.xml><?xml version="1.0" encoding="utf-8"?>
<formControlPr xmlns="http://schemas.microsoft.com/office/spreadsheetml/2009/9/main" objectType="Drop" dropLines="20" dropStyle="combo" dx="16" fmlaLink="$P$1952" fmlaRange="'WORKINGS MATRIX'!$C$200:$C$301" noThreeD="1" sel="1" val="82"/>
</file>

<file path=xl/ctrlProps/ctrlProp561.xml><?xml version="1.0" encoding="utf-8"?>
<formControlPr xmlns="http://schemas.microsoft.com/office/spreadsheetml/2009/9/main" objectType="Drop" dropLines="13" dropStyle="combo" dx="16" fmlaLink="$Q$1952" fmlaRange="'WORKINGS MATRIX'!$D$200:$D$212" noThreeD="1" sel="1" val="0"/>
</file>

<file path=xl/ctrlProps/ctrlProp562.xml><?xml version="1.0" encoding="utf-8"?>
<formControlPr xmlns="http://schemas.microsoft.com/office/spreadsheetml/2009/9/main" objectType="Drop" dropLines="32" dropStyle="combo" dx="16" fmlaLink="$R$1952" fmlaRange="'WORKINGS MATRIX'!$E$200:$E$231" noThreeD="1" sel="1" val="0"/>
</file>

<file path=xl/ctrlProps/ctrlProp563.xml><?xml version="1.0" encoding="utf-8"?>
<formControlPr xmlns="http://schemas.microsoft.com/office/spreadsheetml/2009/9/main" objectType="Drop" dropLines="20" dropStyle="combo" dx="16" fmlaLink="$P$1953" fmlaRange="'WORKINGS MATRIX'!$C$200:$C$301" noThreeD="1" sel="1" val="0"/>
</file>

<file path=xl/ctrlProps/ctrlProp564.xml><?xml version="1.0" encoding="utf-8"?>
<formControlPr xmlns="http://schemas.microsoft.com/office/spreadsheetml/2009/9/main" objectType="Drop" dropLines="13" dropStyle="combo" dx="16" fmlaLink="$Q$1953" fmlaRange="'WORKINGS MATRIX'!$D$200:$D$212" noThreeD="1" sel="1" val="0"/>
</file>

<file path=xl/ctrlProps/ctrlProp565.xml><?xml version="1.0" encoding="utf-8"?>
<formControlPr xmlns="http://schemas.microsoft.com/office/spreadsheetml/2009/9/main" objectType="Drop" dropLines="32" dropStyle="combo" dx="16" fmlaLink="$R$1953" fmlaRange="'WORKINGS MATRIX'!$E$200:$E$231" noThreeD="1" sel="1" val="0"/>
</file>

<file path=xl/ctrlProps/ctrlProp566.xml><?xml version="1.0" encoding="utf-8"?>
<formControlPr xmlns="http://schemas.microsoft.com/office/spreadsheetml/2009/9/main" objectType="Drop" dropLines="20" dropStyle="combo" dx="16" fmlaLink="$P$1954" fmlaRange="'WORKINGS MATRIX'!$C$200:$C$301" noThreeD="1" sel="1" val="0"/>
</file>

<file path=xl/ctrlProps/ctrlProp567.xml><?xml version="1.0" encoding="utf-8"?>
<formControlPr xmlns="http://schemas.microsoft.com/office/spreadsheetml/2009/9/main" objectType="Drop" dropLines="13" dropStyle="combo" dx="16" fmlaLink="$Q$1954" fmlaRange="'WORKINGS MATRIX'!$D$200:$D$212" noThreeD="1" sel="1" val="0"/>
</file>

<file path=xl/ctrlProps/ctrlProp568.xml><?xml version="1.0" encoding="utf-8"?>
<formControlPr xmlns="http://schemas.microsoft.com/office/spreadsheetml/2009/9/main" objectType="Drop" dropLines="32" dropStyle="combo" dx="16" fmlaLink="$R$1954" fmlaRange="'WORKINGS MATRIX'!$E$200:$E$231" noThreeD="1" sel="1" val="0"/>
</file>

<file path=xl/ctrlProps/ctrlProp569.xml><?xml version="1.0" encoding="utf-8"?>
<formControlPr xmlns="http://schemas.microsoft.com/office/spreadsheetml/2009/9/main" objectType="Drop" dropLines="20" dropStyle="combo" dx="16" fmlaLink="$P$1977" fmlaRange="'WORKINGS MATRIX'!$C$200:$C$301" noThreeD="1" sel="1" val="0"/>
</file>

<file path=xl/ctrlProps/ctrlProp570.xml><?xml version="1.0" encoding="utf-8"?>
<formControlPr xmlns="http://schemas.microsoft.com/office/spreadsheetml/2009/9/main" objectType="Drop" dropLines="13" dropStyle="combo" dx="16" fmlaLink="$Q$1977" fmlaRange="'WORKINGS MATRIX'!$D$200:$D$212" noThreeD="1" sel="1" val="0"/>
</file>

<file path=xl/ctrlProps/ctrlProp571.xml><?xml version="1.0" encoding="utf-8"?>
<formControlPr xmlns="http://schemas.microsoft.com/office/spreadsheetml/2009/9/main" objectType="Drop" dropLines="32" dropStyle="combo" dx="16" fmlaLink="$R$1977" fmlaRange="'WORKINGS MATRIX'!$E$200:$E$231" noThreeD="1" sel="1" val="0"/>
</file>

<file path=xl/ctrlProps/ctrlProp572.xml><?xml version="1.0" encoding="utf-8"?>
<formControlPr xmlns="http://schemas.microsoft.com/office/spreadsheetml/2009/9/main" objectType="Drop" dropLines="20" dropStyle="combo" dx="16" fmlaLink="$P$1978" fmlaRange="'WORKINGS MATRIX'!$C$200:$C$301" noThreeD="1" sel="1" val="0"/>
</file>

<file path=xl/ctrlProps/ctrlProp573.xml><?xml version="1.0" encoding="utf-8"?>
<formControlPr xmlns="http://schemas.microsoft.com/office/spreadsheetml/2009/9/main" objectType="Drop" dropLines="13" dropStyle="combo" dx="16" fmlaLink="$Q$1978" fmlaRange="'WORKINGS MATRIX'!$D$200:$D$212" noThreeD="1" sel="1" val="0"/>
</file>

<file path=xl/ctrlProps/ctrlProp574.xml><?xml version="1.0" encoding="utf-8"?>
<formControlPr xmlns="http://schemas.microsoft.com/office/spreadsheetml/2009/9/main" objectType="Drop" dropLines="32" dropStyle="combo" dx="16" fmlaLink="$R$1978" fmlaRange="'WORKINGS MATRIX'!$E$200:$E$231" noThreeD="1" sel="1" val="0"/>
</file>

<file path=xl/ctrlProps/ctrlProp575.xml><?xml version="1.0" encoding="utf-8"?>
<formControlPr xmlns="http://schemas.microsoft.com/office/spreadsheetml/2009/9/main" objectType="Drop" dropLines="20" dropStyle="combo" dx="16" fmlaLink="$P$1975" fmlaRange="'WORKINGS MATRIX'!$C$200:$C$301" noThreeD="1" sel="1" val="0"/>
</file>

<file path=xl/ctrlProps/ctrlProp576.xml><?xml version="1.0" encoding="utf-8"?>
<formControlPr xmlns="http://schemas.microsoft.com/office/spreadsheetml/2009/9/main" objectType="Drop" dropLines="13" dropStyle="combo" dx="16" fmlaLink="$Q$1975" fmlaRange="'WORKINGS MATRIX'!$D$200:$D$212" noThreeD="1" sel="1" val="0"/>
</file>

<file path=xl/ctrlProps/ctrlProp577.xml><?xml version="1.0" encoding="utf-8"?>
<formControlPr xmlns="http://schemas.microsoft.com/office/spreadsheetml/2009/9/main" objectType="Drop" dropLines="32" dropStyle="combo" dx="16" fmlaLink="$R$1975" fmlaRange="'WORKINGS MATRIX'!$E$200:$E$231" noThreeD="1" sel="1" val="0"/>
</file>

<file path=xl/ctrlProps/ctrlProp578.xml><?xml version="1.0" encoding="utf-8"?>
<formControlPr xmlns="http://schemas.microsoft.com/office/spreadsheetml/2009/9/main" objectType="Drop" dropLines="20" dropStyle="combo" dx="16" fmlaLink="$P$1976" fmlaRange="'WORKINGS MATRIX'!$C$200:$C$301" noThreeD="1" sel="1" val="0"/>
</file>

<file path=xl/ctrlProps/ctrlProp579.xml><?xml version="1.0" encoding="utf-8"?>
<formControlPr xmlns="http://schemas.microsoft.com/office/spreadsheetml/2009/9/main" objectType="Drop" dropLines="13" dropStyle="combo" dx="16" fmlaLink="$Q$1976" fmlaRange="'WORKINGS MATRIX'!$D$200:$D$212" noThreeD="1" sel="1" val="0"/>
</file>

<file path=xl/ctrlProps/ctrlProp580.xml><?xml version="1.0" encoding="utf-8"?>
<formControlPr xmlns="http://schemas.microsoft.com/office/spreadsheetml/2009/9/main" objectType="Drop" dropLines="32" dropStyle="combo" dx="16" fmlaLink="$R$1976" fmlaRange="'WORKINGS MATRIX'!$E$200:$E$231" noThreeD="1" sel="1" val="0"/>
</file>

<file path=xl/ctrlProps/ctrlProp581.xml><?xml version="1.0" encoding="utf-8"?>
<formControlPr xmlns="http://schemas.microsoft.com/office/spreadsheetml/2009/9/main" objectType="Drop" dropLines="3" dropStyle="combo" dx="16" fmlaLink="$CF$4016" fmlaRange="'WORKINGS MATRIX'!$F$21:$F$23" noThreeD="1" sel="0" val="0"/>
</file>

<file path=xl/ctrlProps/ctrlProp582.xml><?xml version="1.0" encoding="utf-8"?>
<formControlPr xmlns="http://schemas.microsoft.com/office/spreadsheetml/2009/9/main" objectType="Drop" dropLines="20" dropStyle="combo" dx="16" fmlaLink="$P$1847" fmlaRange="'WORKINGS MATRIX'!$C$200:$C$301" noThreeD="1" sel="1" val="0"/>
</file>

<file path=xl/ctrlProps/ctrlProp583.xml><?xml version="1.0" encoding="utf-8"?>
<formControlPr xmlns="http://schemas.microsoft.com/office/spreadsheetml/2009/9/main" objectType="Drop" dropLines="13" dropStyle="combo" dx="16" fmlaLink="$Q$1847" fmlaRange="'WORKINGS MATRIX'!$D$200:$D$212" noThreeD="1" sel="1" val="0"/>
</file>

<file path=xl/ctrlProps/ctrlProp584.xml><?xml version="1.0" encoding="utf-8"?>
<formControlPr xmlns="http://schemas.microsoft.com/office/spreadsheetml/2009/9/main" objectType="Drop" dropLines="32" dropStyle="combo" dx="16" fmlaLink="$R$1847" fmlaRange="'WORKINGS MATRIX'!$E$200:$E$231" noThreeD="1" sel="1" val="0"/>
</file>

<file path=xl/ctrlProps/ctrlProp585.xml><?xml version="1.0" encoding="utf-8"?>
<formControlPr xmlns="http://schemas.microsoft.com/office/spreadsheetml/2009/9/main" objectType="Drop" dropLines="20" dropStyle="combo" dx="16" fmlaLink="$P$1848" fmlaRange="'WORKINGS MATRIX'!$C$200:$C$301" noThreeD="1" sel="1" val="0"/>
</file>

<file path=xl/ctrlProps/ctrlProp586.xml><?xml version="1.0" encoding="utf-8"?>
<formControlPr xmlns="http://schemas.microsoft.com/office/spreadsheetml/2009/9/main" objectType="Drop" dropLines="13" dropStyle="combo" dx="16" fmlaLink="$Q$1848" fmlaRange="'WORKINGS MATRIX'!$D$200:$D$212" noThreeD="1" sel="1" val="0"/>
</file>

<file path=xl/ctrlProps/ctrlProp587.xml><?xml version="1.0" encoding="utf-8"?>
<formControlPr xmlns="http://schemas.microsoft.com/office/spreadsheetml/2009/9/main" objectType="Drop" dropLines="32" dropStyle="combo" dx="16" fmlaLink="$R$1848" fmlaRange="'WORKINGS MATRIX'!$E$200:$E$231" noThreeD="1" sel="1" val="0"/>
</file>

<file path=xl/ctrlProps/ctrlProp588.xml><?xml version="1.0" encoding="utf-8"?>
<formControlPr xmlns="http://schemas.microsoft.com/office/spreadsheetml/2009/9/main" objectType="Drop" dropLines="20" dropStyle="combo" dx="16" fmlaLink="$P$1849" fmlaRange="'WORKINGS MATRIX'!$C$200:$C$301" noThreeD="1" sel="1" val="0"/>
</file>

<file path=xl/ctrlProps/ctrlProp589.xml><?xml version="1.0" encoding="utf-8"?>
<formControlPr xmlns="http://schemas.microsoft.com/office/spreadsheetml/2009/9/main" objectType="Drop" dropLines="13" dropStyle="combo" dx="16" fmlaLink="$Q$1849" fmlaRange="'WORKINGS MATRIX'!$D$200:$D$212" noThreeD="1" sel="1" val="0"/>
</file>

<file path=xl/ctrlProps/ctrlProp590.xml><?xml version="1.0" encoding="utf-8"?>
<formControlPr xmlns="http://schemas.microsoft.com/office/spreadsheetml/2009/9/main" objectType="Drop" dropLines="32" dropStyle="combo" dx="16" fmlaLink="$R$1849" fmlaRange="'WORKINGS MATRIX'!$E$200:$E$231" noThreeD="1" sel="1" val="0"/>
</file>

<file path=xl/ctrlProps/ctrlProp591.xml><?xml version="1.0" encoding="utf-8"?>
<formControlPr xmlns="http://schemas.microsoft.com/office/spreadsheetml/2009/9/main" objectType="Drop" dropLines="20" dropStyle="combo" dx="16" fmlaLink="$P$1947" fmlaRange="'WORKINGS MATRIX'!$C$200:$C$301" noThreeD="1" sel="1" val="0"/>
</file>

<file path=xl/ctrlProps/ctrlProp592.xml><?xml version="1.0" encoding="utf-8"?>
<formControlPr xmlns="http://schemas.microsoft.com/office/spreadsheetml/2009/9/main" objectType="Drop" dropLines="13" dropStyle="combo" dx="16" fmlaLink="$Q$1947" fmlaRange="'WORKINGS MATRIX'!$D$200:$D$212" noThreeD="1" sel="1" val="0"/>
</file>

<file path=xl/ctrlProps/ctrlProp593.xml><?xml version="1.0" encoding="utf-8"?>
<formControlPr xmlns="http://schemas.microsoft.com/office/spreadsheetml/2009/9/main" objectType="Drop" dropLines="32" dropStyle="combo" dx="16" fmlaLink="$R$1947" fmlaRange="'WORKINGS MATRIX'!$E$200:$E$231" noThreeD="1" sel="1" val="0"/>
</file>

<file path=xl/ctrlProps/ctrlProp594.xml><?xml version="1.0" encoding="utf-8"?>
<formControlPr xmlns="http://schemas.microsoft.com/office/spreadsheetml/2009/9/main" objectType="Drop" dropLines="20" dropStyle="combo" dx="16" fmlaLink="$P$1949" fmlaRange="'WORKINGS MATRIX'!$C$200:$C$301" noThreeD="1" sel="1" val="0"/>
</file>

<file path=xl/ctrlProps/ctrlProp595.xml><?xml version="1.0" encoding="utf-8"?>
<formControlPr xmlns="http://schemas.microsoft.com/office/spreadsheetml/2009/9/main" objectType="Drop" dropLines="13" dropStyle="combo" dx="16" fmlaLink="$Q$1949" fmlaRange="'WORKINGS MATRIX'!$D$200:$D$212" noThreeD="1" sel="1" val="0"/>
</file>

<file path=xl/ctrlProps/ctrlProp596.xml><?xml version="1.0" encoding="utf-8"?>
<formControlPr xmlns="http://schemas.microsoft.com/office/spreadsheetml/2009/9/main" objectType="Drop" dropLines="32" dropStyle="combo" dx="16" fmlaLink="$R$1949" fmlaRange="'WORKINGS MATRIX'!$E$200:$E$231" noThreeD="1" sel="1" val="0"/>
</file>

<file path=xl/ctrlProps/ctrlProp597.xml><?xml version="1.0" encoding="utf-8"?>
<formControlPr xmlns="http://schemas.microsoft.com/office/spreadsheetml/2009/9/main" objectType="Drop" dropLines="20" dropStyle="combo" dx="16" fmlaLink="$P$1948" fmlaRange="'WORKINGS MATRIX'!$C$200:$C$301" noThreeD="1" sel="1" val="0"/>
</file>

<file path=xl/ctrlProps/ctrlProp598.xml><?xml version="1.0" encoding="utf-8"?>
<formControlPr xmlns="http://schemas.microsoft.com/office/spreadsheetml/2009/9/main" objectType="Drop" dropLines="13" dropStyle="combo" dx="16" fmlaLink="$Q$1948" fmlaRange="'WORKINGS MATRIX'!$D$200:$D$212" noThreeD="1" sel="1" val="0"/>
</file>

<file path=xl/ctrlProps/ctrlProp599.xml><?xml version="1.0" encoding="utf-8"?>
<formControlPr xmlns="http://schemas.microsoft.com/office/spreadsheetml/2009/9/main" objectType="Drop" dropLines="32" dropStyle="combo" dx="16" fmlaLink="$R$1948" fmlaRange="'WORKINGS MATRIX'!$E$200:$E$231" noThreeD="1" sel="1" val="0"/>
</file>

<file path=xl/ctrlProps/ctrlProp600.xml><?xml version="1.0" encoding="utf-8"?>
<formControlPr xmlns="http://schemas.microsoft.com/office/spreadsheetml/2009/9/main" objectType="Drop" dropLines="20" dropStyle="combo" dx="16" fmlaLink="$P$1547" fmlaRange="'WORKINGS MATRIX'!$C$200:$C$301" noThreeD="1" sel="1" val="0"/>
</file>

<file path=xl/ctrlProps/ctrlProp601.xml><?xml version="1.0" encoding="utf-8"?>
<formControlPr xmlns="http://schemas.microsoft.com/office/spreadsheetml/2009/9/main" objectType="Drop" dropLines="13" dropStyle="combo" dx="16" fmlaLink="$Q$1547" fmlaRange="'WORKINGS MATRIX'!$D$200:$D$212" noThreeD="1" sel="1" val="0"/>
</file>

<file path=xl/ctrlProps/ctrlProp602.xml><?xml version="1.0" encoding="utf-8"?>
<formControlPr xmlns="http://schemas.microsoft.com/office/spreadsheetml/2009/9/main" objectType="Drop" dropLines="32" dropStyle="combo" dx="16" fmlaLink="$R$1547" fmlaRange="'WORKINGS MATRIX'!$E$200:$E$231" noThreeD="1" sel="1" val="0"/>
</file>

<file path=xl/ctrlProps/ctrlProp603.xml><?xml version="1.0" encoding="utf-8"?>
<formControlPr xmlns="http://schemas.microsoft.com/office/spreadsheetml/2009/9/main" objectType="Drop" dropLines="20" dropStyle="combo" dx="16" fmlaLink="$P$1548" fmlaRange="'WORKINGS MATRIX'!$C$200:$C$301" noThreeD="1" sel="1" val="0"/>
</file>

<file path=xl/ctrlProps/ctrlProp604.xml><?xml version="1.0" encoding="utf-8"?>
<formControlPr xmlns="http://schemas.microsoft.com/office/spreadsheetml/2009/9/main" objectType="Drop" dropLines="13" dropStyle="combo" dx="16" fmlaLink="$Q$1548" fmlaRange="'WORKINGS MATRIX'!$D$200:$D$212" noThreeD="1" sel="1" val="0"/>
</file>

<file path=xl/ctrlProps/ctrlProp605.xml><?xml version="1.0" encoding="utf-8"?>
<formControlPr xmlns="http://schemas.microsoft.com/office/spreadsheetml/2009/9/main" objectType="Drop" dropLines="32" dropStyle="combo" dx="16" fmlaLink="$R$1548" fmlaRange="'WORKINGS MATRIX'!$E$200:$E$231" noThreeD="1" sel="1" val="0"/>
</file>

<file path=xl/ctrlProps/ctrlProp606.xml><?xml version="1.0" encoding="utf-8"?>
<formControlPr xmlns="http://schemas.microsoft.com/office/spreadsheetml/2009/9/main" objectType="Drop" dropLines="20" dropStyle="combo" dx="16" fmlaLink="$P$1549" fmlaRange="'WORKINGS MATRIX'!$C$200:$C$301" noThreeD="1" sel="1" val="0"/>
</file>

<file path=xl/ctrlProps/ctrlProp607.xml><?xml version="1.0" encoding="utf-8"?>
<formControlPr xmlns="http://schemas.microsoft.com/office/spreadsheetml/2009/9/main" objectType="Drop" dropLines="13" dropStyle="combo" dx="16" fmlaLink="$Q$1549" fmlaRange="'WORKINGS MATRIX'!$D$200:$D$212" noThreeD="1" sel="1" val="0"/>
</file>

<file path=xl/ctrlProps/ctrlProp608.xml><?xml version="1.0" encoding="utf-8"?>
<formControlPr xmlns="http://schemas.microsoft.com/office/spreadsheetml/2009/9/main" objectType="Drop" dropLines="32" dropStyle="combo" dx="16" fmlaLink="$R$1549" fmlaRange="'WORKINGS MATRIX'!$E$200:$E$231" noThreeD="1" sel="1" val="0"/>
</file>

<file path=xl/ctrlProps/ctrlProp609.xml><?xml version="1.0" encoding="utf-8"?>
<formControlPr xmlns="http://schemas.microsoft.com/office/spreadsheetml/2009/9/main" objectType="Drop" dropLines="20" dropStyle="combo" dx="16" fmlaLink="$P$147" fmlaRange="'WORKINGS MATRIX'!$C$200:$C$301" noThreeD="1" sel="1" val="0"/>
</file>

<file path=xl/ctrlProps/ctrlProp610.xml><?xml version="1.0" encoding="utf-8"?>
<formControlPr xmlns="http://schemas.microsoft.com/office/spreadsheetml/2009/9/main" objectType="Drop" dropLines="13" dropStyle="combo" dx="16" fmlaLink="$Q$147" fmlaRange="'WORKINGS MATRIX'!$D$200:$D$212" noThreeD="1" sel="1" val="0"/>
</file>

<file path=xl/ctrlProps/ctrlProp611.xml><?xml version="1.0" encoding="utf-8"?>
<formControlPr xmlns="http://schemas.microsoft.com/office/spreadsheetml/2009/9/main" objectType="Drop" dropLines="32" dropStyle="combo" dx="16" fmlaLink="$R147" fmlaRange="'WORKINGS MATRIX'!$E$200:$E$231" noThreeD="1" sel="1" val="0"/>
</file>

<file path=xl/ctrlProps/ctrlProp612.xml><?xml version="1.0" encoding="utf-8"?>
<formControlPr xmlns="http://schemas.microsoft.com/office/spreadsheetml/2009/9/main" objectType="Drop" dropLines="20" dropStyle="combo" dx="16" fmlaLink="$P$148" fmlaRange="'WORKINGS MATRIX'!$C$200:$C$301" noThreeD="1" sel="1" val="0"/>
</file>

<file path=xl/ctrlProps/ctrlProp613.xml><?xml version="1.0" encoding="utf-8"?>
<formControlPr xmlns="http://schemas.microsoft.com/office/spreadsheetml/2009/9/main" objectType="Drop" dropLines="13" dropStyle="combo" dx="16" fmlaLink="$Q$148" fmlaRange="'WORKINGS MATRIX'!$D$200:$D$212" noThreeD="1" sel="1" val="0"/>
</file>

<file path=xl/ctrlProps/ctrlProp614.xml><?xml version="1.0" encoding="utf-8"?>
<formControlPr xmlns="http://schemas.microsoft.com/office/spreadsheetml/2009/9/main" objectType="Drop" dropLines="32" dropStyle="combo" dx="16" fmlaLink="$R148" fmlaRange="'WORKINGS MATRIX'!$E$200:$E$231" noThreeD="1" sel="1" val="0"/>
</file>

<file path=xl/ctrlProps/ctrlProp615.xml><?xml version="1.0" encoding="utf-8"?>
<formControlPr xmlns="http://schemas.microsoft.com/office/spreadsheetml/2009/9/main" objectType="Drop" dropLines="20" dropStyle="combo" dx="16" fmlaLink="$P$149" fmlaRange="'WORKINGS MATRIX'!$C$200:$C$301" noThreeD="1" sel="1" val="0"/>
</file>

<file path=xl/ctrlProps/ctrlProp616.xml><?xml version="1.0" encoding="utf-8"?>
<formControlPr xmlns="http://schemas.microsoft.com/office/spreadsheetml/2009/9/main" objectType="Drop" dropLines="13" dropStyle="combo" dx="16" fmlaLink="$Q$149" fmlaRange="'WORKINGS MATRIX'!$D$200:$D$212" noThreeD="1" sel="1" val="0"/>
</file>

<file path=xl/ctrlProps/ctrlProp617.xml><?xml version="1.0" encoding="utf-8"?>
<formControlPr xmlns="http://schemas.microsoft.com/office/spreadsheetml/2009/9/main" objectType="Drop" dropLines="32" dropStyle="combo" dx="16" fmlaLink="$R149" fmlaRange="'WORKINGS MATRIX'!$E$200:$E$231" noThreeD="1" sel="1" val="0"/>
</file>

<file path=xl/ctrlProps/ctrlProp618.xml><?xml version="1.0" encoding="utf-8"?>
<formControlPr xmlns="http://schemas.microsoft.com/office/spreadsheetml/2009/9/main" objectType="Drop" dropLines="20" dropStyle="combo" dx="16" fmlaLink="$P$247" fmlaRange="'WORKINGS MATRIX'!$C$200:$C$301" noThreeD="1" sel="1" val="0"/>
</file>

<file path=xl/ctrlProps/ctrlProp619.xml><?xml version="1.0" encoding="utf-8"?>
<formControlPr xmlns="http://schemas.microsoft.com/office/spreadsheetml/2009/9/main" objectType="Drop" dropLines="13" dropStyle="combo" dx="16" fmlaLink="$Q$247" fmlaRange="'WORKINGS MATRIX'!$D$200:$D$212" noThreeD="1" sel="1" val="0"/>
</file>

<file path=xl/ctrlProps/ctrlProp620.xml><?xml version="1.0" encoding="utf-8"?>
<formControlPr xmlns="http://schemas.microsoft.com/office/spreadsheetml/2009/9/main" objectType="Drop" dropLines="32" dropStyle="combo" dx="16" fmlaLink="$R247" fmlaRange="'WORKINGS MATRIX'!$E$200:$E$231" noThreeD="1" sel="1" val="0"/>
</file>

<file path=xl/ctrlProps/ctrlProp621.xml><?xml version="1.0" encoding="utf-8"?>
<formControlPr xmlns="http://schemas.microsoft.com/office/spreadsheetml/2009/9/main" objectType="Drop" dropLines="20" dropStyle="combo" dx="16" fmlaLink="$P$248" fmlaRange="'WORKINGS MATRIX'!$C$200:$C$301" noThreeD="1" sel="1" val="0"/>
</file>

<file path=xl/ctrlProps/ctrlProp622.xml><?xml version="1.0" encoding="utf-8"?>
<formControlPr xmlns="http://schemas.microsoft.com/office/spreadsheetml/2009/9/main" objectType="Drop" dropLines="13" dropStyle="combo" dx="16" fmlaLink="$Q$248" fmlaRange="'WORKINGS MATRIX'!$D$200:$D$212" noThreeD="1" sel="1" val="0"/>
</file>

<file path=xl/ctrlProps/ctrlProp623.xml><?xml version="1.0" encoding="utf-8"?>
<formControlPr xmlns="http://schemas.microsoft.com/office/spreadsheetml/2009/9/main" objectType="Drop" dropLines="32" dropStyle="combo" dx="16" fmlaLink="$R248" fmlaRange="'WORKINGS MATRIX'!$E$200:$E$231" noThreeD="1" sel="1" val="0"/>
</file>

<file path=xl/ctrlProps/ctrlProp624.xml><?xml version="1.0" encoding="utf-8"?>
<formControlPr xmlns="http://schemas.microsoft.com/office/spreadsheetml/2009/9/main" objectType="Drop" dropLines="20" dropStyle="combo" dx="16" fmlaLink="$P$249" fmlaRange="'WORKINGS MATRIX'!$C$200:$C$301" noThreeD="1" sel="1" val="0"/>
</file>

<file path=xl/ctrlProps/ctrlProp625.xml><?xml version="1.0" encoding="utf-8"?>
<formControlPr xmlns="http://schemas.microsoft.com/office/spreadsheetml/2009/9/main" objectType="Drop" dropLines="13" dropStyle="combo" dx="16" fmlaLink="$Q$249" fmlaRange="'WORKINGS MATRIX'!$D$200:$D$212" noThreeD="1" sel="1" val="0"/>
</file>

<file path=xl/ctrlProps/ctrlProp626.xml><?xml version="1.0" encoding="utf-8"?>
<formControlPr xmlns="http://schemas.microsoft.com/office/spreadsheetml/2009/9/main" objectType="Drop" dropLines="32" dropStyle="combo" dx="16" fmlaLink="$R249" fmlaRange="'WORKINGS MATRIX'!$E$200:$E$231" noThreeD="1" sel="1" val="0"/>
</file>

<file path=xl/ctrlProps/ctrlProp627.xml><?xml version="1.0" encoding="utf-8"?>
<formControlPr xmlns="http://schemas.microsoft.com/office/spreadsheetml/2009/9/main" objectType="Drop" dropLines="20" dropStyle="combo" dx="16" fmlaLink="$P$447" fmlaRange="'WORKINGS MATRIX'!$C$200:$C$301" noThreeD="1" sel="1" val="0"/>
</file>

<file path=xl/ctrlProps/ctrlProp628.xml><?xml version="1.0" encoding="utf-8"?>
<formControlPr xmlns="http://schemas.microsoft.com/office/spreadsheetml/2009/9/main" objectType="Drop" dropLines="13" dropStyle="combo" dx="16" fmlaLink="$Q$447" fmlaRange="'WORKINGS MATRIX'!$D$200:$D$212" noThreeD="1" sel="1" val="0"/>
</file>

<file path=xl/ctrlProps/ctrlProp629.xml><?xml version="1.0" encoding="utf-8"?>
<formControlPr xmlns="http://schemas.microsoft.com/office/spreadsheetml/2009/9/main" objectType="Drop" dropLines="32" dropStyle="combo" dx="16" fmlaLink="$R447" fmlaRange="'WORKINGS MATRIX'!$E$200:$E$231" noThreeD="1" sel="1" val="0"/>
</file>

<file path=xl/ctrlProps/ctrlProp630.xml><?xml version="1.0" encoding="utf-8"?>
<formControlPr xmlns="http://schemas.microsoft.com/office/spreadsheetml/2009/9/main" objectType="Drop" dropLines="20" dropStyle="combo" dx="16" fmlaLink="$P$448" fmlaRange="'WORKINGS MATRIX'!$C$200:$C$301" noThreeD="1" sel="1" val="0"/>
</file>

<file path=xl/ctrlProps/ctrlProp631.xml><?xml version="1.0" encoding="utf-8"?>
<formControlPr xmlns="http://schemas.microsoft.com/office/spreadsheetml/2009/9/main" objectType="Drop" dropLines="13" dropStyle="combo" dx="16" fmlaLink="$Q$448" fmlaRange="'WORKINGS MATRIX'!$D$200:$D$212" noThreeD="1" sel="1" val="0"/>
</file>

<file path=xl/ctrlProps/ctrlProp632.xml><?xml version="1.0" encoding="utf-8"?>
<formControlPr xmlns="http://schemas.microsoft.com/office/spreadsheetml/2009/9/main" objectType="Drop" dropLines="32" dropStyle="combo" dx="16" fmlaLink="$R448" fmlaRange="'WORKINGS MATRIX'!$E$200:$E$231" noThreeD="1" sel="1" val="0"/>
</file>

<file path=xl/ctrlProps/ctrlProp633.xml><?xml version="1.0" encoding="utf-8"?>
<formControlPr xmlns="http://schemas.microsoft.com/office/spreadsheetml/2009/9/main" objectType="Drop" dropLines="20" dropStyle="combo" dx="16" fmlaLink="$P$449" fmlaRange="'WORKINGS MATRIX'!$C$200:$C$301" noThreeD="1" sel="1" val="0"/>
</file>

<file path=xl/ctrlProps/ctrlProp634.xml><?xml version="1.0" encoding="utf-8"?>
<formControlPr xmlns="http://schemas.microsoft.com/office/spreadsheetml/2009/9/main" objectType="Drop" dropLines="13" dropStyle="combo" dx="16" fmlaLink="$Q$449" fmlaRange="'WORKINGS MATRIX'!$D$200:$D$212" noThreeD="1" sel="1" val="0"/>
</file>

<file path=xl/ctrlProps/ctrlProp635.xml><?xml version="1.0" encoding="utf-8"?>
<formControlPr xmlns="http://schemas.microsoft.com/office/spreadsheetml/2009/9/main" objectType="Drop" dropLines="32" dropStyle="combo" dx="16" fmlaLink="$R449" fmlaRange="'WORKINGS MATRIX'!$E$200:$E$231" noThreeD="1" sel="1" val="0"/>
</file>

<file path=xl/ctrlProps/ctrlProp636.xml><?xml version="1.0" encoding="utf-8"?>
<formControlPr xmlns="http://schemas.microsoft.com/office/spreadsheetml/2009/9/main" objectType="Drop" dropLines="20" dropStyle="combo" dx="16" fmlaLink="$P$547" fmlaRange="'WORKINGS MATRIX'!$C$200:$C$301" noThreeD="1" sel="1" val="0"/>
</file>

<file path=xl/ctrlProps/ctrlProp637.xml><?xml version="1.0" encoding="utf-8"?>
<formControlPr xmlns="http://schemas.microsoft.com/office/spreadsheetml/2009/9/main" objectType="Drop" dropLines="13" dropStyle="combo" dx="16" fmlaLink="$Q$547" fmlaRange="'WORKINGS MATRIX'!$D$200:$D$212" noThreeD="1" sel="1" val="0"/>
</file>

<file path=xl/ctrlProps/ctrlProp638.xml><?xml version="1.0" encoding="utf-8"?>
<formControlPr xmlns="http://schemas.microsoft.com/office/spreadsheetml/2009/9/main" objectType="Drop" dropLines="32" dropStyle="combo" dx="16" fmlaLink="$R547" fmlaRange="'WORKINGS MATRIX'!$E$200:$E$231" noThreeD="1" sel="1" val="0"/>
</file>

<file path=xl/ctrlProps/ctrlProp639.xml><?xml version="1.0" encoding="utf-8"?>
<formControlPr xmlns="http://schemas.microsoft.com/office/spreadsheetml/2009/9/main" objectType="Drop" dropLines="13" dropStyle="combo" dx="16" fmlaLink="F548" fmlaRange="SETUP!$G$10:$G$22" noThreeD="1" sel="1" val="0"/>
</file>

<file path=xl/ctrlProps/ctrlProp640.xml><?xml version="1.0" encoding="utf-8"?>
<formControlPr xmlns="http://schemas.microsoft.com/office/spreadsheetml/2009/9/main" objectType="Drop" dropLines="20" dropStyle="combo" dx="16" fmlaLink="$P$548" fmlaRange="'WORKINGS MATRIX'!$C$200:$C$301" noThreeD="1" sel="1" val="0"/>
</file>

<file path=xl/ctrlProps/ctrlProp641.xml><?xml version="1.0" encoding="utf-8"?>
<formControlPr xmlns="http://schemas.microsoft.com/office/spreadsheetml/2009/9/main" objectType="Drop" dropLines="13" dropStyle="combo" dx="16" fmlaLink="$Q$548" fmlaRange="'WORKINGS MATRIX'!$D$200:$D$212" noThreeD="1" sel="1" val="0"/>
</file>

<file path=xl/ctrlProps/ctrlProp642.xml><?xml version="1.0" encoding="utf-8"?>
<formControlPr xmlns="http://schemas.microsoft.com/office/spreadsheetml/2009/9/main" objectType="Drop" dropLines="32" dropStyle="combo" dx="16" fmlaLink="$R548" fmlaRange="'WORKINGS MATRIX'!$E$200:$E$231" noThreeD="1" sel="1" val="0"/>
</file>

<file path=xl/ctrlProps/ctrlProp643.xml><?xml version="1.0" encoding="utf-8"?>
<formControlPr xmlns="http://schemas.microsoft.com/office/spreadsheetml/2009/9/main" objectType="Drop" dropLines="13" dropStyle="combo" dx="16" fmlaLink="F549" fmlaRange="SETUP!$G$10:$G$22" noThreeD="1" sel="1" val="0"/>
</file>

<file path=xl/ctrlProps/ctrlProp644.xml><?xml version="1.0" encoding="utf-8"?>
<formControlPr xmlns="http://schemas.microsoft.com/office/spreadsheetml/2009/9/main" objectType="Drop" dropLines="20" dropStyle="combo" dx="16" fmlaLink="$P$549" fmlaRange="'WORKINGS MATRIX'!$C$200:$C$301" noThreeD="1" sel="1" val="0"/>
</file>

<file path=xl/ctrlProps/ctrlProp645.xml><?xml version="1.0" encoding="utf-8"?>
<formControlPr xmlns="http://schemas.microsoft.com/office/spreadsheetml/2009/9/main" objectType="Drop" dropLines="13" dropStyle="combo" dx="16" fmlaLink="$Q$549" fmlaRange="'WORKINGS MATRIX'!$D$200:$D$212" noThreeD="1" sel="1" val="0"/>
</file>

<file path=xl/ctrlProps/ctrlProp646.xml><?xml version="1.0" encoding="utf-8"?>
<formControlPr xmlns="http://schemas.microsoft.com/office/spreadsheetml/2009/9/main" objectType="Drop" dropLines="32" dropStyle="combo" dx="16" fmlaLink="$R549" fmlaRange="'WORKINGS MATRIX'!$E$200:$E$231" noThreeD="1" sel="1" val="0"/>
</file>

<file path=xl/ctrlProps/ctrlProp647.xml><?xml version="1.0" encoding="utf-8"?>
<formControlPr xmlns="http://schemas.microsoft.com/office/spreadsheetml/2009/9/main" objectType="Drop" dropLines="20" dropStyle="combo" dx="16" fmlaLink="$P$1647" fmlaRange="'WORKINGS MATRIX'!$C$200:$C$301" noThreeD="1" sel="1" val="0"/>
</file>

<file path=xl/ctrlProps/ctrlProp648.xml><?xml version="1.0" encoding="utf-8"?>
<formControlPr xmlns="http://schemas.microsoft.com/office/spreadsheetml/2009/9/main" objectType="Drop" dropLines="13" dropStyle="combo" dx="16" fmlaLink="$Q$1647" fmlaRange="'WORKINGS MATRIX'!$D$200:$D$212" noThreeD="1" sel="1" val="0"/>
</file>

<file path=xl/ctrlProps/ctrlProp649.xml><?xml version="1.0" encoding="utf-8"?>
<formControlPr xmlns="http://schemas.microsoft.com/office/spreadsheetml/2009/9/main" objectType="Drop" dropLines="32" dropStyle="combo" dx="16" fmlaLink="$R$1647" fmlaRange="'WORKINGS MATRIX'!$E$200:$E$231" noThreeD="1" sel="1" val="0"/>
</file>

<file path=xl/ctrlProps/ctrlProp650.xml><?xml version="1.0" encoding="utf-8"?>
<formControlPr xmlns="http://schemas.microsoft.com/office/spreadsheetml/2009/9/main" objectType="Drop" dropLines="20" dropStyle="combo" dx="16" fmlaLink="$P$1648" fmlaRange="'WORKINGS MATRIX'!$C$200:$C$301" noThreeD="1" sel="1" val="0"/>
</file>

<file path=xl/ctrlProps/ctrlProp651.xml><?xml version="1.0" encoding="utf-8"?>
<formControlPr xmlns="http://schemas.microsoft.com/office/spreadsheetml/2009/9/main" objectType="Drop" dropLines="13" dropStyle="combo" dx="16" fmlaLink="$Q$1648" fmlaRange="'WORKINGS MATRIX'!$D$200:$D$212" noThreeD="1" sel="1" val="0"/>
</file>

<file path=xl/ctrlProps/ctrlProp652.xml><?xml version="1.0" encoding="utf-8"?>
<formControlPr xmlns="http://schemas.microsoft.com/office/spreadsheetml/2009/9/main" objectType="Drop" dropLines="32" dropStyle="combo" dx="16" fmlaLink="$R$1648" fmlaRange="'WORKINGS MATRIX'!$E$200:$E$231" noThreeD="1" sel="1" val="0"/>
</file>

<file path=xl/ctrlProps/ctrlProp653.xml><?xml version="1.0" encoding="utf-8"?>
<formControlPr xmlns="http://schemas.microsoft.com/office/spreadsheetml/2009/9/main" objectType="Drop" dropLines="20" dropStyle="combo" dx="16" fmlaLink="$P$1649" fmlaRange="'WORKINGS MATRIX'!$C$200:$C$301" noThreeD="1" sel="1" val="0"/>
</file>

<file path=xl/ctrlProps/ctrlProp654.xml><?xml version="1.0" encoding="utf-8"?>
<formControlPr xmlns="http://schemas.microsoft.com/office/spreadsheetml/2009/9/main" objectType="Drop" dropLines="13" dropStyle="combo" dx="16" fmlaLink="$Q$1649" fmlaRange="'WORKINGS MATRIX'!$D$200:$D$212" noThreeD="1" sel="1" val="0"/>
</file>

<file path=xl/ctrlProps/ctrlProp655.xml><?xml version="1.0" encoding="utf-8"?>
<formControlPr xmlns="http://schemas.microsoft.com/office/spreadsheetml/2009/9/main" objectType="Drop" dropLines="32" dropStyle="combo" dx="16" fmlaLink="$R$1649" fmlaRange="'WORKINGS MATRIX'!$E$200:$E$231" noThreeD="1" sel="1" val="0"/>
</file>

<file path=xl/ctrlProps/ctrlProp656.xml><?xml version="1.0" encoding="utf-8"?>
<formControlPr xmlns="http://schemas.microsoft.com/office/spreadsheetml/2009/9/main" objectType="Drop" dropLines="20" dropStyle="combo" dx="16" fmlaLink="$P$1747" fmlaRange="'WORKINGS MATRIX'!$C$200:$C$301" noThreeD="1" sel="1" val="0"/>
</file>

<file path=xl/ctrlProps/ctrlProp657.xml><?xml version="1.0" encoding="utf-8"?>
<formControlPr xmlns="http://schemas.microsoft.com/office/spreadsheetml/2009/9/main" objectType="Drop" dropLines="13" dropStyle="combo" dx="16" fmlaLink="$Q$1747" fmlaRange="'WORKINGS MATRIX'!$D$200:$D$212" noThreeD="1" sel="1" val="0"/>
</file>

<file path=xl/ctrlProps/ctrlProp658.xml><?xml version="1.0" encoding="utf-8"?>
<formControlPr xmlns="http://schemas.microsoft.com/office/spreadsheetml/2009/9/main" objectType="Drop" dropLines="32" dropStyle="combo" dx="16" fmlaLink="$R$1747" fmlaRange="'WORKINGS MATRIX'!$E$200:$E$231" noThreeD="1" sel="1" val="0"/>
</file>

<file path=xl/ctrlProps/ctrlProp659.xml><?xml version="1.0" encoding="utf-8"?>
<formControlPr xmlns="http://schemas.microsoft.com/office/spreadsheetml/2009/9/main" objectType="Drop" dropLines="20" dropStyle="combo" dx="16" fmlaLink="$P$1748" fmlaRange="'WORKINGS MATRIX'!$C$200:$C$301" noThreeD="1" sel="1" val="0"/>
</file>

<file path=xl/ctrlProps/ctrlProp660.xml><?xml version="1.0" encoding="utf-8"?>
<formControlPr xmlns="http://schemas.microsoft.com/office/spreadsheetml/2009/9/main" objectType="Drop" dropLines="13" dropStyle="combo" dx="16" fmlaLink="$Q$1748" fmlaRange="'WORKINGS MATRIX'!$D$200:$D$212" noThreeD="1" sel="1" val="0"/>
</file>

<file path=xl/ctrlProps/ctrlProp661.xml><?xml version="1.0" encoding="utf-8"?>
<formControlPr xmlns="http://schemas.microsoft.com/office/spreadsheetml/2009/9/main" objectType="Drop" dropLines="32" dropStyle="combo" dx="16" fmlaLink="$R$1748" fmlaRange="'WORKINGS MATRIX'!$E$200:$E$231" noThreeD="1" sel="1" val="0"/>
</file>

<file path=xl/ctrlProps/ctrlProp662.xml><?xml version="1.0" encoding="utf-8"?>
<formControlPr xmlns="http://schemas.microsoft.com/office/spreadsheetml/2009/9/main" objectType="Drop" dropLines="20" dropStyle="combo" dx="16" fmlaLink="$P$1749" fmlaRange="'WORKINGS MATRIX'!$C$200:$C$301" noThreeD="1" sel="1" val="0"/>
</file>

<file path=xl/ctrlProps/ctrlProp663.xml><?xml version="1.0" encoding="utf-8"?>
<formControlPr xmlns="http://schemas.microsoft.com/office/spreadsheetml/2009/9/main" objectType="Drop" dropLines="13" dropStyle="combo" dx="16" fmlaLink="$Q$1749" fmlaRange="'WORKINGS MATRIX'!$D$200:$D$212" noThreeD="1" sel="1" val="0"/>
</file>

<file path=xl/ctrlProps/ctrlProp664.xml><?xml version="1.0" encoding="utf-8"?>
<formControlPr xmlns="http://schemas.microsoft.com/office/spreadsheetml/2009/9/main" objectType="Drop" dropLines="32" dropStyle="combo" dx="16" fmlaLink="$R$1749" fmlaRange="'WORKINGS MATRIX'!$E$200:$E$231" noThreeD="1" sel="1" val="0"/>
</file>

<file path=xl/ctrlProps/ctrlProp665.xml><?xml version="1.0" encoding="utf-8"?>
<formControlPr xmlns="http://schemas.microsoft.com/office/spreadsheetml/2009/9/main" objectType="Drop" dropLines="20" dropStyle="combo" dx="16" fmlaLink="$P$647" fmlaRange="'WORKINGS MATRIX'!$C$200:$C$301" noThreeD="1" sel="1" val="0"/>
</file>

<file path=xl/ctrlProps/ctrlProp666.xml><?xml version="1.0" encoding="utf-8"?>
<formControlPr xmlns="http://schemas.microsoft.com/office/spreadsheetml/2009/9/main" objectType="Drop" dropLines="13" dropStyle="combo" dx="16" fmlaLink="$Q$647" fmlaRange="'WORKINGS MATRIX'!$D$200:$D$212" noThreeD="1" sel="1" val="0"/>
</file>

<file path=xl/ctrlProps/ctrlProp667.xml><?xml version="1.0" encoding="utf-8"?>
<formControlPr xmlns="http://schemas.microsoft.com/office/spreadsheetml/2009/9/main" objectType="Drop" dropLines="32" dropStyle="combo" dx="16" fmlaLink="$R647" fmlaRange="'WORKINGS MATRIX'!$E$200:$E$231" noThreeD="1" sel="1" val="0"/>
</file>

<file path=xl/ctrlProps/ctrlProp668.xml><?xml version="1.0" encoding="utf-8"?>
<formControlPr xmlns="http://schemas.microsoft.com/office/spreadsheetml/2009/9/main" objectType="Drop" dropLines="20" dropStyle="combo" dx="16" fmlaLink="$P$648" fmlaRange="'WORKINGS MATRIX'!$C$200:$C$301" noThreeD="1" sel="1" val="0"/>
</file>

<file path=xl/ctrlProps/ctrlProp669.xml><?xml version="1.0" encoding="utf-8"?>
<formControlPr xmlns="http://schemas.microsoft.com/office/spreadsheetml/2009/9/main" objectType="Drop" dropLines="13" dropStyle="combo" dx="16" fmlaLink="$Q$648" fmlaRange="'WORKINGS MATRIX'!$D$200:$D$212" noThreeD="1" sel="1" val="0"/>
</file>

<file path=xl/ctrlProps/ctrlProp670.xml><?xml version="1.0" encoding="utf-8"?>
<formControlPr xmlns="http://schemas.microsoft.com/office/spreadsheetml/2009/9/main" objectType="Drop" dropLines="32" dropStyle="combo" dx="16" fmlaLink="$R648" fmlaRange="'WORKINGS MATRIX'!$E$200:$E$231" noThreeD="1" sel="1" val="0"/>
</file>

<file path=xl/ctrlProps/ctrlProp671.xml><?xml version="1.0" encoding="utf-8"?>
<formControlPr xmlns="http://schemas.microsoft.com/office/spreadsheetml/2009/9/main" objectType="Drop" dropLines="20" dropStyle="combo" dx="16" fmlaLink="$P$649" fmlaRange="'WORKINGS MATRIX'!$C$200:$C$301" noThreeD="1" sel="1" val="0"/>
</file>

<file path=xl/ctrlProps/ctrlProp672.xml><?xml version="1.0" encoding="utf-8"?>
<formControlPr xmlns="http://schemas.microsoft.com/office/spreadsheetml/2009/9/main" objectType="Drop" dropLines="13" dropStyle="combo" dx="16" fmlaLink="$Q$649" fmlaRange="'WORKINGS MATRIX'!$D$200:$D$212" noThreeD="1" sel="1" val="0"/>
</file>

<file path=xl/ctrlProps/ctrlProp673.xml><?xml version="1.0" encoding="utf-8"?>
<formControlPr xmlns="http://schemas.microsoft.com/office/spreadsheetml/2009/9/main" objectType="Drop" dropLines="32" dropStyle="combo" dx="16" fmlaLink="$R649" fmlaRange="'WORKINGS MATRIX'!$E$200:$E$231" noThreeD="1" sel="1" val="0"/>
</file>

<file path=xl/ctrlProps/ctrlProp674.xml><?xml version="1.0" encoding="utf-8"?>
<formControlPr xmlns="http://schemas.microsoft.com/office/spreadsheetml/2009/9/main" objectType="Drop" dropLines="20" dropStyle="combo" dx="16" fmlaLink="$P$747" fmlaRange="'WORKINGS MATRIX'!$C$200:$C$301" noThreeD="1" sel="1" val="0"/>
</file>

<file path=xl/ctrlProps/ctrlProp675.xml><?xml version="1.0" encoding="utf-8"?>
<formControlPr xmlns="http://schemas.microsoft.com/office/spreadsheetml/2009/9/main" objectType="Drop" dropLines="13" dropStyle="combo" dx="16" fmlaLink="$Q$747" fmlaRange="'WORKINGS MATRIX'!$D$200:$D$212" noThreeD="1" sel="1" val="0"/>
</file>

<file path=xl/ctrlProps/ctrlProp676.xml><?xml version="1.0" encoding="utf-8"?>
<formControlPr xmlns="http://schemas.microsoft.com/office/spreadsheetml/2009/9/main" objectType="Drop" dropLines="32" dropStyle="combo" dx="16" fmlaLink="$R747" fmlaRange="'WORKINGS MATRIX'!$E$200:$E$231" noThreeD="1" sel="1" val="0"/>
</file>

<file path=xl/ctrlProps/ctrlProp677.xml><?xml version="1.0" encoding="utf-8"?>
<formControlPr xmlns="http://schemas.microsoft.com/office/spreadsheetml/2009/9/main" objectType="Drop" dropLines="20" dropStyle="combo" dx="16" fmlaLink="$P$748" fmlaRange="'WORKINGS MATRIX'!$C$200:$C$301" noThreeD="1" sel="1" val="0"/>
</file>

<file path=xl/ctrlProps/ctrlProp678.xml><?xml version="1.0" encoding="utf-8"?>
<formControlPr xmlns="http://schemas.microsoft.com/office/spreadsheetml/2009/9/main" objectType="Drop" dropLines="13" dropStyle="combo" dx="16" fmlaLink="$Q$748" fmlaRange="'WORKINGS MATRIX'!$D$200:$D$212" noThreeD="1" sel="1" val="0"/>
</file>

<file path=xl/ctrlProps/ctrlProp679.xml><?xml version="1.0" encoding="utf-8"?>
<formControlPr xmlns="http://schemas.microsoft.com/office/spreadsheetml/2009/9/main" objectType="Drop" dropLines="32" dropStyle="combo" dx="16" fmlaLink="$R748" fmlaRange="'WORKINGS MATRIX'!$E$200:$E$231" noThreeD="1" sel="1" val="0"/>
</file>

<file path=xl/ctrlProps/ctrlProp680.xml><?xml version="1.0" encoding="utf-8"?>
<formControlPr xmlns="http://schemas.microsoft.com/office/spreadsheetml/2009/9/main" objectType="Drop" dropLines="20" dropStyle="combo" dx="16" fmlaLink="$P$749" fmlaRange="'WORKINGS MATRIX'!$C$200:$C$301" noThreeD="1" sel="1" val="0"/>
</file>

<file path=xl/ctrlProps/ctrlProp681.xml><?xml version="1.0" encoding="utf-8"?>
<formControlPr xmlns="http://schemas.microsoft.com/office/spreadsheetml/2009/9/main" objectType="Drop" dropLines="13" dropStyle="combo" dx="16" fmlaLink="$Q$749" fmlaRange="'WORKINGS MATRIX'!$D$200:$D$212" noThreeD="1" sel="1" val="0"/>
</file>

<file path=xl/ctrlProps/ctrlProp682.xml><?xml version="1.0" encoding="utf-8"?>
<formControlPr xmlns="http://schemas.microsoft.com/office/spreadsheetml/2009/9/main" objectType="Drop" dropLines="32" dropStyle="combo" dx="16" fmlaLink="$R749" fmlaRange="'WORKINGS MATRIX'!$E$200:$E$231" noThreeD="1" sel="1" val="0"/>
</file>

<file path=xl/ctrlProps/ctrlProp683.xml><?xml version="1.0" encoding="utf-8"?>
<formControlPr xmlns="http://schemas.microsoft.com/office/spreadsheetml/2009/9/main" objectType="Drop" dropLines="20" dropStyle="combo" dx="16" fmlaLink="$P$847" fmlaRange="'WORKINGS MATRIX'!$C$200:$C$301" noThreeD="1" sel="1" val="0"/>
</file>

<file path=xl/ctrlProps/ctrlProp684.xml><?xml version="1.0" encoding="utf-8"?>
<formControlPr xmlns="http://schemas.microsoft.com/office/spreadsheetml/2009/9/main" objectType="Drop" dropLines="13" dropStyle="combo" dx="16" fmlaLink="$Q$847" fmlaRange="'WORKINGS MATRIX'!$D$200:$D$212" noThreeD="1" sel="1" val="0"/>
</file>

<file path=xl/ctrlProps/ctrlProp685.xml><?xml version="1.0" encoding="utf-8"?>
<formControlPr xmlns="http://schemas.microsoft.com/office/spreadsheetml/2009/9/main" objectType="Drop" dropLines="32" dropStyle="combo" dx="16" fmlaLink="$R847" fmlaRange="'WORKINGS MATRIX'!$E$200:$E$231" noThreeD="1" sel="1" val="0"/>
</file>

<file path=xl/ctrlProps/ctrlProp686.xml><?xml version="1.0" encoding="utf-8"?>
<formControlPr xmlns="http://schemas.microsoft.com/office/spreadsheetml/2009/9/main" objectType="Drop" dropLines="20" dropStyle="combo" dx="16" fmlaLink="$P$848" fmlaRange="'WORKINGS MATRIX'!$C$200:$C$301" noThreeD="1" sel="1" val="0"/>
</file>

<file path=xl/ctrlProps/ctrlProp687.xml><?xml version="1.0" encoding="utf-8"?>
<formControlPr xmlns="http://schemas.microsoft.com/office/spreadsheetml/2009/9/main" objectType="Drop" dropLines="13" dropStyle="combo" dx="16" fmlaLink="$Q$848" fmlaRange="'WORKINGS MATRIX'!$D$200:$D$212" noThreeD="1" sel="1" val="0"/>
</file>

<file path=xl/ctrlProps/ctrlProp688.xml><?xml version="1.0" encoding="utf-8"?>
<formControlPr xmlns="http://schemas.microsoft.com/office/spreadsheetml/2009/9/main" objectType="Drop" dropLines="32" dropStyle="combo" dx="16" fmlaLink="$R848" fmlaRange="'WORKINGS MATRIX'!$E$200:$E$231" noThreeD="1" sel="1" val="0"/>
</file>

<file path=xl/ctrlProps/ctrlProp689.xml><?xml version="1.0" encoding="utf-8"?>
<formControlPr xmlns="http://schemas.microsoft.com/office/spreadsheetml/2009/9/main" objectType="Drop" dropLines="20" dropStyle="combo" dx="16" fmlaLink="$P$849" fmlaRange="'WORKINGS MATRIX'!$C$200:$C$301" noThreeD="1" sel="1" val="0"/>
</file>

<file path=xl/ctrlProps/ctrlProp690.xml><?xml version="1.0" encoding="utf-8"?>
<formControlPr xmlns="http://schemas.microsoft.com/office/spreadsheetml/2009/9/main" objectType="Drop" dropLines="13" dropStyle="combo" dx="16" fmlaLink="$Q$849" fmlaRange="'WORKINGS MATRIX'!$D$200:$D$212" noThreeD="1" sel="1" val="0"/>
</file>

<file path=xl/ctrlProps/ctrlProp691.xml><?xml version="1.0" encoding="utf-8"?>
<formControlPr xmlns="http://schemas.microsoft.com/office/spreadsheetml/2009/9/main" objectType="Drop" dropLines="32" dropStyle="combo" dx="16" fmlaLink="$R849" fmlaRange="'WORKINGS MATRIX'!$E$200:$E$231" noThreeD="1" sel="1" val="0"/>
</file>

<file path=xl/ctrlProps/ctrlProp692.xml><?xml version="1.0" encoding="utf-8"?>
<formControlPr xmlns="http://schemas.microsoft.com/office/spreadsheetml/2009/9/main" objectType="Drop" dropLines="20" dropStyle="combo" dx="16" fmlaLink="$P$947" fmlaRange="'WORKINGS MATRIX'!$C$200:$C$301" noThreeD="1" sel="1" val="0"/>
</file>

<file path=xl/ctrlProps/ctrlProp693.xml><?xml version="1.0" encoding="utf-8"?>
<formControlPr xmlns="http://schemas.microsoft.com/office/spreadsheetml/2009/9/main" objectType="Drop" dropLines="13" dropStyle="combo" dx="16" fmlaLink="$Q$947" fmlaRange="'WORKINGS MATRIX'!$D$200:$D$212" noThreeD="1" sel="1" val="0"/>
</file>

<file path=xl/ctrlProps/ctrlProp694.xml><?xml version="1.0" encoding="utf-8"?>
<formControlPr xmlns="http://schemas.microsoft.com/office/spreadsheetml/2009/9/main" objectType="Drop" dropLines="32" dropStyle="combo" dx="16" fmlaLink="$R947" fmlaRange="'WORKINGS MATRIX'!$E$200:$E$231" noThreeD="1" sel="1" val="0"/>
</file>

<file path=xl/ctrlProps/ctrlProp695.xml><?xml version="1.0" encoding="utf-8"?>
<formControlPr xmlns="http://schemas.microsoft.com/office/spreadsheetml/2009/9/main" objectType="Drop" dropLines="20" dropStyle="combo" dx="16" fmlaLink="$P$948" fmlaRange="'WORKINGS MATRIX'!$C$200:$C$301" noThreeD="1" sel="1" val="0"/>
</file>

<file path=xl/ctrlProps/ctrlProp696.xml><?xml version="1.0" encoding="utf-8"?>
<formControlPr xmlns="http://schemas.microsoft.com/office/spreadsheetml/2009/9/main" objectType="Drop" dropLines="13" dropStyle="combo" dx="16" fmlaLink="$Q$948" fmlaRange="'WORKINGS MATRIX'!$D$200:$D$212" noThreeD="1" sel="1" val="0"/>
</file>

<file path=xl/ctrlProps/ctrlProp697.xml><?xml version="1.0" encoding="utf-8"?>
<formControlPr xmlns="http://schemas.microsoft.com/office/spreadsheetml/2009/9/main" objectType="Drop" dropLines="32" dropStyle="combo" dx="16" fmlaLink="$R948" fmlaRange="'WORKINGS MATRIX'!$E$200:$E$231" noThreeD="1" sel="1" val="0"/>
</file>

<file path=xl/ctrlProps/ctrlProp698.xml><?xml version="1.0" encoding="utf-8"?>
<formControlPr xmlns="http://schemas.microsoft.com/office/spreadsheetml/2009/9/main" objectType="Drop" dropLines="20" dropStyle="combo" dx="16" fmlaLink="$P$949" fmlaRange="'WORKINGS MATRIX'!$C$200:$C$301" noThreeD="1" sel="1" val="0"/>
</file>

<file path=xl/ctrlProps/ctrlProp699.xml><?xml version="1.0" encoding="utf-8"?>
<formControlPr xmlns="http://schemas.microsoft.com/office/spreadsheetml/2009/9/main" objectType="Drop" dropLines="13" dropStyle="combo" dx="16" fmlaLink="$Q$949" fmlaRange="'WORKINGS MATRIX'!$D$200:$D$212" noThreeD="1" sel="1" val="0"/>
</file>

<file path=xl/ctrlProps/ctrlProp700.xml><?xml version="1.0" encoding="utf-8"?>
<formControlPr xmlns="http://schemas.microsoft.com/office/spreadsheetml/2009/9/main" objectType="Drop" dropLines="32" dropStyle="combo" dx="16" fmlaLink="$R949" fmlaRange="'WORKINGS MATRIX'!$E$200:$E$231" noThreeD="1" sel="1" val="0"/>
</file>

<file path=xl/ctrlProps/ctrlProp701.xml><?xml version="1.0" encoding="utf-8"?>
<formControlPr xmlns="http://schemas.microsoft.com/office/spreadsheetml/2009/9/main" objectType="Drop" dropLines="20" dropStyle="combo" dx="16" fmlaLink="$P$1047" fmlaRange="'WORKINGS MATRIX'!$C$200:$C$301" noThreeD="1" sel="1" val="0"/>
</file>

<file path=xl/ctrlProps/ctrlProp702.xml><?xml version="1.0" encoding="utf-8"?>
<formControlPr xmlns="http://schemas.microsoft.com/office/spreadsheetml/2009/9/main" objectType="Drop" dropLines="13" dropStyle="combo" dx="16" fmlaLink="$Q$1047" fmlaRange="'WORKINGS MATRIX'!$D$200:$D$212" noThreeD="1" sel="1" val="0"/>
</file>

<file path=xl/ctrlProps/ctrlProp703.xml><?xml version="1.0" encoding="utf-8"?>
<formControlPr xmlns="http://schemas.microsoft.com/office/spreadsheetml/2009/9/main" objectType="Drop" dropLines="32" dropStyle="combo" dx="16" fmlaLink="$R1047" fmlaRange="'WORKINGS MATRIX'!$E$200:$E$231" noThreeD="1" sel="1" val="0"/>
</file>

<file path=xl/ctrlProps/ctrlProp704.xml><?xml version="1.0" encoding="utf-8"?>
<formControlPr xmlns="http://schemas.microsoft.com/office/spreadsheetml/2009/9/main" objectType="Drop" dropLines="20" dropStyle="combo" dx="16" fmlaLink="$P$1048" fmlaRange="'WORKINGS MATRIX'!$C$200:$C$301" noThreeD="1" sel="1" val="0"/>
</file>

<file path=xl/ctrlProps/ctrlProp705.xml><?xml version="1.0" encoding="utf-8"?>
<formControlPr xmlns="http://schemas.microsoft.com/office/spreadsheetml/2009/9/main" objectType="Drop" dropLines="13" dropStyle="combo" dx="16" fmlaLink="$Q$1048" fmlaRange="'WORKINGS MATRIX'!$D$200:$D$212" noThreeD="1" sel="1" val="0"/>
</file>

<file path=xl/ctrlProps/ctrlProp706.xml><?xml version="1.0" encoding="utf-8"?>
<formControlPr xmlns="http://schemas.microsoft.com/office/spreadsheetml/2009/9/main" objectType="Drop" dropLines="32" dropStyle="combo" dx="16" fmlaLink="$R1048" fmlaRange="'WORKINGS MATRIX'!$E$200:$E$231" noThreeD="1" sel="1" val="0"/>
</file>

<file path=xl/ctrlProps/ctrlProp707.xml><?xml version="1.0" encoding="utf-8"?>
<formControlPr xmlns="http://schemas.microsoft.com/office/spreadsheetml/2009/9/main" objectType="Drop" dropLines="20" dropStyle="combo" dx="16" fmlaLink="$P$1049" fmlaRange="'WORKINGS MATRIX'!$C$200:$C$301" noThreeD="1" sel="1" val="0"/>
</file>

<file path=xl/ctrlProps/ctrlProp708.xml><?xml version="1.0" encoding="utf-8"?>
<formControlPr xmlns="http://schemas.microsoft.com/office/spreadsheetml/2009/9/main" objectType="Drop" dropLines="13" dropStyle="combo" dx="16" fmlaLink="$Q$1049" fmlaRange="'WORKINGS MATRIX'!$D$200:$D$212" noThreeD="1" sel="1" val="0"/>
</file>

<file path=xl/ctrlProps/ctrlProp709.xml><?xml version="1.0" encoding="utf-8"?>
<formControlPr xmlns="http://schemas.microsoft.com/office/spreadsheetml/2009/9/main" objectType="Drop" dropLines="32" dropStyle="combo" dx="16" fmlaLink="$R1049" fmlaRange="'WORKINGS MATRIX'!$E$200:$E$231" noThreeD="1" sel="1" val="0"/>
</file>

<file path=xl/ctrlProps/ctrlProp710.xml><?xml version="1.0" encoding="utf-8"?>
<formControlPr xmlns="http://schemas.microsoft.com/office/spreadsheetml/2009/9/main" objectType="Drop" dropLines="20" dropStyle="combo" dx="16" fmlaLink="$P$1147" fmlaRange="'WORKINGS MATRIX'!$C$200:$C$301" noThreeD="1" sel="1" val="0"/>
</file>

<file path=xl/ctrlProps/ctrlProp711.xml><?xml version="1.0" encoding="utf-8"?>
<formControlPr xmlns="http://schemas.microsoft.com/office/spreadsheetml/2009/9/main" objectType="Drop" dropLines="13" dropStyle="combo" dx="16" fmlaLink="$Q$1147" fmlaRange="'WORKINGS MATRIX'!$D$200:$D$212" noThreeD="1" sel="1" val="0"/>
</file>

<file path=xl/ctrlProps/ctrlProp712.xml><?xml version="1.0" encoding="utf-8"?>
<formControlPr xmlns="http://schemas.microsoft.com/office/spreadsheetml/2009/9/main" objectType="Drop" dropLines="32" dropStyle="combo" dx="16" fmlaLink="$R1147" fmlaRange="'WORKINGS MATRIX'!$E$200:$E$231" noThreeD="1" sel="1" val="0"/>
</file>

<file path=xl/ctrlProps/ctrlProp713.xml><?xml version="1.0" encoding="utf-8"?>
<formControlPr xmlns="http://schemas.microsoft.com/office/spreadsheetml/2009/9/main" objectType="Drop" dropLines="20" dropStyle="combo" dx="16" fmlaLink="$P$1148" fmlaRange="'WORKINGS MATRIX'!$C$200:$C$301" noThreeD="1" sel="1" val="0"/>
</file>

<file path=xl/ctrlProps/ctrlProp714.xml><?xml version="1.0" encoding="utf-8"?>
<formControlPr xmlns="http://schemas.microsoft.com/office/spreadsheetml/2009/9/main" objectType="Drop" dropLines="13" dropStyle="combo" dx="16" fmlaLink="$Q$1148" fmlaRange="'WORKINGS MATRIX'!$D$200:$D$212" noThreeD="1" sel="1" val="0"/>
</file>

<file path=xl/ctrlProps/ctrlProp715.xml><?xml version="1.0" encoding="utf-8"?>
<formControlPr xmlns="http://schemas.microsoft.com/office/spreadsheetml/2009/9/main" objectType="Drop" dropLines="32" dropStyle="combo" dx="16" fmlaLink="$R1148" fmlaRange="'WORKINGS MATRIX'!$E$200:$E$231" noThreeD="1" sel="1" val="0"/>
</file>

<file path=xl/ctrlProps/ctrlProp716.xml><?xml version="1.0" encoding="utf-8"?>
<formControlPr xmlns="http://schemas.microsoft.com/office/spreadsheetml/2009/9/main" objectType="Drop" dropLines="20" dropStyle="combo" dx="16" fmlaLink="$P$1149" fmlaRange="'WORKINGS MATRIX'!$C$200:$C$301" noThreeD="1" sel="1" val="0"/>
</file>

<file path=xl/ctrlProps/ctrlProp717.xml><?xml version="1.0" encoding="utf-8"?>
<formControlPr xmlns="http://schemas.microsoft.com/office/spreadsheetml/2009/9/main" objectType="Drop" dropLines="13" dropStyle="combo" dx="16" fmlaLink="$Q$1149" fmlaRange="'WORKINGS MATRIX'!$D$200:$D$212" noThreeD="1" sel="1" val="0"/>
</file>

<file path=xl/ctrlProps/ctrlProp718.xml><?xml version="1.0" encoding="utf-8"?>
<formControlPr xmlns="http://schemas.microsoft.com/office/spreadsheetml/2009/9/main" objectType="Drop" dropLines="32" dropStyle="combo" dx="16" fmlaLink="$R1149" fmlaRange="'WORKINGS MATRIX'!$E$200:$E$231" noThreeD="1" sel="1" val="0"/>
</file>

<file path=xl/ctrlProps/ctrlProp719.xml><?xml version="1.0" encoding="utf-8"?>
<formControlPr xmlns="http://schemas.microsoft.com/office/spreadsheetml/2009/9/main" objectType="Drop" dropLines="20" dropStyle="combo" dx="16" fmlaLink="$P$1247" fmlaRange="'WORKINGS MATRIX'!$C$200:$C$301" noThreeD="1" sel="1" val="0"/>
</file>

<file path=xl/ctrlProps/ctrlProp720.xml><?xml version="1.0" encoding="utf-8"?>
<formControlPr xmlns="http://schemas.microsoft.com/office/spreadsheetml/2009/9/main" objectType="Drop" dropLines="13" dropStyle="combo" dx="16" fmlaLink="$Q$1247" fmlaRange="'WORKINGS MATRIX'!$D$200:$D$212" noThreeD="1" sel="1" val="0"/>
</file>

<file path=xl/ctrlProps/ctrlProp721.xml><?xml version="1.0" encoding="utf-8"?>
<formControlPr xmlns="http://schemas.microsoft.com/office/spreadsheetml/2009/9/main" objectType="Drop" dropLines="32" dropStyle="combo" dx="16" fmlaLink="$R1247" fmlaRange="'WORKINGS MATRIX'!$E$200:$E$231" noThreeD="1" sel="1" val="0"/>
</file>

<file path=xl/ctrlProps/ctrlProp722.xml><?xml version="1.0" encoding="utf-8"?>
<formControlPr xmlns="http://schemas.microsoft.com/office/spreadsheetml/2009/9/main" objectType="Drop" dropLines="20" dropStyle="combo" dx="16" fmlaLink="$P$1248" fmlaRange="'WORKINGS MATRIX'!$C$200:$C$301" noThreeD="1" sel="1" val="0"/>
</file>

<file path=xl/ctrlProps/ctrlProp723.xml><?xml version="1.0" encoding="utf-8"?>
<formControlPr xmlns="http://schemas.microsoft.com/office/spreadsheetml/2009/9/main" objectType="Drop" dropLines="13" dropStyle="combo" dx="16" fmlaLink="$Q$1248" fmlaRange="'WORKINGS MATRIX'!$D$200:$D$212" noThreeD="1" sel="1" val="0"/>
</file>

<file path=xl/ctrlProps/ctrlProp724.xml><?xml version="1.0" encoding="utf-8"?>
<formControlPr xmlns="http://schemas.microsoft.com/office/spreadsheetml/2009/9/main" objectType="Drop" dropLines="32" dropStyle="combo" dx="16" fmlaLink="$R1248" fmlaRange="'WORKINGS MATRIX'!$E$200:$E$231" noThreeD="1" sel="1" val="0"/>
</file>

<file path=xl/ctrlProps/ctrlProp725.xml><?xml version="1.0" encoding="utf-8"?>
<formControlPr xmlns="http://schemas.microsoft.com/office/spreadsheetml/2009/9/main" objectType="Drop" dropLines="20" dropStyle="combo" dx="16" fmlaLink="$P$1249" fmlaRange="'WORKINGS MATRIX'!$C$200:$C$301" noThreeD="1" sel="1" val="0"/>
</file>

<file path=xl/ctrlProps/ctrlProp726.xml><?xml version="1.0" encoding="utf-8"?>
<formControlPr xmlns="http://schemas.microsoft.com/office/spreadsheetml/2009/9/main" objectType="Drop" dropLines="13" dropStyle="combo" dx="16" fmlaLink="$Q$1249" fmlaRange="'WORKINGS MATRIX'!$D$200:$D$212" noThreeD="1" sel="1" val="0"/>
</file>

<file path=xl/ctrlProps/ctrlProp727.xml><?xml version="1.0" encoding="utf-8"?>
<formControlPr xmlns="http://schemas.microsoft.com/office/spreadsheetml/2009/9/main" objectType="Drop" dropLines="32" dropStyle="combo" dx="16" fmlaLink="$R1249" fmlaRange="'WORKINGS MATRIX'!$E$200:$E$231" noThreeD="1" sel="1" val="0"/>
</file>

<file path=xl/ctrlProps/ctrlProp728.xml><?xml version="1.0" encoding="utf-8"?>
<formControlPr xmlns="http://schemas.microsoft.com/office/spreadsheetml/2009/9/main" objectType="Drop" dropLines="20" dropStyle="combo" dx="16" fmlaLink="$P$1347" fmlaRange="'WORKINGS MATRIX'!$C$200:$C$301" noThreeD="1" sel="1" val="0"/>
</file>

<file path=xl/ctrlProps/ctrlProp729.xml><?xml version="1.0" encoding="utf-8"?>
<formControlPr xmlns="http://schemas.microsoft.com/office/spreadsheetml/2009/9/main" objectType="Drop" dropLines="13" dropStyle="combo" dx="16" fmlaLink="$Q$1347" fmlaRange="'WORKINGS MATRIX'!$D$200:$D$212" noThreeD="1" sel="1" val="0"/>
</file>

<file path=xl/ctrlProps/ctrlProp730.xml><?xml version="1.0" encoding="utf-8"?>
<formControlPr xmlns="http://schemas.microsoft.com/office/spreadsheetml/2009/9/main" objectType="Drop" dropLines="32" dropStyle="combo" dx="16" fmlaLink="$R1347" fmlaRange="'WORKINGS MATRIX'!$E$200:$E$231" noThreeD="1" sel="1" val="0"/>
</file>

<file path=xl/ctrlProps/ctrlProp731.xml><?xml version="1.0" encoding="utf-8"?>
<formControlPr xmlns="http://schemas.microsoft.com/office/spreadsheetml/2009/9/main" objectType="Drop" dropLines="20" dropStyle="combo" dx="16" fmlaLink="$P$1348" fmlaRange="'WORKINGS MATRIX'!$C$200:$C$301" noThreeD="1" sel="1" val="0"/>
</file>

<file path=xl/ctrlProps/ctrlProp732.xml><?xml version="1.0" encoding="utf-8"?>
<formControlPr xmlns="http://schemas.microsoft.com/office/spreadsheetml/2009/9/main" objectType="Drop" dropLines="13" dropStyle="combo" dx="16" fmlaLink="$Q$1348" fmlaRange="'WORKINGS MATRIX'!$D$200:$D$212" noThreeD="1" sel="1" val="0"/>
</file>

<file path=xl/ctrlProps/ctrlProp733.xml><?xml version="1.0" encoding="utf-8"?>
<formControlPr xmlns="http://schemas.microsoft.com/office/spreadsheetml/2009/9/main" objectType="Drop" dropLines="32" dropStyle="combo" dx="16" fmlaLink="$R1348" fmlaRange="'WORKINGS MATRIX'!$E$200:$E$231" noThreeD="1" sel="1" val="0"/>
</file>

<file path=xl/ctrlProps/ctrlProp734.xml><?xml version="1.0" encoding="utf-8"?>
<formControlPr xmlns="http://schemas.microsoft.com/office/spreadsheetml/2009/9/main" objectType="Drop" dropLines="20" dropStyle="combo" dx="16" fmlaLink="$P$1349" fmlaRange="'WORKINGS MATRIX'!$C$200:$C$301" noThreeD="1" sel="1" val="0"/>
</file>

<file path=xl/ctrlProps/ctrlProp735.xml><?xml version="1.0" encoding="utf-8"?>
<formControlPr xmlns="http://schemas.microsoft.com/office/spreadsheetml/2009/9/main" objectType="Drop" dropLines="13" dropStyle="combo" dx="16" fmlaLink="$Q$1349" fmlaRange="'WORKINGS MATRIX'!$D$200:$D$212" noThreeD="1" sel="1" val="0"/>
</file>

<file path=xl/ctrlProps/ctrlProp736.xml><?xml version="1.0" encoding="utf-8"?>
<formControlPr xmlns="http://schemas.microsoft.com/office/spreadsheetml/2009/9/main" objectType="Drop" dropLines="32" dropStyle="combo" dx="16" fmlaLink="$R1349" fmlaRange="'WORKINGS MATRIX'!$E$200:$E$231" noThreeD="1" sel="1" val="0"/>
</file>

<file path=xl/ctrlProps/ctrlProp737.xml><?xml version="1.0" encoding="utf-8"?>
<formControlPr xmlns="http://schemas.microsoft.com/office/spreadsheetml/2009/9/main" objectType="Drop" dropLines="20" dropStyle="combo" dx="16" fmlaLink="$P$1447" fmlaRange="'WORKINGS MATRIX'!$C$200:$C$301" noThreeD="1" sel="1" val="0"/>
</file>

<file path=xl/ctrlProps/ctrlProp738.xml><?xml version="1.0" encoding="utf-8"?>
<formControlPr xmlns="http://schemas.microsoft.com/office/spreadsheetml/2009/9/main" objectType="Drop" dropLines="13" dropStyle="combo" dx="16" fmlaLink="$Q$1447" fmlaRange="'WORKINGS MATRIX'!$D$200:$D$212" noThreeD="1" sel="1" val="0"/>
</file>

<file path=xl/ctrlProps/ctrlProp739.xml><?xml version="1.0" encoding="utf-8"?>
<formControlPr xmlns="http://schemas.microsoft.com/office/spreadsheetml/2009/9/main" objectType="Drop" dropLines="32" dropStyle="combo" dx="16" fmlaLink="$R1447" fmlaRange="'WORKINGS MATRIX'!$E$200:$E$231" noThreeD="1" sel="1" val="0"/>
</file>

<file path=xl/ctrlProps/ctrlProp740.xml><?xml version="1.0" encoding="utf-8"?>
<formControlPr xmlns="http://schemas.microsoft.com/office/spreadsheetml/2009/9/main" objectType="Drop" dropLines="20" dropStyle="combo" dx="16" fmlaLink="$P$1448" fmlaRange="'WORKINGS MATRIX'!$C$200:$C$301" noThreeD="1" sel="1" val="0"/>
</file>

<file path=xl/ctrlProps/ctrlProp741.xml><?xml version="1.0" encoding="utf-8"?>
<formControlPr xmlns="http://schemas.microsoft.com/office/spreadsheetml/2009/9/main" objectType="Drop" dropLines="13" dropStyle="combo" dx="16" fmlaLink="$Q$1448" fmlaRange="'WORKINGS MATRIX'!$D$200:$D$212" noThreeD="1" sel="1" val="0"/>
</file>

<file path=xl/ctrlProps/ctrlProp742.xml><?xml version="1.0" encoding="utf-8"?>
<formControlPr xmlns="http://schemas.microsoft.com/office/spreadsheetml/2009/9/main" objectType="Drop" dropLines="32" dropStyle="combo" dx="16" fmlaLink="$R1448" fmlaRange="'WORKINGS MATRIX'!$E$200:$E$231" noThreeD="1" sel="1" val="0"/>
</file>

<file path=xl/ctrlProps/ctrlProp743.xml><?xml version="1.0" encoding="utf-8"?>
<formControlPr xmlns="http://schemas.microsoft.com/office/spreadsheetml/2009/9/main" objectType="Drop" dropLines="20" dropStyle="combo" dx="16" fmlaLink="$P$1449" fmlaRange="'WORKINGS MATRIX'!$C$200:$C$301" noThreeD="1" sel="1" val="0"/>
</file>

<file path=xl/ctrlProps/ctrlProp744.xml><?xml version="1.0" encoding="utf-8"?>
<formControlPr xmlns="http://schemas.microsoft.com/office/spreadsheetml/2009/9/main" objectType="Drop" dropLines="13" dropStyle="combo" dx="16" fmlaLink="$Q$1449" fmlaRange="'WORKINGS MATRIX'!$D$200:$D$212" noThreeD="1" sel="1" val="0"/>
</file>

<file path=xl/ctrlProps/ctrlProp745.xml><?xml version="1.0" encoding="utf-8"?>
<formControlPr xmlns="http://schemas.microsoft.com/office/spreadsheetml/2009/9/main" objectType="Drop" dropLines="32" dropStyle="combo" dx="16" fmlaLink="$R1449" fmlaRange="'WORKINGS MATRIX'!$E$200:$E$231" noThreeD="1" sel="1" val="0"/>
</file>

<file path=xl/ctrlProps/ctrlProp746.xml><?xml version="1.0" encoding="utf-8"?>
<formControlPr xmlns="http://schemas.microsoft.com/office/spreadsheetml/2009/9/main" objectType="Drop" dropLines="13" dropStyle="combo" dx="16" fmlaLink="H76" fmlaRange="'WORKINGS MATRIX'!$Q$66:$Q$86" noThreeD="1" sel="1" val="0"/>
</file>

<file path=xl/ctrlProps/ctrlProp747.xml><?xml version="1.0" encoding="utf-8"?>
<formControlPr xmlns="http://schemas.microsoft.com/office/spreadsheetml/2009/9/main" objectType="Drop" dropLines="25" dropStyle="combo" dx="16" fmlaLink="H78" fmlaRange="'WORKINGS MATRIX'!$B$199:$B$259" noThreeD="1" sel="1" val="0"/>
</file>

<file path=xl/ctrlProps/ctrlProp748.xml><?xml version="1.0" encoding="utf-8"?>
<formControlPr xmlns="http://schemas.microsoft.com/office/spreadsheetml/2009/9/main" objectType="Drop" dropLines="13" dropStyle="combo" dx="16" fmlaLink="H176" fmlaRange="'WORKINGS MATRIX'!$Q$66:$Q$86" noThreeD="1" sel="1" val="0"/>
</file>

<file path=xl/ctrlProps/ctrlProp749.xml><?xml version="1.0" encoding="utf-8"?>
<formControlPr xmlns="http://schemas.microsoft.com/office/spreadsheetml/2009/9/main" objectType="Drop" dropLines="25" dropStyle="combo" dx="16" fmlaLink="H178" fmlaRange="'WORKINGS MATRIX'!$B$199:$B$259" noThreeD="1" sel="1" val="0"/>
</file>

<file path=xl/ctrlProps/ctrlProp750.xml><?xml version="1.0" encoding="utf-8"?>
<formControlPr xmlns="http://schemas.microsoft.com/office/spreadsheetml/2009/9/main" objectType="Drop" dropLines="13" dropStyle="combo" dx="16" fmlaLink="H276" fmlaRange="'WORKINGS MATRIX'!$Q$66:$Q$86" noThreeD="1" sel="1" val="0"/>
</file>

<file path=xl/ctrlProps/ctrlProp751.xml><?xml version="1.0" encoding="utf-8"?>
<formControlPr xmlns="http://schemas.microsoft.com/office/spreadsheetml/2009/9/main" objectType="Drop" dropLines="25" dropStyle="combo" dx="16" fmlaLink="H278" fmlaRange="'WORKINGS MATRIX'!$B$199:$B$259" noThreeD="1" sel="1" val="0"/>
</file>

<file path=xl/ctrlProps/ctrlProp752.xml><?xml version="1.0" encoding="utf-8"?>
<formControlPr xmlns="http://schemas.microsoft.com/office/spreadsheetml/2009/9/main" objectType="Drop" dropLines="13" dropStyle="combo" dx="16" fmlaLink="H476" fmlaRange="'WORKINGS MATRIX'!$Q$66:$Q$86" noThreeD="1" sel="1" val="0"/>
</file>

<file path=xl/ctrlProps/ctrlProp753.xml><?xml version="1.0" encoding="utf-8"?>
<formControlPr xmlns="http://schemas.microsoft.com/office/spreadsheetml/2009/9/main" objectType="Drop" dropLines="25" dropStyle="combo" dx="16" fmlaLink="H478" fmlaRange="'WORKINGS MATRIX'!$B$199:$B$259" noThreeD="1" sel="1" val="0"/>
</file>

<file path=xl/ctrlProps/ctrlProp754.xml><?xml version="1.0" encoding="utf-8"?>
<formControlPr xmlns="http://schemas.microsoft.com/office/spreadsheetml/2009/9/main" objectType="Drop" dropLines="13" dropStyle="combo" dx="16" fmlaLink="H576" fmlaRange="'WORKINGS MATRIX'!$Q$66:$Q$86" noThreeD="1" sel="1" val="0"/>
</file>

<file path=xl/ctrlProps/ctrlProp755.xml><?xml version="1.0" encoding="utf-8"?>
<formControlPr xmlns="http://schemas.microsoft.com/office/spreadsheetml/2009/9/main" objectType="Drop" dropLines="25" dropStyle="combo" dx="16" fmlaLink="H578" fmlaRange="'WORKINGS MATRIX'!$B$199:$B$259" noThreeD="1" sel="1" val="0"/>
</file>

<file path=xl/ctrlProps/ctrlProp756.xml><?xml version="1.0" encoding="utf-8"?>
<formControlPr xmlns="http://schemas.microsoft.com/office/spreadsheetml/2009/9/main" objectType="Drop" dropLines="13" dropStyle="combo" dx="16" fmlaLink="H676" fmlaRange="'WORKINGS MATRIX'!$Q$66:$Q$86" noThreeD="1" sel="1" val="0"/>
</file>

<file path=xl/ctrlProps/ctrlProp757.xml><?xml version="1.0" encoding="utf-8"?>
<formControlPr xmlns="http://schemas.microsoft.com/office/spreadsheetml/2009/9/main" objectType="Drop" dropLines="25" dropStyle="combo" dx="16" fmlaLink="H678" fmlaRange="'WORKINGS MATRIX'!$B$199:$B$259" noThreeD="1" sel="1" val="0"/>
</file>

<file path=xl/ctrlProps/ctrlProp758.xml><?xml version="1.0" encoding="utf-8"?>
<formControlPr xmlns="http://schemas.microsoft.com/office/spreadsheetml/2009/9/main" objectType="Drop" dropLines="13" dropStyle="combo" dx="16" fmlaLink="H776" fmlaRange="'WORKINGS MATRIX'!$Q$66:$Q$86" noThreeD="1" sel="1" val="0"/>
</file>

<file path=xl/ctrlProps/ctrlProp759.xml><?xml version="1.0" encoding="utf-8"?>
<formControlPr xmlns="http://schemas.microsoft.com/office/spreadsheetml/2009/9/main" objectType="Drop" dropLines="25" dropStyle="combo" dx="16" fmlaLink="H778" fmlaRange="'WORKINGS MATRIX'!$B$199:$B$259" noThreeD="1" sel="1" val="0"/>
</file>

<file path=xl/ctrlProps/ctrlProp760.xml><?xml version="1.0" encoding="utf-8"?>
<formControlPr xmlns="http://schemas.microsoft.com/office/spreadsheetml/2009/9/main" objectType="Drop" dropLines="13" dropStyle="combo" dx="16" fmlaLink="H876" fmlaRange="'WORKINGS MATRIX'!$Q$66:$Q$86" noThreeD="1" sel="1" val="0"/>
</file>

<file path=xl/ctrlProps/ctrlProp761.xml><?xml version="1.0" encoding="utf-8"?>
<formControlPr xmlns="http://schemas.microsoft.com/office/spreadsheetml/2009/9/main" objectType="Drop" dropLines="25" dropStyle="combo" dx="16" fmlaLink="H878" fmlaRange="'WORKINGS MATRIX'!$B$199:$B$259" noThreeD="1" sel="1" val="0"/>
</file>

<file path=xl/ctrlProps/ctrlProp762.xml><?xml version="1.0" encoding="utf-8"?>
<formControlPr xmlns="http://schemas.microsoft.com/office/spreadsheetml/2009/9/main" objectType="Drop" dropLines="13" dropStyle="combo" dx="16" fmlaLink="H976" fmlaRange="'WORKINGS MATRIX'!$Q$66:$Q$86" noThreeD="1" sel="1" val="0"/>
</file>

<file path=xl/ctrlProps/ctrlProp763.xml><?xml version="1.0" encoding="utf-8"?>
<formControlPr xmlns="http://schemas.microsoft.com/office/spreadsheetml/2009/9/main" objectType="Drop" dropLines="25" dropStyle="combo" dx="16" fmlaLink="H978" fmlaRange="'WORKINGS MATRIX'!$B$199:$B$259" noThreeD="1" sel="1" val="0"/>
</file>

<file path=xl/ctrlProps/ctrlProp764.xml><?xml version="1.0" encoding="utf-8"?>
<formControlPr xmlns="http://schemas.microsoft.com/office/spreadsheetml/2009/9/main" objectType="Drop" dropLines="13" dropStyle="combo" dx="16" fmlaLink="H1076" fmlaRange="'WORKINGS MATRIX'!$Q$66:$Q$86" noThreeD="1" sel="1" val="0"/>
</file>

<file path=xl/ctrlProps/ctrlProp765.xml><?xml version="1.0" encoding="utf-8"?>
<formControlPr xmlns="http://schemas.microsoft.com/office/spreadsheetml/2009/9/main" objectType="Drop" dropLines="25" dropStyle="combo" dx="16" fmlaLink="H1078" fmlaRange="'WORKINGS MATRIX'!$B$199:$B$259" noThreeD="1" sel="1" val="0"/>
</file>

<file path=xl/ctrlProps/ctrlProp766.xml><?xml version="1.0" encoding="utf-8"?>
<formControlPr xmlns="http://schemas.microsoft.com/office/spreadsheetml/2009/9/main" objectType="Drop" dropLines="13" dropStyle="combo" dx="16" fmlaLink="H1176" fmlaRange="'WORKINGS MATRIX'!$Q$66:$Q$86" noThreeD="1" sel="1" val="0"/>
</file>

<file path=xl/ctrlProps/ctrlProp767.xml><?xml version="1.0" encoding="utf-8"?>
<formControlPr xmlns="http://schemas.microsoft.com/office/spreadsheetml/2009/9/main" objectType="Drop" dropLines="25" dropStyle="combo" dx="16" fmlaLink="H1178" fmlaRange="'WORKINGS MATRIX'!$B$199:$B$259" noThreeD="1" sel="1" val="0"/>
</file>

<file path=xl/ctrlProps/ctrlProp768.xml><?xml version="1.0" encoding="utf-8"?>
<formControlPr xmlns="http://schemas.microsoft.com/office/spreadsheetml/2009/9/main" objectType="Drop" dropLines="13" dropStyle="combo" dx="16" fmlaLink="H1276" fmlaRange="'WORKINGS MATRIX'!$Q$66:$Q$86" noThreeD="1" sel="1" val="0"/>
</file>

<file path=xl/ctrlProps/ctrlProp769.xml><?xml version="1.0" encoding="utf-8"?>
<formControlPr xmlns="http://schemas.microsoft.com/office/spreadsheetml/2009/9/main" objectType="Drop" dropLines="25" dropStyle="combo" dx="16" fmlaLink="H1278" fmlaRange="'WORKINGS MATRIX'!$B$199:$B$259" noThreeD="1" sel="1" val="0"/>
</file>

<file path=xl/ctrlProps/ctrlProp770.xml><?xml version="1.0" encoding="utf-8"?>
<formControlPr xmlns="http://schemas.microsoft.com/office/spreadsheetml/2009/9/main" objectType="Drop" dropLines="13" dropStyle="combo" dx="16" fmlaLink="H1376" fmlaRange="'WORKINGS MATRIX'!$Q$66:$Q$86" noThreeD="1" sel="1" val="0"/>
</file>

<file path=xl/ctrlProps/ctrlProp771.xml><?xml version="1.0" encoding="utf-8"?>
<formControlPr xmlns="http://schemas.microsoft.com/office/spreadsheetml/2009/9/main" objectType="Drop" dropLines="25" dropStyle="combo" dx="16" fmlaLink="H1378" fmlaRange="'WORKINGS MATRIX'!$B$199:$B$259" noThreeD="1" sel="1" val="0"/>
</file>

<file path=xl/ctrlProps/ctrlProp772.xml><?xml version="1.0" encoding="utf-8"?>
<formControlPr xmlns="http://schemas.microsoft.com/office/spreadsheetml/2009/9/main" objectType="Drop" dropLines="13" dropStyle="combo" dx="16" fmlaLink="H1476" fmlaRange="'WORKINGS MATRIX'!$Q$66:$Q$86" noThreeD="1" sel="1" val="0"/>
</file>

<file path=xl/ctrlProps/ctrlProp773.xml><?xml version="1.0" encoding="utf-8"?>
<formControlPr xmlns="http://schemas.microsoft.com/office/spreadsheetml/2009/9/main" objectType="Drop" dropLines="25" dropStyle="combo" dx="16" fmlaLink="H1478" fmlaRange="'WORKINGS MATRIX'!$B$199:$B$259" noThreeD="1" sel="1" val="0"/>
</file>

<file path=xl/ctrlProps/ctrlProp774.xml><?xml version="1.0" encoding="utf-8"?>
<formControlPr xmlns="http://schemas.microsoft.com/office/spreadsheetml/2009/9/main" objectType="Drop" dropLines="13" dropStyle="combo" dx="16" fmlaLink="H1576" fmlaRange="'WORKINGS MATRIX'!$Q$66:$Q$86" noThreeD="1" sel="1" val="0"/>
</file>

<file path=xl/ctrlProps/ctrlProp775.xml><?xml version="1.0" encoding="utf-8"?>
<formControlPr xmlns="http://schemas.microsoft.com/office/spreadsheetml/2009/9/main" objectType="Drop" dropLines="25" dropStyle="combo" dx="16" fmlaLink="H1578" fmlaRange="'WORKINGS MATRIX'!$B$199:$B$259" noThreeD="1" sel="1" val="0"/>
</file>

<file path=xl/ctrlProps/ctrlProp776.xml><?xml version="1.0" encoding="utf-8"?>
<formControlPr xmlns="http://schemas.microsoft.com/office/spreadsheetml/2009/9/main" objectType="Drop" dropLines="13" dropStyle="combo" dx="16" fmlaLink="H1676" fmlaRange="'WORKINGS MATRIX'!$Q$66:$Q$86" noThreeD="1" sel="1" val="0"/>
</file>

<file path=xl/ctrlProps/ctrlProp777.xml><?xml version="1.0" encoding="utf-8"?>
<formControlPr xmlns="http://schemas.microsoft.com/office/spreadsheetml/2009/9/main" objectType="Drop" dropLines="25" dropStyle="combo" dx="16" fmlaLink="H1678" fmlaRange="'WORKINGS MATRIX'!$B$199:$B$259" noThreeD="1" sel="1" val="0"/>
</file>

<file path=xl/ctrlProps/ctrlProp778.xml><?xml version="1.0" encoding="utf-8"?>
<formControlPr xmlns="http://schemas.microsoft.com/office/spreadsheetml/2009/9/main" objectType="Drop" dropLines="13" dropStyle="combo" dx="16" fmlaLink="H1776" fmlaRange="'WORKINGS MATRIX'!$Q$66:$Q$86" noThreeD="1" sel="1" val="0"/>
</file>

<file path=xl/ctrlProps/ctrlProp779.xml><?xml version="1.0" encoding="utf-8"?>
<formControlPr xmlns="http://schemas.microsoft.com/office/spreadsheetml/2009/9/main" objectType="Drop" dropLines="25" dropStyle="combo" dx="16" fmlaLink="H1778" fmlaRange="'WORKINGS MATRIX'!$B$199:$B$259" noThreeD="1" sel="1" val="0"/>
</file>

<file path=xl/ctrlProps/ctrlProp780.xml><?xml version="1.0" encoding="utf-8"?>
<formControlPr xmlns="http://schemas.microsoft.com/office/spreadsheetml/2009/9/main" objectType="Drop" dropLines="13" dropStyle="combo" dx="16" fmlaLink="H1876" fmlaRange="'WORKINGS MATRIX'!$Q$66:$Q$86" noThreeD="1" sel="1" val="0"/>
</file>

<file path=xl/ctrlProps/ctrlProp781.xml><?xml version="1.0" encoding="utf-8"?>
<formControlPr xmlns="http://schemas.microsoft.com/office/spreadsheetml/2009/9/main" objectType="Drop" dropLines="25" dropStyle="combo" dx="16" fmlaLink="H1878" fmlaRange="'WORKINGS MATRIX'!$B$199:$B$259" noThreeD="1" sel="1" val="0"/>
</file>

<file path=xl/ctrlProps/ctrlProp782.xml><?xml version="1.0" encoding="utf-8"?>
<formControlPr xmlns="http://schemas.microsoft.com/office/spreadsheetml/2009/9/main" objectType="Drop" dropLines="13" dropStyle="combo" dx="16" fmlaLink="H1976" fmlaRange="'WORKINGS MATRIX'!$Q$66:$Q$86" noThreeD="1" sel="1" val="0"/>
</file>

<file path=xl/ctrlProps/ctrlProp783.xml><?xml version="1.0" encoding="utf-8"?>
<formControlPr xmlns="http://schemas.microsoft.com/office/spreadsheetml/2009/9/main" objectType="Drop" dropLines="25" dropStyle="combo" dx="16" fmlaLink="H1978" fmlaRange="'WORKINGS MATRIX'!$B$199:$B$259" noThreeD="1" sel="1" val="0"/>
</file>

<file path=xl/ctrlProps/ctrlProp784.xml><?xml version="1.0" encoding="utf-8"?>
<formControlPr xmlns="http://schemas.microsoft.com/office/spreadsheetml/2009/9/main" objectType="Button" lockText="1"/>
</file>

<file path=xl/ctrlProps/ctrlProp785.xml><?xml version="1.0" encoding="utf-8"?>
<formControlPr xmlns="http://schemas.microsoft.com/office/spreadsheetml/2009/9/main" objectType="Drop" dropLines="3" dropStyle="combo" dx="16" fmlaLink="H72" fmlaRange="'WORKINGS MATRIX'!$L$87:$L$89" noThreeD="1" sel="1" val="0"/>
</file>

<file path=xl/ctrlProps/ctrlProp786.xml><?xml version="1.0" encoding="utf-8"?>
<formControlPr xmlns="http://schemas.microsoft.com/office/spreadsheetml/2009/9/main" objectType="Drop" dropLines="3" dropStyle="combo" dx="16" fmlaLink="H172" fmlaRange="'WORKINGS MATRIX'!$L$87:$L$89" noThreeD="1" sel="1" val="0"/>
</file>

<file path=xl/ctrlProps/ctrlProp787.xml><?xml version="1.0" encoding="utf-8"?>
<formControlPr xmlns="http://schemas.microsoft.com/office/spreadsheetml/2009/9/main" objectType="Drop" dropLines="3" dropStyle="combo" dx="16" fmlaLink="H272" fmlaRange="'WORKINGS MATRIX'!$L$87:$L$89" noThreeD="1" sel="1" val="0"/>
</file>

<file path=xl/ctrlProps/ctrlProp788.xml><?xml version="1.0" encoding="utf-8"?>
<formControlPr xmlns="http://schemas.microsoft.com/office/spreadsheetml/2009/9/main" objectType="Drop" dropLines="3" dropStyle="combo" dx="16" fmlaLink="H472" fmlaRange="'WORKINGS MATRIX'!$L$87:$L$89" noThreeD="1" sel="1" val="0"/>
</file>

<file path=xl/ctrlProps/ctrlProp789.xml><?xml version="1.0" encoding="utf-8"?>
<formControlPr xmlns="http://schemas.microsoft.com/office/spreadsheetml/2009/9/main" objectType="Drop" dropLines="3" dropStyle="combo" dx="16" fmlaLink="H572" fmlaRange="'WORKINGS MATRIX'!$L$87:$L$89" noThreeD="1" sel="1" val="0"/>
</file>

<file path=xl/ctrlProps/ctrlProp790.xml><?xml version="1.0" encoding="utf-8"?>
<formControlPr xmlns="http://schemas.microsoft.com/office/spreadsheetml/2009/9/main" objectType="Drop" dropLines="3" dropStyle="combo" dx="16" fmlaLink="H672" fmlaRange="'WORKINGS MATRIX'!$L$87:$L$89" noThreeD="1" sel="1" val="0"/>
</file>

<file path=xl/ctrlProps/ctrlProp791.xml><?xml version="1.0" encoding="utf-8"?>
<formControlPr xmlns="http://schemas.microsoft.com/office/spreadsheetml/2009/9/main" objectType="Drop" dropLines="3" dropStyle="combo" dx="16" fmlaLink="H772" fmlaRange="'WORKINGS MATRIX'!$L$87:$L$89" noThreeD="1" sel="1" val="0"/>
</file>

<file path=xl/ctrlProps/ctrlProp792.xml><?xml version="1.0" encoding="utf-8"?>
<formControlPr xmlns="http://schemas.microsoft.com/office/spreadsheetml/2009/9/main" objectType="Drop" dropLines="3" dropStyle="combo" dx="16" fmlaLink="H872" fmlaRange="'WORKINGS MATRIX'!$L$87:$L$89" noThreeD="1" sel="1" val="0"/>
</file>

<file path=xl/ctrlProps/ctrlProp793.xml><?xml version="1.0" encoding="utf-8"?>
<formControlPr xmlns="http://schemas.microsoft.com/office/spreadsheetml/2009/9/main" objectType="Drop" dropLines="3" dropStyle="combo" dx="16" fmlaLink="H972" fmlaRange="'WORKINGS MATRIX'!$L$87:$L$89" noThreeD="1" sel="1" val="0"/>
</file>

<file path=xl/ctrlProps/ctrlProp794.xml><?xml version="1.0" encoding="utf-8"?>
<formControlPr xmlns="http://schemas.microsoft.com/office/spreadsheetml/2009/9/main" objectType="Drop" dropLines="3" dropStyle="combo" dx="16" fmlaLink="H1072" fmlaRange="'WORKINGS MATRIX'!$L$87:$L$89" noThreeD="1" sel="1" val="0"/>
</file>

<file path=xl/ctrlProps/ctrlProp795.xml><?xml version="1.0" encoding="utf-8"?>
<formControlPr xmlns="http://schemas.microsoft.com/office/spreadsheetml/2009/9/main" objectType="Drop" dropLines="3" dropStyle="combo" dx="16" fmlaLink="H1172" fmlaRange="'WORKINGS MATRIX'!$L$87:$L$89" noThreeD="1" sel="1" val="0"/>
</file>

<file path=xl/ctrlProps/ctrlProp796.xml><?xml version="1.0" encoding="utf-8"?>
<formControlPr xmlns="http://schemas.microsoft.com/office/spreadsheetml/2009/9/main" objectType="Drop" dropLines="3" dropStyle="combo" dx="16" fmlaLink="H1272" fmlaRange="'WORKINGS MATRIX'!$L$87:$L$89" noThreeD="1" sel="1" val="0"/>
</file>

<file path=xl/ctrlProps/ctrlProp797.xml><?xml version="1.0" encoding="utf-8"?>
<formControlPr xmlns="http://schemas.microsoft.com/office/spreadsheetml/2009/9/main" objectType="Drop" dropLines="3" dropStyle="combo" dx="16" fmlaLink="H1372" fmlaRange="'WORKINGS MATRIX'!$L$87:$L$89" noThreeD="1" sel="1" val="0"/>
</file>

<file path=xl/ctrlProps/ctrlProp798.xml><?xml version="1.0" encoding="utf-8"?>
<formControlPr xmlns="http://schemas.microsoft.com/office/spreadsheetml/2009/9/main" objectType="Drop" dropLines="3" dropStyle="combo" dx="16" fmlaLink="H1472" fmlaRange="'WORKINGS MATRIX'!$L$87:$L$89" noThreeD="1" sel="1" val="0"/>
</file>

<file path=xl/ctrlProps/ctrlProp799.xml><?xml version="1.0" encoding="utf-8"?>
<formControlPr xmlns="http://schemas.microsoft.com/office/spreadsheetml/2009/9/main" objectType="Drop" dropLines="3" dropStyle="combo" dx="16" fmlaLink="H1572" fmlaRange="'WORKINGS MATRIX'!$L$87:$L$89" noThreeD="1" sel="1" val="0"/>
</file>

<file path=xl/ctrlProps/ctrlProp800.xml><?xml version="1.0" encoding="utf-8"?>
<formControlPr xmlns="http://schemas.microsoft.com/office/spreadsheetml/2009/9/main" objectType="Drop" dropLines="3" dropStyle="combo" dx="16" fmlaLink="H1672" fmlaRange="'WORKINGS MATRIX'!$L$87:$L$89" noThreeD="1" sel="1" val="0"/>
</file>

<file path=xl/ctrlProps/ctrlProp801.xml><?xml version="1.0" encoding="utf-8"?>
<formControlPr xmlns="http://schemas.microsoft.com/office/spreadsheetml/2009/9/main" objectType="Drop" dropLines="3" dropStyle="combo" dx="16" fmlaLink="H1772" fmlaRange="'WORKINGS MATRIX'!$L$87:$L$89" noThreeD="1" sel="1" val="0"/>
</file>

<file path=xl/ctrlProps/ctrlProp802.xml><?xml version="1.0" encoding="utf-8"?>
<formControlPr xmlns="http://schemas.microsoft.com/office/spreadsheetml/2009/9/main" objectType="Drop" dropLines="3" dropStyle="combo" dx="16" fmlaLink="H1872" fmlaRange="'WORKINGS MATRIX'!$L$87:$L$89" noThreeD="1" sel="1" val="0"/>
</file>

<file path=xl/ctrlProps/ctrlProp803.xml><?xml version="1.0" encoding="utf-8"?>
<formControlPr xmlns="http://schemas.microsoft.com/office/spreadsheetml/2009/9/main" objectType="Drop" dropLines="3" dropStyle="combo" dx="16" fmlaLink="H1972" fmlaRange="'WORKINGS MATRIX'!$L$87:$L$89" noThreeD="1" sel="1" val="0"/>
</file>

<file path=xl/ctrlProps/ctrlProp804.xml><?xml version="1.0" encoding="utf-8"?>
<formControlPr xmlns="http://schemas.microsoft.com/office/spreadsheetml/2009/9/main" objectType="Drop" dropLines="13" dropStyle="combo" dx="16" fmlaLink="F47" fmlaRange="SETUP!$B$10:$B$22" noThreeD="1" sel="1" val="0"/>
</file>

<file path=xl/ctrlProps/ctrlProp805.xml><?xml version="1.0" encoding="utf-8"?>
<formControlPr xmlns="http://schemas.microsoft.com/office/spreadsheetml/2009/9/main" objectType="Drop" dropLines="13" dropStyle="combo" dx="16" fmlaLink="F48" fmlaRange="SETUP!$B$10:$B$22" noThreeD="1" sel="1" val="0"/>
</file>

<file path=xl/ctrlProps/ctrlProp806.xml><?xml version="1.0" encoding="utf-8"?>
<formControlPr xmlns="http://schemas.microsoft.com/office/spreadsheetml/2009/9/main" objectType="Drop" dropLines="13" dropStyle="combo" dx="16" fmlaLink="F49" fmlaRange="SETUP!$B$10:$B$22" noThreeD="1" sel="1" val="0"/>
</file>

<file path=xl/ctrlProps/ctrlProp807.xml><?xml version="1.0" encoding="utf-8"?>
<formControlPr xmlns="http://schemas.microsoft.com/office/spreadsheetml/2009/9/main" objectType="Drop" dropLines="13" dropStyle="combo" dx="16" fmlaLink="K48" fmlaRange="'WORKINGS MATRIX'!$C$80:$C$102" noThreeD="1" sel="23" val="10"/>
</file>

<file path=xl/ctrlProps/ctrlProp808.xml><?xml version="1.0" encoding="utf-8"?>
<formControlPr xmlns="http://schemas.microsoft.com/office/spreadsheetml/2009/9/main" objectType="Drop" dropLines="13" dropStyle="combo" dx="16" fmlaLink="K49" fmlaRange="'WORKINGS MATRIX'!$C$80:$C$102" noThreeD="1" sel="23" val="10"/>
</file>

<file path=xl/ctrlProps/ctrlProp809.xml><?xml version="1.0" encoding="utf-8"?>
<formControlPr xmlns="http://schemas.microsoft.com/office/spreadsheetml/2009/9/main" objectType="Drop" dropLines="13" dropStyle="combo" dx="16" fmlaLink="K47" fmlaRange="'WORKINGS MATRIX'!$C$80:$C$102" noThreeD="1" sel="23" val="10"/>
</file>

<file path=xl/ctrlProps/ctrlProp810.xml><?xml version="1.0" encoding="utf-8"?>
<formControlPr xmlns="http://schemas.microsoft.com/office/spreadsheetml/2009/9/main" objectType="Drop" dropStyle="combo" dx="16" fmlaLink="C47" fmlaRange="'WORKINGS MATRIX'!$F$5:$F$12" noThreeD="1" sel="8" val="0"/>
</file>

<file path=xl/ctrlProps/ctrlProp811.xml><?xml version="1.0" encoding="utf-8"?>
<formControlPr xmlns="http://schemas.microsoft.com/office/spreadsheetml/2009/9/main" objectType="Drop" dropStyle="combo" dx="16" fmlaLink="C48" fmlaRange="'WORKINGS MATRIX'!$F$5:$F$12" noThreeD="1" sel="8" val="0"/>
</file>

<file path=xl/ctrlProps/ctrlProp812.xml><?xml version="1.0" encoding="utf-8"?>
<formControlPr xmlns="http://schemas.microsoft.com/office/spreadsheetml/2009/9/main" objectType="Drop" dropStyle="combo" dx="16" fmlaLink="C49" fmlaRange="'WORKINGS MATRIX'!$F$5:$F$12" noThreeD="1" sel="8" val="0"/>
</file>

<file path=xl/ctrlProps/ctrlProp813.xml><?xml version="1.0" encoding="utf-8"?>
<formControlPr xmlns="http://schemas.microsoft.com/office/spreadsheetml/2009/9/main" objectType="Drop" dropLines="20" dropStyle="combo" dx="16" fmlaLink="$P$52" fmlaRange="'WORKINGS MATRIX'!$C$200:$C$301" noThreeD="1" sel="1" val="0"/>
</file>

<file path=xl/ctrlProps/ctrlProp814.xml><?xml version="1.0" encoding="utf-8"?>
<formControlPr xmlns="http://schemas.microsoft.com/office/spreadsheetml/2009/9/main" objectType="Drop" dropLines="13" dropStyle="combo" dx="16" fmlaLink="$Q$52" fmlaRange="'WORKINGS MATRIX'!$D$200:$D$212" noThreeD="1" sel="1" val="0"/>
</file>

<file path=xl/ctrlProps/ctrlProp815.xml><?xml version="1.0" encoding="utf-8"?>
<formControlPr xmlns="http://schemas.microsoft.com/office/spreadsheetml/2009/9/main" objectType="Drop" dropLines="32" dropStyle="combo" dx="16" fmlaLink="$R$52" fmlaRange="'WORKINGS MATRIX'!$E$200:$E$231" noThreeD="1" sel="1" val="0"/>
</file>

<file path=xl/ctrlProps/ctrlProp816.xml><?xml version="1.0" encoding="utf-8"?>
<formControlPr xmlns="http://schemas.microsoft.com/office/spreadsheetml/2009/9/main" objectType="Drop" dropLines="20" dropStyle="combo" dx="16" fmlaLink="$P$53" fmlaRange="'WORKINGS MATRIX'!$C$200:$C$301" noThreeD="1" sel="1" val="0"/>
</file>

<file path=xl/ctrlProps/ctrlProp817.xml><?xml version="1.0" encoding="utf-8"?>
<formControlPr xmlns="http://schemas.microsoft.com/office/spreadsheetml/2009/9/main" objectType="Drop" dropLines="13" dropStyle="combo" dx="16" fmlaLink="$Q$53" fmlaRange="'WORKINGS MATRIX'!$D$200:$D$212" noThreeD="1" sel="1" val="0"/>
</file>

<file path=xl/ctrlProps/ctrlProp818.xml><?xml version="1.0" encoding="utf-8"?>
<formControlPr xmlns="http://schemas.microsoft.com/office/spreadsheetml/2009/9/main" objectType="Drop" dropLines="32" dropStyle="combo" dx="16" fmlaLink="$R$53" fmlaRange="'WORKINGS MATRIX'!$E$200:$E$231" noThreeD="1" sel="1" val="0"/>
</file>

<file path=xl/ctrlProps/ctrlProp819.xml><?xml version="1.0" encoding="utf-8"?>
<formControlPr xmlns="http://schemas.microsoft.com/office/spreadsheetml/2009/9/main" objectType="Drop" dropLines="20" dropStyle="combo" dx="16" fmlaLink="$P$54" fmlaRange="'WORKINGS MATRIX'!$C$200:$C$301" noThreeD="1" sel="1" val="0"/>
</file>

<file path=xl/ctrlProps/ctrlProp820.xml><?xml version="1.0" encoding="utf-8"?>
<formControlPr xmlns="http://schemas.microsoft.com/office/spreadsheetml/2009/9/main" objectType="Drop" dropLines="13" dropStyle="combo" dx="16" fmlaLink="$Q$54" fmlaRange="'WORKINGS MATRIX'!$D$200:$D$212" noThreeD="1" sel="1" val="0"/>
</file>

<file path=xl/ctrlProps/ctrlProp821.xml><?xml version="1.0" encoding="utf-8"?>
<formControlPr xmlns="http://schemas.microsoft.com/office/spreadsheetml/2009/9/main" objectType="Drop" dropLines="32" dropStyle="combo" dx="16" fmlaLink="$R$54" fmlaRange="'WORKINGS MATRIX'!$E$200:$E$231" noThreeD="1" sel="1" val="0"/>
</file>

<file path=xl/ctrlProps/ctrlProp822.xml><?xml version="1.0" encoding="utf-8"?>
<formControlPr xmlns="http://schemas.microsoft.com/office/spreadsheetml/2009/9/main" objectType="Drop" dropLines="20" dropStyle="combo" dx="16" fmlaLink="$P$47" fmlaRange="'WORKINGS MATRIX'!$C$200:$C$301" noThreeD="1" sel="1" val="0"/>
</file>

<file path=xl/ctrlProps/ctrlProp823.xml><?xml version="1.0" encoding="utf-8"?>
<formControlPr xmlns="http://schemas.microsoft.com/office/spreadsheetml/2009/9/main" objectType="Drop" dropLines="13" dropStyle="combo" dx="16" fmlaLink="$Q$47" fmlaRange="'WORKINGS MATRIX'!$D$200:$D$212" noThreeD="1" sel="1" val="0"/>
</file>

<file path=xl/ctrlProps/ctrlProp824.xml><?xml version="1.0" encoding="utf-8"?>
<formControlPr xmlns="http://schemas.microsoft.com/office/spreadsheetml/2009/9/main" objectType="Drop" dropLines="32" dropStyle="combo" dx="16" fmlaLink="$R47" fmlaRange="'WORKINGS MATRIX'!$E$200:$E$231" noThreeD="1" sel="1" val="0"/>
</file>

<file path=xl/ctrlProps/ctrlProp825.xml><?xml version="1.0" encoding="utf-8"?>
<formControlPr xmlns="http://schemas.microsoft.com/office/spreadsheetml/2009/9/main" objectType="Drop" dropLines="20" dropStyle="combo" dx="16" fmlaLink="$P$48" fmlaRange="'WORKINGS MATRIX'!$C$200:$C$301" noThreeD="1" sel="1" val="0"/>
</file>

<file path=xl/ctrlProps/ctrlProp826.xml><?xml version="1.0" encoding="utf-8"?>
<formControlPr xmlns="http://schemas.microsoft.com/office/spreadsheetml/2009/9/main" objectType="Drop" dropLines="13" dropStyle="combo" dx="16" fmlaLink="$Q$48" fmlaRange="'WORKINGS MATRIX'!$D$200:$D$212" noThreeD="1" sel="1" val="0"/>
</file>

<file path=xl/ctrlProps/ctrlProp827.xml><?xml version="1.0" encoding="utf-8"?>
<formControlPr xmlns="http://schemas.microsoft.com/office/spreadsheetml/2009/9/main" objectType="Drop" dropLines="32" dropStyle="combo" dx="16" fmlaLink="$R48" fmlaRange="'WORKINGS MATRIX'!$E$200:$E$231" noThreeD="1" sel="1" val="0"/>
</file>

<file path=xl/ctrlProps/ctrlProp828.xml><?xml version="1.0" encoding="utf-8"?>
<formControlPr xmlns="http://schemas.microsoft.com/office/spreadsheetml/2009/9/main" objectType="Drop" dropLines="20" dropStyle="combo" dx="16" fmlaLink="$P$49" fmlaRange="'WORKINGS MATRIX'!$C$200:$C$301" noThreeD="1" sel="1" val="0"/>
</file>

<file path=xl/ctrlProps/ctrlProp829.xml><?xml version="1.0" encoding="utf-8"?>
<formControlPr xmlns="http://schemas.microsoft.com/office/spreadsheetml/2009/9/main" objectType="Drop" dropLines="13" dropStyle="combo" dx="16" fmlaLink="$Q$49" fmlaRange="'WORKINGS MATRIX'!$D$200:$D$212" noThreeD="1" sel="1" val="0"/>
</file>

<file path=xl/ctrlProps/ctrlProp830.xml><?xml version="1.0" encoding="utf-8"?>
<formControlPr xmlns="http://schemas.microsoft.com/office/spreadsheetml/2009/9/main" objectType="Drop" dropLines="32" dropStyle="combo" dx="16" fmlaLink="$R49" fmlaRange="'WORKINGS MATRIX'!$E$200:$E$231" noThreeD="1" sel="1" val="0"/>
</file>

<file path=xl/ctrlProps/ctrlProp831.xml><?xml version="1.0" encoding="utf-8"?>
<formControlPr xmlns="http://schemas.microsoft.com/office/spreadsheetml/2009/9/main" objectType="Drop" dropLines="13" dropStyle="combo" dx="16" fmlaLink="F347" fmlaRange="SETUP!$E$10:$E$22" noThreeD="1" sel="1" val="0"/>
</file>

<file path=xl/ctrlProps/ctrlProp832.xml><?xml version="1.0" encoding="utf-8"?>
<formControlPr xmlns="http://schemas.microsoft.com/office/spreadsheetml/2009/9/main" objectType="Drop" dropLines="13" dropStyle="combo" dx="16" fmlaLink="F348" fmlaRange="SETUP!$E$10:$E$22" noThreeD="1" sel="1" val="0"/>
</file>

<file path=xl/ctrlProps/ctrlProp833.xml><?xml version="1.0" encoding="utf-8"?>
<formControlPr xmlns="http://schemas.microsoft.com/office/spreadsheetml/2009/9/main" objectType="Drop" dropLines="13" dropStyle="combo" dx="16" fmlaLink="F349" fmlaRange="SETUP!$E$10:$E$22" noThreeD="1" sel="1" val="0"/>
</file>

<file path=xl/ctrlProps/ctrlProp834.xml><?xml version="1.0" encoding="utf-8"?>
<formControlPr xmlns="http://schemas.microsoft.com/office/spreadsheetml/2009/9/main" objectType="Drop" dropLines="13" dropStyle="combo" dx="16" fmlaLink="K348" fmlaRange="'WORKINGS MATRIX'!$C$80:$C$102" noThreeD="1" sel="23" val="10"/>
</file>

<file path=xl/ctrlProps/ctrlProp835.xml><?xml version="1.0" encoding="utf-8"?>
<formControlPr xmlns="http://schemas.microsoft.com/office/spreadsheetml/2009/9/main" objectType="Drop" dropLines="13" dropStyle="combo" dx="16" fmlaLink="K349" fmlaRange="'WORKINGS MATRIX'!$C$80:$C$102" noThreeD="1" sel="23" val="10"/>
</file>

<file path=xl/ctrlProps/ctrlProp836.xml><?xml version="1.0" encoding="utf-8"?>
<formControlPr xmlns="http://schemas.microsoft.com/office/spreadsheetml/2009/9/main" objectType="Drop" dropLines="13" dropStyle="combo" dx="16" fmlaLink="K347" fmlaRange="'WORKINGS MATRIX'!$C$80:$C$102" noThreeD="1" sel="23" val="10"/>
</file>

<file path=xl/ctrlProps/ctrlProp837.xml><?xml version="1.0" encoding="utf-8"?>
<formControlPr xmlns="http://schemas.microsoft.com/office/spreadsheetml/2009/9/main" objectType="Drop" dropStyle="combo" dx="16" fmlaLink="C347" fmlaRange="'WORKINGS MATRIX'!$F$5:$F$12" noThreeD="1" sel="8" val="0"/>
</file>

<file path=xl/ctrlProps/ctrlProp838.xml><?xml version="1.0" encoding="utf-8"?>
<formControlPr xmlns="http://schemas.microsoft.com/office/spreadsheetml/2009/9/main" objectType="Drop" dropStyle="combo" dx="16" fmlaLink="C348" fmlaRange="'WORKINGS MATRIX'!$F$5:$F$12" noThreeD="1" sel="8" val="0"/>
</file>

<file path=xl/ctrlProps/ctrlProp839.xml><?xml version="1.0" encoding="utf-8"?>
<formControlPr xmlns="http://schemas.microsoft.com/office/spreadsheetml/2009/9/main" objectType="Drop" dropStyle="combo" dx="16" fmlaLink="C349" fmlaRange="'WORKINGS MATRIX'!$F$5:$F$12" noThreeD="1" sel="8" val="0"/>
</file>

<file path=xl/ctrlProps/ctrlProp840.xml><?xml version="1.0" encoding="utf-8"?>
<formControlPr xmlns="http://schemas.microsoft.com/office/spreadsheetml/2009/9/main" objectType="Drop" dropLines="10" dropStyle="combo" dx="16" fmlaLink="D376" fmlaRange="'WORKINGS MATRIX'!$O$41:$O$50" noThreeD="1" sel="10" val="0"/>
</file>

<file path=xl/ctrlProps/ctrlProp841.xml><?xml version="1.0" encoding="utf-8"?>
<formControlPr xmlns="http://schemas.microsoft.com/office/spreadsheetml/2009/9/main" objectType="Drop" dropLines="20" dropStyle="combo" dx="16" fmlaLink="$P$352" fmlaRange="'WORKINGS MATRIX'!$C$200:$C$301" noThreeD="1" sel="1" val="0"/>
</file>

<file path=xl/ctrlProps/ctrlProp842.xml><?xml version="1.0" encoding="utf-8"?>
<formControlPr xmlns="http://schemas.microsoft.com/office/spreadsheetml/2009/9/main" objectType="Drop" dropLines="13" dropStyle="combo" dx="16" fmlaLink="$Q$352" fmlaRange="'WORKINGS MATRIX'!$D$200:$D$212" noThreeD="1" sel="1" val="0"/>
</file>

<file path=xl/ctrlProps/ctrlProp843.xml><?xml version="1.0" encoding="utf-8"?>
<formControlPr xmlns="http://schemas.microsoft.com/office/spreadsheetml/2009/9/main" objectType="Drop" dropLines="32" dropStyle="combo" dx="16" fmlaLink="$R$352" fmlaRange="'WORKINGS MATRIX'!$E$200:$E$231" noThreeD="1" sel="1" val="0"/>
</file>

<file path=xl/ctrlProps/ctrlProp844.xml><?xml version="1.0" encoding="utf-8"?>
<formControlPr xmlns="http://schemas.microsoft.com/office/spreadsheetml/2009/9/main" objectType="Drop" dropLines="20" dropStyle="combo" dx="16" fmlaLink="$P$353" fmlaRange="'WORKINGS MATRIX'!$C$200:$C$301" noThreeD="1" sel="1" val="0"/>
</file>

<file path=xl/ctrlProps/ctrlProp845.xml><?xml version="1.0" encoding="utf-8"?>
<formControlPr xmlns="http://schemas.microsoft.com/office/spreadsheetml/2009/9/main" objectType="Drop" dropLines="13" dropStyle="combo" dx="16" fmlaLink="$Q$353" fmlaRange="'WORKINGS MATRIX'!$D$200:$D$212" noThreeD="1" sel="1" val="0"/>
</file>

<file path=xl/ctrlProps/ctrlProp846.xml><?xml version="1.0" encoding="utf-8"?>
<formControlPr xmlns="http://schemas.microsoft.com/office/spreadsheetml/2009/9/main" objectType="Drop" dropLines="32" dropStyle="combo" dx="16" fmlaLink="$R$353" fmlaRange="'WORKINGS MATRIX'!$E$200:$E$231" noThreeD="1" sel="1" val="0"/>
</file>

<file path=xl/ctrlProps/ctrlProp847.xml><?xml version="1.0" encoding="utf-8"?>
<formControlPr xmlns="http://schemas.microsoft.com/office/spreadsheetml/2009/9/main" objectType="Drop" dropLines="20" dropStyle="combo" dx="16" fmlaLink="$P$354" fmlaRange="'WORKINGS MATRIX'!$C$200:$C$301" noThreeD="1" sel="1" val="0"/>
</file>

<file path=xl/ctrlProps/ctrlProp848.xml><?xml version="1.0" encoding="utf-8"?>
<formControlPr xmlns="http://schemas.microsoft.com/office/spreadsheetml/2009/9/main" objectType="Drop" dropLines="13" dropStyle="combo" dx="16" fmlaLink="$Q$354" fmlaRange="'WORKINGS MATRIX'!$D$200:$D$212" noThreeD="1" sel="1" val="0"/>
</file>

<file path=xl/ctrlProps/ctrlProp849.xml><?xml version="1.0" encoding="utf-8"?>
<formControlPr xmlns="http://schemas.microsoft.com/office/spreadsheetml/2009/9/main" objectType="Drop" dropLines="32" dropStyle="combo" dx="16" fmlaLink="$R$354" fmlaRange="'WORKINGS MATRIX'!$E$200:$E$231" noThreeD="1" sel="1" val="0"/>
</file>

<file path=xl/ctrlProps/ctrlProp850.xml><?xml version="1.0" encoding="utf-8"?>
<formControlPr xmlns="http://schemas.microsoft.com/office/spreadsheetml/2009/9/main" objectType="Drop" dropLines="20" dropStyle="combo" dx="16" fmlaLink="$P$377" fmlaRange="'WORKINGS MATRIX'!$C$200:$C$301" noThreeD="1" sel="1" val="0"/>
</file>

<file path=xl/ctrlProps/ctrlProp851.xml><?xml version="1.0" encoding="utf-8"?>
<formControlPr xmlns="http://schemas.microsoft.com/office/spreadsheetml/2009/9/main" objectType="Drop" dropLines="13" dropStyle="combo" dx="16" fmlaLink="$Q$377" fmlaRange="'WORKINGS MATRIX'!$D$200:$D$212" noThreeD="1" sel="1" val="0"/>
</file>

<file path=xl/ctrlProps/ctrlProp852.xml><?xml version="1.0" encoding="utf-8"?>
<formControlPr xmlns="http://schemas.microsoft.com/office/spreadsheetml/2009/9/main" objectType="Drop" dropLines="32" dropStyle="combo" dx="16" fmlaLink="$R$377" fmlaRange="'WORKINGS MATRIX'!$E$200:$E$231" noThreeD="1" sel="1" val="0"/>
</file>

<file path=xl/ctrlProps/ctrlProp853.xml><?xml version="1.0" encoding="utf-8"?>
<formControlPr xmlns="http://schemas.microsoft.com/office/spreadsheetml/2009/9/main" objectType="Drop" dropLines="20" dropStyle="combo" dx="16" fmlaLink="$P$378" fmlaRange="'WORKINGS MATRIX'!$C$200:$C$301" noThreeD="1" sel="1" val="0"/>
</file>

<file path=xl/ctrlProps/ctrlProp854.xml><?xml version="1.0" encoding="utf-8"?>
<formControlPr xmlns="http://schemas.microsoft.com/office/spreadsheetml/2009/9/main" objectType="Drop" dropLines="13" dropStyle="combo" dx="16" fmlaLink="$Q$378" fmlaRange="'WORKINGS MATRIX'!$D$200:$D$212" noThreeD="1" sel="1" val="0"/>
</file>

<file path=xl/ctrlProps/ctrlProp855.xml><?xml version="1.0" encoding="utf-8"?>
<formControlPr xmlns="http://schemas.microsoft.com/office/spreadsheetml/2009/9/main" objectType="Drop" dropLines="32" dropStyle="combo" dx="16" fmlaLink="$R$378" fmlaRange="'WORKINGS MATRIX'!$E$200:$E$231" noThreeD="1" sel="1" val="0"/>
</file>

<file path=xl/ctrlProps/ctrlProp856.xml><?xml version="1.0" encoding="utf-8"?>
<formControlPr xmlns="http://schemas.microsoft.com/office/spreadsheetml/2009/9/main" objectType="Drop" dropLines="20" dropStyle="combo" dx="16" fmlaLink="$P$375" fmlaRange="'WORKINGS MATRIX'!$C$200:$C$301" noThreeD="1" sel="1" val="0"/>
</file>

<file path=xl/ctrlProps/ctrlProp857.xml><?xml version="1.0" encoding="utf-8"?>
<formControlPr xmlns="http://schemas.microsoft.com/office/spreadsheetml/2009/9/main" objectType="Drop" dropLines="13" dropStyle="combo" dx="16" fmlaLink="$Q$375" fmlaRange="'WORKINGS MATRIX'!$D$200:$D$212" noThreeD="1" sel="1" val="0"/>
</file>

<file path=xl/ctrlProps/ctrlProp858.xml><?xml version="1.0" encoding="utf-8"?>
<formControlPr xmlns="http://schemas.microsoft.com/office/spreadsheetml/2009/9/main" objectType="Drop" dropLines="32" dropStyle="combo" dx="16" fmlaLink="$R$375" fmlaRange="'WORKINGS MATRIX'!$E$200:$E$231" noThreeD="1" sel="1" val="0"/>
</file>

<file path=xl/ctrlProps/ctrlProp859.xml><?xml version="1.0" encoding="utf-8"?>
<formControlPr xmlns="http://schemas.microsoft.com/office/spreadsheetml/2009/9/main" objectType="Drop" dropLines="20" dropStyle="combo" dx="16" fmlaLink="$P$376" fmlaRange="'WORKINGS MATRIX'!$C$200:$C$301" noThreeD="1" sel="1" val="0"/>
</file>

<file path=xl/ctrlProps/ctrlProp860.xml><?xml version="1.0" encoding="utf-8"?>
<formControlPr xmlns="http://schemas.microsoft.com/office/spreadsheetml/2009/9/main" objectType="Drop" dropLines="13" dropStyle="combo" dx="16" fmlaLink="$Q$376" fmlaRange="'WORKINGS MATRIX'!$D$200:$D$212" noThreeD="1" sel="1" val="0"/>
</file>

<file path=xl/ctrlProps/ctrlProp861.xml><?xml version="1.0" encoding="utf-8"?>
<formControlPr xmlns="http://schemas.microsoft.com/office/spreadsheetml/2009/9/main" objectType="Drop" dropLines="32" dropStyle="combo" dx="16" fmlaLink="$R$376" fmlaRange="'WORKINGS MATRIX'!$E$200:$E$231" noThreeD="1" sel="1" val="0"/>
</file>

<file path=xl/ctrlProps/ctrlProp862.xml><?xml version="1.0" encoding="utf-8"?>
<formControlPr xmlns="http://schemas.microsoft.com/office/spreadsheetml/2009/9/main" objectType="Drop" dropLines="20" dropStyle="combo" dx="16" fmlaLink="$P$347" fmlaRange="'WORKINGS MATRIX'!$C$200:$C$301" noThreeD="1" sel="1" val="0"/>
</file>

<file path=xl/ctrlProps/ctrlProp863.xml><?xml version="1.0" encoding="utf-8"?>
<formControlPr xmlns="http://schemas.microsoft.com/office/spreadsheetml/2009/9/main" objectType="Drop" dropLines="13" dropStyle="combo" dx="16" fmlaLink="$Q$347" fmlaRange="'WORKINGS MATRIX'!$D$200:$D$212" noThreeD="1" sel="1" val="0"/>
</file>

<file path=xl/ctrlProps/ctrlProp864.xml><?xml version="1.0" encoding="utf-8"?>
<formControlPr xmlns="http://schemas.microsoft.com/office/spreadsheetml/2009/9/main" objectType="Drop" dropLines="32" dropStyle="combo" dx="16" fmlaLink="$R347" fmlaRange="'WORKINGS MATRIX'!$E$200:$E$231" noThreeD="1" sel="1" val="0"/>
</file>

<file path=xl/ctrlProps/ctrlProp865.xml><?xml version="1.0" encoding="utf-8"?>
<formControlPr xmlns="http://schemas.microsoft.com/office/spreadsheetml/2009/9/main" objectType="Drop" dropLines="20" dropStyle="combo" dx="16" fmlaLink="$P$348" fmlaRange="'WORKINGS MATRIX'!$C$200:$C$301" noThreeD="1" sel="1" val="0"/>
</file>

<file path=xl/ctrlProps/ctrlProp866.xml><?xml version="1.0" encoding="utf-8"?>
<formControlPr xmlns="http://schemas.microsoft.com/office/spreadsheetml/2009/9/main" objectType="Drop" dropLines="13" dropStyle="combo" dx="16" fmlaLink="$Q$348" fmlaRange="'WORKINGS MATRIX'!$D$200:$D$212" noThreeD="1" sel="1" val="0"/>
</file>

<file path=xl/ctrlProps/ctrlProp867.xml><?xml version="1.0" encoding="utf-8"?>
<formControlPr xmlns="http://schemas.microsoft.com/office/spreadsheetml/2009/9/main" objectType="Drop" dropLines="32" dropStyle="combo" dx="16" fmlaLink="$R348" fmlaRange="'WORKINGS MATRIX'!$E$200:$E$231" noThreeD="1" sel="1" val="0"/>
</file>

<file path=xl/ctrlProps/ctrlProp868.xml><?xml version="1.0" encoding="utf-8"?>
<formControlPr xmlns="http://schemas.microsoft.com/office/spreadsheetml/2009/9/main" objectType="Drop" dropLines="20" dropStyle="combo" dx="16" fmlaLink="$P$349" fmlaRange="'WORKINGS MATRIX'!$C$200:$C$301" noThreeD="1" sel="1" val="0"/>
</file>

<file path=xl/ctrlProps/ctrlProp869.xml><?xml version="1.0" encoding="utf-8"?>
<formControlPr xmlns="http://schemas.microsoft.com/office/spreadsheetml/2009/9/main" objectType="Drop" dropLines="13" dropStyle="combo" dx="16" fmlaLink="$Q$349" fmlaRange="'WORKINGS MATRIX'!$D$200:$D$212" noThreeD="1" sel="1" val="0"/>
</file>

<file path=xl/ctrlProps/ctrlProp870.xml><?xml version="1.0" encoding="utf-8"?>
<formControlPr xmlns="http://schemas.microsoft.com/office/spreadsheetml/2009/9/main" objectType="Drop" dropLines="32" dropStyle="combo" dx="16" fmlaLink="$R349" fmlaRange="'WORKINGS MATRIX'!$E$200:$E$231" noThreeD="1" sel="1" val="0"/>
</file>

<file path=xl/ctrlProps/ctrlProp871.xml><?xml version="1.0" encoding="utf-8"?>
<formControlPr xmlns="http://schemas.microsoft.com/office/spreadsheetml/2009/9/main" objectType="Drop" dropLines="13" dropStyle="combo" dx="16" fmlaLink="H376" fmlaRange="'WORKINGS MATRIX'!$Q$66:$Q$86" noThreeD="1" sel="1" val="0"/>
</file>

<file path=xl/ctrlProps/ctrlProp872.xml><?xml version="1.0" encoding="utf-8"?>
<formControlPr xmlns="http://schemas.microsoft.com/office/spreadsheetml/2009/9/main" objectType="Drop" dropLines="25" dropStyle="combo" dx="16" fmlaLink="H378" fmlaRange="'WORKINGS MATRIX'!$B$199:$B$259" noThreeD="1" sel="1" val="0"/>
</file>

<file path=xl/ctrlProps/ctrlProp873.xml><?xml version="1.0" encoding="utf-8"?>
<formControlPr xmlns="http://schemas.microsoft.com/office/spreadsheetml/2009/9/main" objectType="Drop" dropLines="3" dropStyle="combo" dx="16" fmlaLink="H372" fmlaRange="'WORKINGS MATRIX'!$L$87:$L$89" noThreeD="1" sel="1" val="0"/>
</file>

<file path=xl/ctrlProps/ctrlProp874.xml><?xml version="1.0" encoding="utf-8"?>
<formControlPr xmlns="http://schemas.microsoft.com/office/spreadsheetml/2009/9/main" objectType="Drop" dropLines="5" dropStyle="combo" dx="16" fmlaLink="$D$3904" fmlaRange="'WORKINGS MATRIX'!$B$451:$B$455" noThreeD="1" sel="2" val="0"/>
</file>

<file path=xl/ctrlProps/ctrlProp875.xml><?xml version="1.0" encoding="utf-8"?>
<formControlPr xmlns="http://schemas.microsoft.com/office/spreadsheetml/2009/9/main" objectType="Button" lockText="1"/>
</file>

<file path=xl/ctrlProps/ctrlProp876.xml><?xml version="1.0" encoding="utf-8"?>
<formControlPr xmlns="http://schemas.microsoft.com/office/spreadsheetml/2009/9/main" objectType="Button" lockText="1"/>
</file>

<file path=xl/ctrlProps/ctrlProp877.xml><?xml version="1.0" encoding="utf-8"?>
<formControlPr xmlns="http://schemas.microsoft.com/office/spreadsheetml/2009/9/main" objectType="Button" lockText="1"/>
</file>

<file path=xl/ctrlProps/ctrlProp878.xml><?xml version="1.0" encoding="utf-8"?>
<formControlPr xmlns="http://schemas.microsoft.com/office/spreadsheetml/2009/9/main" objectType="CheckBox" lockText="1" noThreeD="1"/>
</file>

<file path=xl/ctrlProps/ctrlProp879.xml><?xml version="1.0" encoding="utf-8"?>
<formControlPr xmlns="http://schemas.microsoft.com/office/spreadsheetml/2009/9/main" objectType="CheckBox" lockText="1" noThreeD="1"/>
</file>

<file path=xl/ctrlProps/ctrlProp880.xml><?xml version="1.0" encoding="utf-8"?>
<formControlPr xmlns="http://schemas.microsoft.com/office/spreadsheetml/2009/9/main" objectType="CheckBox" lockText="1" noThreeD="1"/>
</file>

<file path=xl/ctrlProps/ctrlProp881.xml><?xml version="1.0" encoding="utf-8"?>
<formControlPr xmlns="http://schemas.microsoft.com/office/spreadsheetml/2009/9/main" objectType="CheckBox" fmlaLink="$J$30" lockText="1" noThreeD="1"/>
</file>

<file path=xl/ctrlProps/ctrlProp882.xml><?xml version="1.0" encoding="utf-8"?>
<formControlPr xmlns="http://schemas.microsoft.com/office/spreadsheetml/2009/9/main" objectType="CheckBox" lockText="1" noThreeD="1"/>
</file>

<file path=xl/ctrlProps/ctrlProp883.xml><?xml version="1.0" encoding="utf-8"?>
<formControlPr xmlns="http://schemas.microsoft.com/office/spreadsheetml/2009/9/main" objectType="CheckBox" lockText="1" noThreeD="1"/>
</file>

<file path=xl/ctrlProps/ctrlProp884.xml><?xml version="1.0" encoding="utf-8"?>
<formControlPr xmlns="http://schemas.microsoft.com/office/spreadsheetml/2009/9/main" objectType="CheckBox" lockText="1" noThreeD="1"/>
</file>

<file path=xl/ctrlProps/ctrlProp885.xml><?xml version="1.0" encoding="utf-8"?>
<formControlPr xmlns="http://schemas.microsoft.com/office/spreadsheetml/2009/9/main" objectType="CheckBox" fmlaLink="$E$78" lockText="1" noThreeD="1"/>
</file>

<file path=xl/ctrlProps/ctrlProp886.xml><?xml version="1.0" encoding="utf-8"?>
<formControlPr xmlns="http://schemas.microsoft.com/office/spreadsheetml/2009/9/main" objectType="CheckBox" fmlaLink="$H$78" lockText="1" noThreeD="1"/>
</file>

<file path=xl/ctrlProps/ctrlProp887.xml><?xml version="1.0" encoding="utf-8"?>
<formControlPr xmlns="http://schemas.microsoft.com/office/spreadsheetml/2009/9/main" objectType="CheckBox" fmlaLink="$K$78" lockText="1" noThreeD="1"/>
</file>

<file path=xl/ctrlProps/ctrlProp888.xml><?xml version="1.0" encoding="utf-8"?>
<formControlPr xmlns="http://schemas.microsoft.com/office/spreadsheetml/2009/9/main" objectType="CheckBox" fmlaLink="$N$78" lockText="1" noThreeD="1"/>
</file>

<file path=xl/ctrlProps/ctrlProp889.xml><?xml version="1.0" encoding="utf-8"?>
<formControlPr xmlns="http://schemas.microsoft.com/office/spreadsheetml/2009/9/main" objectType="CheckBox" fmlaLink="$Q$78" lockText="1" noThreeD="1"/>
</file>

<file path=xl/ctrlProps/ctrlProp890.xml><?xml version="1.0" encoding="utf-8"?>
<formControlPr xmlns="http://schemas.microsoft.com/office/spreadsheetml/2009/9/main" objectType="CheckBox" fmlaLink="$E$81" lockText="1" noThreeD="1"/>
</file>

<file path=xl/ctrlProps/ctrlProp891.xml><?xml version="1.0" encoding="utf-8"?>
<formControlPr xmlns="http://schemas.microsoft.com/office/spreadsheetml/2009/9/main" objectType="CheckBox" fmlaLink="$H$81" lockText="1" noThreeD="1"/>
</file>

<file path=xl/ctrlProps/ctrlProp892.xml><?xml version="1.0" encoding="utf-8"?>
<formControlPr xmlns="http://schemas.microsoft.com/office/spreadsheetml/2009/9/main" objectType="CheckBox" fmlaLink="$K$81" lockText="1" noThreeD="1"/>
</file>

<file path=xl/ctrlProps/ctrlProp893.xml><?xml version="1.0" encoding="utf-8"?>
<formControlPr xmlns="http://schemas.microsoft.com/office/spreadsheetml/2009/9/main" objectType="CheckBox" fmlaLink="$N$81" lockText="1" noThreeD="1"/>
</file>

<file path=xl/ctrlProps/ctrlProp894.xml><?xml version="1.0" encoding="utf-8"?>
<formControlPr xmlns="http://schemas.microsoft.com/office/spreadsheetml/2009/9/main" objectType="CheckBox" fmlaLink="$Q$81" lockText="1" noThreeD="1"/>
</file>

<file path=xl/ctrlProps/ctrlProp895.xml><?xml version="1.0" encoding="utf-8"?>
<formControlPr xmlns="http://schemas.microsoft.com/office/spreadsheetml/2009/9/main" objectType="CheckBox" fmlaLink="$E$84" lockText="1" noThreeD="1"/>
</file>

<file path=xl/ctrlProps/ctrlProp896.xml><?xml version="1.0" encoding="utf-8"?>
<formControlPr xmlns="http://schemas.microsoft.com/office/spreadsheetml/2009/9/main" objectType="CheckBox" fmlaLink="$H$84" lockText="1" noThreeD="1"/>
</file>

<file path=xl/ctrlProps/ctrlProp897.xml><?xml version="1.0" encoding="utf-8"?>
<formControlPr xmlns="http://schemas.microsoft.com/office/spreadsheetml/2009/9/main" objectType="CheckBox" fmlaLink="$K$84" lockText="1" noThreeD="1"/>
</file>

<file path=xl/ctrlProps/ctrlProp898.xml><?xml version="1.0" encoding="utf-8"?>
<formControlPr xmlns="http://schemas.microsoft.com/office/spreadsheetml/2009/9/main" objectType="CheckBox" fmlaLink="$N$84" lockText="1" noThreeD="1"/>
</file>

<file path=xl/ctrlProps/ctrlProp899.xml><?xml version="1.0" encoding="utf-8"?>
<formControlPr xmlns="http://schemas.microsoft.com/office/spreadsheetml/2009/9/main" objectType="CheckBox" fmlaLink="$Q$84" lockText="1" noThreeD="1"/>
</file>

<file path=xl/ctrlProps/ctrlProp900.xml><?xml version="1.0" encoding="utf-8"?>
<formControlPr xmlns="http://schemas.microsoft.com/office/spreadsheetml/2009/9/main" objectType="CheckBox" fmlaLink="E75" lockText="1" noThreeD="1"/>
</file>

<file path=xl/ctrlProps/ctrlProp901.xml><?xml version="1.0" encoding="utf-8"?>
<formControlPr xmlns="http://schemas.microsoft.com/office/spreadsheetml/2009/9/main" objectType="CheckBox" fmlaLink="$K$75" lockText="1" noThreeD="1"/>
</file>

<file path=xl/ctrlProps/ctrlProp902.xml><?xml version="1.0" encoding="utf-8"?>
<formControlPr xmlns="http://schemas.microsoft.com/office/spreadsheetml/2009/9/main" objectType="CheckBox" fmlaLink="$N$75" lockText="1" noThreeD="1"/>
</file>

<file path=xl/ctrlProps/ctrlProp903.xml><?xml version="1.0" encoding="utf-8"?>
<formControlPr xmlns="http://schemas.microsoft.com/office/spreadsheetml/2009/9/main" objectType="CheckBox" fmlaLink="$Q$75" lockText="1" noThreeD="1"/>
</file>

<file path=xl/ctrlProps/ctrlProp904.xml><?xml version="1.0" encoding="utf-8"?>
<formControlPr xmlns="http://schemas.microsoft.com/office/spreadsheetml/2009/9/main" objectType="CheckBox" fmlaLink="$H$75" lockText="1" noThreeD="1"/>
</file>

<file path=xl/ctrlProps/ctrlProp905.xml><?xml version="1.0" encoding="utf-8"?>
<formControlPr xmlns="http://schemas.microsoft.com/office/spreadsheetml/2009/9/main" objectType="CheckBox" fmlaLink="$E$91" lockText="1" noThreeD="1"/>
</file>

<file path=xl/ctrlProps/ctrlProp906.xml><?xml version="1.0" encoding="utf-8"?>
<formControlPr xmlns="http://schemas.microsoft.com/office/spreadsheetml/2009/9/main" objectType="CheckBox" fmlaLink="$H$91" lockText="1" noThreeD="1"/>
</file>

<file path=xl/ctrlProps/ctrlProp907.xml><?xml version="1.0" encoding="utf-8"?>
<formControlPr xmlns="http://schemas.microsoft.com/office/spreadsheetml/2009/9/main" objectType="CheckBox" fmlaLink="$K$91" lockText="1" noThreeD="1"/>
</file>

<file path=xl/ctrlProps/ctrlProp908.xml><?xml version="1.0" encoding="utf-8"?>
<formControlPr xmlns="http://schemas.microsoft.com/office/spreadsheetml/2009/9/main" objectType="CheckBox" fmlaLink="$N$91" lockText="1" noThreeD="1"/>
</file>

<file path=xl/ctrlProps/ctrlProp909.xml><?xml version="1.0" encoding="utf-8"?>
<formControlPr xmlns="http://schemas.microsoft.com/office/spreadsheetml/2009/9/main" objectType="CheckBox" fmlaLink="$Q$91" lockText="1" noThreeD="1"/>
</file>

<file path=xl/ctrlProps/ctrlProp910.xml><?xml version="1.0" encoding="utf-8"?>
<formControlPr xmlns="http://schemas.microsoft.com/office/spreadsheetml/2009/9/main" objectType="CheckBox" lockText="1" noThreeD="1"/>
</file>

<file path=xl/ctrlProps/ctrlProp911.xml><?xml version="1.0" encoding="utf-8"?>
<formControlPr xmlns="http://schemas.microsoft.com/office/spreadsheetml/2009/9/main" objectType="CheckBox" fmlaLink="$H$94" lockText="1" noThreeD="1"/>
</file>

<file path=xl/ctrlProps/ctrlProp912.xml><?xml version="1.0" encoding="utf-8"?>
<formControlPr xmlns="http://schemas.microsoft.com/office/spreadsheetml/2009/9/main" objectType="CheckBox" fmlaLink="$K$94" lockText="1" noThreeD="1"/>
</file>

<file path=xl/ctrlProps/ctrlProp913.xml><?xml version="1.0" encoding="utf-8"?>
<formControlPr xmlns="http://schemas.microsoft.com/office/spreadsheetml/2009/9/main" objectType="CheckBox" fmlaLink="$N$94" lockText="1" noThreeD="1"/>
</file>

<file path=xl/ctrlProps/ctrlProp914.xml><?xml version="1.0" encoding="utf-8"?>
<formControlPr xmlns="http://schemas.microsoft.com/office/spreadsheetml/2009/9/main" objectType="CheckBox" fmlaLink="$Q$94" lockText="1" noThreeD="1"/>
</file>

<file path=xl/ctrlProps/ctrlProp915.xml><?xml version="1.0" encoding="utf-8"?>
<formControlPr xmlns="http://schemas.microsoft.com/office/spreadsheetml/2009/9/main" objectType="CheckBox" fmlaLink="$E$97" lockText="1" noThreeD="1"/>
</file>

<file path=xl/ctrlProps/ctrlProp916.xml><?xml version="1.0" encoding="utf-8"?>
<formControlPr xmlns="http://schemas.microsoft.com/office/spreadsheetml/2009/9/main" objectType="CheckBox" lockText="1" noThreeD="1"/>
</file>

<file path=xl/ctrlProps/ctrlProp917.xml><?xml version="1.0" encoding="utf-8"?>
<formControlPr xmlns="http://schemas.microsoft.com/office/spreadsheetml/2009/9/main" objectType="CheckBox" fmlaLink="$K$97" lockText="1" noThreeD="1"/>
</file>

<file path=xl/ctrlProps/ctrlProp918.xml><?xml version="1.0" encoding="utf-8"?>
<formControlPr xmlns="http://schemas.microsoft.com/office/spreadsheetml/2009/9/main" objectType="CheckBox" fmlaLink="$N$97" lockText="1" noThreeD="1"/>
</file>

<file path=xl/ctrlProps/ctrlProp919.xml><?xml version="1.0" encoding="utf-8"?>
<formControlPr xmlns="http://schemas.microsoft.com/office/spreadsheetml/2009/9/main" objectType="CheckBox" fmlaLink="$Q$97" lockText="1" noThreeD="1"/>
</file>

<file path=xl/ctrlProps/ctrlProp920.xml><?xml version="1.0" encoding="utf-8"?>
<formControlPr xmlns="http://schemas.microsoft.com/office/spreadsheetml/2009/9/main" objectType="CheckBox" fmlaLink="$E$100" lockText="1" noThreeD="1"/>
</file>

<file path=xl/ctrlProps/ctrlProp921.xml><?xml version="1.0" encoding="utf-8"?>
<formControlPr xmlns="http://schemas.microsoft.com/office/spreadsheetml/2009/9/main" objectType="CheckBox" fmlaLink="$H$100" lockText="1" noThreeD="1"/>
</file>

<file path=xl/ctrlProps/ctrlProp922.xml><?xml version="1.0" encoding="utf-8"?>
<formControlPr xmlns="http://schemas.microsoft.com/office/spreadsheetml/2009/9/main" objectType="CheckBox" fmlaLink="$K$100" lockText="1" noThreeD="1"/>
</file>

<file path=xl/ctrlProps/ctrlProp923.xml><?xml version="1.0" encoding="utf-8"?>
<formControlPr xmlns="http://schemas.microsoft.com/office/spreadsheetml/2009/9/main" objectType="CheckBox" fmlaLink="$N$100" lockText="1" noThreeD="1"/>
</file>

<file path=xl/ctrlProps/ctrlProp924.xml><?xml version="1.0" encoding="utf-8"?>
<formControlPr xmlns="http://schemas.microsoft.com/office/spreadsheetml/2009/9/main" objectType="CheckBox" fmlaLink="$Q$100" lockText="1" noThreeD="1"/>
</file>

<file path=xl/ctrlProps/ctrlProp925.xml><?xml version="1.0" encoding="utf-8"?>
<formControlPr xmlns="http://schemas.microsoft.com/office/spreadsheetml/2009/9/main" objectType="CheckBox" fmlaLink="$E$94" lockText="1" noThreeD="1"/>
</file>

<file path=xl/ctrlProps/ctrlProp926.xml><?xml version="1.0" encoding="utf-8"?>
<formControlPr xmlns="http://schemas.microsoft.com/office/spreadsheetml/2009/9/main" objectType="CheckBox" fmlaLink="$H$97" lockText="1" noThreeD="1"/>
</file>

<file path=xl/ctrlProps/ctrlProp927.xml><?xml version="1.0" encoding="utf-8"?>
<formControlPr xmlns="http://schemas.microsoft.com/office/spreadsheetml/2009/9/main" objectType="CheckBox" fmlaLink="E107" lockText="1" noThreeD="1"/>
</file>

<file path=xl/ctrlProps/ctrlProp928.xml><?xml version="1.0" encoding="utf-8"?>
<formControlPr xmlns="http://schemas.microsoft.com/office/spreadsheetml/2009/9/main" objectType="CheckBox" fmlaLink="$H$107" lockText="1" noThreeD="1"/>
</file>

<file path=xl/ctrlProps/ctrlProp929.xml><?xml version="1.0" encoding="utf-8"?>
<formControlPr xmlns="http://schemas.microsoft.com/office/spreadsheetml/2009/9/main" objectType="CheckBox" fmlaLink="$K$107" lockText="1" noThreeD="1"/>
</file>

<file path=xl/ctrlProps/ctrlProp930.xml><?xml version="1.0" encoding="utf-8"?>
<formControlPr xmlns="http://schemas.microsoft.com/office/spreadsheetml/2009/9/main" objectType="CheckBox" fmlaLink="$N107" lockText="1" noThreeD="1"/>
</file>

<file path=xl/ctrlProps/ctrlProp931.xml><?xml version="1.0" encoding="utf-8"?>
<formControlPr xmlns="http://schemas.microsoft.com/office/spreadsheetml/2009/9/main" objectType="CheckBox" fmlaLink="$Q$107" lockText="1" noThreeD="1"/>
</file>

<file path=xl/ctrlProps/ctrlProp932.xml><?xml version="1.0" encoding="utf-8"?>
<formControlPr xmlns="http://schemas.microsoft.com/office/spreadsheetml/2009/9/main" objectType="CheckBox" fmlaLink="$H$110" lockText="1" noThreeD="1"/>
</file>

<file path=xl/ctrlProps/ctrlProp933.xml><?xml version="1.0" encoding="utf-8"?>
<formControlPr xmlns="http://schemas.microsoft.com/office/spreadsheetml/2009/9/main" objectType="CheckBox" fmlaLink="$K$110" lockText="1" noThreeD="1"/>
</file>

<file path=xl/ctrlProps/ctrlProp934.xml><?xml version="1.0" encoding="utf-8"?>
<formControlPr xmlns="http://schemas.microsoft.com/office/spreadsheetml/2009/9/main" objectType="CheckBox" fmlaLink="$Q$110" lockText="1" noThreeD="1"/>
</file>

<file path=xl/ctrlProps/ctrlProp935.xml><?xml version="1.0" encoding="utf-8"?>
<formControlPr xmlns="http://schemas.microsoft.com/office/spreadsheetml/2009/9/main" objectType="CheckBox" fmlaLink="$E$116" lockText="1" noThreeD="1"/>
</file>

<file path=xl/ctrlProps/ctrlProp936.xml><?xml version="1.0" encoding="utf-8"?>
<formControlPr xmlns="http://schemas.microsoft.com/office/spreadsheetml/2009/9/main" objectType="CheckBox" fmlaLink="$H$116" lockText="1" noThreeD="1"/>
</file>

<file path=xl/ctrlProps/ctrlProp937.xml><?xml version="1.0" encoding="utf-8"?>
<formControlPr xmlns="http://schemas.microsoft.com/office/spreadsheetml/2009/9/main" objectType="CheckBox" fmlaLink="$K$116" lockText="1" noThreeD="1"/>
</file>

<file path=xl/ctrlProps/ctrlProp938.xml><?xml version="1.0" encoding="utf-8"?>
<formControlPr xmlns="http://schemas.microsoft.com/office/spreadsheetml/2009/9/main" objectType="CheckBox" fmlaLink="$N$116" lockText="1" noThreeD="1"/>
</file>

<file path=xl/ctrlProps/ctrlProp939.xml><?xml version="1.0" encoding="utf-8"?>
<formControlPr xmlns="http://schemas.microsoft.com/office/spreadsheetml/2009/9/main" objectType="CheckBox" fmlaLink="$Q$116" lockText="1" noThreeD="1"/>
</file>

<file path=xl/ctrlProps/ctrlProp940.xml><?xml version="1.0" encoding="utf-8"?>
<formControlPr xmlns="http://schemas.microsoft.com/office/spreadsheetml/2009/9/main" objectType="CheckBox" fmlaLink="$E$113" lockText="1" noThreeD="1"/>
</file>

<file path=xl/ctrlProps/ctrlProp941.xml><?xml version="1.0" encoding="utf-8"?>
<formControlPr xmlns="http://schemas.microsoft.com/office/spreadsheetml/2009/9/main" objectType="CheckBox" fmlaLink="$H$113" lockText="1" noThreeD="1"/>
</file>

<file path=xl/ctrlProps/ctrlProp942.xml><?xml version="1.0" encoding="utf-8"?>
<formControlPr xmlns="http://schemas.microsoft.com/office/spreadsheetml/2009/9/main" objectType="CheckBox" fmlaLink="$K$114" lockText="1" noThreeD="1"/>
</file>

<file path=xl/ctrlProps/ctrlProp943.xml><?xml version="1.0" encoding="utf-8"?>
<formControlPr xmlns="http://schemas.microsoft.com/office/spreadsheetml/2009/9/main" objectType="CheckBox" fmlaLink="$N$113" lockText="1" noThreeD="1"/>
</file>

<file path=xl/ctrlProps/ctrlProp944.xml><?xml version="1.0" encoding="utf-8"?>
<formControlPr xmlns="http://schemas.microsoft.com/office/spreadsheetml/2009/9/main" objectType="CheckBox" fmlaLink="$Q$113" lockText="1" noThreeD="1"/>
</file>

<file path=xl/ctrlProps/ctrlProp945.xml><?xml version="1.0" encoding="utf-8"?>
<formControlPr xmlns="http://schemas.microsoft.com/office/spreadsheetml/2009/9/main" objectType="CheckBox" fmlaLink="$E$119" lockText="1" noThreeD="1"/>
</file>

<file path=xl/ctrlProps/ctrlProp946.xml><?xml version="1.0" encoding="utf-8"?>
<formControlPr xmlns="http://schemas.microsoft.com/office/spreadsheetml/2009/9/main" objectType="CheckBox" fmlaLink="$H$119" lockText="1" noThreeD="1"/>
</file>

<file path=xl/ctrlProps/ctrlProp947.xml><?xml version="1.0" encoding="utf-8"?>
<formControlPr xmlns="http://schemas.microsoft.com/office/spreadsheetml/2009/9/main" objectType="CheckBox" fmlaLink="$K$119" lockText="1" noThreeD="1"/>
</file>

<file path=xl/ctrlProps/ctrlProp948.xml><?xml version="1.0" encoding="utf-8"?>
<formControlPr xmlns="http://schemas.microsoft.com/office/spreadsheetml/2009/9/main" objectType="CheckBox" fmlaLink="$N$119" lockText="1" noThreeD="1"/>
</file>

<file path=xl/ctrlProps/ctrlProp949.xml><?xml version="1.0" encoding="utf-8"?>
<formControlPr xmlns="http://schemas.microsoft.com/office/spreadsheetml/2009/9/main" objectType="CheckBox" fmlaLink="$Q$119" lockText="1" noThreeD="1"/>
</file>

<file path=xl/ctrlProps/ctrlProp950.xml><?xml version="1.0" encoding="utf-8"?>
<formControlPr xmlns="http://schemas.microsoft.com/office/spreadsheetml/2009/9/main" objectType="CheckBox" fmlaLink="$E$110" lockText="1" noThreeD="1"/>
</file>

<file path=xl/ctrlProps/ctrlProp951.xml><?xml version="1.0" encoding="utf-8"?>
<formControlPr xmlns="http://schemas.microsoft.com/office/spreadsheetml/2009/9/main" objectType="CheckBox" fmlaLink="$N$110" lockText="1" noThreeD="1"/>
</file>

<file path=xl/ctrlProps/ctrlProp952.xml><?xml version="1.0" encoding="utf-8"?>
<formControlPr xmlns="http://schemas.microsoft.com/office/spreadsheetml/2009/9/main" objectType="CheckBox" fmlaLink="$E$144" lockText="1" noThreeD="1"/>
</file>

<file path=xl/ctrlProps/ctrlProp953.xml><?xml version="1.0" encoding="utf-8"?>
<formControlPr xmlns="http://schemas.microsoft.com/office/spreadsheetml/2009/9/main" objectType="CheckBox" fmlaLink="$H$144" lockText="1" noThreeD="1"/>
</file>

<file path=xl/ctrlProps/ctrlProp954.xml><?xml version="1.0" encoding="utf-8"?>
<formControlPr xmlns="http://schemas.microsoft.com/office/spreadsheetml/2009/9/main" objectType="CheckBox" fmlaLink="$K$144" lockText="1" noThreeD="1"/>
</file>

<file path=xl/ctrlProps/ctrlProp955.xml><?xml version="1.0" encoding="utf-8"?>
<formControlPr xmlns="http://schemas.microsoft.com/office/spreadsheetml/2009/9/main" objectType="CheckBox" fmlaLink="$N$144" lockText="1" noThreeD="1"/>
</file>

<file path=xl/ctrlProps/ctrlProp956.xml><?xml version="1.0" encoding="utf-8"?>
<formControlPr xmlns="http://schemas.microsoft.com/office/spreadsheetml/2009/9/main" objectType="CheckBox" fmlaLink="$Q$144" lockText="1" noThreeD="1"/>
</file>

<file path=xl/ctrlProps/ctrlProp957.xml><?xml version="1.0" encoding="utf-8"?>
<formControlPr xmlns="http://schemas.microsoft.com/office/spreadsheetml/2009/9/main" objectType="CheckBox" fmlaLink="$Q$147" lockText="1" noThreeD="1"/>
</file>

<file path=xl/ctrlProps/ctrlProp958.xml><?xml version="1.0" encoding="utf-8"?>
<formControlPr xmlns="http://schemas.microsoft.com/office/spreadsheetml/2009/9/main" objectType="CheckBox" fmlaLink="$N$147" lockText="1" noThreeD="1"/>
</file>

<file path=xl/ctrlProps/ctrlProp959.xml><?xml version="1.0" encoding="utf-8"?>
<formControlPr xmlns="http://schemas.microsoft.com/office/spreadsheetml/2009/9/main" objectType="CheckBox" fmlaLink="$K$147" lockText="1" noThreeD="1"/>
</file>

<file path=xl/ctrlProps/ctrlProp960.xml><?xml version="1.0" encoding="utf-8"?>
<formControlPr xmlns="http://schemas.microsoft.com/office/spreadsheetml/2009/9/main" objectType="CheckBox" fmlaLink="$H$147" lockText="1" noThreeD="1"/>
</file>

<file path=xl/ctrlProps/ctrlProp961.xml><?xml version="1.0" encoding="utf-8"?>
<formControlPr xmlns="http://schemas.microsoft.com/office/spreadsheetml/2009/9/main" objectType="CheckBox" fmlaLink="$E$147" lockText="1" noThreeD="1"/>
</file>

<file path=xl/ctrlProps/ctrlProp962.xml><?xml version="1.0" encoding="utf-8"?>
<formControlPr xmlns="http://schemas.microsoft.com/office/spreadsheetml/2009/9/main" objectType="CheckBox" fmlaLink="$E$150" lockText="1" noThreeD="1"/>
</file>

<file path=xl/ctrlProps/ctrlProp963.xml><?xml version="1.0" encoding="utf-8"?>
<formControlPr xmlns="http://schemas.microsoft.com/office/spreadsheetml/2009/9/main" objectType="CheckBox" fmlaLink="$H$150" lockText="1" noThreeD="1"/>
</file>

<file path=xl/ctrlProps/ctrlProp964.xml><?xml version="1.0" encoding="utf-8"?>
<formControlPr xmlns="http://schemas.microsoft.com/office/spreadsheetml/2009/9/main" objectType="CheckBox" fmlaLink="$K$150" lockText="1" noThreeD="1"/>
</file>

<file path=xl/ctrlProps/ctrlProp965.xml><?xml version="1.0" encoding="utf-8"?>
<formControlPr xmlns="http://schemas.microsoft.com/office/spreadsheetml/2009/9/main" objectType="CheckBox" fmlaLink="$N$150" lockText="1" noThreeD="1"/>
</file>

<file path=xl/ctrlProps/ctrlProp966.xml><?xml version="1.0" encoding="utf-8"?>
<formControlPr xmlns="http://schemas.microsoft.com/office/spreadsheetml/2009/9/main" objectType="CheckBox" fmlaLink="$Q$150"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60</xdr:col>
      <xdr:colOff>238125</xdr:colOff>
      <xdr:row>4251</xdr:row>
      <xdr:rowOff>190500</xdr:rowOff>
    </xdr:from>
    <xdr:to>
      <xdr:col>63</xdr:col>
      <xdr:colOff>295275</xdr:colOff>
      <xdr:row>4251</xdr:row>
      <xdr:rowOff>209550</xdr:rowOff>
    </xdr:to>
    <xdr:sp macro="" textlink="">
      <xdr:nvSpPr>
        <xdr:cNvPr id="1071" name="Line 47">
          <a:extLst>
            <a:ext uri="{FF2B5EF4-FFF2-40B4-BE49-F238E27FC236}">
              <a16:creationId xmlns:a16="http://schemas.microsoft.com/office/drawing/2014/main" id="{00000000-0008-0000-0000-00002F040000}"/>
            </a:ext>
          </a:extLst>
        </xdr:cNvPr>
        <xdr:cNvSpPr>
          <a:spLocks noChangeShapeType="1"/>
        </xdr:cNvSpPr>
      </xdr:nvSpPr>
      <xdr:spPr bwMode="auto">
        <a:xfrm>
          <a:off x="43186350" y="812815875"/>
          <a:ext cx="1885950" cy="19050"/>
        </a:xfrm>
        <a:prstGeom prst="line">
          <a:avLst/>
        </a:prstGeom>
        <a:noFill/>
        <a:ln w="22225">
          <a:solidFill>
            <a:srgbClr val="FF0000"/>
          </a:solidFill>
          <a:round/>
          <a:headEnd/>
          <a:tailEnd type="stealth" w="med" len="med"/>
        </a:ln>
      </xdr:spPr>
    </xdr:sp>
    <xdr:clientData/>
  </xdr:twoCellAnchor>
  <xdr:twoCellAnchor>
    <xdr:from>
      <xdr:col>60</xdr:col>
      <xdr:colOff>190500</xdr:colOff>
      <xdr:row>4262</xdr:row>
      <xdr:rowOff>238125</xdr:rowOff>
    </xdr:from>
    <xdr:to>
      <xdr:col>61</xdr:col>
      <xdr:colOff>523875</xdr:colOff>
      <xdr:row>4262</xdr:row>
      <xdr:rowOff>238125</xdr:rowOff>
    </xdr:to>
    <xdr:sp macro="" textlink="">
      <xdr:nvSpPr>
        <xdr:cNvPr id="1073" name="Line 49">
          <a:extLst>
            <a:ext uri="{FF2B5EF4-FFF2-40B4-BE49-F238E27FC236}">
              <a16:creationId xmlns:a16="http://schemas.microsoft.com/office/drawing/2014/main" id="{00000000-0008-0000-0000-000031040000}"/>
            </a:ext>
          </a:extLst>
        </xdr:cNvPr>
        <xdr:cNvSpPr>
          <a:spLocks noChangeShapeType="1"/>
        </xdr:cNvSpPr>
      </xdr:nvSpPr>
      <xdr:spPr bwMode="auto">
        <a:xfrm>
          <a:off x="43138725" y="816387750"/>
          <a:ext cx="942975" cy="0"/>
        </a:xfrm>
        <a:prstGeom prst="line">
          <a:avLst/>
        </a:prstGeom>
        <a:noFill/>
        <a:ln w="22225">
          <a:solidFill>
            <a:srgbClr val="FF0000"/>
          </a:solidFill>
          <a:round/>
          <a:headEnd/>
          <a:tailEnd type="stealth" w="med" len="med"/>
        </a:ln>
      </xdr:spPr>
    </xdr:sp>
    <xdr:clientData/>
  </xdr:twoCellAnchor>
  <xdr:twoCellAnchor editAs="oneCell">
    <xdr:from>
      <xdr:col>95</xdr:col>
      <xdr:colOff>603250</xdr:colOff>
      <xdr:row>34</xdr:row>
      <xdr:rowOff>28575</xdr:rowOff>
    </xdr:from>
    <xdr:to>
      <xdr:col>111</xdr:col>
      <xdr:colOff>582929</xdr:colOff>
      <xdr:row>56</xdr:row>
      <xdr:rowOff>69397</xdr:rowOff>
    </xdr:to>
    <xdr:pic>
      <xdr:nvPicPr>
        <xdr:cNvPr id="14" name="Picture 13" descr="macro warning.JPG">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 cstate="print"/>
        <a:stretch>
          <a:fillRect/>
        </a:stretch>
      </xdr:blipFill>
      <xdr:spPr>
        <a:xfrm>
          <a:off x="71764525" y="6877050"/>
          <a:ext cx="9733280" cy="601662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30480</xdr:colOff>
          <xdr:row>46</xdr:row>
          <xdr:rowOff>0</xdr:rowOff>
        </xdr:from>
        <xdr:to>
          <xdr:col>5</xdr:col>
          <xdr:colOff>815340</xdr:colOff>
          <xdr:row>46</xdr:row>
          <xdr:rowOff>320040</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47</xdr:row>
          <xdr:rowOff>0</xdr:rowOff>
        </xdr:from>
        <xdr:to>
          <xdr:col>5</xdr:col>
          <xdr:colOff>815340</xdr:colOff>
          <xdr:row>48</xdr:row>
          <xdr:rowOff>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48</xdr:row>
          <xdr:rowOff>0</xdr:rowOff>
        </xdr:from>
        <xdr:to>
          <xdr:col>5</xdr:col>
          <xdr:colOff>815340</xdr:colOff>
          <xdr:row>48</xdr:row>
          <xdr:rowOff>320040</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47</xdr:row>
          <xdr:rowOff>0</xdr:rowOff>
        </xdr:from>
        <xdr:to>
          <xdr:col>10</xdr:col>
          <xdr:colOff>1821180</xdr:colOff>
          <xdr:row>47</xdr:row>
          <xdr:rowOff>320040</xdr:rowOff>
        </xdr:to>
        <xdr:sp macro="" textlink="">
          <xdr:nvSpPr>
            <xdr:cNvPr id="1030" name="Drop Dow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48</xdr:row>
          <xdr:rowOff>0</xdr:rowOff>
        </xdr:from>
        <xdr:to>
          <xdr:col>10</xdr:col>
          <xdr:colOff>1821180</xdr:colOff>
          <xdr:row>48</xdr:row>
          <xdr:rowOff>320040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46</xdr:row>
          <xdr:rowOff>0</xdr:rowOff>
        </xdr:from>
        <xdr:to>
          <xdr:col>10</xdr:col>
          <xdr:colOff>1821180</xdr:colOff>
          <xdr:row>46</xdr:row>
          <xdr:rowOff>320040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46</xdr:row>
          <xdr:rowOff>0</xdr:rowOff>
        </xdr:from>
        <xdr:to>
          <xdr:col>3</xdr:col>
          <xdr:colOff>853440</xdr:colOff>
          <xdr:row>46</xdr:row>
          <xdr:rowOff>297180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47</xdr:row>
          <xdr:rowOff>0</xdr:rowOff>
        </xdr:from>
        <xdr:to>
          <xdr:col>3</xdr:col>
          <xdr:colOff>830580</xdr:colOff>
          <xdr:row>47</xdr:row>
          <xdr:rowOff>297180</xdr:rowOff>
        </xdr:to>
        <xdr:sp macro="" textlink="">
          <xdr:nvSpPr>
            <xdr:cNvPr id="1036" name="Drop Dow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48</xdr:row>
          <xdr:rowOff>0</xdr:rowOff>
        </xdr:from>
        <xdr:to>
          <xdr:col>3</xdr:col>
          <xdr:colOff>853440</xdr:colOff>
          <xdr:row>49</xdr:row>
          <xdr:rowOff>0</xdr:rowOff>
        </xdr:to>
        <xdr:sp macro="" textlink="">
          <xdr:nvSpPr>
            <xdr:cNvPr id="1037" name="Drop Dow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1630680</xdr:colOff>
          <xdr:row>32</xdr:row>
          <xdr:rowOff>190500</xdr:rowOff>
        </xdr:from>
        <xdr:to>
          <xdr:col>3</xdr:col>
          <xdr:colOff>662940</xdr:colOff>
          <xdr:row>32</xdr:row>
          <xdr:rowOff>441960</xdr:rowOff>
        </xdr:to>
        <xdr:sp macro="" textlink="">
          <xdr:nvSpPr>
            <xdr:cNvPr id="1984" name="Drop Down 960" hidden="1">
              <a:extLst>
                <a:ext uri="{63B3BB69-23CF-44E3-9099-C40C66FF867C}">
                  <a14:compatExt spid="_x0000_s1984"/>
                </a:ext>
                <a:ext uri="{FF2B5EF4-FFF2-40B4-BE49-F238E27FC236}">
                  <a16:creationId xmlns:a16="http://schemas.microsoft.com/office/drawing/2014/main" id="{00000000-0008-0000-0000-0000C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3332</xdr:row>
          <xdr:rowOff>15240</xdr:rowOff>
        </xdr:from>
        <xdr:to>
          <xdr:col>6</xdr:col>
          <xdr:colOff>449580</xdr:colOff>
          <xdr:row>3333</xdr:row>
          <xdr:rowOff>15240</xdr:rowOff>
        </xdr:to>
        <xdr:sp macro="" textlink="">
          <xdr:nvSpPr>
            <xdr:cNvPr id="1992" name="Drop Down 968" hidden="1">
              <a:extLst>
                <a:ext uri="{63B3BB69-23CF-44E3-9099-C40C66FF867C}">
                  <a14:compatExt spid="_x0000_s1992"/>
                </a:ext>
                <a:ext uri="{FF2B5EF4-FFF2-40B4-BE49-F238E27FC236}">
                  <a16:creationId xmlns:a16="http://schemas.microsoft.com/office/drawing/2014/main" id="{00000000-0008-0000-0000-0000C8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30480</xdr:colOff>
          <xdr:row>16</xdr:row>
          <xdr:rowOff>15240</xdr:rowOff>
        </xdr:from>
        <xdr:to>
          <xdr:col>12</xdr:col>
          <xdr:colOff>0</xdr:colOff>
          <xdr:row>17</xdr:row>
          <xdr:rowOff>144780</xdr:rowOff>
        </xdr:to>
        <xdr:sp macro="" textlink="">
          <xdr:nvSpPr>
            <xdr:cNvPr id="1994" name="Button 970" hidden="1">
              <a:extLst>
                <a:ext uri="{63B3BB69-23CF-44E3-9099-C40C66FF867C}">
                  <a14:compatExt spid="_x0000_s1994"/>
                </a:ext>
                <a:ext uri="{FF2B5EF4-FFF2-40B4-BE49-F238E27FC236}">
                  <a16:creationId xmlns:a16="http://schemas.microsoft.com/office/drawing/2014/main" id="{00000000-0008-0000-0000-0000CA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B4</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12</xdr:row>
          <xdr:rowOff>15240</xdr:rowOff>
        </xdr:from>
        <xdr:to>
          <xdr:col>11</xdr:col>
          <xdr:colOff>1333500</xdr:colOff>
          <xdr:row>13</xdr:row>
          <xdr:rowOff>137160</xdr:rowOff>
        </xdr:to>
        <xdr:sp macro="" textlink="">
          <xdr:nvSpPr>
            <xdr:cNvPr id="1997" name="Button 973" hidden="1">
              <a:extLst>
                <a:ext uri="{63B3BB69-23CF-44E3-9099-C40C66FF867C}">
                  <a14:compatExt spid="_x0000_s1997"/>
                </a:ext>
                <a:ext uri="{FF2B5EF4-FFF2-40B4-BE49-F238E27FC236}">
                  <a16:creationId xmlns:a16="http://schemas.microsoft.com/office/drawing/2014/main" id="{00000000-0008-0000-0000-0000CD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B3</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3446</xdr:row>
          <xdr:rowOff>0</xdr:rowOff>
        </xdr:from>
        <xdr:to>
          <xdr:col>5</xdr:col>
          <xdr:colOff>0</xdr:colOff>
          <xdr:row>3448</xdr:row>
          <xdr:rowOff>15240</xdr:rowOff>
        </xdr:to>
        <xdr:sp macro="" textlink="">
          <xdr:nvSpPr>
            <xdr:cNvPr id="1998" name="Drop Down 974" hidden="1">
              <a:extLst>
                <a:ext uri="{63B3BB69-23CF-44E3-9099-C40C66FF867C}">
                  <a14:compatExt spid="_x0000_s1998"/>
                </a:ext>
                <a:ext uri="{FF2B5EF4-FFF2-40B4-BE49-F238E27FC236}">
                  <a16:creationId xmlns:a16="http://schemas.microsoft.com/office/drawing/2014/main" id="{00000000-0008-0000-0000-0000C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146</xdr:row>
          <xdr:rowOff>0</xdr:rowOff>
        </xdr:from>
        <xdr:to>
          <xdr:col>5</xdr:col>
          <xdr:colOff>815340</xdr:colOff>
          <xdr:row>147</xdr:row>
          <xdr:rowOff>15240</xdr:rowOff>
        </xdr:to>
        <xdr:sp macro="" textlink="">
          <xdr:nvSpPr>
            <xdr:cNvPr id="2000" name="Drop Down 976" hidden="1">
              <a:extLst>
                <a:ext uri="{63B3BB69-23CF-44E3-9099-C40C66FF867C}">
                  <a14:compatExt spid="_x0000_s2000"/>
                </a:ext>
                <a:ext uri="{FF2B5EF4-FFF2-40B4-BE49-F238E27FC236}">
                  <a16:creationId xmlns:a16="http://schemas.microsoft.com/office/drawing/2014/main" id="{00000000-0008-0000-0000-0000D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147</xdr:row>
          <xdr:rowOff>0</xdr:rowOff>
        </xdr:from>
        <xdr:to>
          <xdr:col>5</xdr:col>
          <xdr:colOff>815340</xdr:colOff>
          <xdr:row>147</xdr:row>
          <xdr:rowOff>320040</xdr:rowOff>
        </xdr:to>
        <xdr:sp macro="" textlink="">
          <xdr:nvSpPr>
            <xdr:cNvPr id="2001" name="Drop Down 977" hidden="1">
              <a:extLst>
                <a:ext uri="{63B3BB69-23CF-44E3-9099-C40C66FF867C}">
                  <a14:compatExt spid="_x0000_s2001"/>
                </a:ext>
                <a:ext uri="{FF2B5EF4-FFF2-40B4-BE49-F238E27FC236}">
                  <a16:creationId xmlns:a16="http://schemas.microsoft.com/office/drawing/2014/main" id="{00000000-0008-0000-0000-0000D1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148</xdr:row>
          <xdr:rowOff>0</xdr:rowOff>
        </xdr:from>
        <xdr:to>
          <xdr:col>6</xdr:col>
          <xdr:colOff>0</xdr:colOff>
          <xdr:row>148</xdr:row>
          <xdr:rowOff>320040</xdr:rowOff>
        </xdr:to>
        <xdr:sp macro="" textlink="">
          <xdr:nvSpPr>
            <xdr:cNvPr id="2002" name="Drop Down 978" hidden="1">
              <a:extLst>
                <a:ext uri="{63B3BB69-23CF-44E3-9099-C40C66FF867C}">
                  <a14:compatExt spid="_x0000_s2002"/>
                </a:ext>
                <a:ext uri="{FF2B5EF4-FFF2-40B4-BE49-F238E27FC236}">
                  <a16:creationId xmlns:a16="http://schemas.microsoft.com/office/drawing/2014/main" id="{00000000-0008-0000-0000-0000D2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147</xdr:row>
          <xdr:rowOff>0</xdr:rowOff>
        </xdr:from>
        <xdr:to>
          <xdr:col>10</xdr:col>
          <xdr:colOff>1821180</xdr:colOff>
          <xdr:row>147</xdr:row>
          <xdr:rowOff>320040</xdr:rowOff>
        </xdr:to>
        <xdr:sp macro="" textlink="">
          <xdr:nvSpPr>
            <xdr:cNvPr id="2005" name="Drop Down 981" hidden="1">
              <a:extLst>
                <a:ext uri="{63B3BB69-23CF-44E3-9099-C40C66FF867C}">
                  <a14:compatExt spid="_x0000_s2005"/>
                </a:ext>
                <a:ext uri="{FF2B5EF4-FFF2-40B4-BE49-F238E27FC236}">
                  <a16:creationId xmlns:a16="http://schemas.microsoft.com/office/drawing/2014/main" id="{00000000-0008-0000-0000-0000D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148</xdr:row>
          <xdr:rowOff>0</xdr:rowOff>
        </xdr:from>
        <xdr:to>
          <xdr:col>10</xdr:col>
          <xdr:colOff>1821180</xdr:colOff>
          <xdr:row>148</xdr:row>
          <xdr:rowOff>320040</xdr:rowOff>
        </xdr:to>
        <xdr:sp macro="" textlink="">
          <xdr:nvSpPr>
            <xdr:cNvPr id="2006" name="Drop Down 982" hidden="1">
              <a:extLst>
                <a:ext uri="{63B3BB69-23CF-44E3-9099-C40C66FF867C}">
                  <a14:compatExt spid="_x0000_s2006"/>
                </a:ext>
                <a:ext uri="{FF2B5EF4-FFF2-40B4-BE49-F238E27FC236}">
                  <a16:creationId xmlns:a16="http://schemas.microsoft.com/office/drawing/2014/main" id="{00000000-0008-0000-0000-0000D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146</xdr:row>
          <xdr:rowOff>0</xdr:rowOff>
        </xdr:from>
        <xdr:to>
          <xdr:col>10</xdr:col>
          <xdr:colOff>1821180</xdr:colOff>
          <xdr:row>146</xdr:row>
          <xdr:rowOff>320040</xdr:rowOff>
        </xdr:to>
        <xdr:sp macro="" textlink="">
          <xdr:nvSpPr>
            <xdr:cNvPr id="2009" name="Drop Down 985" hidden="1">
              <a:extLst>
                <a:ext uri="{63B3BB69-23CF-44E3-9099-C40C66FF867C}">
                  <a14:compatExt spid="_x0000_s2009"/>
                </a:ext>
                <a:ext uri="{FF2B5EF4-FFF2-40B4-BE49-F238E27FC236}">
                  <a16:creationId xmlns:a16="http://schemas.microsoft.com/office/drawing/2014/main" id="{00000000-0008-0000-0000-0000D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146</xdr:row>
          <xdr:rowOff>0</xdr:rowOff>
        </xdr:from>
        <xdr:to>
          <xdr:col>3</xdr:col>
          <xdr:colOff>853440</xdr:colOff>
          <xdr:row>146</xdr:row>
          <xdr:rowOff>297180</xdr:rowOff>
        </xdr:to>
        <xdr:sp macro="" textlink="">
          <xdr:nvSpPr>
            <xdr:cNvPr id="2010" name="Drop Down 986" hidden="1">
              <a:extLst>
                <a:ext uri="{63B3BB69-23CF-44E3-9099-C40C66FF867C}">
                  <a14:compatExt spid="_x0000_s2010"/>
                </a:ext>
                <a:ext uri="{FF2B5EF4-FFF2-40B4-BE49-F238E27FC236}">
                  <a16:creationId xmlns:a16="http://schemas.microsoft.com/office/drawing/2014/main" id="{00000000-0008-0000-0000-0000D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147</xdr:row>
          <xdr:rowOff>0</xdr:rowOff>
        </xdr:from>
        <xdr:to>
          <xdr:col>4</xdr:col>
          <xdr:colOff>15240</xdr:colOff>
          <xdr:row>147</xdr:row>
          <xdr:rowOff>320040</xdr:rowOff>
        </xdr:to>
        <xdr:sp macro="" textlink="">
          <xdr:nvSpPr>
            <xdr:cNvPr id="2011" name="Drop Down 987" hidden="1">
              <a:extLst>
                <a:ext uri="{63B3BB69-23CF-44E3-9099-C40C66FF867C}">
                  <a14:compatExt spid="_x0000_s2011"/>
                </a:ext>
                <a:ext uri="{FF2B5EF4-FFF2-40B4-BE49-F238E27FC236}">
                  <a16:creationId xmlns:a16="http://schemas.microsoft.com/office/drawing/2014/main" id="{00000000-0008-0000-0000-0000DB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148</xdr:row>
          <xdr:rowOff>0</xdr:rowOff>
        </xdr:from>
        <xdr:to>
          <xdr:col>3</xdr:col>
          <xdr:colOff>853440</xdr:colOff>
          <xdr:row>148</xdr:row>
          <xdr:rowOff>320040</xdr:rowOff>
        </xdr:to>
        <xdr:sp macro="" textlink="">
          <xdr:nvSpPr>
            <xdr:cNvPr id="2012" name="Drop Down 988" hidden="1">
              <a:extLst>
                <a:ext uri="{63B3BB69-23CF-44E3-9099-C40C66FF867C}">
                  <a14:compatExt spid="_x0000_s2012"/>
                </a:ext>
                <a:ext uri="{FF2B5EF4-FFF2-40B4-BE49-F238E27FC236}">
                  <a16:creationId xmlns:a16="http://schemas.microsoft.com/office/drawing/2014/main" id="{00000000-0008-0000-0000-0000DC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246</xdr:row>
          <xdr:rowOff>0</xdr:rowOff>
        </xdr:from>
        <xdr:to>
          <xdr:col>5</xdr:col>
          <xdr:colOff>815340</xdr:colOff>
          <xdr:row>247</xdr:row>
          <xdr:rowOff>15240</xdr:rowOff>
        </xdr:to>
        <xdr:sp macro="" textlink="">
          <xdr:nvSpPr>
            <xdr:cNvPr id="2036" name="Drop Down 1012" hidden="1">
              <a:extLst>
                <a:ext uri="{63B3BB69-23CF-44E3-9099-C40C66FF867C}">
                  <a14:compatExt spid="_x0000_s2036"/>
                </a:ext>
                <a:ext uri="{FF2B5EF4-FFF2-40B4-BE49-F238E27FC236}">
                  <a16:creationId xmlns:a16="http://schemas.microsoft.com/office/drawing/2014/main" id="{00000000-0008-0000-0000-0000F4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247</xdr:row>
          <xdr:rowOff>0</xdr:rowOff>
        </xdr:from>
        <xdr:to>
          <xdr:col>5</xdr:col>
          <xdr:colOff>815340</xdr:colOff>
          <xdr:row>247</xdr:row>
          <xdr:rowOff>320040</xdr:rowOff>
        </xdr:to>
        <xdr:sp macro="" textlink="">
          <xdr:nvSpPr>
            <xdr:cNvPr id="2037" name="Drop Down 1013" hidden="1">
              <a:extLst>
                <a:ext uri="{63B3BB69-23CF-44E3-9099-C40C66FF867C}">
                  <a14:compatExt spid="_x0000_s2037"/>
                </a:ext>
                <a:ext uri="{FF2B5EF4-FFF2-40B4-BE49-F238E27FC236}">
                  <a16:creationId xmlns:a16="http://schemas.microsoft.com/office/drawing/2014/main" id="{00000000-0008-0000-0000-0000F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248</xdr:row>
          <xdr:rowOff>0</xdr:rowOff>
        </xdr:from>
        <xdr:to>
          <xdr:col>5</xdr:col>
          <xdr:colOff>815340</xdr:colOff>
          <xdr:row>249</xdr:row>
          <xdr:rowOff>0</xdr:rowOff>
        </xdr:to>
        <xdr:sp macro="" textlink="">
          <xdr:nvSpPr>
            <xdr:cNvPr id="2038" name="Drop Down 1014" hidden="1">
              <a:extLst>
                <a:ext uri="{63B3BB69-23CF-44E3-9099-C40C66FF867C}">
                  <a14:compatExt spid="_x0000_s2038"/>
                </a:ext>
                <a:ext uri="{FF2B5EF4-FFF2-40B4-BE49-F238E27FC236}">
                  <a16:creationId xmlns:a16="http://schemas.microsoft.com/office/drawing/2014/main" id="{00000000-0008-0000-0000-0000F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247</xdr:row>
          <xdr:rowOff>0</xdr:rowOff>
        </xdr:from>
        <xdr:to>
          <xdr:col>10</xdr:col>
          <xdr:colOff>1821180</xdr:colOff>
          <xdr:row>247</xdr:row>
          <xdr:rowOff>320040</xdr:rowOff>
        </xdr:to>
        <xdr:sp macro="" textlink="">
          <xdr:nvSpPr>
            <xdr:cNvPr id="2041" name="Drop Down 1017" hidden="1">
              <a:extLst>
                <a:ext uri="{63B3BB69-23CF-44E3-9099-C40C66FF867C}">
                  <a14:compatExt spid="_x0000_s2041"/>
                </a:ext>
                <a:ext uri="{FF2B5EF4-FFF2-40B4-BE49-F238E27FC236}">
                  <a16:creationId xmlns:a16="http://schemas.microsoft.com/office/drawing/2014/main" id="{00000000-0008-0000-0000-0000F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248</xdr:row>
          <xdr:rowOff>0</xdr:rowOff>
        </xdr:from>
        <xdr:to>
          <xdr:col>10</xdr:col>
          <xdr:colOff>1821180</xdr:colOff>
          <xdr:row>248</xdr:row>
          <xdr:rowOff>320040</xdr:rowOff>
        </xdr:to>
        <xdr:sp macro="" textlink="">
          <xdr:nvSpPr>
            <xdr:cNvPr id="2042" name="Drop Down 1018" hidden="1">
              <a:extLst>
                <a:ext uri="{63B3BB69-23CF-44E3-9099-C40C66FF867C}">
                  <a14:compatExt spid="_x0000_s2042"/>
                </a:ext>
                <a:ext uri="{FF2B5EF4-FFF2-40B4-BE49-F238E27FC236}">
                  <a16:creationId xmlns:a16="http://schemas.microsoft.com/office/drawing/2014/main" id="{00000000-0008-0000-0000-0000F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246</xdr:row>
          <xdr:rowOff>0</xdr:rowOff>
        </xdr:from>
        <xdr:to>
          <xdr:col>10</xdr:col>
          <xdr:colOff>1821180</xdr:colOff>
          <xdr:row>246</xdr:row>
          <xdr:rowOff>320040</xdr:rowOff>
        </xdr:to>
        <xdr:sp macro="" textlink="">
          <xdr:nvSpPr>
            <xdr:cNvPr id="2045" name="Drop Down 1021" hidden="1">
              <a:extLst>
                <a:ext uri="{63B3BB69-23CF-44E3-9099-C40C66FF867C}">
                  <a14:compatExt spid="_x0000_s2045"/>
                </a:ext>
                <a:ext uri="{FF2B5EF4-FFF2-40B4-BE49-F238E27FC236}">
                  <a16:creationId xmlns:a16="http://schemas.microsoft.com/office/drawing/2014/main" id="{00000000-0008-0000-0000-0000FD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246</xdr:row>
          <xdr:rowOff>0</xdr:rowOff>
        </xdr:from>
        <xdr:to>
          <xdr:col>3</xdr:col>
          <xdr:colOff>853440</xdr:colOff>
          <xdr:row>246</xdr:row>
          <xdr:rowOff>320040</xdr:rowOff>
        </xdr:to>
        <xdr:sp macro="" textlink="">
          <xdr:nvSpPr>
            <xdr:cNvPr id="2046" name="Drop Down 1022" hidden="1">
              <a:extLst>
                <a:ext uri="{63B3BB69-23CF-44E3-9099-C40C66FF867C}">
                  <a14:compatExt spid="_x0000_s2046"/>
                </a:ext>
                <a:ext uri="{FF2B5EF4-FFF2-40B4-BE49-F238E27FC236}">
                  <a16:creationId xmlns:a16="http://schemas.microsoft.com/office/drawing/2014/main" id="{00000000-0008-0000-0000-0000F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247</xdr:row>
          <xdr:rowOff>0</xdr:rowOff>
        </xdr:from>
        <xdr:to>
          <xdr:col>3</xdr:col>
          <xdr:colOff>853440</xdr:colOff>
          <xdr:row>247</xdr:row>
          <xdr:rowOff>320040</xdr:rowOff>
        </xdr:to>
        <xdr:sp macro="" textlink="">
          <xdr:nvSpPr>
            <xdr:cNvPr id="2047" name="Drop Down 1023" hidden="1">
              <a:extLst>
                <a:ext uri="{63B3BB69-23CF-44E3-9099-C40C66FF867C}">
                  <a14:compatExt spid="_x0000_s2047"/>
                </a:ext>
                <a:ext uri="{FF2B5EF4-FFF2-40B4-BE49-F238E27FC236}">
                  <a16:creationId xmlns:a16="http://schemas.microsoft.com/office/drawing/2014/main" id="{00000000-0008-0000-0000-0000FF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248</xdr:row>
          <xdr:rowOff>0</xdr:rowOff>
        </xdr:from>
        <xdr:to>
          <xdr:col>3</xdr:col>
          <xdr:colOff>853440</xdr:colOff>
          <xdr:row>249</xdr:row>
          <xdr:rowOff>0</xdr:rowOff>
        </xdr:to>
        <xdr:sp macro="" textlink="">
          <xdr:nvSpPr>
            <xdr:cNvPr id="2048" name="Drop Down 1024" hidden="1">
              <a:extLst>
                <a:ext uri="{63B3BB69-23CF-44E3-9099-C40C66FF867C}">
                  <a14:compatExt spid="_x0000_s2048"/>
                </a:ext>
                <a:ext uri="{FF2B5EF4-FFF2-40B4-BE49-F238E27FC236}">
                  <a16:creationId xmlns:a16="http://schemas.microsoft.com/office/drawing/2014/main" id="{00000000-0008-0000-0000-00000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20</xdr:row>
          <xdr:rowOff>15240</xdr:rowOff>
        </xdr:from>
        <xdr:to>
          <xdr:col>11</xdr:col>
          <xdr:colOff>1333500</xdr:colOff>
          <xdr:row>21</xdr:row>
          <xdr:rowOff>137160</xdr:rowOff>
        </xdr:to>
        <xdr:sp macro="" textlink="">
          <xdr:nvSpPr>
            <xdr:cNvPr id="2108" name="Button 1084"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B5</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446</xdr:row>
          <xdr:rowOff>0</xdr:rowOff>
        </xdr:from>
        <xdr:to>
          <xdr:col>5</xdr:col>
          <xdr:colOff>815340</xdr:colOff>
          <xdr:row>447</xdr:row>
          <xdr:rowOff>0</xdr:rowOff>
        </xdr:to>
        <xdr:sp macro="" textlink="">
          <xdr:nvSpPr>
            <xdr:cNvPr id="2110" name="Drop Down 1086"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447</xdr:row>
          <xdr:rowOff>0</xdr:rowOff>
        </xdr:from>
        <xdr:to>
          <xdr:col>5</xdr:col>
          <xdr:colOff>815340</xdr:colOff>
          <xdr:row>448</xdr:row>
          <xdr:rowOff>15240</xdr:rowOff>
        </xdr:to>
        <xdr:sp macro="" textlink="">
          <xdr:nvSpPr>
            <xdr:cNvPr id="2111" name="Drop Down 1087"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448</xdr:row>
          <xdr:rowOff>0</xdr:rowOff>
        </xdr:from>
        <xdr:to>
          <xdr:col>5</xdr:col>
          <xdr:colOff>815340</xdr:colOff>
          <xdr:row>448</xdr:row>
          <xdr:rowOff>304800</xdr:rowOff>
        </xdr:to>
        <xdr:sp macro="" textlink="">
          <xdr:nvSpPr>
            <xdr:cNvPr id="2112" name="Drop Down 1088"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447</xdr:row>
          <xdr:rowOff>0</xdr:rowOff>
        </xdr:from>
        <xdr:to>
          <xdr:col>10</xdr:col>
          <xdr:colOff>1821180</xdr:colOff>
          <xdr:row>447</xdr:row>
          <xdr:rowOff>320040</xdr:rowOff>
        </xdr:to>
        <xdr:sp macro="" textlink="">
          <xdr:nvSpPr>
            <xdr:cNvPr id="2115" name="Drop Down 1091"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448</xdr:row>
          <xdr:rowOff>0</xdr:rowOff>
        </xdr:from>
        <xdr:to>
          <xdr:col>10</xdr:col>
          <xdr:colOff>1821180</xdr:colOff>
          <xdr:row>448</xdr:row>
          <xdr:rowOff>320040</xdr:rowOff>
        </xdr:to>
        <xdr:sp macro="" textlink="">
          <xdr:nvSpPr>
            <xdr:cNvPr id="2116" name="Drop Down 1092"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446</xdr:row>
          <xdr:rowOff>0</xdr:rowOff>
        </xdr:from>
        <xdr:to>
          <xdr:col>10</xdr:col>
          <xdr:colOff>1821180</xdr:colOff>
          <xdr:row>446</xdr:row>
          <xdr:rowOff>320040</xdr:rowOff>
        </xdr:to>
        <xdr:sp macro="" textlink="">
          <xdr:nvSpPr>
            <xdr:cNvPr id="2119" name="Drop Down 1095"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446</xdr:row>
          <xdr:rowOff>0</xdr:rowOff>
        </xdr:from>
        <xdr:to>
          <xdr:col>3</xdr:col>
          <xdr:colOff>609600</xdr:colOff>
          <xdr:row>446</xdr:row>
          <xdr:rowOff>320040</xdr:rowOff>
        </xdr:to>
        <xdr:sp macro="" textlink="">
          <xdr:nvSpPr>
            <xdr:cNvPr id="2120" name="Drop Down 1096"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447</xdr:row>
          <xdr:rowOff>0</xdr:rowOff>
        </xdr:from>
        <xdr:to>
          <xdr:col>3</xdr:col>
          <xdr:colOff>601980</xdr:colOff>
          <xdr:row>447</xdr:row>
          <xdr:rowOff>320040</xdr:rowOff>
        </xdr:to>
        <xdr:sp macro="" textlink="">
          <xdr:nvSpPr>
            <xdr:cNvPr id="2121" name="Drop Down 1097"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448</xdr:row>
          <xdr:rowOff>0</xdr:rowOff>
        </xdr:from>
        <xdr:to>
          <xdr:col>3</xdr:col>
          <xdr:colOff>601980</xdr:colOff>
          <xdr:row>448</xdr:row>
          <xdr:rowOff>320040</xdr:rowOff>
        </xdr:to>
        <xdr:sp macro="" textlink="">
          <xdr:nvSpPr>
            <xdr:cNvPr id="2122" name="Drop Down 1098"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546</xdr:row>
          <xdr:rowOff>0</xdr:rowOff>
        </xdr:from>
        <xdr:to>
          <xdr:col>6</xdr:col>
          <xdr:colOff>15240</xdr:colOff>
          <xdr:row>547</xdr:row>
          <xdr:rowOff>15240</xdr:rowOff>
        </xdr:to>
        <xdr:sp macro="" textlink="">
          <xdr:nvSpPr>
            <xdr:cNvPr id="2146" name="Drop Down 1122" hidden="1">
              <a:extLst>
                <a:ext uri="{63B3BB69-23CF-44E3-9099-C40C66FF867C}">
                  <a14:compatExt spid="_x0000_s2146"/>
                </a:ext>
                <a:ext uri="{FF2B5EF4-FFF2-40B4-BE49-F238E27FC236}">
                  <a16:creationId xmlns:a16="http://schemas.microsoft.com/office/drawing/2014/main" id="{00000000-0008-0000-0000-00006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xdr:colOff>
          <xdr:row>547</xdr:row>
          <xdr:rowOff>0</xdr:rowOff>
        </xdr:from>
        <xdr:to>
          <xdr:col>6</xdr:col>
          <xdr:colOff>0</xdr:colOff>
          <xdr:row>547</xdr:row>
          <xdr:rowOff>320040</xdr:rowOff>
        </xdr:to>
        <xdr:sp macro="" textlink="">
          <xdr:nvSpPr>
            <xdr:cNvPr id="2147" name="Drop Down 1123" hidden="1">
              <a:extLst>
                <a:ext uri="{63B3BB69-23CF-44E3-9099-C40C66FF867C}">
                  <a14:compatExt spid="_x0000_s2147"/>
                </a:ext>
                <a:ext uri="{FF2B5EF4-FFF2-40B4-BE49-F238E27FC236}">
                  <a16:creationId xmlns:a16="http://schemas.microsoft.com/office/drawing/2014/main" id="{00000000-0008-0000-0000-00006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xdr:colOff>
          <xdr:row>548</xdr:row>
          <xdr:rowOff>0</xdr:rowOff>
        </xdr:from>
        <xdr:to>
          <xdr:col>6</xdr:col>
          <xdr:colOff>0</xdr:colOff>
          <xdr:row>548</xdr:row>
          <xdr:rowOff>320040</xdr:rowOff>
        </xdr:to>
        <xdr:sp macro="" textlink="">
          <xdr:nvSpPr>
            <xdr:cNvPr id="2148" name="Drop Down 1124" hidden="1">
              <a:extLst>
                <a:ext uri="{63B3BB69-23CF-44E3-9099-C40C66FF867C}">
                  <a14:compatExt spid="_x0000_s2148"/>
                </a:ext>
                <a:ext uri="{FF2B5EF4-FFF2-40B4-BE49-F238E27FC236}">
                  <a16:creationId xmlns:a16="http://schemas.microsoft.com/office/drawing/2014/main" id="{00000000-0008-0000-0000-00006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547</xdr:row>
          <xdr:rowOff>0</xdr:rowOff>
        </xdr:from>
        <xdr:to>
          <xdr:col>10</xdr:col>
          <xdr:colOff>1821180</xdr:colOff>
          <xdr:row>547</xdr:row>
          <xdr:rowOff>320040</xdr:rowOff>
        </xdr:to>
        <xdr:sp macro="" textlink="">
          <xdr:nvSpPr>
            <xdr:cNvPr id="2151" name="Drop Down 1127" hidden="1">
              <a:extLst>
                <a:ext uri="{63B3BB69-23CF-44E3-9099-C40C66FF867C}">
                  <a14:compatExt spid="_x0000_s2151"/>
                </a:ext>
                <a:ext uri="{FF2B5EF4-FFF2-40B4-BE49-F238E27FC236}">
                  <a16:creationId xmlns:a16="http://schemas.microsoft.com/office/drawing/2014/main" id="{00000000-0008-0000-0000-00006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548</xdr:row>
          <xdr:rowOff>0</xdr:rowOff>
        </xdr:from>
        <xdr:to>
          <xdr:col>10</xdr:col>
          <xdr:colOff>1821180</xdr:colOff>
          <xdr:row>548</xdr:row>
          <xdr:rowOff>320040</xdr:rowOff>
        </xdr:to>
        <xdr:sp macro="" textlink="">
          <xdr:nvSpPr>
            <xdr:cNvPr id="2152" name="Drop Down 1128" hidden="1">
              <a:extLst>
                <a:ext uri="{63B3BB69-23CF-44E3-9099-C40C66FF867C}">
                  <a14:compatExt spid="_x0000_s2152"/>
                </a:ext>
                <a:ext uri="{FF2B5EF4-FFF2-40B4-BE49-F238E27FC236}">
                  <a16:creationId xmlns:a16="http://schemas.microsoft.com/office/drawing/2014/main" id="{00000000-0008-0000-0000-00006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546</xdr:row>
          <xdr:rowOff>0</xdr:rowOff>
        </xdr:from>
        <xdr:to>
          <xdr:col>10</xdr:col>
          <xdr:colOff>1821180</xdr:colOff>
          <xdr:row>546</xdr:row>
          <xdr:rowOff>320040</xdr:rowOff>
        </xdr:to>
        <xdr:sp macro="" textlink="">
          <xdr:nvSpPr>
            <xdr:cNvPr id="2155" name="Drop Down 1131" hidden="1">
              <a:extLst>
                <a:ext uri="{63B3BB69-23CF-44E3-9099-C40C66FF867C}">
                  <a14:compatExt spid="_x0000_s2155"/>
                </a:ext>
                <a:ext uri="{FF2B5EF4-FFF2-40B4-BE49-F238E27FC236}">
                  <a16:creationId xmlns:a16="http://schemas.microsoft.com/office/drawing/2014/main" id="{00000000-0008-0000-0000-00006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546</xdr:row>
          <xdr:rowOff>0</xdr:rowOff>
        </xdr:from>
        <xdr:to>
          <xdr:col>4</xdr:col>
          <xdr:colOff>15240</xdr:colOff>
          <xdr:row>547</xdr:row>
          <xdr:rowOff>38100</xdr:rowOff>
        </xdr:to>
        <xdr:sp macro="" textlink="">
          <xdr:nvSpPr>
            <xdr:cNvPr id="2156" name="Drop Down 1132" hidden="1">
              <a:extLst>
                <a:ext uri="{63B3BB69-23CF-44E3-9099-C40C66FF867C}">
                  <a14:compatExt spid="_x0000_s2156"/>
                </a:ext>
                <a:ext uri="{FF2B5EF4-FFF2-40B4-BE49-F238E27FC236}">
                  <a16:creationId xmlns:a16="http://schemas.microsoft.com/office/drawing/2014/main" id="{00000000-0008-0000-0000-00006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547</xdr:row>
          <xdr:rowOff>0</xdr:rowOff>
        </xdr:from>
        <xdr:to>
          <xdr:col>4</xdr:col>
          <xdr:colOff>0</xdr:colOff>
          <xdr:row>548</xdr:row>
          <xdr:rowOff>15240</xdr:rowOff>
        </xdr:to>
        <xdr:sp macro="" textlink="">
          <xdr:nvSpPr>
            <xdr:cNvPr id="2157" name="Drop Down 1133" hidden="1">
              <a:extLst>
                <a:ext uri="{63B3BB69-23CF-44E3-9099-C40C66FF867C}">
                  <a14:compatExt spid="_x0000_s2157"/>
                </a:ext>
                <a:ext uri="{FF2B5EF4-FFF2-40B4-BE49-F238E27FC236}">
                  <a16:creationId xmlns:a16="http://schemas.microsoft.com/office/drawing/2014/main" id="{00000000-0008-0000-0000-00006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548</xdr:row>
          <xdr:rowOff>0</xdr:rowOff>
        </xdr:from>
        <xdr:to>
          <xdr:col>4</xdr:col>
          <xdr:colOff>15240</xdr:colOff>
          <xdr:row>549</xdr:row>
          <xdr:rowOff>0</xdr:rowOff>
        </xdr:to>
        <xdr:sp macro="" textlink="">
          <xdr:nvSpPr>
            <xdr:cNvPr id="2158" name="Drop Down 1134" hidden="1">
              <a:extLst>
                <a:ext uri="{63B3BB69-23CF-44E3-9099-C40C66FF867C}">
                  <a14:compatExt spid="_x0000_s2158"/>
                </a:ext>
                <a:ext uri="{FF2B5EF4-FFF2-40B4-BE49-F238E27FC236}">
                  <a16:creationId xmlns:a16="http://schemas.microsoft.com/office/drawing/2014/main" id="{00000000-0008-0000-0000-00006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646</xdr:row>
          <xdr:rowOff>0</xdr:rowOff>
        </xdr:from>
        <xdr:to>
          <xdr:col>5</xdr:col>
          <xdr:colOff>815340</xdr:colOff>
          <xdr:row>646</xdr:row>
          <xdr:rowOff>320040</xdr:rowOff>
        </xdr:to>
        <xdr:sp macro="" textlink="">
          <xdr:nvSpPr>
            <xdr:cNvPr id="2182" name="Drop Down 1158" hidden="1">
              <a:extLst>
                <a:ext uri="{63B3BB69-23CF-44E3-9099-C40C66FF867C}">
                  <a14:compatExt spid="_x0000_s2182"/>
                </a:ext>
                <a:ext uri="{FF2B5EF4-FFF2-40B4-BE49-F238E27FC236}">
                  <a16:creationId xmlns:a16="http://schemas.microsoft.com/office/drawing/2014/main" id="{00000000-0008-0000-0000-00008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647</xdr:row>
          <xdr:rowOff>0</xdr:rowOff>
        </xdr:from>
        <xdr:to>
          <xdr:col>5</xdr:col>
          <xdr:colOff>815340</xdr:colOff>
          <xdr:row>647</xdr:row>
          <xdr:rowOff>320040</xdr:rowOff>
        </xdr:to>
        <xdr:sp macro="" textlink="">
          <xdr:nvSpPr>
            <xdr:cNvPr id="2183" name="Drop Down 1159" hidden="1">
              <a:extLst>
                <a:ext uri="{63B3BB69-23CF-44E3-9099-C40C66FF867C}">
                  <a14:compatExt spid="_x0000_s2183"/>
                </a:ext>
                <a:ext uri="{FF2B5EF4-FFF2-40B4-BE49-F238E27FC236}">
                  <a16:creationId xmlns:a16="http://schemas.microsoft.com/office/drawing/2014/main" id="{00000000-0008-0000-0000-00008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648</xdr:row>
          <xdr:rowOff>0</xdr:rowOff>
        </xdr:from>
        <xdr:to>
          <xdr:col>5</xdr:col>
          <xdr:colOff>815340</xdr:colOff>
          <xdr:row>649</xdr:row>
          <xdr:rowOff>15240</xdr:rowOff>
        </xdr:to>
        <xdr:sp macro="" textlink="">
          <xdr:nvSpPr>
            <xdr:cNvPr id="2184" name="Drop Down 1160" hidden="1">
              <a:extLst>
                <a:ext uri="{63B3BB69-23CF-44E3-9099-C40C66FF867C}">
                  <a14:compatExt spid="_x0000_s2184"/>
                </a:ext>
                <a:ext uri="{FF2B5EF4-FFF2-40B4-BE49-F238E27FC236}">
                  <a16:creationId xmlns:a16="http://schemas.microsoft.com/office/drawing/2014/main" id="{00000000-0008-0000-0000-00008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647</xdr:row>
          <xdr:rowOff>0</xdr:rowOff>
        </xdr:from>
        <xdr:to>
          <xdr:col>10</xdr:col>
          <xdr:colOff>1821180</xdr:colOff>
          <xdr:row>647</xdr:row>
          <xdr:rowOff>320040</xdr:rowOff>
        </xdr:to>
        <xdr:sp macro="" textlink="">
          <xdr:nvSpPr>
            <xdr:cNvPr id="2187" name="Drop Down 1163" hidden="1">
              <a:extLst>
                <a:ext uri="{63B3BB69-23CF-44E3-9099-C40C66FF867C}">
                  <a14:compatExt spid="_x0000_s2187"/>
                </a:ext>
                <a:ext uri="{FF2B5EF4-FFF2-40B4-BE49-F238E27FC236}">
                  <a16:creationId xmlns:a16="http://schemas.microsoft.com/office/drawing/2014/main" id="{00000000-0008-0000-0000-00008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648</xdr:row>
          <xdr:rowOff>0</xdr:rowOff>
        </xdr:from>
        <xdr:to>
          <xdr:col>10</xdr:col>
          <xdr:colOff>1821180</xdr:colOff>
          <xdr:row>648</xdr:row>
          <xdr:rowOff>320040</xdr:rowOff>
        </xdr:to>
        <xdr:sp macro="" textlink="">
          <xdr:nvSpPr>
            <xdr:cNvPr id="2188" name="Drop Down 1164" hidden="1">
              <a:extLst>
                <a:ext uri="{63B3BB69-23CF-44E3-9099-C40C66FF867C}">
                  <a14:compatExt spid="_x0000_s2188"/>
                </a:ext>
                <a:ext uri="{FF2B5EF4-FFF2-40B4-BE49-F238E27FC236}">
                  <a16:creationId xmlns:a16="http://schemas.microsoft.com/office/drawing/2014/main" id="{00000000-0008-0000-0000-00008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646</xdr:row>
          <xdr:rowOff>0</xdr:rowOff>
        </xdr:from>
        <xdr:to>
          <xdr:col>10</xdr:col>
          <xdr:colOff>1821180</xdr:colOff>
          <xdr:row>646</xdr:row>
          <xdr:rowOff>320040</xdr:rowOff>
        </xdr:to>
        <xdr:sp macro="" textlink="">
          <xdr:nvSpPr>
            <xdr:cNvPr id="2191" name="Drop Down 1167" hidden="1">
              <a:extLst>
                <a:ext uri="{63B3BB69-23CF-44E3-9099-C40C66FF867C}">
                  <a14:compatExt spid="_x0000_s2191"/>
                </a:ext>
                <a:ext uri="{FF2B5EF4-FFF2-40B4-BE49-F238E27FC236}">
                  <a16:creationId xmlns:a16="http://schemas.microsoft.com/office/drawing/2014/main" id="{00000000-0008-0000-0000-00008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646</xdr:row>
          <xdr:rowOff>0</xdr:rowOff>
        </xdr:from>
        <xdr:to>
          <xdr:col>4</xdr:col>
          <xdr:colOff>15240</xdr:colOff>
          <xdr:row>647</xdr:row>
          <xdr:rowOff>0</xdr:rowOff>
        </xdr:to>
        <xdr:sp macro="" textlink="">
          <xdr:nvSpPr>
            <xdr:cNvPr id="2192" name="Drop Down 1168" hidden="1">
              <a:extLst>
                <a:ext uri="{63B3BB69-23CF-44E3-9099-C40C66FF867C}">
                  <a14:compatExt spid="_x0000_s2192"/>
                </a:ext>
                <a:ext uri="{FF2B5EF4-FFF2-40B4-BE49-F238E27FC236}">
                  <a16:creationId xmlns:a16="http://schemas.microsoft.com/office/drawing/2014/main" id="{00000000-0008-0000-0000-00009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647</xdr:row>
          <xdr:rowOff>0</xdr:rowOff>
        </xdr:from>
        <xdr:to>
          <xdr:col>4</xdr:col>
          <xdr:colOff>30480</xdr:colOff>
          <xdr:row>648</xdr:row>
          <xdr:rowOff>15240</xdr:rowOff>
        </xdr:to>
        <xdr:sp macro="" textlink="">
          <xdr:nvSpPr>
            <xdr:cNvPr id="2193" name="Drop Down 1169" hidden="1">
              <a:extLst>
                <a:ext uri="{63B3BB69-23CF-44E3-9099-C40C66FF867C}">
                  <a14:compatExt spid="_x0000_s2193"/>
                </a:ext>
                <a:ext uri="{FF2B5EF4-FFF2-40B4-BE49-F238E27FC236}">
                  <a16:creationId xmlns:a16="http://schemas.microsoft.com/office/drawing/2014/main" id="{00000000-0008-0000-0000-00009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648</xdr:row>
          <xdr:rowOff>0</xdr:rowOff>
        </xdr:from>
        <xdr:to>
          <xdr:col>4</xdr:col>
          <xdr:colOff>0</xdr:colOff>
          <xdr:row>649</xdr:row>
          <xdr:rowOff>15240</xdr:rowOff>
        </xdr:to>
        <xdr:sp macro="" textlink="">
          <xdr:nvSpPr>
            <xdr:cNvPr id="2194" name="Drop Down 1170" hidden="1">
              <a:extLst>
                <a:ext uri="{63B3BB69-23CF-44E3-9099-C40C66FF867C}">
                  <a14:compatExt spid="_x0000_s2194"/>
                </a:ext>
                <a:ext uri="{FF2B5EF4-FFF2-40B4-BE49-F238E27FC236}">
                  <a16:creationId xmlns:a16="http://schemas.microsoft.com/office/drawing/2014/main" id="{00000000-0008-0000-0000-00009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746</xdr:row>
          <xdr:rowOff>0</xdr:rowOff>
        </xdr:from>
        <xdr:to>
          <xdr:col>6</xdr:col>
          <xdr:colOff>0</xdr:colOff>
          <xdr:row>747</xdr:row>
          <xdr:rowOff>0</xdr:rowOff>
        </xdr:to>
        <xdr:sp macro="" textlink="">
          <xdr:nvSpPr>
            <xdr:cNvPr id="2218" name="Drop Down 1194" hidden="1">
              <a:extLst>
                <a:ext uri="{63B3BB69-23CF-44E3-9099-C40C66FF867C}">
                  <a14:compatExt spid="_x0000_s2218"/>
                </a:ext>
                <a:ext uri="{FF2B5EF4-FFF2-40B4-BE49-F238E27FC236}">
                  <a16:creationId xmlns:a16="http://schemas.microsoft.com/office/drawing/2014/main" id="{00000000-0008-0000-0000-0000A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747</xdr:row>
          <xdr:rowOff>0</xdr:rowOff>
        </xdr:from>
        <xdr:to>
          <xdr:col>6</xdr:col>
          <xdr:colOff>0</xdr:colOff>
          <xdr:row>748</xdr:row>
          <xdr:rowOff>0</xdr:rowOff>
        </xdr:to>
        <xdr:sp macro="" textlink="">
          <xdr:nvSpPr>
            <xdr:cNvPr id="2219" name="Drop Down 1195" hidden="1">
              <a:extLst>
                <a:ext uri="{63B3BB69-23CF-44E3-9099-C40C66FF867C}">
                  <a14:compatExt spid="_x0000_s2219"/>
                </a:ext>
                <a:ext uri="{FF2B5EF4-FFF2-40B4-BE49-F238E27FC236}">
                  <a16:creationId xmlns:a16="http://schemas.microsoft.com/office/drawing/2014/main" id="{00000000-0008-0000-0000-0000A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748</xdr:row>
          <xdr:rowOff>0</xdr:rowOff>
        </xdr:from>
        <xdr:to>
          <xdr:col>6</xdr:col>
          <xdr:colOff>0</xdr:colOff>
          <xdr:row>749</xdr:row>
          <xdr:rowOff>15240</xdr:rowOff>
        </xdr:to>
        <xdr:sp macro="" textlink="">
          <xdr:nvSpPr>
            <xdr:cNvPr id="2220" name="Drop Down 1196" hidden="1">
              <a:extLst>
                <a:ext uri="{63B3BB69-23CF-44E3-9099-C40C66FF867C}">
                  <a14:compatExt spid="_x0000_s2220"/>
                </a:ext>
                <a:ext uri="{FF2B5EF4-FFF2-40B4-BE49-F238E27FC236}">
                  <a16:creationId xmlns:a16="http://schemas.microsoft.com/office/drawing/2014/main" id="{00000000-0008-0000-0000-0000A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747</xdr:row>
          <xdr:rowOff>0</xdr:rowOff>
        </xdr:from>
        <xdr:to>
          <xdr:col>10</xdr:col>
          <xdr:colOff>1821180</xdr:colOff>
          <xdr:row>747</xdr:row>
          <xdr:rowOff>320040</xdr:rowOff>
        </xdr:to>
        <xdr:sp macro="" textlink="">
          <xdr:nvSpPr>
            <xdr:cNvPr id="2223" name="Drop Down 1199" hidden="1">
              <a:extLst>
                <a:ext uri="{63B3BB69-23CF-44E3-9099-C40C66FF867C}">
                  <a14:compatExt spid="_x0000_s2223"/>
                </a:ext>
                <a:ext uri="{FF2B5EF4-FFF2-40B4-BE49-F238E27FC236}">
                  <a16:creationId xmlns:a16="http://schemas.microsoft.com/office/drawing/2014/main" id="{00000000-0008-0000-0000-0000A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748</xdr:row>
          <xdr:rowOff>0</xdr:rowOff>
        </xdr:from>
        <xdr:to>
          <xdr:col>10</xdr:col>
          <xdr:colOff>1821180</xdr:colOff>
          <xdr:row>748</xdr:row>
          <xdr:rowOff>320040</xdr:rowOff>
        </xdr:to>
        <xdr:sp macro="" textlink="">
          <xdr:nvSpPr>
            <xdr:cNvPr id="2224" name="Drop Down 1200" hidden="1">
              <a:extLst>
                <a:ext uri="{63B3BB69-23CF-44E3-9099-C40C66FF867C}">
                  <a14:compatExt spid="_x0000_s2224"/>
                </a:ext>
                <a:ext uri="{FF2B5EF4-FFF2-40B4-BE49-F238E27FC236}">
                  <a16:creationId xmlns:a16="http://schemas.microsoft.com/office/drawing/2014/main" id="{00000000-0008-0000-0000-0000B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746</xdr:row>
          <xdr:rowOff>0</xdr:rowOff>
        </xdr:from>
        <xdr:to>
          <xdr:col>10</xdr:col>
          <xdr:colOff>1821180</xdr:colOff>
          <xdr:row>746</xdr:row>
          <xdr:rowOff>320040</xdr:rowOff>
        </xdr:to>
        <xdr:sp macro="" textlink="">
          <xdr:nvSpPr>
            <xdr:cNvPr id="2227" name="Drop Down 1203" hidden="1">
              <a:extLst>
                <a:ext uri="{63B3BB69-23CF-44E3-9099-C40C66FF867C}">
                  <a14:compatExt spid="_x0000_s2227"/>
                </a:ext>
                <a:ext uri="{FF2B5EF4-FFF2-40B4-BE49-F238E27FC236}">
                  <a16:creationId xmlns:a16="http://schemas.microsoft.com/office/drawing/2014/main" id="{00000000-0008-0000-0000-0000B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746</xdr:row>
          <xdr:rowOff>0</xdr:rowOff>
        </xdr:from>
        <xdr:to>
          <xdr:col>4</xdr:col>
          <xdr:colOff>0</xdr:colOff>
          <xdr:row>746</xdr:row>
          <xdr:rowOff>320040</xdr:rowOff>
        </xdr:to>
        <xdr:sp macro="" textlink="">
          <xdr:nvSpPr>
            <xdr:cNvPr id="2228" name="Drop Down 1204" hidden="1">
              <a:extLst>
                <a:ext uri="{63B3BB69-23CF-44E3-9099-C40C66FF867C}">
                  <a14:compatExt spid="_x0000_s2228"/>
                </a:ext>
                <a:ext uri="{FF2B5EF4-FFF2-40B4-BE49-F238E27FC236}">
                  <a16:creationId xmlns:a16="http://schemas.microsoft.com/office/drawing/2014/main" id="{00000000-0008-0000-0000-0000B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747</xdr:row>
          <xdr:rowOff>0</xdr:rowOff>
        </xdr:from>
        <xdr:to>
          <xdr:col>3</xdr:col>
          <xdr:colOff>853440</xdr:colOff>
          <xdr:row>748</xdr:row>
          <xdr:rowOff>15240</xdr:rowOff>
        </xdr:to>
        <xdr:sp macro="" textlink="">
          <xdr:nvSpPr>
            <xdr:cNvPr id="2229" name="Drop Down 1205" hidden="1">
              <a:extLst>
                <a:ext uri="{63B3BB69-23CF-44E3-9099-C40C66FF867C}">
                  <a14:compatExt spid="_x0000_s2229"/>
                </a:ext>
                <a:ext uri="{FF2B5EF4-FFF2-40B4-BE49-F238E27FC236}">
                  <a16:creationId xmlns:a16="http://schemas.microsoft.com/office/drawing/2014/main" id="{00000000-0008-0000-0000-0000B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748</xdr:row>
          <xdr:rowOff>0</xdr:rowOff>
        </xdr:from>
        <xdr:to>
          <xdr:col>4</xdr:col>
          <xdr:colOff>15240</xdr:colOff>
          <xdr:row>749</xdr:row>
          <xdr:rowOff>15240</xdr:rowOff>
        </xdr:to>
        <xdr:sp macro="" textlink="">
          <xdr:nvSpPr>
            <xdr:cNvPr id="2230" name="Drop Down 1206" hidden="1">
              <a:extLst>
                <a:ext uri="{63B3BB69-23CF-44E3-9099-C40C66FF867C}">
                  <a14:compatExt spid="_x0000_s2230"/>
                </a:ext>
                <a:ext uri="{FF2B5EF4-FFF2-40B4-BE49-F238E27FC236}">
                  <a16:creationId xmlns:a16="http://schemas.microsoft.com/office/drawing/2014/main" id="{00000000-0008-0000-0000-0000B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846</xdr:row>
          <xdr:rowOff>0</xdr:rowOff>
        </xdr:from>
        <xdr:to>
          <xdr:col>5</xdr:col>
          <xdr:colOff>815340</xdr:colOff>
          <xdr:row>847</xdr:row>
          <xdr:rowOff>0</xdr:rowOff>
        </xdr:to>
        <xdr:sp macro="" textlink="">
          <xdr:nvSpPr>
            <xdr:cNvPr id="2254" name="Drop Down 1230" hidden="1">
              <a:extLst>
                <a:ext uri="{63B3BB69-23CF-44E3-9099-C40C66FF867C}">
                  <a14:compatExt spid="_x0000_s2254"/>
                </a:ext>
                <a:ext uri="{FF2B5EF4-FFF2-40B4-BE49-F238E27FC236}">
                  <a16:creationId xmlns:a16="http://schemas.microsoft.com/office/drawing/2014/main" id="{00000000-0008-0000-0000-0000C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847</xdr:row>
          <xdr:rowOff>0</xdr:rowOff>
        </xdr:from>
        <xdr:to>
          <xdr:col>6</xdr:col>
          <xdr:colOff>0</xdr:colOff>
          <xdr:row>848</xdr:row>
          <xdr:rowOff>0</xdr:rowOff>
        </xdr:to>
        <xdr:sp macro="" textlink="">
          <xdr:nvSpPr>
            <xdr:cNvPr id="2255" name="Drop Down 1231" hidden="1">
              <a:extLst>
                <a:ext uri="{63B3BB69-23CF-44E3-9099-C40C66FF867C}">
                  <a14:compatExt spid="_x0000_s2255"/>
                </a:ext>
                <a:ext uri="{FF2B5EF4-FFF2-40B4-BE49-F238E27FC236}">
                  <a16:creationId xmlns:a16="http://schemas.microsoft.com/office/drawing/2014/main" id="{00000000-0008-0000-0000-0000C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848</xdr:row>
          <xdr:rowOff>0</xdr:rowOff>
        </xdr:from>
        <xdr:to>
          <xdr:col>5</xdr:col>
          <xdr:colOff>815340</xdr:colOff>
          <xdr:row>849</xdr:row>
          <xdr:rowOff>0</xdr:rowOff>
        </xdr:to>
        <xdr:sp macro="" textlink="">
          <xdr:nvSpPr>
            <xdr:cNvPr id="2256" name="Drop Down 1232" hidden="1">
              <a:extLst>
                <a:ext uri="{63B3BB69-23CF-44E3-9099-C40C66FF867C}">
                  <a14:compatExt spid="_x0000_s2256"/>
                </a:ext>
                <a:ext uri="{FF2B5EF4-FFF2-40B4-BE49-F238E27FC236}">
                  <a16:creationId xmlns:a16="http://schemas.microsoft.com/office/drawing/2014/main" id="{00000000-0008-0000-0000-0000D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847</xdr:row>
          <xdr:rowOff>0</xdr:rowOff>
        </xdr:from>
        <xdr:to>
          <xdr:col>10</xdr:col>
          <xdr:colOff>1821180</xdr:colOff>
          <xdr:row>847</xdr:row>
          <xdr:rowOff>320040</xdr:rowOff>
        </xdr:to>
        <xdr:sp macro="" textlink="">
          <xdr:nvSpPr>
            <xdr:cNvPr id="2259" name="Drop Down 1235" hidden="1">
              <a:extLst>
                <a:ext uri="{63B3BB69-23CF-44E3-9099-C40C66FF867C}">
                  <a14:compatExt spid="_x0000_s2259"/>
                </a:ext>
                <a:ext uri="{FF2B5EF4-FFF2-40B4-BE49-F238E27FC236}">
                  <a16:creationId xmlns:a16="http://schemas.microsoft.com/office/drawing/2014/main" id="{00000000-0008-0000-0000-0000D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848</xdr:row>
          <xdr:rowOff>0</xdr:rowOff>
        </xdr:from>
        <xdr:to>
          <xdr:col>10</xdr:col>
          <xdr:colOff>1821180</xdr:colOff>
          <xdr:row>848</xdr:row>
          <xdr:rowOff>320040</xdr:rowOff>
        </xdr:to>
        <xdr:sp macro="" textlink="">
          <xdr:nvSpPr>
            <xdr:cNvPr id="2260" name="Drop Down 1236" hidden="1">
              <a:extLst>
                <a:ext uri="{63B3BB69-23CF-44E3-9099-C40C66FF867C}">
                  <a14:compatExt spid="_x0000_s2260"/>
                </a:ext>
                <a:ext uri="{FF2B5EF4-FFF2-40B4-BE49-F238E27FC236}">
                  <a16:creationId xmlns:a16="http://schemas.microsoft.com/office/drawing/2014/main" id="{00000000-0008-0000-0000-0000D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846</xdr:row>
          <xdr:rowOff>0</xdr:rowOff>
        </xdr:from>
        <xdr:to>
          <xdr:col>10</xdr:col>
          <xdr:colOff>1821180</xdr:colOff>
          <xdr:row>846</xdr:row>
          <xdr:rowOff>320040</xdr:rowOff>
        </xdr:to>
        <xdr:sp macro="" textlink="">
          <xdr:nvSpPr>
            <xdr:cNvPr id="2263" name="Drop Down 1239" hidden="1">
              <a:extLst>
                <a:ext uri="{63B3BB69-23CF-44E3-9099-C40C66FF867C}">
                  <a14:compatExt spid="_x0000_s2263"/>
                </a:ext>
                <a:ext uri="{FF2B5EF4-FFF2-40B4-BE49-F238E27FC236}">
                  <a16:creationId xmlns:a16="http://schemas.microsoft.com/office/drawing/2014/main" id="{00000000-0008-0000-0000-0000D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846</xdr:row>
          <xdr:rowOff>0</xdr:rowOff>
        </xdr:from>
        <xdr:to>
          <xdr:col>3</xdr:col>
          <xdr:colOff>853440</xdr:colOff>
          <xdr:row>846</xdr:row>
          <xdr:rowOff>297180</xdr:rowOff>
        </xdr:to>
        <xdr:sp macro="" textlink="">
          <xdr:nvSpPr>
            <xdr:cNvPr id="2264" name="Drop Down 1240" hidden="1">
              <a:extLst>
                <a:ext uri="{63B3BB69-23CF-44E3-9099-C40C66FF867C}">
                  <a14:compatExt spid="_x0000_s2264"/>
                </a:ext>
                <a:ext uri="{FF2B5EF4-FFF2-40B4-BE49-F238E27FC236}">
                  <a16:creationId xmlns:a16="http://schemas.microsoft.com/office/drawing/2014/main" id="{00000000-0008-0000-0000-0000D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847</xdr:row>
          <xdr:rowOff>0</xdr:rowOff>
        </xdr:from>
        <xdr:to>
          <xdr:col>3</xdr:col>
          <xdr:colOff>853440</xdr:colOff>
          <xdr:row>847</xdr:row>
          <xdr:rowOff>320040</xdr:rowOff>
        </xdr:to>
        <xdr:sp macro="" textlink="">
          <xdr:nvSpPr>
            <xdr:cNvPr id="2265" name="Drop Down 1241" hidden="1">
              <a:extLst>
                <a:ext uri="{63B3BB69-23CF-44E3-9099-C40C66FF867C}">
                  <a14:compatExt spid="_x0000_s2265"/>
                </a:ext>
                <a:ext uri="{FF2B5EF4-FFF2-40B4-BE49-F238E27FC236}">
                  <a16:creationId xmlns:a16="http://schemas.microsoft.com/office/drawing/2014/main" id="{00000000-0008-0000-0000-0000D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848</xdr:row>
          <xdr:rowOff>0</xdr:rowOff>
        </xdr:from>
        <xdr:to>
          <xdr:col>4</xdr:col>
          <xdr:colOff>0</xdr:colOff>
          <xdr:row>849</xdr:row>
          <xdr:rowOff>15240</xdr:rowOff>
        </xdr:to>
        <xdr:sp macro="" textlink="">
          <xdr:nvSpPr>
            <xdr:cNvPr id="2266" name="Drop Down 1242" hidden="1">
              <a:extLst>
                <a:ext uri="{63B3BB69-23CF-44E3-9099-C40C66FF867C}">
                  <a14:compatExt spid="_x0000_s2266"/>
                </a:ext>
                <a:ext uri="{FF2B5EF4-FFF2-40B4-BE49-F238E27FC236}">
                  <a16:creationId xmlns:a16="http://schemas.microsoft.com/office/drawing/2014/main" id="{00000000-0008-0000-0000-0000D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946</xdr:row>
          <xdr:rowOff>0</xdr:rowOff>
        </xdr:from>
        <xdr:to>
          <xdr:col>5</xdr:col>
          <xdr:colOff>815340</xdr:colOff>
          <xdr:row>947</xdr:row>
          <xdr:rowOff>0</xdr:rowOff>
        </xdr:to>
        <xdr:sp macro="" textlink="">
          <xdr:nvSpPr>
            <xdr:cNvPr id="2290" name="Drop Down 1266" hidden="1">
              <a:extLst>
                <a:ext uri="{63B3BB69-23CF-44E3-9099-C40C66FF867C}">
                  <a14:compatExt spid="_x0000_s2290"/>
                </a:ext>
                <a:ext uri="{FF2B5EF4-FFF2-40B4-BE49-F238E27FC236}">
                  <a16:creationId xmlns:a16="http://schemas.microsoft.com/office/drawing/2014/main" id="{00000000-0008-0000-0000-0000F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947</xdr:row>
          <xdr:rowOff>0</xdr:rowOff>
        </xdr:from>
        <xdr:to>
          <xdr:col>6</xdr:col>
          <xdr:colOff>0</xdr:colOff>
          <xdr:row>948</xdr:row>
          <xdr:rowOff>0</xdr:rowOff>
        </xdr:to>
        <xdr:sp macro="" textlink="">
          <xdr:nvSpPr>
            <xdr:cNvPr id="2291" name="Drop Down 1267" hidden="1">
              <a:extLst>
                <a:ext uri="{63B3BB69-23CF-44E3-9099-C40C66FF867C}">
                  <a14:compatExt spid="_x0000_s2291"/>
                </a:ext>
                <a:ext uri="{FF2B5EF4-FFF2-40B4-BE49-F238E27FC236}">
                  <a16:creationId xmlns:a16="http://schemas.microsoft.com/office/drawing/2014/main" id="{00000000-0008-0000-0000-0000F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948</xdr:row>
          <xdr:rowOff>0</xdr:rowOff>
        </xdr:from>
        <xdr:to>
          <xdr:col>6</xdr:col>
          <xdr:colOff>0</xdr:colOff>
          <xdr:row>949</xdr:row>
          <xdr:rowOff>0</xdr:rowOff>
        </xdr:to>
        <xdr:sp macro="" textlink="">
          <xdr:nvSpPr>
            <xdr:cNvPr id="2292" name="Drop Down 1268" hidden="1">
              <a:extLst>
                <a:ext uri="{63B3BB69-23CF-44E3-9099-C40C66FF867C}">
                  <a14:compatExt spid="_x0000_s2292"/>
                </a:ext>
                <a:ext uri="{FF2B5EF4-FFF2-40B4-BE49-F238E27FC236}">
                  <a16:creationId xmlns:a16="http://schemas.microsoft.com/office/drawing/2014/main" id="{00000000-0008-0000-0000-0000F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947</xdr:row>
          <xdr:rowOff>0</xdr:rowOff>
        </xdr:from>
        <xdr:to>
          <xdr:col>10</xdr:col>
          <xdr:colOff>1821180</xdr:colOff>
          <xdr:row>947</xdr:row>
          <xdr:rowOff>320040</xdr:rowOff>
        </xdr:to>
        <xdr:sp macro="" textlink="">
          <xdr:nvSpPr>
            <xdr:cNvPr id="2295" name="Drop Down 1271" hidden="1">
              <a:extLst>
                <a:ext uri="{63B3BB69-23CF-44E3-9099-C40C66FF867C}">
                  <a14:compatExt spid="_x0000_s2295"/>
                </a:ext>
                <a:ext uri="{FF2B5EF4-FFF2-40B4-BE49-F238E27FC236}">
                  <a16:creationId xmlns:a16="http://schemas.microsoft.com/office/drawing/2014/main" id="{00000000-0008-0000-0000-0000F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948</xdr:row>
          <xdr:rowOff>0</xdr:rowOff>
        </xdr:from>
        <xdr:to>
          <xdr:col>10</xdr:col>
          <xdr:colOff>1821180</xdr:colOff>
          <xdr:row>948</xdr:row>
          <xdr:rowOff>320040</xdr:rowOff>
        </xdr:to>
        <xdr:sp macro="" textlink="">
          <xdr:nvSpPr>
            <xdr:cNvPr id="2296" name="Drop Down 1272" hidden="1">
              <a:extLst>
                <a:ext uri="{63B3BB69-23CF-44E3-9099-C40C66FF867C}">
                  <a14:compatExt spid="_x0000_s2296"/>
                </a:ext>
                <a:ext uri="{FF2B5EF4-FFF2-40B4-BE49-F238E27FC236}">
                  <a16:creationId xmlns:a16="http://schemas.microsoft.com/office/drawing/2014/main" id="{00000000-0008-0000-0000-0000F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946</xdr:row>
          <xdr:rowOff>0</xdr:rowOff>
        </xdr:from>
        <xdr:to>
          <xdr:col>10</xdr:col>
          <xdr:colOff>1821180</xdr:colOff>
          <xdr:row>946</xdr:row>
          <xdr:rowOff>320040</xdr:rowOff>
        </xdr:to>
        <xdr:sp macro="" textlink="">
          <xdr:nvSpPr>
            <xdr:cNvPr id="2299" name="Drop Down 1275" hidden="1">
              <a:extLst>
                <a:ext uri="{63B3BB69-23CF-44E3-9099-C40C66FF867C}">
                  <a14:compatExt spid="_x0000_s2299"/>
                </a:ext>
                <a:ext uri="{FF2B5EF4-FFF2-40B4-BE49-F238E27FC236}">
                  <a16:creationId xmlns:a16="http://schemas.microsoft.com/office/drawing/2014/main" id="{00000000-0008-0000-0000-0000F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946</xdr:row>
          <xdr:rowOff>0</xdr:rowOff>
        </xdr:from>
        <xdr:to>
          <xdr:col>3</xdr:col>
          <xdr:colOff>853440</xdr:colOff>
          <xdr:row>946</xdr:row>
          <xdr:rowOff>320040</xdr:rowOff>
        </xdr:to>
        <xdr:sp macro="" textlink="">
          <xdr:nvSpPr>
            <xdr:cNvPr id="2300" name="Drop Down 1276" hidden="1">
              <a:extLst>
                <a:ext uri="{63B3BB69-23CF-44E3-9099-C40C66FF867C}">
                  <a14:compatExt spid="_x0000_s2300"/>
                </a:ext>
                <a:ext uri="{FF2B5EF4-FFF2-40B4-BE49-F238E27FC236}">
                  <a16:creationId xmlns:a16="http://schemas.microsoft.com/office/drawing/2014/main" id="{00000000-0008-0000-0000-0000F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947</xdr:row>
          <xdr:rowOff>0</xdr:rowOff>
        </xdr:from>
        <xdr:to>
          <xdr:col>3</xdr:col>
          <xdr:colOff>830580</xdr:colOff>
          <xdr:row>948</xdr:row>
          <xdr:rowOff>15240</xdr:rowOff>
        </xdr:to>
        <xdr:sp macro="" textlink="">
          <xdr:nvSpPr>
            <xdr:cNvPr id="2301" name="Drop Down 1277" hidden="1">
              <a:extLst>
                <a:ext uri="{63B3BB69-23CF-44E3-9099-C40C66FF867C}">
                  <a14:compatExt spid="_x0000_s2301"/>
                </a:ext>
                <a:ext uri="{FF2B5EF4-FFF2-40B4-BE49-F238E27FC236}">
                  <a16:creationId xmlns:a16="http://schemas.microsoft.com/office/drawing/2014/main" id="{00000000-0008-0000-0000-0000F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948</xdr:row>
          <xdr:rowOff>0</xdr:rowOff>
        </xdr:from>
        <xdr:to>
          <xdr:col>4</xdr:col>
          <xdr:colOff>15240</xdr:colOff>
          <xdr:row>949</xdr:row>
          <xdr:rowOff>15240</xdr:rowOff>
        </xdr:to>
        <xdr:sp macro="" textlink="">
          <xdr:nvSpPr>
            <xdr:cNvPr id="2302" name="Drop Down 1278" hidden="1">
              <a:extLst>
                <a:ext uri="{63B3BB69-23CF-44E3-9099-C40C66FF867C}">
                  <a14:compatExt spid="_x0000_s2302"/>
                </a:ext>
                <a:ext uri="{FF2B5EF4-FFF2-40B4-BE49-F238E27FC236}">
                  <a16:creationId xmlns:a16="http://schemas.microsoft.com/office/drawing/2014/main" id="{00000000-0008-0000-0000-0000F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1046</xdr:row>
          <xdr:rowOff>0</xdr:rowOff>
        </xdr:from>
        <xdr:to>
          <xdr:col>6</xdr:col>
          <xdr:colOff>0</xdr:colOff>
          <xdr:row>1047</xdr:row>
          <xdr:rowOff>15240</xdr:rowOff>
        </xdr:to>
        <xdr:sp macro="" textlink="">
          <xdr:nvSpPr>
            <xdr:cNvPr id="2326" name="Drop Down 1302" hidden="1">
              <a:extLst>
                <a:ext uri="{63B3BB69-23CF-44E3-9099-C40C66FF867C}">
                  <a14:compatExt spid="_x0000_s2326"/>
                </a:ext>
                <a:ext uri="{FF2B5EF4-FFF2-40B4-BE49-F238E27FC236}">
                  <a16:creationId xmlns:a16="http://schemas.microsoft.com/office/drawing/2014/main" id="{00000000-0008-0000-0000-00001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1047</xdr:row>
          <xdr:rowOff>0</xdr:rowOff>
        </xdr:from>
        <xdr:to>
          <xdr:col>5</xdr:col>
          <xdr:colOff>815340</xdr:colOff>
          <xdr:row>1048</xdr:row>
          <xdr:rowOff>15240</xdr:rowOff>
        </xdr:to>
        <xdr:sp macro="" textlink="">
          <xdr:nvSpPr>
            <xdr:cNvPr id="2327" name="Drop Down 1303" hidden="1">
              <a:extLst>
                <a:ext uri="{63B3BB69-23CF-44E3-9099-C40C66FF867C}">
                  <a14:compatExt spid="_x0000_s2327"/>
                </a:ext>
                <a:ext uri="{FF2B5EF4-FFF2-40B4-BE49-F238E27FC236}">
                  <a16:creationId xmlns:a16="http://schemas.microsoft.com/office/drawing/2014/main" id="{00000000-0008-0000-0000-00001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1048</xdr:row>
          <xdr:rowOff>0</xdr:rowOff>
        </xdr:from>
        <xdr:to>
          <xdr:col>6</xdr:col>
          <xdr:colOff>0</xdr:colOff>
          <xdr:row>1048</xdr:row>
          <xdr:rowOff>320040</xdr:rowOff>
        </xdr:to>
        <xdr:sp macro="" textlink="">
          <xdr:nvSpPr>
            <xdr:cNvPr id="2328" name="Drop Down 1304" hidden="1">
              <a:extLst>
                <a:ext uri="{63B3BB69-23CF-44E3-9099-C40C66FF867C}">
                  <a14:compatExt spid="_x0000_s2328"/>
                </a:ext>
                <a:ext uri="{FF2B5EF4-FFF2-40B4-BE49-F238E27FC236}">
                  <a16:creationId xmlns:a16="http://schemas.microsoft.com/office/drawing/2014/main" id="{00000000-0008-0000-0000-00001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1047</xdr:row>
          <xdr:rowOff>0</xdr:rowOff>
        </xdr:from>
        <xdr:to>
          <xdr:col>10</xdr:col>
          <xdr:colOff>1821180</xdr:colOff>
          <xdr:row>1047</xdr:row>
          <xdr:rowOff>320040</xdr:rowOff>
        </xdr:to>
        <xdr:sp macro="" textlink="">
          <xdr:nvSpPr>
            <xdr:cNvPr id="2331" name="Drop Down 1307" hidden="1">
              <a:extLst>
                <a:ext uri="{63B3BB69-23CF-44E3-9099-C40C66FF867C}">
                  <a14:compatExt spid="_x0000_s2331"/>
                </a:ext>
                <a:ext uri="{FF2B5EF4-FFF2-40B4-BE49-F238E27FC236}">
                  <a16:creationId xmlns:a16="http://schemas.microsoft.com/office/drawing/2014/main" id="{00000000-0008-0000-0000-00001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1048</xdr:row>
          <xdr:rowOff>0</xdr:rowOff>
        </xdr:from>
        <xdr:to>
          <xdr:col>10</xdr:col>
          <xdr:colOff>1821180</xdr:colOff>
          <xdr:row>1048</xdr:row>
          <xdr:rowOff>320040</xdr:rowOff>
        </xdr:to>
        <xdr:sp macro="" textlink="">
          <xdr:nvSpPr>
            <xdr:cNvPr id="2332" name="Drop Down 1308" hidden="1">
              <a:extLst>
                <a:ext uri="{63B3BB69-23CF-44E3-9099-C40C66FF867C}">
                  <a14:compatExt spid="_x0000_s2332"/>
                </a:ext>
                <a:ext uri="{FF2B5EF4-FFF2-40B4-BE49-F238E27FC236}">
                  <a16:creationId xmlns:a16="http://schemas.microsoft.com/office/drawing/2014/main" id="{00000000-0008-0000-0000-00001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1046</xdr:row>
          <xdr:rowOff>0</xdr:rowOff>
        </xdr:from>
        <xdr:to>
          <xdr:col>10</xdr:col>
          <xdr:colOff>1821180</xdr:colOff>
          <xdr:row>1046</xdr:row>
          <xdr:rowOff>320040</xdr:rowOff>
        </xdr:to>
        <xdr:sp macro="" textlink="">
          <xdr:nvSpPr>
            <xdr:cNvPr id="2335" name="Drop Down 1311" hidden="1">
              <a:extLst>
                <a:ext uri="{63B3BB69-23CF-44E3-9099-C40C66FF867C}">
                  <a14:compatExt spid="_x0000_s2335"/>
                </a:ext>
                <a:ext uri="{FF2B5EF4-FFF2-40B4-BE49-F238E27FC236}">
                  <a16:creationId xmlns:a16="http://schemas.microsoft.com/office/drawing/2014/main" id="{00000000-0008-0000-0000-00001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1046</xdr:row>
          <xdr:rowOff>0</xdr:rowOff>
        </xdr:from>
        <xdr:to>
          <xdr:col>4</xdr:col>
          <xdr:colOff>0</xdr:colOff>
          <xdr:row>1047</xdr:row>
          <xdr:rowOff>15240</xdr:rowOff>
        </xdr:to>
        <xdr:sp macro="" textlink="">
          <xdr:nvSpPr>
            <xdr:cNvPr id="2336" name="Drop Down 1312" hidden="1">
              <a:extLst>
                <a:ext uri="{63B3BB69-23CF-44E3-9099-C40C66FF867C}">
                  <a14:compatExt spid="_x0000_s2336"/>
                </a:ext>
                <a:ext uri="{FF2B5EF4-FFF2-40B4-BE49-F238E27FC236}">
                  <a16:creationId xmlns:a16="http://schemas.microsoft.com/office/drawing/2014/main" id="{00000000-0008-0000-0000-00002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1047</xdr:row>
          <xdr:rowOff>0</xdr:rowOff>
        </xdr:from>
        <xdr:to>
          <xdr:col>4</xdr:col>
          <xdr:colOff>0</xdr:colOff>
          <xdr:row>1048</xdr:row>
          <xdr:rowOff>30480</xdr:rowOff>
        </xdr:to>
        <xdr:sp macro="" textlink="">
          <xdr:nvSpPr>
            <xdr:cNvPr id="2337" name="Drop Down 1313" hidden="1">
              <a:extLst>
                <a:ext uri="{63B3BB69-23CF-44E3-9099-C40C66FF867C}">
                  <a14:compatExt spid="_x0000_s2337"/>
                </a:ext>
                <a:ext uri="{FF2B5EF4-FFF2-40B4-BE49-F238E27FC236}">
                  <a16:creationId xmlns:a16="http://schemas.microsoft.com/office/drawing/2014/main" id="{00000000-0008-0000-0000-00002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1048</xdr:row>
          <xdr:rowOff>0</xdr:rowOff>
        </xdr:from>
        <xdr:to>
          <xdr:col>4</xdr:col>
          <xdr:colOff>0</xdr:colOff>
          <xdr:row>1049</xdr:row>
          <xdr:rowOff>30480</xdr:rowOff>
        </xdr:to>
        <xdr:sp macro="" textlink="">
          <xdr:nvSpPr>
            <xdr:cNvPr id="2338" name="Drop Down 1314" hidden="1">
              <a:extLst>
                <a:ext uri="{63B3BB69-23CF-44E3-9099-C40C66FF867C}">
                  <a14:compatExt spid="_x0000_s2338"/>
                </a:ext>
                <a:ext uri="{FF2B5EF4-FFF2-40B4-BE49-F238E27FC236}">
                  <a16:creationId xmlns:a16="http://schemas.microsoft.com/office/drawing/2014/main" id="{00000000-0008-0000-0000-00002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1146</xdr:row>
          <xdr:rowOff>0</xdr:rowOff>
        </xdr:from>
        <xdr:to>
          <xdr:col>5</xdr:col>
          <xdr:colOff>800100</xdr:colOff>
          <xdr:row>1146</xdr:row>
          <xdr:rowOff>304800</xdr:rowOff>
        </xdr:to>
        <xdr:sp macro="" textlink="">
          <xdr:nvSpPr>
            <xdr:cNvPr id="2362" name="Drop Down 1338" hidden="1">
              <a:extLst>
                <a:ext uri="{63B3BB69-23CF-44E3-9099-C40C66FF867C}">
                  <a14:compatExt spid="_x0000_s2362"/>
                </a:ext>
                <a:ext uri="{FF2B5EF4-FFF2-40B4-BE49-F238E27FC236}">
                  <a16:creationId xmlns:a16="http://schemas.microsoft.com/office/drawing/2014/main" id="{00000000-0008-0000-0000-00003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1147</xdr:row>
          <xdr:rowOff>0</xdr:rowOff>
        </xdr:from>
        <xdr:to>
          <xdr:col>5</xdr:col>
          <xdr:colOff>800100</xdr:colOff>
          <xdr:row>1147</xdr:row>
          <xdr:rowOff>320040</xdr:rowOff>
        </xdr:to>
        <xdr:sp macro="" textlink="">
          <xdr:nvSpPr>
            <xdr:cNvPr id="2363" name="Drop Down 1339" hidden="1">
              <a:extLst>
                <a:ext uri="{63B3BB69-23CF-44E3-9099-C40C66FF867C}">
                  <a14:compatExt spid="_x0000_s2363"/>
                </a:ext>
                <a:ext uri="{FF2B5EF4-FFF2-40B4-BE49-F238E27FC236}">
                  <a16:creationId xmlns:a16="http://schemas.microsoft.com/office/drawing/2014/main" id="{00000000-0008-0000-0000-00003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1148</xdr:row>
          <xdr:rowOff>0</xdr:rowOff>
        </xdr:from>
        <xdr:to>
          <xdr:col>5</xdr:col>
          <xdr:colOff>815340</xdr:colOff>
          <xdr:row>1148</xdr:row>
          <xdr:rowOff>320040</xdr:rowOff>
        </xdr:to>
        <xdr:sp macro="" textlink="">
          <xdr:nvSpPr>
            <xdr:cNvPr id="2364" name="Drop Down 1340" hidden="1">
              <a:extLst>
                <a:ext uri="{63B3BB69-23CF-44E3-9099-C40C66FF867C}">
                  <a14:compatExt spid="_x0000_s2364"/>
                </a:ext>
                <a:ext uri="{FF2B5EF4-FFF2-40B4-BE49-F238E27FC236}">
                  <a16:creationId xmlns:a16="http://schemas.microsoft.com/office/drawing/2014/main" id="{00000000-0008-0000-0000-00003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1147</xdr:row>
          <xdr:rowOff>0</xdr:rowOff>
        </xdr:from>
        <xdr:to>
          <xdr:col>10</xdr:col>
          <xdr:colOff>1821180</xdr:colOff>
          <xdr:row>1147</xdr:row>
          <xdr:rowOff>320040</xdr:rowOff>
        </xdr:to>
        <xdr:sp macro="" textlink="">
          <xdr:nvSpPr>
            <xdr:cNvPr id="2367" name="Drop Down 1343" hidden="1">
              <a:extLst>
                <a:ext uri="{63B3BB69-23CF-44E3-9099-C40C66FF867C}">
                  <a14:compatExt spid="_x0000_s2367"/>
                </a:ext>
                <a:ext uri="{FF2B5EF4-FFF2-40B4-BE49-F238E27FC236}">
                  <a16:creationId xmlns:a16="http://schemas.microsoft.com/office/drawing/2014/main" id="{00000000-0008-0000-0000-00003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1148</xdr:row>
          <xdr:rowOff>0</xdr:rowOff>
        </xdr:from>
        <xdr:to>
          <xdr:col>10</xdr:col>
          <xdr:colOff>1821180</xdr:colOff>
          <xdr:row>1148</xdr:row>
          <xdr:rowOff>320040</xdr:rowOff>
        </xdr:to>
        <xdr:sp macro="" textlink="">
          <xdr:nvSpPr>
            <xdr:cNvPr id="2368" name="Drop Down 1344" hidden="1">
              <a:extLst>
                <a:ext uri="{63B3BB69-23CF-44E3-9099-C40C66FF867C}">
                  <a14:compatExt spid="_x0000_s2368"/>
                </a:ext>
                <a:ext uri="{FF2B5EF4-FFF2-40B4-BE49-F238E27FC236}">
                  <a16:creationId xmlns:a16="http://schemas.microsoft.com/office/drawing/2014/main" id="{00000000-0008-0000-0000-00004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1146</xdr:row>
          <xdr:rowOff>0</xdr:rowOff>
        </xdr:from>
        <xdr:to>
          <xdr:col>10</xdr:col>
          <xdr:colOff>1821180</xdr:colOff>
          <xdr:row>1146</xdr:row>
          <xdr:rowOff>320040</xdr:rowOff>
        </xdr:to>
        <xdr:sp macro="" textlink="">
          <xdr:nvSpPr>
            <xdr:cNvPr id="2371" name="Drop Down 1347" hidden="1">
              <a:extLst>
                <a:ext uri="{63B3BB69-23CF-44E3-9099-C40C66FF867C}">
                  <a14:compatExt spid="_x0000_s2371"/>
                </a:ext>
                <a:ext uri="{FF2B5EF4-FFF2-40B4-BE49-F238E27FC236}">
                  <a16:creationId xmlns:a16="http://schemas.microsoft.com/office/drawing/2014/main" id="{00000000-0008-0000-0000-00004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1146</xdr:row>
          <xdr:rowOff>0</xdr:rowOff>
        </xdr:from>
        <xdr:to>
          <xdr:col>4</xdr:col>
          <xdr:colOff>0</xdr:colOff>
          <xdr:row>1146</xdr:row>
          <xdr:rowOff>320040</xdr:rowOff>
        </xdr:to>
        <xdr:sp macro="" textlink="">
          <xdr:nvSpPr>
            <xdr:cNvPr id="2372" name="Drop Down 1348" hidden="1">
              <a:extLst>
                <a:ext uri="{63B3BB69-23CF-44E3-9099-C40C66FF867C}">
                  <a14:compatExt spid="_x0000_s2372"/>
                </a:ext>
                <a:ext uri="{FF2B5EF4-FFF2-40B4-BE49-F238E27FC236}">
                  <a16:creationId xmlns:a16="http://schemas.microsoft.com/office/drawing/2014/main" id="{00000000-0008-0000-0000-00004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1147</xdr:row>
          <xdr:rowOff>0</xdr:rowOff>
        </xdr:from>
        <xdr:to>
          <xdr:col>4</xdr:col>
          <xdr:colOff>0</xdr:colOff>
          <xdr:row>1147</xdr:row>
          <xdr:rowOff>320040</xdr:rowOff>
        </xdr:to>
        <xdr:sp macro="" textlink="">
          <xdr:nvSpPr>
            <xdr:cNvPr id="2373" name="Drop Down 1349" hidden="1">
              <a:extLst>
                <a:ext uri="{63B3BB69-23CF-44E3-9099-C40C66FF867C}">
                  <a14:compatExt spid="_x0000_s2373"/>
                </a:ext>
                <a:ext uri="{FF2B5EF4-FFF2-40B4-BE49-F238E27FC236}">
                  <a16:creationId xmlns:a16="http://schemas.microsoft.com/office/drawing/2014/main" id="{00000000-0008-0000-0000-00004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1148</xdr:row>
          <xdr:rowOff>0</xdr:rowOff>
        </xdr:from>
        <xdr:to>
          <xdr:col>3</xdr:col>
          <xdr:colOff>853440</xdr:colOff>
          <xdr:row>1148</xdr:row>
          <xdr:rowOff>320040</xdr:rowOff>
        </xdr:to>
        <xdr:sp macro="" textlink="">
          <xdr:nvSpPr>
            <xdr:cNvPr id="2374" name="Drop Down 1350" hidden="1">
              <a:extLst>
                <a:ext uri="{63B3BB69-23CF-44E3-9099-C40C66FF867C}">
                  <a14:compatExt spid="_x0000_s2374"/>
                </a:ext>
                <a:ext uri="{FF2B5EF4-FFF2-40B4-BE49-F238E27FC236}">
                  <a16:creationId xmlns:a16="http://schemas.microsoft.com/office/drawing/2014/main" id="{00000000-0008-0000-0000-00004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1246</xdr:row>
          <xdr:rowOff>0</xdr:rowOff>
        </xdr:from>
        <xdr:to>
          <xdr:col>5</xdr:col>
          <xdr:colOff>815340</xdr:colOff>
          <xdr:row>1246</xdr:row>
          <xdr:rowOff>320040</xdr:rowOff>
        </xdr:to>
        <xdr:sp macro="" textlink="">
          <xdr:nvSpPr>
            <xdr:cNvPr id="2398" name="Drop Down 1374" hidden="1">
              <a:extLst>
                <a:ext uri="{63B3BB69-23CF-44E3-9099-C40C66FF867C}">
                  <a14:compatExt spid="_x0000_s2398"/>
                </a:ext>
                <a:ext uri="{FF2B5EF4-FFF2-40B4-BE49-F238E27FC236}">
                  <a16:creationId xmlns:a16="http://schemas.microsoft.com/office/drawing/2014/main" id="{00000000-0008-0000-0000-00005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1247</xdr:row>
          <xdr:rowOff>0</xdr:rowOff>
        </xdr:from>
        <xdr:to>
          <xdr:col>5</xdr:col>
          <xdr:colOff>815340</xdr:colOff>
          <xdr:row>1248</xdr:row>
          <xdr:rowOff>0</xdr:rowOff>
        </xdr:to>
        <xdr:sp macro="" textlink="">
          <xdr:nvSpPr>
            <xdr:cNvPr id="2399" name="Drop Down 1375" hidden="1">
              <a:extLst>
                <a:ext uri="{63B3BB69-23CF-44E3-9099-C40C66FF867C}">
                  <a14:compatExt spid="_x0000_s2399"/>
                </a:ext>
                <a:ext uri="{FF2B5EF4-FFF2-40B4-BE49-F238E27FC236}">
                  <a16:creationId xmlns:a16="http://schemas.microsoft.com/office/drawing/2014/main" id="{00000000-0008-0000-0000-00005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1248</xdr:row>
          <xdr:rowOff>0</xdr:rowOff>
        </xdr:from>
        <xdr:to>
          <xdr:col>5</xdr:col>
          <xdr:colOff>815340</xdr:colOff>
          <xdr:row>1248</xdr:row>
          <xdr:rowOff>320040</xdr:rowOff>
        </xdr:to>
        <xdr:sp macro="" textlink="">
          <xdr:nvSpPr>
            <xdr:cNvPr id="2400" name="Drop Down 1376" hidden="1">
              <a:extLst>
                <a:ext uri="{63B3BB69-23CF-44E3-9099-C40C66FF867C}">
                  <a14:compatExt spid="_x0000_s2400"/>
                </a:ext>
                <a:ext uri="{FF2B5EF4-FFF2-40B4-BE49-F238E27FC236}">
                  <a16:creationId xmlns:a16="http://schemas.microsoft.com/office/drawing/2014/main" id="{00000000-0008-0000-0000-00006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1247</xdr:row>
          <xdr:rowOff>0</xdr:rowOff>
        </xdr:from>
        <xdr:to>
          <xdr:col>10</xdr:col>
          <xdr:colOff>1821180</xdr:colOff>
          <xdr:row>1247</xdr:row>
          <xdr:rowOff>320040</xdr:rowOff>
        </xdr:to>
        <xdr:sp macro="" textlink="">
          <xdr:nvSpPr>
            <xdr:cNvPr id="2403" name="Drop Down 1379" hidden="1">
              <a:extLst>
                <a:ext uri="{63B3BB69-23CF-44E3-9099-C40C66FF867C}">
                  <a14:compatExt spid="_x0000_s2403"/>
                </a:ext>
                <a:ext uri="{FF2B5EF4-FFF2-40B4-BE49-F238E27FC236}">
                  <a16:creationId xmlns:a16="http://schemas.microsoft.com/office/drawing/2014/main" id="{00000000-0008-0000-0000-00006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1248</xdr:row>
          <xdr:rowOff>0</xdr:rowOff>
        </xdr:from>
        <xdr:to>
          <xdr:col>10</xdr:col>
          <xdr:colOff>1821180</xdr:colOff>
          <xdr:row>1248</xdr:row>
          <xdr:rowOff>320040</xdr:rowOff>
        </xdr:to>
        <xdr:sp macro="" textlink="">
          <xdr:nvSpPr>
            <xdr:cNvPr id="2404" name="Drop Down 1380" hidden="1">
              <a:extLst>
                <a:ext uri="{63B3BB69-23CF-44E3-9099-C40C66FF867C}">
                  <a14:compatExt spid="_x0000_s2404"/>
                </a:ext>
                <a:ext uri="{FF2B5EF4-FFF2-40B4-BE49-F238E27FC236}">
                  <a16:creationId xmlns:a16="http://schemas.microsoft.com/office/drawing/2014/main" id="{00000000-0008-0000-0000-00006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1246</xdr:row>
          <xdr:rowOff>0</xdr:rowOff>
        </xdr:from>
        <xdr:to>
          <xdr:col>10</xdr:col>
          <xdr:colOff>1821180</xdr:colOff>
          <xdr:row>1246</xdr:row>
          <xdr:rowOff>320040</xdr:rowOff>
        </xdr:to>
        <xdr:sp macro="" textlink="">
          <xdr:nvSpPr>
            <xdr:cNvPr id="2407" name="Drop Down 1383" hidden="1">
              <a:extLst>
                <a:ext uri="{63B3BB69-23CF-44E3-9099-C40C66FF867C}">
                  <a14:compatExt spid="_x0000_s2407"/>
                </a:ext>
                <a:ext uri="{FF2B5EF4-FFF2-40B4-BE49-F238E27FC236}">
                  <a16:creationId xmlns:a16="http://schemas.microsoft.com/office/drawing/2014/main" id="{00000000-0008-0000-0000-00006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1246</xdr:row>
          <xdr:rowOff>0</xdr:rowOff>
        </xdr:from>
        <xdr:to>
          <xdr:col>3</xdr:col>
          <xdr:colOff>853440</xdr:colOff>
          <xdr:row>1247</xdr:row>
          <xdr:rowOff>0</xdr:rowOff>
        </xdr:to>
        <xdr:sp macro="" textlink="">
          <xdr:nvSpPr>
            <xdr:cNvPr id="2408" name="Drop Down 1384" hidden="1">
              <a:extLst>
                <a:ext uri="{63B3BB69-23CF-44E3-9099-C40C66FF867C}">
                  <a14:compatExt spid="_x0000_s2408"/>
                </a:ext>
                <a:ext uri="{FF2B5EF4-FFF2-40B4-BE49-F238E27FC236}">
                  <a16:creationId xmlns:a16="http://schemas.microsoft.com/office/drawing/2014/main" id="{00000000-0008-0000-0000-00006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1247</xdr:row>
          <xdr:rowOff>0</xdr:rowOff>
        </xdr:from>
        <xdr:to>
          <xdr:col>4</xdr:col>
          <xdr:colOff>0</xdr:colOff>
          <xdr:row>1248</xdr:row>
          <xdr:rowOff>0</xdr:rowOff>
        </xdr:to>
        <xdr:sp macro="" textlink="">
          <xdr:nvSpPr>
            <xdr:cNvPr id="2409" name="Drop Down 1385" hidden="1">
              <a:extLst>
                <a:ext uri="{63B3BB69-23CF-44E3-9099-C40C66FF867C}">
                  <a14:compatExt spid="_x0000_s2409"/>
                </a:ext>
                <a:ext uri="{FF2B5EF4-FFF2-40B4-BE49-F238E27FC236}">
                  <a16:creationId xmlns:a16="http://schemas.microsoft.com/office/drawing/2014/main" id="{00000000-0008-0000-0000-00006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1248</xdr:row>
          <xdr:rowOff>0</xdr:rowOff>
        </xdr:from>
        <xdr:to>
          <xdr:col>3</xdr:col>
          <xdr:colOff>853440</xdr:colOff>
          <xdr:row>1248</xdr:row>
          <xdr:rowOff>320040</xdr:rowOff>
        </xdr:to>
        <xdr:sp macro="" textlink="">
          <xdr:nvSpPr>
            <xdr:cNvPr id="2410" name="Drop Down 1386" hidden="1">
              <a:extLst>
                <a:ext uri="{63B3BB69-23CF-44E3-9099-C40C66FF867C}">
                  <a14:compatExt spid="_x0000_s2410"/>
                </a:ext>
                <a:ext uri="{FF2B5EF4-FFF2-40B4-BE49-F238E27FC236}">
                  <a16:creationId xmlns:a16="http://schemas.microsoft.com/office/drawing/2014/main" id="{00000000-0008-0000-0000-00006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1346</xdr:row>
          <xdr:rowOff>0</xdr:rowOff>
        </xdr:from>
        <xdr:to>
          <xdr:col>5</xdr:col>
          <xdr:colOff>815340</xdr:colOff>
          <xdr:row>1347</xdr:row>
          <xdr:rowOff>0</xdr:rowOff>
        </xdr:to>
        <xdr:sp macro="" textlink="">
          <xdr:nvSpPr>
            <xdr:cNvPr id="2434" name="Drop Down 1410" hidden="1">
              <a:extLst>
                <a:ext uri="{63B3BB69-23CF-44E3-9099-C40C66FF867C}">
                  <a14:compatExt spid="_x0000_s2434"/>
                </a:ext>
                <a:ext uri="{FF2B5EF4-FFF2-40B4-BE49-F238E27FC236}">
                  <a16:creationId xmlns:a16="http://schemas.microsoft.com/office/drawing/2014/main" id="{00000000-0008-0000-0000-00008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1347</xdr:row>
          <xdr:rowOff>0</xdr:rowOff>
        </xdr:from>
        <xdr:to>
          <xdr:col>5</xdr:col>
          <xdr:colOff>815340</xdr:colOff>
          <xdr:row>1348</xdr:row>
          <xdr:rowOff>0</xdr:rowOff>
        </xdr:to>
        <xdr:sp macro="" textlink="">
          <xdr:nvSpPr>
            <xdr:cNvPr id="2435" name="Drop Down 1411" hidden="1">
              <a:extLst>
                <a:ext uri="{63B3BB69-23CF-44E3-9099-C40C66FF867C}">
                  <a14:compatExt spid="_x0000_s2435"/>
                </a:ext>
                <a:ext uri="{FF2B5EF4-FFF2-40B4-BE49-F238E27FC236}">
                  <a16:creationId xmlns:a16="http://schemas.microsoft.com/office/drawing/2014/main" id="{00000000-0008-0000-0000-00008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1348</xdr:row>
          <xdr:rowOff>0</xdr:rowOff>
        </xdr:from>
        <xdr:to>
          <xdr:col>5</xdr:col>
          <xdr:colOff>815340</xdr:colOff>
          <xdr:row>1349</xdr:row>
          <xdr:rowOff>30480</xdr:rowOff>
        </xdr:to>
        <xdr:sp macro="" textlink="">
          <xdr:nvSpPr>
            <xdr:cNvPr id="2436" name="Drop Down 1412" hidden="1">
              <a:extLst>
                <a:ext uri="{63B3BB69-23CF-44E3-9099-C40C66FF867C}">
                  <a14:compatExt spid="_x0000_s2436"/>
                </a:ext>
                <a:ext uri="{FF2B5EF4-FFF2-40B4-BE49-F238E27FC236}">
                  <a16:creationId xmlns:a16="http://schemas.microsoft.com/office/drawing/2014/main" id="{00000000-0008-0000-0000-00008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1347</xdr:row>
          <xdr:rowOff>0</xdr:rowOff>
        </xdr:from>
        <xdr:to>
          <xdr:col>10</xdr:col>
          <xdr:colOff>1821180</xdr:colOff>
          <xdr:row>1347</xdr:row>
          <xdr:rowOff>320040</xdr:rowOff>
        </xdr:to>
        <xdr:sp macro="" textlink="">
          <xdr:nvSpPr>
            <xdr:cNvPr id="2439" name="Drop Down 1415" hidden="1">
              <a:extLst>
                <a:ext uri="{63B3BB69-23CF-44E3-9099-C40C66FF867C}">
                  <a14:compatExt spid="_x0000_s2439"/>
                </a:ext>
                <a:ext uri="{FF2B5EF4-FFF2-40B4-BE49-F238E27FC236}">
                  <a16:creationId xmlns:a16="http://schemas.microsoft.com/office/drawing/2014/main" id="{00000000-0008-0000-0000-00008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1348</xdr:row>
          <xdr:rowOff>0</xdr:rowOff>
        </xdr:from>
        <xdr:to>
          <xdr:col>10</xdr:col>
          <xdr:colOff>1821180</xdr:colOff>
          <xdr:row>1348</xdr:row>
          <xdr:rowOff>320040</xdr:rowOff>
        </xdr:to>
        <xdr:sp macro="" textlink="">
          <xdr:nvSpPr>
            <xdr:cNvPr id="2440" name="Drop Down 1416" hidden="1">
              <a:extLst>
                <a:ext uri="{63B3BB69-23CF-44E3-9099-C40C66FF867C}">
                  <a14:compatExt spid="_x0000_s2440"/>
                </a:ext>
                <a:ext uri="{FF2B5EF4-FFF2-40B4-BE49-F238E27FC236}">
                  <a16:creationId xmlns:a16="http://schemas.microsoft.com/office/drawing/2014/main" id="{00000000-0008-0000-0000-00008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1346</xdr:row>
          <xdr:rowOff>0</xdr:rowOff>
        </xdr:from>
        <xdr:to>
          <xdr:col>10</xdr:col>
          <xdr:colOff>1821180</xdr:colOff>
          <xdr:row>1346</xdr:row>
          <xdr:rowOff>320040</xdr:rowOff>
        </xdr:to>
        <xdr:sp macro="" textlink="">
          <xdr:nvSpPr>
            <xdr:cNvPr id="2443" name="Drop Down 1419" hidden="1">
              <a:extLst>
                <a:ext uri="{63B3BB69-23CF-44E3-9099-C40C66FF867C}">
                  <a14:compatExt spid="_x0000_s2443"/>
                </a:ext>
                <a:ext uri="{FF2B5EF4-FFF2-40B4-BE49-F238E27FC236}">
                  <a16:creationId xmlns:a16="http://schemas.microsoft.com/office/drawing/2014/main" id="{00000000-0008-0000-0000-00008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1346</xdr:row>
          <xdr:rowOff>0</xdr:rowOff>
        </xdr:from>
        <xdr:to>
          <xdr:col>4</xdr:col>
          <xdr:colOff>0</xdr:colOff>
          <xdr:row>1346</xdr:row>
          <xdr:rowOff>320040</xdr:rowOff>
        </xdr:to>
        <xdr:sp macro="" textlink="">
          <xdr:nvSpPr>
            <xdr:cNvPr id="2444" name="Drop Down 1420" hidden="1">
              <a:extLst>
                <a:ext uri="{63B3BB69-23CF-44E3-9099-C40C66FF867C}">
                  <a14:compatExt spid="_x0000_s2444"/>
                </a:ext>
                <a:ext uri="{FF2B5EF4-FFF2-40B4-BE49-F238E27FC236}">
                  <a16:creationId xmlns:a16="http://schemas.microsoft.com/office/drawing/2014/main" id="{00000000-0008-0000-0000-00008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1347</xdr:row>
          <xdr:rowOff>0</xdr:rowOff>
        </xdr:from>
        <xdr:to>
          <xdr:col>4</xdr:col>
          <xdr:colOff>0</xdr:colOff>
          <xdr:row>1348</xdr:row>
          <xdr:rowOff>15240</xdr:rowOff>
        </xdr:to>
        <xdr:sp macro="" textlink="">
          <xdr:nvSpPr>
            <xdr:cNvPr id="2445" name="Drop Down 1421" hidden="1">
              <a:extLst>
                <a:ext uri="{63B3BB69-23CF-44E3-9099-C40C66FF867C}">
                  <a14:compatExt spid="_x0000_s2445"/>
                </a:ext>
                <a:ext uri="{FF2B5EF4-FFF2-40B4-BE49-F238E27FC236}">
                  <a16:creationId xmlns:a16="http://schemas.microsoft.com/office/drawing/2014/main" id="{00000000-0008-0000-0000-00008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1348</xdr:row>
          <xdr:rowOff>0</xdr:rowOff>
        </xdr:from>
        <xdr:to>
          <xdr:col>3</xdr:col>
          <xdr:colOff>853440</xdr:colOff>
          <xdr:row>1349</xdr:row>
          <xdr:rowOff>0</xdr:rowOff>
        </xdr:to>
        <xdr:sp macro="" textlink="">
          <xdr:nvSpPr>
            <xdr:cNvPr id="2446" name="Drop Down 1422" hidden="1">
              <a:extLst>
                <a:ext uri="{63B3BB69-23CF-44E3-9099-C40C66FF867C}">
                  <a14:compatExt spid="_x0000_s2446"/>
                </a:ext>
                <a:ext uri="{FF2B5EF4-FFF2-40B4-BE49-F238E27FC236}">
                  <a16:creationId xmlns:a16="http://schemas.microsoft.com/office/drawing/2014/main" id="{00000000-0008-0000-0000-00008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1446</xdr:row>
          <xdr:rowOff>0</xdr:rowOff>
        </xdr:from>
        <xdr:to>
          <xdr:col>6</xdr:col>
          <xdr:colOff>0</xdr:colOff>
          <xdr:row>1447</xdr:row>
          <xdr:rowOff>0</xdr:rowOff>
        </xdr:to>
        <xdr:sp macro="" textlink="">
          <xdr:nvSpPr>
            <xdr:cNvPr id="2470" name="Drop Down 1446" hidden="1">
              <a:extLst>
                <a:ext uri="{63B3BB69-23CF-44E3-9099-C40C66FF867C}">
                  <a14:compatExt spid="_x0000_s2470"/>
                </a:ext>
                <a:ext uri="{FF2B5EF4-FFF2-40B4-BE49-F238E27FC236}">
                  <a16:creationId xmlns:a16="http://schemas.microsoft.com/office/drawing/2014/main" id="{00000000-0008-0000-0000-0000A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1447</xdr:row>
          <xdr:rowOff>0</xdr:rowOff>
        </xdr:from>
        <xdr:to>
          <xdr:col>6</xdr:col>
          <xdr:colOff>0</xdr:colOff>
          <xdr:row>1448</xdr:row>
          <xdr:rowOff>0</xdr:rowOff>
        </xdr:to>
        <xdr:sp macro="" textlink="">
          <xdr:nvSpPr>
            <xdr:cNvPr id="2471" name="Drop Down 1447" hidden="1">
              <a:extLst>
                <a:ext uri="{63B3BB69-23CF-44E3-9099-C40C66FF867C}">
                  <a14:compatExt spid="_x0000_s2471"/>
                </a:ext>
                <a:ext uri="{FF2B5EF4-FFF2-40B4-BE49-F238E27FC236}">
                  <a16:creationId xmlns:a16="http://schemas.microsoft.com/office/drawing/2014/main" id="{00000000-0008-0000-0000-0000A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1448</xdr:row>
          <xdr:rowOff>0</xdr:rowOff>
        </xdr:from>
        <xdr:to>
          <xdr:col>6</xdr:col>
          <xdr:colOff>0</xdr:colOff>
          <xdr:row>1449</xdr:row>
          <xdr:rowOff>0</xdr:rowOff>
        </xdr:to>
        <xdr:sp macro="" textlink="">
          <xdr:nvSpPr>
            <xdr:cNvPr id="2472" name="Drop Down 1448" hidden="1">
              <a:extLst>
                <a:ext uri="{63B3BB69-23CF-44E3-9099-C40C66FF867C}">
                  <a14:compatExt spid="_x0000_s2472"/>
                </a:ext>
                <a:ext uri="{FF2B5EF4-FFF2-40B4-BE49-F238E27FC236}">
                  <a16:creationId xmlns:a16="http://schemas.microsoft.com/office/drawing/2014/main" id="{00000000-0008-0000-0000-0000A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1447</xdr:row>
          <xdr:rowOff>0</xdr:rowOff>
        </xdr:from>
        <xdr:to>
          <xdr:col>10</xdr:col>
          <xdr:colOff>1821180</xdr:colOff>
          <xdr:row>1447</xdr:row>
          <xdr:rowOff>320040</xdr:rowOff>
        </xdr:to>
        <xdr:sp macro="" textlink="">
          <xdr:nvSpPr>
            <xdr:cNvPr id="2475" name="Drop Down 1451" hidden="1">
              <a:extLst>
                <a:ext uri="{63B3BB69-23CF-44E3-9099-C40C66FF867C}">
                  <a14:compatExt spid="_x0000_s2475"/>
                </a:ext>
                <a:ext uri="{FF2B5EF4-FFF2-40B4-BE49-F238E27FC236}">
                  <a16:creationId xmlns:a16="http://schemas.microsoft.com/office/drawing/2014/main" id="{00000000-0008-0000-0000-0000A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1448</xdr:row>
          <xdr:rowOff>0</xdr:rowOff>
        </xdr:from>
        <xdr:to>
          <xdr:col>10</xdr:col>
          <xdr:colOff>1821180</xdr:colOff>
          <xdr:row>1448</xdr:row>
          <xdr:rowOff>320040</xdr:rowOff>
        </xdr:to>
        <xdr:sp macro="" textlink="">
          <xdr:nvSpPr>
            <xdr:cNvPr id="2476" name="Drop Down 1452" hidden="1">
              <a:extLst>
                <a:ext uri="{63B3BB69-23CF-44E3-9099-C40C66FF867C}">
                  <a14:compatExt spid="_x0000_s2476"/>
                </a:ext>
                <a:ext uri="{FF2B5EF4-FFF2-40B4-BE49-F238E27FC236}">
                  <a16:creationId xmlns:a16="http://schemas.microsoft.com/office/drawing/2014/main" id="{00000000-0008-0000-0000-0000A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1446</xdr:row>
          <xdr:rowOff>0</xdr:rowOff>
        </xdr:from>
        <xdr:to>
          <xdr:col>10</xdr:col>
          <xdr:colOff>1821180</xdr:colOff>
          <xdr:row>1446</xdr:row>
          <xdr:rowOff>320040</xdr:rowOff>
        </xdr:to>
        <xdr:sp macro="" textlink="">
          <xdr:nvSpPr>
            <xdr:cNvPr id="2479" name="Drop Down 1455" hidden="1">
              <a:extLst>
                <a:ext uri="{63B3BB69-23CF-44E3-9099-C40C66FF867C}">
                  <a14:compatExt spid="_x0000_s2479"/>
                </a:ext>
                <a:ext uri="{FF2B5EF4-FFF2-40B4-BE49-F238E27FC236}">
                  <a16:creationId xmlns:a16="http://schemas.microsoft.com/office/drawing/2014/main" id="{00000000-0008-0000-0000-0000A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1446</xdr:row>
          <xdr:rowOff>0</xdr:rowOff>
        </xdr:from>
        <xdr:to>
          <xdr:col>4</xdr:col>
          <xdr:colOff>0</xdr:colOff>
          <xdr:row>1446</xdr:row>
          <xdr:rowOff>320040</xdr:rowOff>
        </xdr:to>
        <xdr:sp macro="" textlink="">
          <xdr:nvSpPr>
            <xdr:cNvPr id="2480" name="Drop Down 1456" hidden="1">
              <a:extLst>
                <a:ext uri="{63B3BB69-23CF-44E3-9099-C40C66FF867C}">
                  <a14:compatExt spid="_x0000_s2480"/>
                </a:ext>
                <a:ext uri="{FF2B5EF4-FFF2-40B4-BE49-F238E27FC236}">
                  <a16:creationId xmlns:a16="http://schemas.microsoft.com/office/drawing/2014/main" id="{00000000-0008-0000-0000-0000B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1447</xdr:row>
          <xdr:rowOff>0</xdr:rowOff>
        </xdr:from>
        <xdr:to>
          <xdr:col>3</xdr:col>
          <xdr:colOff>853440</xdr:colOff>
          <xdr:row>1448</xdr:row>
          <xdr:rowOff>0</xdr:rowOff>
        </xdr:to>
        <xdr:sp macro="" textlink="">
          <xdr:nvSpPr>
            <xdr:cNvPr id="2481" name="Drop Down 1457" hidden="1">
              <a:extLst>
                <a:ext uri="{63B3BB69-23CF-44E3-9099-C40C66FF867C}">
                  <a14:compatExt spid="_x0000_s2481"/>
                </a:ext>
                <a:ext uri="{FF2B5EF4-FFF2-40B4-BE49-F238E27FC236}">
                  <a16:creationId xmlns:a16="http://schemas.microsoft.com/office/drawing/2014/main" id="{00000000-0008-0000-0000-0000B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1448</xdr:row>
          <xdr:rowOff>0</xdr:rowOff>
        </xdr:from>
        <xdr:to>
          <xdr:col>3</xdr:col>
          <xdr:colOff>853440</xdr:colOff>
          <xdr:row>1449</xdr:row>
          <xdr:rowOff>0</xdr:rowOff>
        </xdr:to>
        <xdr:sp macro="" textlink="">
          <xdr:nvSpPr>
            <xdr:cNvPr id="2482" name="Drop Down 1458" hidden="1">
              <a:extLst>
                <a:ext uri="{63B3BB69-23CF-44E3-9099-C40C66FF867C}">
                  <a14:compatExt spid="_x0000_s2482"/>
                </a:ext>
                <a:ext uri="{FF2B5EF4-FFF2-40B4-BE49-F238E27FC236}">
                  <a16:creationId xmlns:a16="http://schemas.microsoft.com/office/drawing/2014/main" id="{00000000-0008-0000-0000-0000B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75</xdr:row>
          <xdr:rowOff>0</xdr:rowOff>
        </xdr:from>
        <xdr:to>
          <xdr:col>5</xdr:col>
          <xdr:colOff>0</xdr:colOff>
          <xdr:row>75</xdr:row>
          <xdr:rowOff>220980</xdr:rowOff>
        </xdr:to>
        <xdr:sp macro="" textlink="">
          <xdr:nvSpPr>
            <xdr:cNvPr id="2506" name="Drop Down 1482" hidden="1">
              <a:extLst>
                <a:ext uri="{63B3BB69-23CF-44E3-9099-C40C66FF867C}">
                  <a14:compatExt spid="_x0000_s2506"/>
                </a:ext>
                <a:ext uri="{FF2B5EF4-FFF2-40B4-BE49-F238E27FC236}">
                  <a16:creationId xmlns:a16="http://schemas.microsoft.com/office/drawing/2014/main" id="{00000000-0008-0000-0000-0000C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175</xdr:row>
          <xdr:rowOff>0</xdr:rowOff>
        </xdr:from>
        <xdr:to>
          <xdr:col>5</xdr:col>
          <xdr:colOff>0</xdr:colOff>
          <xdr:row>175</xdr:row>
          <xdr:rowOff>220980</xdr:rowOff>
        </xdr:to>
        <xdr:sp macro="" textlink="">
          <xdr:nvSpPr>
            <xdr:cNvPr id="2507" name="Drop Down 1483" hidden="1">
              <a:extLst>
                <a:ext uri="{63B3BB69-23CF-44E3-9099-C40C66FF867C}">
                  <a14:compatExt spid="_x0000_s2507"/>
                </a:ext>
                <a:ext uri="{FF2B5EF4-FFF2-40B4-BE49-F238E27FC236}">
                  <a16:creationId xmlns:a16="http://schemas.microsoft.com/office/drawing/2014/main" id="{00000000-0008-0000-0000-0000C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275</xdr:row>
          <xdr:rowOff>0</xdr:rowOff>
        </xdr:from>
        <xdr:to>
          <xdr:col>5</xdr:col>
          <xdr:colOff>0</xdr:colOff>
          <xdr:row>275</xdr:row>
          <xdr:rowOff>220980</xdr:rowOff>
        </xdr:to>
        <xdr:sp macro="" textlink="">
          <xdr:nvSpPr>
            <xdr:cNvPr id="2508" name="Drop Down 1484" hidden="1">
              <a:extLst>
                <a:ext uri="{63B3BB69-23CF-44E3-9099-C40C66FF867C}">
                  <a14:compatExt spid="_x0000_s2508"/>
                </a:ext>
                <a:ext uri="{FF2B5EF4-FFF2-40B4-BE49-F238E27FC236}">
                  <a16:creationId xmlns:a16="http://schemas.microsoft.com/office/drawing/2014/main" id="{00000000-0008-0000-0000-0000C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475</xdr:row>
          <xdr:rowOff>0</xdr:rowOff>
        </xdr:from>
        <xdr:to>
          <xdr:col>5</xdr:col>
          <xdr:colOff>0</xdr:colOff>
          <xdr:row>475</xdr:row>
          <xdr:rowOff>220980</xdr:rowOff>
        </xdr:to>
        <xdr:sp macro="" textlink="">
          <xdr:nvSpPr>
            <xdr:cNvPr id="2510" name="Drop Down 1486" hidden="1">
              <a:extLst>
                <a:ext uri="{63B3BB69-23CF-44E3-9099-C40C66FF867C}">
                  <a14:compatExt spid="_x0000_s2510"/>
                </a:ext>
                <a:ext uri="{FF2B5EF4-FFF2-40B4-BE49-F238E27FC236}">
                  <a16:creationId xmlns:a16="http://schemas.microsoft.com/office/drawing/2014/main" id="{00000000-0008-0000-0000-0000C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575</xdr:row>
          <xdr:rowOff>0</xdr:rowOff>
        </xdr:from>
        <xdr:to>
          <xdr:col>5</xdr:col>
          <xdr:colOff>0</xdr:colOff>
          <xdr:row>575</xdr:row>
          <xdr:rowOff>220980</xdr:rowOff>
        </xdr:to>
        <xdr:sp macro="" textlink="">
          <xdr:nvSpPr>
            <xdr:cNvPr id="2511" name="Drop Down 1487" hidden="1">
              <a:extLst>
                <a:ext uri="{63B3BB69-23CF-44E3-9099-C40C66FF867C}">
                  <a14:compatExt spid="_x0000_s2511"/>
                </a:ext>
                <a:ext uri="{FF2B5EF4-FFF2-40B4-BE49-F238E27FC236}">
                  <a16:creationId xmlns:a16="http://schemas.microsoft.com/office/drawing/2014/main" id="{00000000-0008-0000-0000-0000C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675</xdr:row>
          <xdr:rowOff>0</xdr:rowOff>
        </xdr:from>
        <xdr:to>
          <xdr:col>5</xdr:col>
          <xdr:colOff>0</xdr:colOff>
          <xdr:row>675</xdr:row>
          <xdr:rowOff>220980</xdr:rowOff>
        </xdr:to>
        <xdr:sp macro="" textlink="">
          <xdr:nvSpPr>
            <xdr:cNvPr id="2512" name="Drop Down 1488" hidden="1">
              <a:extLst>
                <a:ext uri="{63B3BB69-23CF-44E3-9099-C40C66FF867C}">
                  <a14:compatExt spid="_x0000_s2512"/>
                </a:ext>
                <a:ext uri="{FF2B5EF4-FFF2-40B4-BE49-F238E27FC236}">
                  <a16:creationId xmlns:a16="http://schemas.microsoft.com/office/drawing/2014/main" id="{00000000-0008-0000-0000-0000D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775</xdr:row>
          <xdr:rowOff>0</xdr:rowOff>
        </xdr:from>
        <xdr:to>
          <xdr:col>5</xdr:col>
          <xdr:colOff>0</xdr:colOff>
          <xdr:row>775</xdr:row>
          <xdr:rowOff>220980</xdr:rowOff>
        </xdr:to>
        <xdr:sp macro="" textlink="">
          <xdr:nvSpPr>
            <xdr:cNvPr id="2513" name="Drop Down 1489" hidden="1">
              <a:extLst>
                <a:ext uri="{63B3BB69-23CF-44E3-9099-C40C66FF867C}">
                  <a14:compatExt spid="_x0000_s2513"/>
                </a:ext>
                <a:ext uri="{FF2B5EF4-FFF2-40B4-BE49-F238E27FC236}">
                  <a16:creationId xmlns:a16="http://schemas.microsoft.com/office/drawing/2014/main" id="{00000000-0008-0000-0000-0000D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875</xdr:row>
          <xdr:rowOff>0</xdr:rowOff>
        </xdr:from>
        <xdr:to>
          <xdr:col>5</xdr:col>
          <xdr:colOff>0</xdr:colOff>
          <xdr:row>875</xdr:row>
          <xdr:rowOff>220980</xdr:rowOff>
        </xdr:to>
        <xdr:sp macro="" textlink="">
          <xdr:nvSpPr>
            <xdr:cNvPr id="2514" name="Drop Down 1490" hidden="1">
              <a:extLst>
                <a:ext uri="{63B3BB69-23CF-44E3-9099-C40C66FF867C}">
                  <a14:compatExt spid="_x0000_s2514"/>
                </a:ext>
                <a:ext uri="{FF2B5EF4-FFF2-40B4-BE49-F238E27FC236}">
                  <a16:creationId xmlns:a16="http://schemas.microsoft.com/office/drawing/2014/main" id="{00000000-0008-0000-0000-0000D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975</xdr:row>
          <xdr:rowOff>0</xdr:rowOff>
        </xdr:from>
        <xdr:to>
          <xdr:col>5</xdr:col>
          <xdr:colOff>0</xdr:colOff>
          <xdr:row>975</xdr:row>
          <xdr:rowOff>220980</xdr:rowOff>
        </xdr:to>
        <xdr:sp macro="" textlink="">
          <xdr:nvSpPr>
            <xdr:cNvPr id="2515" name="Drop Down 1491" hidden="1">
              <a:extLst>
                <a:ext uri="{63B3BB69-23CF-44E3-9099-C40C66FF867C}">
                  <a14:compatExt spid="_x0000_s2515"/>
                </a:ext>
                <a:ext uri="{FF2B5EF4-FFF2-40B4-BE49-F238E27FC236}">
                  <a16:creationId xmlns:a16="http://schemas.microsoft.com/office/drawing/2014/main" id="{00000000-0008-0000-0000-0000D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1075</xdr:row>
          <xdr:rowOff>0</xdr:rowOff>
        </xdr:from>
        <xdr:to>
          <xdr:col>5</xdr:col>
          <xdr:colOff>0</xdr:colOff>
          <xdr:row>1075</xdr:row>
          <xdr:rowOff>220980</xdr:rowOff>
        </xdr:to>
        <xdr:sp macro="" textlink="">
          <xdr:nvSpPr>
            <xdr:cNvPr id="2516" name="Drop Down 1492" hidden="1">
              <a:extLst>
                <a:ext uri="{63B3BB69-23CF-44E3-9099-C40C66FF867C}">
                  <a14:compatExt spid="_x0000_s2516"/>
                </a:ext>
                <a:ext uri="{FF2B5EF4-FFF2-40B4-BE49-F238E27FC236}">
                  <a16:creationId xmlns:a16="http://schemas.microsoft.com/office/drawing/2014/main" id="{00000000-0008-0000-0000-0000D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1175</xdr:row>
          <xdr:rowOff>0</xdr:rowOff>
        </xdr:from>
        <xdr:to>
          <xdr:col>5</xdr:col>
          <xdr:colOff>0</xdr:colOff>
          <xdr:row>1175</xdr:row>
          <xdr:rowOff>220980</xdr:rowOff>
        </xdr:to>
        <xdr:sp macro="" textlink="">
          <xdr:nvSpPr>
            <xdr:cNvPr id="2517" name="Drop Down 1493" hidden="1">
              <a:extLst>
                <a:ext uri="{63B3BB69-23CF-44E3-9099-C40C66FF867C}">
                  <a14:compatExt spid="_x0000_s2517"/>
                </a:ext>
                <a:ext uri="{FF2B5EF4-FFF2-40B4-BE49-F238E27FC236}">
                  <a16:creationId xmlns:a16="http://schemas.microsoft.com/office/drawing/2014/main" id="{00000000-0008-0000-0000-0000D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1275</xdr:row>
          <xdr:rowOff>0</xdr:rowOff>
        </xdr:from>
        <xdr:to>
          <xdr:col>5</xdr:col>
          <xdr:colOff>0</xdr:colOff>
          <xdr:row>1275</xdr:row>
          <xdr:rowOff>220980</xdr:rowOff>
        </xdr:to>
        <xdr:sp macro="" textlink="">
          <xdr:nvSpPr>
            <xdr:cNvPr id="2518" name="Drop Down 1494" hidden="1">
              <a:extLst>
                <a:ext uri="{63B3BB69-23CF-44E3-9099-C40C66FF867C}">
                  <a14:compatExt spid="_x0000_s2518"/>
                </a:ext>
                <a:ext uri="{FF2B5EF4-FFF2-40B4-BE49-F238E27FC236}">
                  <a16:creationId xmlns:a16="http://schemas.microsoft.com/office/drawing/2014/main" id="{00000000-0008-0000-0000-0000D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1375</xdr:row>
          <xdr:rowOff>0</xdr:rowOff>
        </xdr:from>
        <xdr:to>
          <xdr:col>5</xdr:col>
          <xdr:colOff>0</xdr:colOff>
          <xdr:row>1375</xdr:row>
          <xdr:rowOff>220980</xdr:rowOff>
        </xdr:to>
        <xdr:sp macro="" textlink="">
          <xdr:nvSpPr>
            <xdr:cNvPr id="2519" name="Drop Down 1495" hidden="1">
              <a:extLst>
                <a:ext uri="{63B3BB69-23CF-44E3-9099-C40C66FF867C}">
                  <a14:compatExt spid="_x0000_s2519"/>
                </a:ext>
                <a:ext uri="{FF2B5EF4-FFF2-40B4-BE49-F238E27FC236}">
                  <a16:creationId xmlns:a16="http://schemas.microsoft.com/office/drawing/2014/main" id="{00000000-0008-0000-0000-0000D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1475</xdr:row>
          <xdr:rowOff>0</xdr:rowOff>
        </xdr:from>
        <xdr:to>
          <xdr:col>5</xdr:col>
          <xdr:colOff>0</xdr:colOff>
          <xdr:row>1475</xdr:row>
          <xdr:rowOff>220980</xdr:rowOff>
        </xdr:to>
        <xdr:sp macro="" textlink="">
          <xdr:nvSpPr>
            <xdr:cNvPr id="2520" name="Drop Down 1496" hidden="1">
              <a:extLst>
                <a:ext uri="{63B3BB69-23CF-44E3-9099-C40C66FF867C}">
                  <a14:compatExt spid="_x0000_s2520"/>
                </a:ext>
                <a:ext uri="{FF2B5EF4-FFF2-40B4-BE49-F238E27FC236}">
                  <a16:creationId xmlns:a16="http://schemas.microsoft.com/office/drawing/2014/main" id="{00000000-0008-0000-0000-0000D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1546</xdr:row>
          <xdr:rowOff>0</xdr:rowOff>
        </xdr:from>
        <xdr:to>
          <xdr:col>6</xdr:col>
          <xdr:colOff>0</xdr:colOff>
          <xdr:row>1547</xdr:row>
          <xdr:rowOff>0</xdr:rowOff>
        </xdr:to>
        <xdr:sp macro="" textlink="">
          <xdr:nvSpPr>
            <xdr:cNvPr id="2521" name="Drop Down 1497" hidden="1">
              <a:extLst>
                <a:ext uri="{63B3BB69-23CF-44E3-9099-C40C66FF867C}">
                  <a14:compatExt spid="_x0000_s2521"/>
                </a:ext>
                <a:ext uri="{FF2B5EF4-FFF2-40B4-BE49-F238E27FC236}">
                  <a16:creationId xmlns:a16="http://schemas.microsoft.com/office/drawing/2014/main" id="{00000000-0008-0000-0000-0000D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1547</xdr:row>
          <xdr:rowOff>0</xdr:rowOff>
        </xdr:from>
        <xdr:to>
          <xdr:col>6</xdr:col>
          <xdr:colOff>15240</xdr:colOff>
          <xdr:row>1547</xdr:row>
          <xdr:rowOff>320040</xdr:rowOff>
        </xdr:to>
        <xdr:sp macro="" textlink="">
          <xdr:nvSpPr>
            <xdr:cNvPr id="2522" name="Drop Down 1498" hidden="1">
              <a:extLst>
                <a:ext uri="{63B3BB69-23CF-44E3-9099-C40C66FF867C}">
                  <a14:compatExt spid="_x0000_s2522"/>
                </a:ext>
                <a:ext uri="{FF2B5EF4-FFF2-40B4-BE49-F238E27FC236}">
                  <a16:creationId xmlns:a16="http://schemas.microsoft.com/office/drawing/2014/main" id="{00000000-0008-0000-0000-0000D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1548</xdr:row>
          <xdr:rowOff>0</xdr:rowOff>
        </xdr:from>
        <xdr:to>
          <xdr:col>6</xdr:col>
          <xdr:colOff>15240</xdr:colOff>
          <xdr:row>1548</xdr:row>
          <xdr:rowOff>320040</xdr:rowOff>
        </xdr:to>
        <xdr:sp macro="" textlink="">
          <xdr:nvSpPr>
            <xdr:cNvPr id="2523" name="Drop Down 1499" hidden="1">
              <a:extLst>
                <a:ext uri="{63B3BB69-23CF-44E3-9099-C40C66FF867C}">
                  <a14:compatExt spid="_x0000_s2523"/>
                </a:ext>
                <a:ext uri="{FF2B5EF4-FFF2-40B4-BE49-F238E27FC236}">
                  <a16:creationId xmlns:a16="http://schemas.microsoft.com/office/drawing/2014/main" id="{00000000-0008-0000-0000-0000D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1547</xdr:row>
          <xdr:rowOff>0</xdr:rowOff>
        </xdr:from>
        <xdr:to>
          <xdr:col>10</xdr:col>
          <xdr:colOff>1821180</xdr:colOff>
          <xdr:row>1547</xdr:row>
          <xdr:rowOff>320040</xdr:rowOff>
        </xdr:to>
        <xdr:sp macro="" textlink="">
          <xdr:nvSpPr>
            <xdr:cNvPr id="2526" name="Drop Down 1502" hidden="1">
              <a:extLst>
                <a:ext uri="{63B3BB69-23CF-44E3-9099-C40C66FF867C}">
                  <a14:compatExt spid="_x0000_s2526"/>
                </a:ext>
                <a:ext uri="{FF2B5EF4-FFF2-40B4-BE49-F238E27FC236}">
                  <a16:creationId xmlns:a16="http://schemas.microsoft.com/office/drawing/2014/main" id="{00000000-0008-0000-0000-0000D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1548</xdr:row>
          <xdr:rowOff>0</xdr:rowOff>
        </xdr:from>
        <xdr:to>
          <xdr:col>10</xdr:col>
          <xdr:colOff>1821180</xdr:colOff>
          <xdr:row>1548</xdr:row>
          <xdr:rowOff>320040</xdr:rowOff>
        </xdr:to>
        <xdr:sp macro="" textlink="">
          <xdr:nvSpPr>
            <xdr:cNvPr id="2527" name="Drop Down 1503" hidden="1">
              <a:extLst>
                <a:ext uri="{63B3BB69-23CF-44E3-9099-C40C66FF867C}">
                  <a14:compatExt spid="_x0000_s2527"/>
                </a:ext>
                <a:ext uri="{FF2B5EF4-FFF2-40B4-BE49-F238E27FC236}">
                  <a16:creationId xmlns:a16="http://schemas.microsoft.com/office/drawing/2014/main" id="{00000000-0008-0000-0000-0000D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1546</xdr:row>
          <xdr:rowOff>0</xdr:rowOff>
        </xdr:from>
        <xdr:to>
          <xdr:col>10</xdr:col>
          <xdr:colOff>1821180</xdr:colOff>
          <xdr:row>1546</xdr:row>
          <xdr:rowOff>320040</xdr:rowOff>
        </xdr:to>
        <xdr:sp macro="" textlink="">
          <xdr:nvSpPr>
            <xdr:cNvPr id="2530" name="Drop Down 1506" hidden="1">
              <a:extLst>
                <a:ext uri="{63B3BB69-23CF-44E3-9099-C40C66FF867C}">
                  <a14:compatExt spid="_x0000_s2530"/>
                </a:ext>
                <a:ext uri="{FF2B5EF4-FFF2-40B4-BE49-F238E27FC236}">
                  <a16:creationId xmlns:a16="http://schemas.microsoft.com/office/drawing/2014/main" id="{00000000-0008-0000-0000-0000E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1546</xdr:row>
          <xdr:rowOff>0</xdr:rowOff>
        </xdr:from>
        <xdr:to>
          <xdr:col>3</xdr:col>
          <xdr:colOff>830580</xdr:colOff>
          <xdr:row>1546</xdr:row>
          <xdr:rowOff>320040</xdr:rowOff>
        </xdr:to>
        <xdr:sp macro="" textlink="">
          <xdr:nvSpPr>
            <xdr:cNvPr id="2531" name="Drop Down 1507" hidden="1">
              <a:extLst>
                <a:ext uri="{63B3BB69-23CF-44E3-9099-C40C66FF867C}">
                  <a14:compatExt spid="_x0000_s2531"/>
                </a:ext>
                <a:ext uri="{FF2B5EF4-FFF2-40B4-BE49-F238E27FC236}">
                  <a16:creationId xmlns:a16="http://schemas.microsoft.com/office/drawing/2014/main" id="{00000000-0008-0000-0000-0000E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1547</xdr:row>
          <xdr:rowOff>0</xdr:rowOff>
        </xdr:from>
        <xdr:to>
          <xdr:col>3</xdr:col>
          <xdr:colOff>853440</xdr:colOff>
          <xdr:row>1547</xdr:row>
          <xdr:rowOff>320040</xdr:rowOff>
        </xdr:to>
        <xdr:sp macro="" textlink="">
          <xdr:nvSpPr>
            <xdr:cNvPr id="2532" name="Drop Down 1508" hidden="1">
              <a:extLst>
                <a:ext uri="{63B3BB69-23CF-44E3-9099-C40C66FF867C}">
                  <a14:compatExt spid="_x0000_s2532"/>
                </a:ext>
                <a:ext uri="{FF2B5EF4-FFF2-40B4-BE49-F238E27FC236}">
                  <a16:creationId xmlns:a16="http://schemas.microsoft.com/office/drawing/2014/main" id="{00000000-0008-0000-0000-0000E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1548</xdr:row>
          <xdr:rowOff>0</xdr:rowOff>
        </xdr:from>
        <xdr:to>
          <xdr:col>3</xdr:col>
          <xdr:colOff>853440</xdr:colOff>
          <xdr:row>1549</xdr:row>
          <xdr:rowOff>0</xdr:rowOff>
        </xdr:to>
        <xdr:sp macro="" textlink="">
          <xdr:nvSpPr>
            <xdr:cNvPr id="2533" name="Drop Down 1509" hidden="1">
              <a:extLst>
                <a:ext uri="{63B3BB69-23CF-44E3-9099-C40C66FF867C}">
                  <a14:compatExt spid="_x0000_s2533"/>
                </a:ext>
                <a:ext uri="{FF2B5EF4-FFF2-40B4-BE49-F238E27FC236}">
                  <a16:creationId xmlns:a16="http://schemas.microsoft.com/office/drawing/2014/main" id="{00000000-0008-0000-0000-0000E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1575</xdr:row>
          <xdr:rowOff>0</xdr:rowOff>
        </xdr:from>
        <xdr:to>
          <xdr:col>5</xdr:col>
          <xdr:colOff>0</xdr:colOff>
          <xdr:row>1575</xdr:row>
          <xdr:rowOff>213360</xdr:rowOff>
        </xdr:to>
        <xdr:sp macro="" textlink="">
          <xdr:nvSpPr>
            <xdr:cNvPr id="2557" name="Drop Down 1533" hidden="1">
              <a:extLst>
                <a:ext uri="{63B3BB69-23CF-44E3-9099-C40C66FF867C}">
                  <a14:compatExt spid="_x0000_s2557"/>
                </a:ext>
                <a:ext uri="{FF2B5EF4-FFF2-40B4-BE49-F238E27FC236}">
                  <a16:creationId xmlns:a16="http://schemas.microsoft.com/office/drawing/2014/main" id="{00000000-0008-0000-0000-0000F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1646</xdr:row>
          <xdr:rowOff>0</xdr:rowOff>
        </xdr:from>
        <xdr:to>
          <xdr:col>6</xdr:col>
          <xdr:colOff>0</xdr:colOff>
          <xdr:row>1646</xdr:row>
          <xdr:rowOff>320040</xdr:rowOff>
        </xdr:to>
        <xdr:sp macro="" textlink="">
          <xdr:nvSpPr>
            <xdr:cNvPr id="2558" name="Drop Down 1534" hidden="1">
              <a:extLst>
                <a:ext uri="{63B3BB69-23CF-44E3-9099-C40C66FF867C}">
                  <a14:compatExt spid="_x0000_s2558"/>
                </a:ext>
                <a:ext uri="{FF2B5EF4-FFF2-40B4-BE49-F238E27FC236}">
                  <a16:creationId xmlns:a16="http://schemas.microsoft.com/office/drawing/2014/main" id="{00000000-0008-0000-0000-0000F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1647</xdr:row>
          <xdr:rowOff>0</xdr:rowOff>
        </xdr:from>
        <xdr:to>
          <xdr:col>6</xdr:col>
          <xdr:colOff>0</xdr:colOff>
          <xdr:row>1647</xdr:row>
          <xdr:rowOff>320040</xdr:rowOff>
        </xdr:to>
        <xdr:sp macro="" textlink="">
          <xdr:nvSpPr>
            <xdr:cNvPr id="2559" name="Drop Down 1535" hidden="1">
              <a:extLst>
                <a:ext uri="{63B3BB69-23CF-44E3-9099-C40C66FF867C}">
                  <a14:compatExt spid="_x0000_s2559"/>
                </a:ext>
                <a:ext uri="{FF2B5EF4-FFF2-40B4-BE49-F238E27FC236}">
                  <a16:creationId xmlns:a16="http://schemas.microsoft.com/office/drawing/2014/main" id="{00000000-0008-0000-0000-0000F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1648</xdr:row>
          <xdr:rowOff>0</xdr:rowOff>
        </xdr:from>
        <xdr:to>
          <xdr:col>6</xdr:col>
          <xdr:colOff>0</xdr:colOff>
          <xdr:row>1648</xdr:row>
          <xdr:rowOff>320040</xdr:rowOff>
        </xdr:to>
        <xdr:sp macro="" textlink="">
          <xdr:nvSpPr>
            <xdr:cNvPr id="2560" name="Drop Down 1536" hidden="1">
              <a:extLst>
                <a:ext uri="{63B3BB69-23CF-44E3-9099-C40C66FF867C}">
                  <a14:compatExt spid="_x0000_s2560"/>
                </a:ext>
                <a:ext uri="{FF2B5EF4-FFF2-40B4-BE49-F238E27FC236}">
                  <a16:creationId xmlns:a16="http://schemas.microsoft.com/office/drawing/2014/main" id="{00000000-0008-0000-0000-000000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1647</xdr:row>
          <xdr:rowOff>0</xdr:rowOff>
        </xdr:from>
        <xdr:to>
          <xdr:col>10</xdr:col>
          <xdr:colOff>1821180</xdr:colOff>
          <xdr:row>1647</xdr:row>
          <xdr:rowOff>320040</xdr:rowOff>
        </xdr:to>
        <xdr:sp macro="" textlink="">
          <xdr:nvSpPr>
            <xdr:cNvPr id="2563" name="Drop Down 1539" hidden="1">
              <a:extLst>
                <a:ext uri="{63B3BB69-23CF-44E3-9099-C40C66FF867C}">
                  <a14:compatExt spid="_x0000_s2563"/>
                </a:ext>
                <a:ext uri="{FF2B5EF4-FFF2-40B4-BE49-F238E27FC236}">
                  <a16:creationId xmlns:a16="http://schemas.microsoft.com/office/drawing/2014/main" id="{00000000-0008-0000-0000-00000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1648</xdr:row>
          <xdr:rowOff>0</xdr:rowOff>
        </xdr:from>
        <xdr:to>
          <xdr:col>10</xdr:col>
          <xdr:colOff>1821180</xdr:colOff>
          <xdr:row>1648</xdr:row>
          <xdr:rowOff>320040</xdr:rowOff>
        </xdr:to>
        <xdr:sp macro="" textlink="">
          <xdr:nvSpPr>
            <xdr:cNvPr id="2564" name="Drop Down 1540" hidden="1">
              <a:extLst>
                <a:ext uri="{63B3BB69-23CF-44E3-9099-C40C66FF867C}">
                  <a14:compatExt spid="_x0000_s2564"/>
                </a:ext>
                <a:ext uri="{FF2B5EF4-FFF2-40B4-BE49-F238E27FC236}">
                  <a16:creationId xmlns:a16="http://schemas.microsoft.com/office/drawing/2014/main" id="{00000000-0008-0000-0000-00000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1646</xdr:row>
          <xdr:rowOff>0</xdr:rowOff>
        </xdr:from>
        <xdr:to>
          <xdr:col>10</xdr:col>
          <xdr:colOff>1821180</xdr:colOff>
          <xdr:row>1646</xdr:row>
          <xdr:rowOff>320040</xdr:rowOff>
        </xdr:to>
        <xdr:sp macro="" textlink="">
          <xdr:nvSpPr>
            <xdr:cNvPr id="2567" name="Drop Down 1543" hidden="1">
              <a:extLst>
                <a:ext uri="{63B3BB69-23CF-44E3-9099-C40C66FF867C}">
                  <a14:compatExt spid="_x0000_s2567"/>
                </a:ext>
                <a:ext uri="{FF2B5EF4-FFF2-40B4-BE49-F238E27FC236}">
                  <a16:creationId xmlns:a16="http://schemas.microsoft.com/office/drawing/2014/main" id="{00000000-0008-0000-0000-00000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1646</xdr:row>
          <xdr:rowOff>0</xdr:rowOff>
        </xdr:from>
        <xdr:to>
          <xdr:col>3</xdr:col>
          <xdr:colOff>830580</xdr:colOff>
          <xdr:row>1646</xdr:row>
          <xdr:rowOff>320040</xdr:rowOff>
        </xdr:to>
        <xdr:sp macro="" textlink="">
          <xdr:nvSpPr>
            <xdr:cNvPr id="2568" name="Drop Down 1544" hidden="1">
              <a:extLst>
                <a:ext uri="{63B3BB69-23CF-44E3-9099-C40C66FF867C}">
                  <a14:compatExt spid="_x0000_s2568"/>
                </a:ext>
                <a:ext uri="{FF2B5EF4-FFF2-40B4-BE49-F238E27FC236}">
                  <a16:creationId xmlns:a16="http://schemas.microsoft.com/office/drawing/2014/main" id="{00000000-0008-0000-0000-00000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1647</xdr:row>
          <xdr:rowOff>0</xdr:rowOff>
        </xdr:from>
        <xdr:to>
          <xdr:col>3</xdr:col>
          <xdr:colOff>830580</xdr:colOff>
          <xdr:row>1647</xdr:row>
          <xdr:rowOff>320040</xdr:rowOff>
        </xdr:to>
        <xdr:sp macro="" textlink="">
          <xdr:nvSpPr>
            <xdr:cNvPr id="2569" name="Drop Down 1545" hidden="1">
              <a:extLst>
                <a:ext uri="{63B3BB69-23CF-44E3-9099-C40C66FF867C}">
                  <a14:compatExt spid="_x0000_s2569"/>
                </a:ext>
                <a:ext uri="{FF2B5EF4-FFF2-40B4-BE49-F238E27FC236}">
                  <a16:creationId xmlns:a16="http://schemas.microsoft.com/office/drawing/2014/main" id="{00000000-0008-0000-0000-00000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1648</xdr:row>
          <xdr:rowOff>0</xdr:rowOff>
        </xdr:from>
        <xdr:to>
          <xdr:col>3</xdr:col>
          <xdr:colOff>853440</xdr:colOff>
          <xdr:row>1648</xdr:row>
          <xdr:rowOff>320040</xdr:rowOff>
        </xdr:to>
        <xdr:sp macro="" textlink="">
          <xdr:nvSpPr>
            <xdr:cNvPr id="2570" name="Drop Down 1546" hidden="1">
              <a:extLst>
                <a:ext uri="{63B3BB69-23CF-44E3-9099-C40C66FF867C}">
                  <a14:compatExt spid="_x0000_s2570"/>
                </a:ext>
                <a:ext uri="{FF2B5EF4-FFF2-40B4-BE49-F238E27FC236}">
                  <a16:creationId xmlns:a16="http://schemas.microsoft.com/office/drawing/2014/main" id="{00000000-0008-0000-0000-00000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1675</xdr:row>
          <xdr:rowOff>0</xdr:rowOff>
        </xdr:from>
        <xdr:to>
          <xdr:col>5</xdr:col>
          <xdr:colOff>0</xdr:colOff>
          <xdr:row>1675</xdr:row>
          <xdr:rowOff>213360</xdr:rowOff>
        </xdr:to>
        <xdr:sp macro="" textlink="">
          <xdr:nvSpPr>
            <xdr:cNvPr id="2594" name="Drop Down 1570" hidden="1">
              <a:extLst>
                <a:ext uri="{63B3BB69-23CF-44E3-9099-C40C66FF867C}">
                  <a14:compatExt spid="_x0000_s2594"/>
                </a:ext>
                <a:ext uri="{FF2B5EF4-FFF2-40B4-BE49-F238E27FC236}">
                  <a16:creationId xmlns:a16="http://schemas.microsoft.com/office/drawing/2014/main" id="{00000000-0008-0000-0000-00002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1746</xdr:row>
          <xdr:rowOff>0</xdr:rowOff>
        </xdr:from>
        <xdr:to>
          <xdr:col>5</xdr:col>
          <xdr:colOff>815340</xdr:colOff>
          <xdr:row>1746</xdr:row>
          <xdr:rowOff>320040</xdr:rowOff>
        </xdr:to>
        <xdr:sp macro="" textlink="">
          <xdr:nvSpPr>
            <xdr:cNvPr id="2595" name="Drop Down 1571" hidden="1">
              <a:extLst>
                <a:ext uri="{63B3BB69-23CF-44E3-9099-C40C66FF867C}">
                  <a14:compatExt spid="_x0000_s2595"/>
                </a:ext>
                <a:ext uri="{FF2B5EF4-FFF2-40B4-BE49-F238E27FC236}">
                  <a16:creationId xmlns:a16="http://schemas.microsoft.com/office/drawing/2014/main" id="{00000000-0008-0000-0000-00002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1747</xdr:row>
          <xdr:rowOff>0</xdr:rowOff>
        </xdr:from>
        <xdr:to>
          <xdr:col>5</xdr:col>
          <xdr:colOff>815340</xdr:colOff>
          <xdr:row>1747</xdr:row>
          <xdr:rowOff>320040</xdr:rowOff>
        </xdr:to>
        <xdr:sp macro="" textlink="">
          <xdr:nvSpPr>
            <xdr:cNvPr id="2596" name="Drop Down 1572" hidden="1">
              <a:extLst>
                <a:ext uri="{63B3BB69-23CF-44E3-9099-C40C66FF867C}">
                  <a14:compatExt spid="_x0000_s2596"/>
                </a:ext>
                <a:ext uri="{FF2B5EF4-FFF2-40B4-BE49-F238E27FC236}">
                  <a16:creationId xmlns:a16="http://schemas.microsoft.com/office/drawing/2014/main" id="{00000000-0008-0000-0000-00002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1748</xdr:row>
          <xdr:rowOff>0</xdr:rowOff>
        </xdr:from>
        <xdr:to>
          <xdr:col>5</xdr:col>
          <xdr:colOff>815340</xdr:colOff>
          <xdr:row>1748</xdr:row>
          <xdr:rowOff>320040</xdr:rowOff>
        </xdr:to>
        <xdr:sp macro="" textlink="">
          <xdr:nvSpPr>
            <xdr:cNvPr id="2597" name="Drop Down 1573" hidden="1">
              <a:extLst>
                <a:ext uri="{63B3BB69-23CF-44E3-9099-C40C66FF867C}">
                  <a14:compatExt spid="_x0000_s2597"/>
                </a:ext>
                <a:ext uri="{FF2B5EF4-FFF2-40B4-BE49-F238E27FC236}">
                  <a16:creationId xmlns:a16="http://schemas.microsoft.com/office/drawing/2014/main" id="{00000000-0008-0000-0000-000025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1747</xdr:row>
          <xdr:rowOff>0</xdr:rowOff>
        </xdr:from>
        <xdr:to>
          <xdr:col>10</xdr:col>
          <xdr:colOff>1821180</xdr:colOff>
          <xdr:row>1747</xdr:row>
          <xdr:rowOff>320040</xdr:rowOff>
        </xdr:to>
        <xdr:sp macro="" textlink="">
          <xdr:nvSpPr>
            <xdr:cNvPr id="2600" name="Drop Down 1576" hidden="1">
              <a:extLst>
                <a:ext uri="{63B3BB69-23CF-44E3-9099-C40C66FF867C}">
                  <a14:compatExt spid="_x0000_s2600"/>
                </a:ext>
                <a:ext uri="{FF2B5EF4-FFF2-40B4-BE49-F238E27FC236}">
                  <a16:creationId xmlns:a16="http://schemas.microsoft.com/office/drawing/2014/main" id="{00000000-0008-0000-0000-00002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1748</xdr:row>
          <xdr:rowOff>0</xdr:rowOff>
        </xdr:from>
        <xdr:to>
          <xdr:col>10</xdr:col>
          <xdr:colOff>1821180</xdr:colOff>
          <xdr:row>1748</xdr:row>
          <xdr:rowOff>320040</xdr:rowOff>
        </xdr:to>
        <xdr:sp macro="" textlink="">
          <xdr:nvSpPr>
            <xdr:cNvPr id="2601" name="Drop Down 1577" hidden="1">
              <a:extLst>
                <a:ext uri="{63B3BB69-23CF-44E3-9099-C40C66FF867C}">
                  <a14:compatExt spid="_x0000_s2601"/>
                </a:ext>
                <a:ext uri="{FF2B5EF4-FFF2-40B4-BE49-F238E27FC236}">
                  <a16:creationId xmlns:a16="http://schemas.microsoft.com/office/drawing/2014/main" id="{00000000-0008-0000-0000-00002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1746</xdr:row>
          <xdr:rowOff>0</xdr:rowOff>
        </xdr:from>
        <xdr:to>
          <xdr:col>10</xdr:col>
          <xdr:colOff>1821180</xdr:colOff>
          <xdr:row>1746</xdr:row>
          <xdr:rowOff>320040</xdr:rowOff>
        </xdr:to>
        <xdr:sp macro="" textlink="">
          <xdr:nvSpPr>
            <xdr:cNvPr id="2604" name="Drop Down 1580" hidden="1">
              <a:extLst>
                <a:ext uri="{63B3BB69-23CF-44E3-9099-C40C66FF867C}">
                  <a14:compatExt spid="_x0000_s2604"/>
                </a:ext>
                <a:ext uri="{FF2B5EF4-FFF2-40B4-BE49-F238E27FC236}">
                  <a16:creationId xmlns:a16="http://schemas.microsoft.com/office/drawing/2014/main" id="{00000000-0008-0000-0000-00002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1746</xdr:row>
          <xdr:rowOff>0</xdr:rowOff>
        </xdr:from>
        <xdr:to>
          <xdr:col>3</xdr:col>
          <xdr:colOff>853440</xdr:colOff>
          <xdr:row>1746</xdr:row>
          <xdr:rowOff>297180</xdr:rowOff>
        </xdr:to>
        <xdr:sp macro="" textlink="">
          <xdr:nvSpPr>
            <xdr:cNvPr id="2605" name="Drop Down 1581" hidden="1">
              <a:extLst>
                <a:ext uri="{63B3BB69-23CF-44E3-9099-C40C66FF867C}">
                  <a14:compatExt spid="_x0000_s2605"/>
                </a:ext>
                <a:ext uri="{FF2B5EF4-FFF2-40B4-BE49-F238E27FC236}">
                  <a16:creationId xmlns:a16="http://schemas.microsoft.com/office/drawing/2014/main" id="{00000000-0008-0000-0000-00002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1747</xdr:row>
          <xdr:rowOff>0</xdr:rowOff>
        </xdr:from>
        <xdr:to>
          <xdr:col>3</xdr:col>
          <xdr:colOff>853440</xdr:colOff>
          <xdr:row>1748</xdr:row>
          <xdr:rowOff>0</xdr:rowOff>
        </xdr:to>
        <xdr:sp macro="" textlink="">
          <xdr:nvSpPr>
            <xdr:cNvPr id="2606" name="Drop Down 1582" hidden="1">
              <a:extLst>
                <a:ext uri="{63B3BB69-23CF-44E3-9099-C40C66FF867C}">
                  <a14:compatExt spid="_x0000_s2606"/>
                </a:ext>
                <a:ext uri="{FF2B5EF4-FFF2-40B4-BE49-F238E27FC236}">
                  <a16:creationId xmlns:a16="http://schemas.microsoft.com/office/drawing/2014/main" id="{00000000-0008-0000-0000-00002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1748</xdr:row>
          <xdr:rowOff>0</xdr:rowOff>
        </xdr:from>
        <xdr:to>
          <xdr:col>3</xdr:col>
          <xdr:colOff>830580</xdr:colOff>
          <xdr:row>1749</xdr:row>
          <xdr:rowOff>15240</xdr:rowOff>
        </xdr:to>
        <xdr:sp macro="" textlink="">
          <xdr:nvSpPr>
            <xdr:cNvPr id="2607" name="Drop Down 1583" hidden="1">
              <a:extLst>
                <a:ext uri="{63B3BB69-23CF-44E3-9099-C40C66FF867C}">
                  <a14:compatExt spid="_x0000_s2607"/>
                </a:ext>
                <a:ext uri="{FF2B5EF4-FFF2-40B4-BE49-F238E27FC236}">
                  <a16:creationId xmlns:a16="http://schemas.microsoft.com/office/drawing/2014/main" id="{00000000-0008-0000-0000-00002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1775</xdr:row>
          <xdr:rowOff>0</xdr:rowOff>
        </xdr:from>
        <xdr:to>
          <xdr:col>5</xdr:col>
          <xdr:colOff>0</xdr:colOff>
          <xdr:row>1775</xdr:row>
          <xdr:rowOff>213360</xdr:rowOff>
        </xdr:to>
        <xdr:sp macro="" textlink="">
          <xdr:nvSpPr>
            <xdr:cNvPr id="2631" name="Drop Down 1607" hidden="1">
              <a:extLst>
                <a:ext uri="{63B3BB69-23CF-44E3-9099-C40C66FF867C}">
                  <a14:compatExt spid="_x0000_s2631"/>
                </a:ext>
                <a:ext uri="{FF2B5EF4-FFF2-40B4-BE49-F238E27FC236}">
                  <a16:creationId xmlns:a16="http://schemas.microsoft.com/office/drawing/2014/main" id="{00000000-0008-0000-0000-00004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1846</xdr:row>
          <xdr:rowOff>0</xdr:rowOff>
        </xdr:from>
        <xdr:to>
          <xdr:col>5</xdr:col>
          <xdr:colOff>815340</xdr:colOff>
          <xdr:row>1846</xdr:row>
          <xdr:rowOff>320040</xdr:rowOff>
        </xdr:to>
        <xdr:sp macro="" textlink="">
          <xdr:nvSpPr>
            <xdr:cNvPr id="2632" name="Drop Down 1608" hidden="1">
              <a:extLst>
                <a:ext uri="{63B3BB69-23CF-44E3-9099-C40C66FF867C}">
                  <a14:compatExt spid="_x0000_s2632"/>
                </a:ext>
                <a:ext uri="{FF2B5EF4-FFF2-40B4-BE49-F238E27FC236}">
                  <a16:creationId xmlns:a16="http://schemas.microsoft.com/office/drawing/2014/main" id="{00000000-0008-0000-0000-00004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1847</xdr:row>
          <xdr:rowOff>0</xdr:rowOff>
        </xdr:from>
        <xdr:to>
          <xdr:col>5</xdr:col>
          <xdr:colOff>815340</xdr:colOff>
          <xdr:row>1847</xdr:row>
          <xdr:rowOff>320040</xdr:rowOff>
        </xdr:to>
        <xdr:sp macro="" textlink="">
          <xdr:nvSpPr>
            <xdr:cNvPr id="2633" name="Drop Down 1609" hidden="1">
              <a:extLst>
                <a:ext uri="{63B3BB69-23CF-44E3-9099-C40C66FF867C}">
                  <a14:compatExt spid="_x0000_s2633"/>
                </a:ext>
                <a:ext uri="{FF2B5EF4-FFF2-40B4-BE49-F238E27FC236}">
                  <a16:creationId xmlns:a16="http://schemas.microsoft.com/office/drawing/2014/main" id="{00000000-0008-0000-0000-00004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1848</xdr:row>
          <xdr:rowOff>0</xdr:rowOff>
        </xdr:from>
        <xdr:to>
          <xdr:col>6</xdr:col>
          <xdr:colOff>0</xdr:colOff>
          <xdr:row>1848</xdr:row>
          <xdr:rowOff>320040</xdr:rowOff>
        </xdr:to>
        <xdr:sp macro="" textlink="">
          <xdr:nvSpPr>
            <xdr:cNvPr id="2634" name="Drop Down 1610" hidden="1">
              <a:extLst>
                <a:ext uri="{63B3BB69-23CF-44E3-9099-C40C66FF867C}">
                  <a14:compatExt spid="_x0000_s2634"/>
                </a:ext>
                <a:ext uri="{FF2B5EF4-FFF2-40B4-BE49-F238E27FC236}">
                  <a16:creationId xmlns:a16="http://schemas.microsoft.com/office/drawing/2014/main" id="{00000000-0008-0000-0000-00004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1847</xdr:row>
          <xdr:rowOff>0</xdr:rowOff>
        </xdr:from>
        <xdr:to>
          <xdr:col>10</xdr:col>
          <xdr:colOff>1821180</xdr:colOff>
          <xdr:row>1847</xdr:row>
          <xdr:rowOff>320040</xdr:rowOff>
        </xdr:to>
        <xdr:sp macro="" textlink="">
          <xdr:nvSpPr>
            <xdr:cNvPr id="2637" name="Drop Down 1613" hidden="1">
              <a:extLst>
                <a:ext uri="{63B3BB69-23CF-44E3-9099-C40C66FF867C}">
                  <a14:compatExt spid="_x0000_s2637"/>
                </a:ext>
                <a:ext uri="{FF2B5EF4-FFF2-40B4-BE49-F238E27FC236}">
                  <a16:creationId xmlns:a16="http://schemas.microsoft.com/office/drawing/2014/main" id="{00000000-0008-0000-0000-00004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1848</xdr:row>
          <xdr:rowOff>0</xdr:rowOff>
        </xdr:from>
        <xdr:to>
          <xdr:col>10</xdr:col>
          <xdr:colOff>1821180</xdr:colOff>
          <xdr:row>1848</xdr:row>
          <xdr:rowOff>320040</xdr:rowOff>
        </xdr:to>
        <xdr:sp macro="" textlink="">
          <xdr:nvSpPr>
            <xdr:cNvPr id="2638" name="Drop Down 1614" hidden="1">
              <a:extLst>
                <a:ext uri="{63B3BB69-23CF-44E3-9099-C40C66FF867C}">
                  <a14:compatExt spid="_x0000_s2638"/>
                </a:ext>
                <a:ext uri="{FF2B5EF4-FFF2-40B4-BE49-F238E27FC236}">
                  <a16:creationId xmlns:a16="http://schemas.microsoft.com/office/drawing/2014/main" id="{00000000-0008-0000-0000-00004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1846</xdr:row>
          <xdr:rowOff>0</xdr:rowOff>
        </xdr:from>
        <xdr:to>
          <xdr:col>10</xdr:col>
          <xdr:colOff>1821180</xdr:colOff>
          <xdr:row>1846</xdr:row>
          <xdr:rowOff>320040</xdr:rowOff>
        </xdr:to>
        <xdr:sp macro="" textlink="">
          <xdr:nvSpPr>
            <xdr:cNvPr id="2641" name="Drop Down 1617" hidden="1">
              <a:extLst>
                <a:ext uri="{63B3BB69-23CF-44E3-9099-C40C66FF867C}">
                  <a14:compatExt spid="_x0000_s2641"/>
                </a:ext>
                <a:ext uri="{FF2B5EF4-FFF2-40B4-BE49-F238E27FC236}">
                  <a16:creationId xmlns:a16="http://schemas.microsoft.com/office/drawing/2014/main" id="{00000000-0008-0000-0000-00005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1846</xdr:row>
          <xdr:rowOff>0</xdr:rowOff>
        </xdr:from>
        <xdr:to>
          <xdr:col>3</xdr:col>
          <xdr:colOff>853440</xdr:colOff>
          <xdr:row>1846</xdr:row>
          <xdr:rowOff>320040</xdr:rowOff>
        </xdr:to>
        <xdr:sp macro="" textlink="">
          <xdr:nvSpPr>
            <xdr:cNvPr id="2642" name="Drop Down 1618" hidden="1">
              <a:extLst>
                <a:ext uri="{63B3BB69-23CF-44E3-9099-C40C66FF867C}">
                  <a14:compatExt spid="_x0000_s2642"/>
                </a:ext>
                <a:ext uri="{FF2B5EF4-FFF2-40B4-BE49-F238E27FC236}">
                  <a16:creationId xmlns:a16="http://schemas.microsoft.com/office/drawing/2014/main" id="{00000000-0008-0000-0000-00005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1847</xdr:row>
          <xdr:rowOff>0</xdr:rowOff>
        </xdr:from>
        <xdr:to>
          <xdr:col>3</xdr:col>
          <xdr:colOff>822960</xdr:colOff>
          <xdr:row>1848</xdr:row>
          <xdr:rowOff>0</xdr:rowOff>
        </xdr:to>
        <xdr:sp macro="" textlink="">
          <xdr:nvSpPr>
            <xdr:cNvPr id="2643" name="Drop Down 1619" hidden="1">
              <a:extLst>
                <a:ext uri="{63B3BB69-23CF-44E3-9099-C40C66FF867C}">
                  <a14:compatExt spid="_x0000_s2643"/>
                </a:ext>
                <a:ext uri="{FF2B5EF4-FFF2-40B4-BE49-F238E27FC236}">
                  <a16:creationId xmlns:a16="http://schemas.microsoft.com/office/drawing/2014/main" id="{00000000-0008-0000-0000-00005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1848</xdr:row>
          <xdr:rowOff>0</xdr:rowOff>
        </xdr:from>
        <xdr:to>
          <xdr:col>3</xdr:col>
          <xdr:colOff>853440</xdr:colOff>
          <xdr:row>1848</xdr:row>
          <xdr:rowOff>320040</xdr:rowOff>
        </xdr:to>
        <xdr:sp macro="" textlink="">
          <xdr:nvSpPr>
            <xdr:cNvPr id="2644" name="Drop Down 1620" hidden="1">
              <a:extLst>
                <a:ext uri="{63B3BB69-23CF-44E3-9099-C40C66FF867C}">
                  <a14:compatExt spid="_x0000_s2644"/>
                </a:ext>
                <a:ext uri="{FF2B5EF4-FFF2-40B4-BE49-F238E27FC236}">
                  <a16:creationId xmlns:a16="http://schemas.microsoft.com/office/drawing/2014/main" id="{00000000-0008-0000-0000-00005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1875</xdr:row>
          <xdr:rowOff>0</xdr:rowOff>
        </xdr:from>
        <xdr:to>
          <xdr:col>5</xdr:col>
          <xdr:colOff>0</xdr:colOff>
          <xdr:row>1875</xdr:row>
          <xdr:rowOff>213360</xdr:rowOff>
        </xdr:to>
        <xdr:sp macro="" textlink="">
          <xdr:nvSpPr>
            <xdr:cNvPr id="2668" name="Drop Down 1644" hidden="1">
              <a:extLst>
                <a:ext uri="{63B3BB69-23CF-44E3-9099-C40C66FF867C}">
                  <a14:compatExt spid="_x0000_s2668"/>
                </a:ext>
                <a:ext uri="{FF2B5EF4-FFF2-40B4-BE49-F238E27FC236}">
                  <a16:creationId xmlns:a16="http://schemas.microsoft.com/office/drawing/2014/main" id="{00000000-0008-0000-0000-00006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1946</xdr:row>
          <xdr:rowOff>0</xdr:rowOff>
        </xdr:from>
        <xdr:to>
          <xdr:col>5</xdr:col>
          <xdr:colOff>815340</xdr:colOff>
          <xdr:row>1946</xdr:row>
          <xdr:rowOff>320040</xdr:rowOff>
        </xdr:to>
        <xdr:sp macro="" textlink="">
          <xdr:nvSpPr>
            <xdr:cNvPr id="2669" name="Drop Down 1645" hidden="1">
              <a:extLst>
                <a:ext uri="{63B3BB69-23CF-44E3-9099-C40C66FF867C}">
                  <a14:compatExt spid="_x0000_s2669"/>
                </a:ext>
                <a:ext uri="{FF2B5EF4-FFF2-40B4-BE49-F238E27FC236}">
                  <a16:creationId xmlns:a16="http://schemas.microsoft.com/office/drawing/2014/main" id="{00000000-0008-0000-0000-00006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1947</xdr:row>
          <xdr:rowOff>0</xdr:rowOff>
        </xdr:from>
        <xdr:to>
          <xdr:col>5</xdr:col>
          <xdr:colOff>815340</xdr:colOff>
          <xdr:row>1947</xdr:row>
          <xdr:rowOff>320040</xdr:rowOff>
        </xdr:to>
        <xdr:sp macro="" textlink="">
          <xdr:nvSpPr>
            <xdr:cNvPr id="2670" name="Drop Down 1646" hidden="1">
              <a:extLst>
                <a:ext uri="{63B3BB69-23CF-44E3-9099-C40C66FF867C}">
                  <a14:compatExt spid="_x0000_s2670"/>
                </a:ext>
                <a:ext uri="{FF2B5EF4-FFF2-40B4-BE49-F238E27FC236}">
                  <a16:creationId xmlns:a16="http://schemas.microsoft.com/office/drawing/2014/main" id="{00000000-0008-0000-0000-00006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1948</xdr:row>
          <xdr:rowOff>0</xdr:rowOff>
        </xdr:from>
        <xdr:to>
          <xdr:col>5</xdr:col>
          <xdr:colOff>815340</xdr:colOff>
          <xdr:row>1948</xdr:row>
          <xdr:rowOff>320040</xdr:rowOff>
        </xdr:to>
        <xdr:sp macro="" textlink="">
          <xdr:nvSpPr>
            <xdr:cNvPr id="2671" name="Drop Down 1647" hidden="1">
              <a:extLst>
                <a:ext uri="{63B3BB69-23CF-44E3-9099-C40C66FF867C}">
                  <a14:compatExt spid="_x0000_s2671"/>
                </a:ext>
                <a:ext uri="{FF2B5EF4-FFF2-40B4-BE49-F238E27FC236}">
                  <a16:creationId xmlns:a16="http://schemas.microsoft.com/office/drawing/2014/main" id="{00000000-0008-0000-0000-00006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1947</xdr:row>
          <xdr:rowOff>0</xdr:rowOff>
        </xdr:from>
        <xdr:to>
          <xdr:col>10</xdr:col>
          <xdr:colOff>1821180</xdr:colOff>
          <xdr:row>1947</xdr:row>
          <xdr:rowOff>320040</xdr:rowOff>
        </xdr:to>
        <xdr:sp macro="" textlink="">
          <xdr:nvSpPr>
            <xdr:cNvPr id="2674" name="Drop Down 1650" hidden="1">
              <a:extLst>
                <a:ext uri="{63B3BB69-23CF-44E3-9099-C40C66FF867C}">
                  <a14:compatExt spid="_x0000_s2674"/>
                </a:ext>
                <a:ext uri="{FF2B5EF4-FFF2-40B4-BE49-F238E27FC236}">
                  <a16:creationId xmlns:a16="http://schemas.microsoft.com/office/drawing/2014/main" id="{00000000-0008-0000-0000-00007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1948</xdr:row>
          <xdr:rowOff>0</xdr:rowOff>
        </xdr:from>
        <xdr:to>
          <xdr:col>10</xdr:col>
          <xdr:colOff>1821180</xdr:colOff>
          <xdr:row>1948</xdr:row>
          <xdr:rowOff>320040</xdr:rowOff>
        </xdr:to>
        <xdr:sp macro="" textlink="">
          <xdr:nvSpPr>
            <xdr:cNvPr id="2675" name="Drop Down 1651" hidden="1">
              <a:extLst>
                <a:ext uri="{63B3BB69-23CF-44E3-9099-C40C66FF867C}">
                  <a14:compatExt spid="_x0000_s2675"/>
                </a:ext>
                <a:ext uri="{FF2B5EF4-FFF2-40B4-BE49-F238E27FC236}">
                  <a16:creationId xmlns:a16="http://schemas.microsoft.com/office/drawing/2014/main" id="{00000000-0008-0000-0000-00007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1946</xdr:row>
          <xdr:rowOff>0</xdr:rowOff>
        </xdr:from>
        <xdr:to>
          <xdr:col>10</xdr:col>
          <xdr:colOff>1821180</xdr:colOff>
          <xdr:row>1946</xdr:row>
          <xdr:rowOff>320040</xdr:rowOff>
        </xdr:to>
        <xdr:sp macro="" textlink="">
          <xdr:nvSpPr>
            <xdr:cNvPr id="2678" name="Drop Down 1654" hidden="1">
              <a:extLst>
                <a:ext uri="{63B3BB69-23CF-44E3-9099-C40C66FF867C}">
                  <a14:compatExt spid="_x0000_s2678"/>
                </a:ext>
                <a:ext uri="{FF2B5EF4-FFF2-40B4-BE49-F238E27FC236}">
                  <a16:creationId xmlns:a16="http://schemas.microsoft.com/office/drawing/2014/main" id="{00000000-0008-0000-0000-000076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1946</xdr:row>
          <xdr:rowOff>0</xdr:rowOff>
        </xdr:from>
        <xdr:to>
          <xdr:col>4</xdr:col>
          <xdr:colOff>0</xdr:colOff>
          <xdr:row>1946</xdr:row>
          <xdr:rowOff>297180</xdr:rowOff>
        </xdr:to>
        <xdr:sp macro="" textlink="">
          <xdr:nvSpPr>
            <xdr:cNvPr id="2679" name="Drop Down 1655" hidden="1">
              <a:extLst>
                <a:ext uri="{63B3BB69-23CF-44E3-9099-C40C66FF867C}">
                  <a14:compatExt spid="_x0000_s2679"/>
                </a:ext>
                <a:ext uri="{FF2B5EF4-FFF2-40B4-BE49-F238E27FC236}">
                  <a16:creationId xmlns:a16="http://schemas.microsoft.com/office/drawing/2014/main" id="{00000000-0008-0000-0000-00007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1947</xdr:row>
          <xdr:rowOff>0</xdr:rowOff>
        </xdr:from>
        <xdr:to>
          <xdr:col>3</xdr:col>
          <xdr:colOff>853440</xdr:colOff>
          <xdr:row>1947</xdr:row>
          <xdr:rowOff>320040</xdr:rowOff>
        </xdr:to>
        <xdr:sp macro="" textlink="">
          <xdr:nvSpPr>
            <xdr:cNvPr id="2680" name="Drop Down 1656" hidden="1">
              <a:extLst>
                <a:ext uri="{63B3BB69-23CF-44E3-9099-C40C66FF867C}">
                  <a14:compatExt spid="_x0000_s2680"/>
                </a:ext>
                <a:ext uri="{FF2B5EF4-FFF2-40B4-BE49-F238E27FC236}">
                  <a16:creationId xmlns:a16="http://schemas.microsoft.com/office/drawing/2014/main" id="{00000000-0008-0000-0000-00007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1948</xdr:row>
          <xdr:rowOff>0</xdr:rowOff>
        </xdr:from>
        <xdr:to>
          <xdr:col>3</xdr:col>
          <xdr:colOff>830580</xdr:colOff>
          <xdr:row>1949</xdr:row>
          <xdr:rowOff>0</xdr:rowOff>
        </xdr:to>
        <xdr:sp macro="" textlink="">
          <xdr:nvSpPr>
            <xdr:cNvPr id="2681" name="Drop Down 1657" hidden="1">
              <a:extLst>
                <a:ext uri="{63B3BB69-23CF-44E3-9099-C40C66FF867C}">
                  <a14:compatExt spid="_x0000_s2681"/>
                </a:ext>
                <a:ext uri="{FF2B5EF4-FFF2-40B4-BE49-F238E27FC236}">
                  <a16:creationId xmlns:a16="http://schemas.microsoft.com/office/drawing/2014/main" id="{00000000-0008-0000-0000-00007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1975</xdr:row>
          <xdr:rowOff>0</xdr:rowOff>
        </xdr:from>
        <xdr:to>
          <xdr:col>5</xdr:col>
          <xdr:colOff>0</xdr:colOff>
          <xdr:row>1975</xdr:row>
          <xdr:rowOff>213360</xdr:rowOff>
        </xdr:to>
        <xdr:sp macro="" textlink="">
          <xdr:nvSpPr>
            <xdr:cNvPr id="2705" name="Drop Down 1681" hidden="1">
              <a:extLst>
                <a:ext uri="{63B3BB69-23CF-44E3-9099-C40C66FF867C}">
                  <a14:compatExt spid="_x0000_s2705"/>
                </a:ext>
                <a:ext uri="{FF2B5EF4-FFF2-40B4-BE49-F238E27FC236}">
                  <a16:creationId xmlns:a16="http://schemas.microsoft.com/office/drawing/2014/main" id="{00000000-0008-0000-0000-00009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0</xdr:row>
          <xdr:rowOff>15240</xdr:rowOff>
        </xdr:from>
        <xdr:to>
          <xdr:col>11</xdr:col>
          <xdr:colOff>1348740</xdr:colOff>
          <xdr:row>1</xdr:row>
          <xdr:rowOff>30480</xdr:rowOff>
        </xdr:to>
        <xdr:sp macro="" textlink="">
          <xdr:nvSpPr>
            <xdr:cNvPr id="3187" name="Button 2163" hidden="1">
              <a:extLst>
                <a:ext uri="{63B3BB69-23CF-44E3-9099-C40C66FF867C}">
                  <a14:compatExt spid="_x0000_s3187"/>
                </a:ext>
                <a:ext uri="{FF2B5EF4-FFF2-40B4-BE49-F238E27FC236}">
                  <a16:creationId xmlns:a16="http://schemas.microsoft.com/office/drawing/2014/main" id="{00000000-0008-0000-0000-0000730C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en-US" sz="1400" b="1" i="0" u="none" strike="noStrike" baseline="0">
                  <a:solidFill>
                    <a:srgbClr val="000080"/>
                  </a:solidFill>
                  <a:latin typeface="Arial"/>
                  <a:cs typeface="Arial"/>
                </a:rPr>
                <a:t>PLEASE READ THE NOTES TO TENDERER BY CLICKING HERE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9</xdr:row>
          <xdr:rowOff>152400</xdr:rowOff>
        </xdr:from>
        <xdr:to>
          <xdr:col>4</xdr:col>
          <xdr:colOff>0</xdr:colOff>
          <xdr:row>11</xdr:row>
          <xdr:rowOff>0</xdr:rowOff>
        </xdr:to>
        <xdr:sp macro="" textlink="">
          <xdr:nvSpPr>
            <xdr:cNvPr id="3188" name="Button 2164" hidden="1">
              <a:extLst>
                <a:ext uri="{63B3BB69-23CF-44E3-9099-C40C66FF867C}">
                  <a14:compatExt spid="_x0000_s3188"/>
                </a:ext>
                <a:ext uri="{FF2B5EF4-FFF2-40B4-BE49-F238E27FC236}">
                  <a16:creationId xmlns:a16="http://schemas.microsoft.com/office/drawing/2014/main" id="{00000000-0008-0000-0000-000074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108</xdr:col>
          <xdr:colOff>0</xdr:colOff>
          <xdr:row>0</xdr:row>
          <xdr:rowOff>0</xdr:rowOff>
        </xdr:from>
        <xdr:to>
          <xdr:col>111</xdr:col>
          <xdr:colOff>457200</xdr:colOff>
          <xdr:row>0</xdr:row>
          <xdr:rowOff>411480</xdr:rowOff>
        </xdr:to>
        <xdr:sp macro="" textlink="">
          <xdr:nvSpPr>
            <xdr:cNvPr id="3198" name="Button 2174" hidden="1">
              <a:extLst>
                <a:ext uri="{63B3BB69-23CF-44E3-9099-C40C66FF867C}">
                  <a14:compatExt spid="_x0000_s3198"/>
                </a:ext>
                <a:ext uri="{FF2B5EF4-FFF2-40B4-BE49-F238E27FC236}">
                  <a16:creationId xmlns:a16="http://schemas.microsoft.com/office/drawing/2014/main" id="{00000000-0008-0000-0000-00007E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1" i="0" u="none" strike="noStrike" baseline="0">
                  <a:solidFill>
                    <a:srgbClr val="000080"/>
                  </a:solidFill>
                  <a:latin typeface="Arial"/>
                  <a:cs typeface="Arial"/>
                </a:rPr>
                <a:t>Setup Print for Notes to Tenderer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46</xdr:row>
          <xdr:rowOff>0</xdr:rowOff>
        </xdr:from>
        <xdr:to>
          <xdr:col>7</xdr:col>
          <xdr:colOff>624840</xdr:colOff>
          <xdr:row>47</xdr:row>
          <xdr:rowOff>0</xdr:rowOff>
        </xdr:to>
        <xdr:sp macro="" textlink="">
          <xdr:nvSpPr>
            <xdr:cNvPr id="3243" name="Drop Down 2219" hidden="1">
              <a:extLst>
                <a:ext uri="{63B3BB69-23CF-44E3-9099-C40C66FF867C}">
                  <a14:compatExt spid="_x0000_s3243"/>
                </a:ext>
                <a:ext uri="{FF2B5EF4-FFF2-40B4-BE49-F238E27FC236}">
                  <a16:creationId xmlns:a16="http://schemas.microsoft.com/office/drawing/2014/main" id="{00000000-0008-0000-0000-0000A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46</xdr:row>
          <xdr:rowOff>15240</xdr:rowOff>
        </xdr:from>
        <xdr:to>
          <xdr:col>7</xdr:col>
          <xdr:colOff>1272540</xdr:colOff>
          <xdr:row>47</xdr:row>
          <xdr:rowOff>0</xdr:rowOff>
        </xdr:to>
        <xdr:sp macro="" textlink="">
          <xdr:nvSpPr>
            <xdr:cNvPr id="3244" name="Drop Down 2220" hidden="1">
              <a:extLst>
                <a:ext uri="{63B3BB69-23CF-44E3-9099-C40C66FF867C}">
                  <a14:compatExt spid="_x0000_s3244"/>
                </a:ext>
                <a:ext uri="{FF2B5EF4-FFF2-40B4-BE49-F238E27FC236}">
                  <a16:creationId xmlns:a16="http://schemas.microsoft.com/office/drawing/2014/main" id="{00000000-0008-0000-0000-0000A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46</xdr:row>
          <xdr:rowOff>15240</xdr:rowOff>
        </xdr:from>
        <xdr:to>
          <xdr:col>7</xdr:col>
          <xdr:colOff>1805940</xdr:colOff>
          <xdr:row>46</xdr:row>
          <xdr:rowOff>320040</xdr:rowOff>
        </xdr:to>
        <xdr:sp macro="" textlink="">
          <xdr:nvSpPr>
            <xdr:cNvPr id="3245" name="Drop Down 2221" hidden="1">
              <a:extLst>
                <a:ext uri="{63B3BB69-23CF-44E3-9099-C40C66FF867C}">
                  <a14:compatExt spid="_x0000_s3245"/>
                </a:ext>
                <a:ext uri="{FF2B5EF4-FFF2-40B4-BE49-F238E27FC236}">
                  <a16:creationId xmlns:a16="http://schemas.microsoft.com/office/drawing/2014/main" id="{00000000-0008-0000-0000-0000A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47</xdr:row>
          <xdr:rowOff>0</xdr:rowOff>
        </xdr:from>
        <xdr:to>
          <xdr:col>7</xdr:col>
          <xdr:colOff>624840</xdr:colOff>
          <xdr:row>48</xdr:row>
          <xdr:rowOff>0</xdr:rowOff>
        </xdr:to>
        <xdr:sp macro="" textlink="">
          <xdr:nvSpPr>
            <xdr:cNvPr id="3246" name="Drop Down 2222" hidden="1">
              <a:extLst>
                <a:ext uri="{63B3BB69-23CF-44E3-9099-C40C66FF867C}">
                  <a14:compatExt spid="_x0000_s3246"/>
                </a:ext>
                <a:ext uri="{FF2B5EF4-FFF2-40B4-BE49-F238E27FC236}">
                  <a16:creationId xmlns:a16="http://schemas.microsoft.com/office/drawing/2014/main" id="{00000000-0008-0000-0000-0000A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47</xdr:row>
          <xdr:rowOff>15240</xdr:rowOff>
        </xdr:from>
        <xdr:to>
          <xdr:col>7</xdr:col>
          <xdr:colOff>1272540</xdr:colOff>
          <xdr:row>48</xdr:row>
          <xdr:rowOff>0</xdr:rowOff>
        </xdr:to>
        <xdr:sp macro="" textlink="">
          <xdr:nvSpPr>
            <xdr:cNvPr id="3247" name="Drop Down 2223" hidden="1">
              <a:extLst>
                <a:ext uri="{63B3BB69-23CF-44E3-9099-C40C66FF867C}">
                  <a14:compatExt spid="_x0000_s3247"/>
                </a:ext>
                <a:ext uri="{FF2B5EF4-FFF2-40B4-BE49-F238E27FC236}">
                  <a16:creationId xmlns:a16="http://schemas.microsoft.com/office/drawing/2014/main" id="{00000000-0008-0000-0000-0000A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47</xdr:row>
          <xdr:rowOff>15240</xdr:rowOff>
        </xdr:from>
        <xdr:to>
          <xdr:col>7</xdr:col>
          <xdr:colOff>1805940</xdr:colOff>
          <xdr:row>47</xdr:row>
          <xdr:rowOff>320040</xdr:rowOff>
        </xdr:to>
        <xdr:sp macro="" textlink="">
          <xdr:nvSpPr>
            <xdr:cNvPr id="3248" name="Drop Down 2224" hidden="1">
              <a:extLst>
                <a:ext uri="{63B3BB69-23CF-44E3-9099-C40C66FF867C}">
                  <a14:compatExt spid="_x0000_s3248"/>
                </a:ext>
                <a:ext uri="{FF2B5EF4-FFF2-40B4-BE49-F238E27FC236}">
                  <a16:creationId xmlns:a16="http://schemas.microsoft.com/office/drawing/2014/main" id="{00000000-0008-0000-0000-0000B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48</xdr:row>
          <xdr:rowOff>0</xdr:rowOff>
        </xdr:from>
        <xdr:to>
          <xdr:col>7</xdr:col>
          <xdr:colOff>624840</xdr:colOff>
          <xdr:row>49</xdr:row>
          <xdr:rowOff>0</xdr:rowOff>
        </xdr:to>
        <xdr:sp macro="" textlink="">
          <xdr:nvSpPr>
            <xdr:cNvPr id="3249" name="Drop Down 2225" hidden="1">
              <a:extLst>
                <a:ext uri="{63B3BB69-23CF-44E3-9099-C40C66FF867C}">
                  <a14:compatExt spid="_x0000_s3249"/>
                </a:ext>
                <a:ext uri="{FF2B5EF4-FFF2-40B4-BE49-F238E27FC236}">
                  <a16:creationId xmlns:a16="http://schemas.microsoft.com/office/drawing/2014/main" id="{00000000-0008-0000-0000-0000B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48</xdr:row>
          <xdr:rowOff>15240</xdr:rowOff>
        </xdr:from>
        <xdr:to>
          <xdr:col>7</xdr:col>
          <xdr:colOff>1272540</xdr:colOff>
          <xdr:row>49</xdr:row>
          <xdr:rowOff>0</xdr:rowOff>
        </xdr:to>
        <xdr:sp macro="" textlink="">
          <xdr:nvSpPr>
            <xdr:cNvPr id="3250" name="Drop Down 2226" hidden="1">
              <a:extLst>
                <a:ext uri="{63B3BB69-23CF-44E3-9099-C40C66FF867C}">
                  <a14:compatExt spid="_x0000_s3250"/>
                </a:ext>
                <a:ext uri="{FF2B5EF4-FFF2-40B4-BE49-F238E27FC236}">
                  <a16:creationId xmlns:a16="http://schemas.microsoft.com/office/drawing/2014/main" id="{00000000-0008-0000-0000-0000B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48</xdr:row>
          <xdr:rowOff>15240</xdr:rowOff>
        </xdr:from>
        <xdr:to>
          <xdr:col>7</xdr:col>
          <xdr:colOff>1805940</xdr:colOff>
          <xdr:row>48</xdr:row>
          <xdr:rowOff>320040</xdr:rowOff>
        </xdr:to>
        <xdr:sp macro="" textlink="">
          <xdr:nvSpPr>
            <xdr:cNvPr id="3251" name="Drop Down 2227" hidden="1">
              <a:extLst>
                <a:ext uri="{63B3BB69-23CF-44E3-9099-C40C66FF867C}">
                  <a14:compatExt spid="_x0000_s3251"/>
                </a:ext>
                <a:ext uri="{FF2B5EF4-FFF2-40B4-BE49-F238E27FC236}">
                  <a16:creationId xmlns:a16="http://schemas.microsoft.com/office/drawing/2014/main" id="{00000000-0008-0000-0000-0000B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75</xdr:row>
          <xdr:rowOff>0</xdr:rowOff>
        </xdr:from>
        <xdr:to>
          <xdr:col>12</xdr:col>
          <xdr:colOff>716280</xdr:colOff>
          <xdr:row>75</xdr:row>
          <xdr:rowOff>220980</xdr:rowOff>
        </xdr:to>
        <xdr:sp macro="" textlink="">
          <xdr:nvSpPr>
            <xdr:cNvPr id="3258" name="Drop Down 2234" hidden="1">
              <a:extLst>
                <a:ext uri="{63B3BB69-23CF-44E3-9099-C40C66FF867C}">
                  <a14:compatExt spid="_x0000_s3258"/>
                </a:ext>
                <a:ext uri="{FF2B5EF4-FFF2-40B4-BE49-F238E27FC236}">
                  <a16:creationId xmlns:a16="http://schemas.microsoft.com/office/drawing/2014/main" id="{00000000-0008-0000-0000-0000B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75</xdr:row>
          <xdr:rowOff>15240</xdr:rowOff>
        </xdr:from>
        <xdr:to>
          <xdr:col>12</xdr:col>
          <xdr:colOff>1325880</xdr:colOff>
          <xdr:row>75</xdr:row>
          <xdr:rowOff>220980</xdr:rowOff>
        </xdr:to>
        <xdr:sp macro="" textlink="">
          <xdr:nvSpPr>
            <xdr:cNvPr id="3259" name="Drop Down 2235" hidden="1">
              <a:extLst>
                <a:ext uri="{63B3BB69-23CF-44E3-9099-C40C66FF867C}">
                  <a14:compatExt spid="_x0000_s3259"/>
                </a:ext>
                <a:ext uri="{FF2B5EF4-FFF2-40B4-BE49-F238E27FC236}">
                  <a16:creationId xmlns:a16="http://schemas.microsoft.com/office/drawing/2014/main" id="{00000000-0008-0000-0000-0000B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75</xdr:row>
          <xdr:rowOff>0</xdr:rowOff>
        </xdr:from>
        <xdr:to>
          <xdr:col>13</xdr:col>
          <xdr:colOff>0</xdr:colOff>
          <xdr:row>75</xdr:row>
          <xdr:rowOff>213360</xdr:rowOff>
        </xdr:to>
        <xdr:sp macro="" textlink="">
          <xdr:nvSpPr>
            <xdr:cNvPr id="3260" name="Drop Down 2236" hidden="1">
              <a:extLst>
                <a:ext uri="{63B3BB69-23CF-44E3-9099-C40C66FF867C}">
                  <a14:compatExt spid="_x0000_s3260"/>
                </a:ext>
                <a:ext uri="{FF2B5EF4-FFF2-40B4-BE49-F238E27FC236}">
                  <a16:creationId xmlns:a16="http://schemas.microsoft.com/office/drawing/2014/main" id="{00000000-0008-0000-0000-0000B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xdr:row>
          <xdr:rowOff>0</xdr:rowOff>
        </xdr:from>
        <xdr:to>
          <xdr:col>12</xdr:col>
          <xdr:colOff>701040</xdr:colOff>
          <xdr:row>77</xdr:row>
          <xdr:rowOff>220980</xdr:rowOff>
        </xdr:to>
        <xdr:sp macro="" textlink="">
          <xdr:nvSpPr>
            <xdr:cNvPr id="3261" name="Drop Down 2237" hidden="1">
              <a:extLst>
                <a:ext uri="{63B3BB69-23CF-44E3-9099-C40C66FF867C}">
                  <a14:compatExt spid="_x0000_s3261"/>
                </a:ext>
                <a:ext uri="{FF2B5EF4-FFF2-40B4-BE49-F238E27FC236}">
                  <a16:creationId xmlns:a16="http://schemas.microsoft.com/office/drawing/2014/main" id="{00000000-0008-0000-0000-0000B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xdr:row>
          <xdr:rowOff>15240</xdr:rowOff>
        </xdr:from>
        <xdr:to>
          <xdr:col>12</xdr:col>
          <xdr:colOff>1310640</xdr:colOff>
          <xdr:row>77</xdr:row>
          <xdr:rowOff>220980</xdr:rowOff>
        </xdr:to>
        <xdr:sp macro="" textlink="">
          <xdr:nvSpPr>
            <xdr:cNvPr id="3262" name="Drop Down 2238" hidden="1">
              <a:extLst>
                <a:ext uri="{63B3BB69-23CF-44E3-9099-C40C66FF867C}">
                  <a14:compatExt spid="_x0000_s3262"/>
                </a:ext>
                <a:ext uri="{FF2B5EF4-FFF2-40B4-BE49-F238E27FC236}">
                  <a16:creationId xmlns:a16="http://schemas.microsoft.com/office/drawing/2014/main" id="{00000000-0008-0000-0000-0000B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76</xdr:row>
          <xdr:rowOff>220980</xdr:rowOff>
        </xdr:from>
        <xdr:to>
          <xdr:col>13</xdr:col>
          <xdr:colOff>0</xdr:colOff>
          <xdr:row>77</xdr:row>
          <xdr:rowOff>220980</xdr:rowOff>
        </xdr:to>
        <xdr:sp macro="" textlink="">
          <xdr:nvSpPr>
            <xdr:cNvPr id="3263" name="Drop Down 2239" hidden="1">
              <a:extLst>
                <a:ext uri="{63B3BB69-23CF-44E3-9099-C40C66FF867C}">
                  <a14:compatExt spid="_x0000_s3263"/>
                </a:ext>
                <a:ext uri="{FF2B5EF4-FFF2-40B4-BE49-F238E27FC236}">
                  <a16:creationId xmlns:a16="http://schemas.microsoft.com/office/drawing/2014/main" id="{00000000-0008-0000-0000-0000B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xdr:row>
          <xdr:rowOff>15240</xdr:rowOff>
        </xdr:from>
        <xdr:to>
          <xdr:col>4</xdr:col>
          <xdr:colOff>205740</xdr:colOff>
          <xdr:row>77</xdr:row>
          <xdr:rowOff>220980</xdr:rowOff>
        </xdr:to>
        <xdr:sp macro="" textlink="">
          <xdr:nvSpPr>
            <xdr:cNvPr id="3264" name="Drop Down 2240" hidden="1">
              <a:extLst>
                <a:ext uri="{63B3BB69-23CF-44E3-9099-C40C66FF867C}">
                  <a14:compatExt spid="_x0000_s3264"/>
                </a:ext>
                <a:ext uri="{FF2B5EF4-FFF2-40B4-BE49-F238E27FC236}">
                  <a16:creationId xmlns:a16="http://schemas.microsoft.com/office/drawing/2014/main" id="{00000000-0008-0000-0000-0000C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xdr:row>
          <xdr:rowOff>15240</xdr:rowOff>
        </xdr:from>
        <xdr:to>
          <xdr:col>4</xdr:col>
          <xdr:colOff>1021080</xdr:colOff>
          <xdr:row>77</xdr:row>
          <xdr:rowOff>220980</xdr:rowOff>
        </xdr:to>
        <xdr:sp macro="" textlink="">
          <xdr:nvSpPr>
            <xdr:cNvPr id="3265" name="Drop Down 2241" hidden="1">
              <a:extLst>
                <a:ext uri="{63B3BB69-23CF-44E3-9099-C40C66FF867C}">
                  <a14:compatExt spid="_x0000_s3265"/>
                </a:ext>
                <a:ext uri="{FF2B5EF4-FFF2-40B4-BE49-F238E27FC236}">
                  <a16:creationId xmlns:a16="http://schemas.microsoft.com/office/drawing/2014/main" id="{00000000-0008-0000-0000-0000C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77</xdr:row>
          <xdr:rowOff>0</xdr:rowOff>
        </xdr:from>
        <xdr:to>
          <xdr:col>4</xdr:col>
          <xdr:colOff>1706880</xdr:colOff>
          <xdr:row>77</xdr:row>
          <xdr:rowOff>220980</xdr:rowOff>
        </xdr:to>
        <xdr:sp macro="" textlink="">
          <xdr:nvSpPr>
            <xdr:cNvPr id="3266" name="Drop Down 2242" hidden="1">
              <a:extLst>
                <a:ext uri="{63B3BB69-23CF-44E3-9099-C40C66FF867C}">
                  <a14:compatExt spid="_x0000_s3266"/>
                </a:ext>
                <a:ext uri="{FF2B5EF4-FFF2-40B4-BE49-F238E27FC236}">
                  <a16:creationId xmlns:a16="http://schemas.microsoft.com/office/drawing/2014/main" id="{00000000-0008-0000-0000-0000C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xdr:row>
          <xdr:rowOff>15240</xdr:rowOff>
        </xdr:from>
        <xdr:to>
          <xdr:col>6</xdr:col>
          <xdr:colOff>259080</xdr:colOff>
          <xdr:row>77</xdr:row>
          <xdr:rowOff>220980</xdr:rowOff>
        </xdr:to>
        <xdr:sp macro="" textlink="">
          <xdr:nvSpPr>
            <xdr:cNvPr id="3267" name="Drop Down 2243" hidden="1">
              <a:extLst>
                <a:ext uri="{63B3BB69-23CF-44E3-9099-C40C66FF867C}">
                  <a14:compatExt spid="_x0000_s3267"/>
                </a:ext>
                <a:ext uri="{FF2B5EF4-FFF2-40B4-BE49-F238E27FC236}">
                  <a16:creationId xmlns:a16="http://schemas.microsoft.com/office/drawing/2014/main" id="{00000000-0008-0000-0000-0000C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xdr:row>
          <xdr:rowOff>15240</xdr:rowOff>
        </xdr:from>
        <xdr:to>
          <xdr:col>6</xdr:col>
          <xdr:colOff>1120140</xdr:colOff>
          <xdr:row>77</xdr:row>
          <xdr:rowOff>220980</xdr:rowOff>
        </xdr:to>
        <xdr:sp macro="" textlink="">
          <xdr:nvSpPr>
            <xdr:cNvPr id="3268" name="Drop Down 2244" hidden="1">
              <a:extLst>
                <a:ext uri="{63B3BB69-23CF-44E3-9099-C40C66FF867C}">
                  <a14:compatExt spid="_x0000_s3268"/>
                </a:ext>
                <a:ext uri="{FF2B5EF4-FFF2-40B4-BE49-F238E27FC236}">
                  <a16:creationId xmlns:a16="http://schemas.microsoft.com/office/drawing/2014/main" id="{00000000-0008-0000-0000-0000C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xdr:row>
          <xdr:rowOff>0</xdr:rowOff>
        </xdr:from>
        <xdr:to>
          <xdr:col>6</xdr:col>
          <xdr:colOff>1805940</xdr:colOff>
          <xdr:row>77</xdr:row>
          <xdr:rowOff>213360</xdr:rowOff>
        </xdr:to>
        <xdr:sp macro="" textlink="">
          <xdr:nvSpPr>
            <xdr:cNvPr id="3269" name="Drop Down 2245" hidden="1">
              <a:extLst>
                <a:ext uri="{63B3BB69-23CF-44E3-9099-C40C66FF867C}">
                  <a14:compatExt spid="_x0000_s3269"/>
                </a:ext>
                <a:ext uri="{FF2B5EF4-FFF2-40B4-BE49-F238E27FC236}">
                  <a16:creationId xmlns:a16="http://schemas.microsoft.com/office/drawing/2014/main" id="{00000000-0008-0000-0000-0000C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146</xdr:row>
          <xdr:rowOff>0</xdr:rowOff>
        </xdr:from>
        <xdr:to>
          <xdr:col>7</xdr:col>
          <xdr:colOff>624840</xdr:colOff>
          <xdr:row>147</xdr:row>
          <xdr:rowOff>0</xdr:rowOff>
        </xdr:to>
        <xdr:sp macro="" textlink="">
          <xdr:nvSpPr>
            <xdr:cNvPr id="3327" name="Drop Down 2303" hidden="1">
              <a:extLst>
                <a:ext uri="{63B3BB69-23CF-44E3-9099-C40C66FF867C}">
                  <a14:compatExt spid="_x0000_s3327"/>
                </a:ext>
                <a:ext uri="{FF2B5EF4-FFF2-40B4-BE49-F238E27FC236}">
                  <a16:creationId xmlns:a16="http://schemas.microsoft.com/office/drawing/2014/main" id="{00000000-0008-0000-0000-0000F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146</xdr:row>
          <xdr:rowOff>15240</xdr:rowOff>
        </xdr:from>
        <xdr:to>
          <xdr:col>7</xdr:col>
          <xdr:colOff>1272540</xdr:colOff>
          <xdr:row>147</xdr:row>
          <xdr:rowOff>0</xdr:rowOff>
        </xdr:to>
        <xdr:sp macro="" textlink="">
          <xdr:nvSpPr>
            <xdr:cNvPr id="3328" name="Drop Down 2304" hidden="1">
              <a:extLst>
                <a:ext uri="{63B3BB69-23CF-44E3-9099-C40C66FF867C}">
                  <a14:compatExt spid="_x0000_s3328"/>
                </a:ext>
                <a:ext uri="{FF2B5EF4-FFF2-40B4-BE49-F238E27FC236}">
                  <a16:creationId xmlns:a16="http://schemas.microsoft.com/office/drawing/2014/main" id="{00000000-0008-0000-0000-00000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146</xdr:row>
          <xdr:rowOff>15240</xdr:rowOff>
        </xdr:from>
        <xdr:to>
          <xdr:col>7</xdr:col>
          <xdr:colOff>1805940</xdr:colOff>
          <xdr:row>146</xdr:row>
          <xdr:rowOff>320040</xdr:rowOff>
        </xdr:to>
        <xdr:sp macro="" textlink="">
          <xdr:nvSpPr>
            <xdr:cNvPr id="3329" name="Drop Down 2305" hidden="1">
              <a:extLst>
                <a:ext uri="{63B3BB69-23CF-44E3-9099-C40C66FF867C}">
                  <a14:compatExt spid="_x0000_s3329"/>
                </a:ext>
                <a:ext uri="{FF2B5EF4-FFF2-40B4-BE49-F238E27FC236}">
                  <a16:creationId xmlns:a16="http://schemas.microsoft.com/office/drawing/2014/main" id="{00000000-0008-0000-0000-00000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147</xdr:row>
          <xdr:rowOff>0</xdr:rowOff>
        </xdr:from>
        <xdr:to>
          <xdr:col>7</xdr:col>
          <xdr:colOff>624840</xdr:colOff>
          <xdr:row>148</xdr:row>
          <xdr:rowOff>0</xdr:rowOff>
        </xdr:to>
        <xdr:sp macro="" textlink="">
          <xdr:nvSpPr>
            <xdr:cNvPr id="3330" name="Drop Down 2306" hidden="1">
              <a:extLst>
                <a:ext uri="{63B3BB69-23CF-44E3-9099-C40C66FF867C}">
                  <a14:compatExt spid="_x0000_s3330"/>
                </a:ext>
                <a:ext uri="{FF2B5EF4-FFF2-40B4-BE49-F238E27FC236}">
                  <a16:creationId xmlns:a16="http://schemas.microsoft.com/office/drawing/2014/main" id="{00000000-0008-0000-0000-00000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147</xdr:row>
          <xdr:rowOff>15240</xdr:rowOff>
        </xdr:from>
        <xdr:to>
          <xdr:col>7</xdr:col>
          <xdr:colOff>1272540</xdr:colOff>
          <xdr:row>148</xdr:row>
          <xdr:rowOff>0</xdr:rowOff>
        </xdr:to>
        <xdr:sp macro="" textlink="">
          <xdr:nvSpPr>
            <xdr:cNvPr id="3331" name="Drop Down 2307" hidden="1">
              <a:extLst>
                <a:ext uri="{63B3BB69-23CF-44E3-9099-C40C66FF867C}">
                  <a14:compatExt spid="_x0000_s3331"/>
                </a:ext>
                <a:ext uri="{FF2B5EF4-FFF2-40B4-BE49-F238E27FC236}">
                  <a16:creationId xmlns:a16="http://schemas.microsoft.com/office/drawing/2014/main" id="{00000000-0008-0000-0000-00000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147</xdr:row>
          <xdr:rowOff>15240</xdr:rowOff>
        </xdr:from>
        <xdr:to>
          <xdr:col>7</xdr:col>
          <xdr:colOff>1805940</xdr:colOff>
          <xdr:row>147</xdr:row>
          <xdr:rowOff>320040</xdr:rowOff>
        </xdr:to>
        <xdr:sp macro="" textlink="">
          <xdr:nvSpPr>
            <xdr:cNvPr id="3332" name="Drop Down 2308" hidden="1">
              <a:extLst>
                <a:ext uri="{63B3BB69-23CF-44E3-9099-C40C66FF867C}">
                  <a14:compatExt spid="_x0000_s3332"/>
                </a:ext>
                <a:ext uri="{FF2B5EF4-FFF2-40B4-BE49-F238E27FC236}">
                  <a16:creationId xmlns:a16="http://schemas.microsoft.com/office/drawing/2014/main" id="{00000000-0008-0000-0000-00000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148</xdr:row>
          <xdr:rowOff>0</xdr:rowOff>
        </xdr:from>
        <xdr:to>
          <xdr:col>7</xdr:col>
          <xdr:colOff>624840</xdr:colOff>
          <xdr:row>149</xdr:row>
          <xdr:rowOff>0</xdr:rowOff>
        </xdr:to>
        <xdr:sp macro="" textlink="">
          <xdr:nvSpPr>
            <xdr:cNvPr id="3333" name="Drop Down 2309" hidden="1">
              <a:extLst>
                <a:ext uri="{63B3BB69-23CF-44E3-9099-C40C66FF867C}">
                  <a14:compatExt spid="_x0000_s3333"/>
                </a:ext>
                <a:ext uri="{FF2B5EF4-FFF2-40B4-BE49-F238E27FC236}">
                  <a16:creationId xmlns:a16="http://schemas.microsoft.com/office/drawing/2014/main" id="{00000000-0008-0000-0000-00000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148</xdr:row>
          <xdr:rowOff>15240</xdr:rowOff>
        </xdr:from>
        <xdr:to>
          <xdr:col>7</xdr:col>
          <xdr:colOff>1272540</xdr:colOff>
          <xdr:row>149</xdr:row>
          <xdr:rowOff>0</xdr:rowOff>
        </xdr:to>
        <xdr:sp macro="" textlink="">
          <xdr:nvSpPr>
            <xdr:cNvPr id="3334" name="Drop Down 2310" hidden="1">
              <a:extLst>
                <a:ext uri="{63B3BB69-23CF-44E3-9099-C40C66FF867C}">
                  <a14:compatExt spid="_x0000_s3334"/>
                </a:ext>
                <a:ext uri="{FF2B5EF4-FFF2-40B4-BE49-F238E27FC236}">
                  <a16:creationId xmlns:a16="http://schemas.microsoft.com/office/drawing/2014/main" id="{00000000-0008-0000-0000-00000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148</xdr:row>
          <xdr:rowOff>15240</xdr:rowOff>
        </xdr:from>
        <xdr:to>
          <xdr:col>7</xdr:col>
          <xdr:colOff>1805940</xdr:colOff>
          <xdr:row>148</xdr:row>
          <xdr:rowOff>320040</xdr:rowOff>
        </xdr:to>
        <xdr:sp macro="" textlink="">
          <xdr:nvSpPr>
            <xdr:cNvPr id="3335" name="Drop Down 2311" hidden="1">
              <a:extLst>
                <a:ext uri="{63B3BB69-23CF-44E3-9099-C40C66FF867C}">
                  <a14:compatExt spid="_x0000_s3335"/>
                </a:ext>
                <a:ext uri="{FF2B5EF4-FFF2-40B4-BE49-F238E27FC236}">
                  <a16:creationId xmlns:a16="http://schemas.microsoft.com/office/drawing/2014/main" id="{00000000-0008-0000-0000-00000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xdr:row>
          <xdr:rowOff>15240</xdr:rowOff>
        </xdr:from>
        <xdr:to>
          <xdr:col>4</xdr:col>
          <xdr:colOff>205740</xdr:colOff>
          <xdr:row>177</xdr:row>
          <xdr:rowOff>220980</xdr:rowOff>
        </xdr:to>
        <xdr:sp macro="" textlink="">
          <xdr:nvSpPr>
            <xdr:cNvPr id="3342" name="Drop Down 2318" hidden="1">
              <a:extLst>
                <a:ext uri="{63B3BB69-23CF-44E3-9099-C40C66FF867C}">
                  <a14:compatExt spid="_x0000_s3342"/>
                </a:ext>
                <a:ext uri="{FF2B5EF4-FFF2-40B4-BE49-F238E27FC236}">
                  <a16:creationId xmlns:a16="http://schemas.microsoft.com/office/drawing/2014/main" id="{00000000-0008-0000-0000-00000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xdr:row>
          <xdr:rowOff>15240</xdr:rowOff>
        </xdr:from>
        <xdr:to>
          <xdr:col>4</xdr:col>
          <xdr:colOff>1021080</xdr:colOff>
          <xdr:row>177</xdr:row>
          <xdr:rowOff>220980</xdr:rowOff>
        </xdr:to>
        <xdr:sp macro="" textlink="">
          <xdr:nvSpPr>
            <xdr:cNvPr id="3343" name="Drop Down 2319" hidden="1">
              <a:extLst>
                <a:ext uri="{63B3BB69-23CF-44E3-9099-C40C66FF867C}">
                  <a14:compatExt spid="_x0000_s3343"/>
                </a:ext>
                <a:ext uri="{FF2B5EF4-FFF2-40B4-BE49-F238E27FC236}">
                  <a16:creationId xmlns:a16="http://schemas.microsoft.com/office/drawing/2014/main" id="{00000000-0008-0000-0000-00000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xdr:row>
          <xdr:rowOff>0</xdr:rowOff>
        </xdr:from>
        <xdr:to>
          <xdr:col>4</xdr:col>
          <xdr:colOff>1706880</xdr:colOff>
          <xdr:row>177</xdr:row>
          <xdr:rowOff>220980</xdr:rowOff>
        </xdr:to>
        <xdr:sp macro="" textlink="">
          <xdr:nvSpPr>
            <xdr:cNvPr id="3344" name="Drop Down 2320" hidden="1">
              <a:extLst>
                <a:ext uri="{63B3BB69-23CF-44E3-9099-C40C66FF867C}">
                  <a14:compatExt spid="_x0000_s3344"/>
                </a:ext>
                <a:ext uri="{FF2B5EF4-FFF2-40B4-BE49-F238E27FC236}">
                  <a16:creationId xmlns:a16="http://schemas.microsoft.com/office/drawing/2014/main" id="{00000000-0008-0000-0000-00001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xdr:row>
          <xdr:rowOff>15240</xdr:rowOff>
        </xdr:from>
        <xdr:to>
          <xdr:col>6</xdr:col>
          <xdr:colOff>259080</xdr:colOff>
          <xdr:row>177</xdr:row>
          <xdr:rowOff>220980</xdr:rowOff>
        </xdr:to>
        <xdr:sp macro="" textlink="">
          <xdr:nvSpPr>
            <xdr:cNvPr id="3345" name="Drop Down 2321" hidden="1">
              <a:extLst>
                <a:ext uri="{63B3BB69-23CF-44E3-9099-C40C66FF867C}">
                  <a14:compatExt spid="_x0000_s3345"/>
                </a:ext>
                <a:ext uri="{FF2B5EF4-FFF2-40B4-BE49-F238E27FC236}">
                  <a16:creationId xmlns:a16="http://schemas.microsoft.com/office/drawing/2014/main" id="{00000000-0008-0000-0000-00001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xdr:row>
          <xdr:rowOff>15240</xdr:rowOff>
        </xdr:from>
        <xdr:to>
          <xdr:col>6</xdr:col>
          <xdr:colOff>1120140</xdr:colOff>
          <xdr:row>177</xdr:row>
          <xdr:rowOff>220980</xdr:rowOff>
        </xdr:to>
        <xdr:sp macro="" textlink="">
          <xdr:nvSpPr>
            <xdr:cNvPr id="3346" name="Drop Down 2322" hidden="1">
              <a:extLst>
                <a:ext uri="{63B3BB69-23CF-44E3-9099-C40C66FF867C}">
                  <a14:compatExt spid="_x0000_s3346"/>
                </a:ext>
                <a:ext uri="{FF2B5EF4-FFF2-40B4-BE49-F238E27FC236}">
                  <a16:creationId xmlns:a16="http://schemas.microsoft.com/office/drawing/2014/main" id="{00000000-0008-0000-0000-00001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xdr:row>
          <xdr:rowOff>0</xdr:rowOff>
        </xdr:from>
        <xdr:to>
          <xdr:col>6</xdr:col>
          <xdr:colOff>1805940</xdr:colOff>
          <xdr:row>177</xdr:row>
          <xdr:rowOff>220980</xdr:rowOff>
        </xdr:to>
        <xdr:sp macro="" textlink="">
          <xdr:nvSpPr>
            <xdr:cNvPr id="3347" name="Drop Down 2323" hidden="1">
              <a:extLst>
                <a:ext uri="{63B3BB69-23CF-44E3-9099-C40C66FF867C}">
                  <a14:compatExt spid="_x0000_s3347"/>
                </a:ext>
                <a:ext uri="{FF2B5EF4-FFF2-40B4-BE49-F238E27FC236}">
                  <a16:creationId xmlns:a16="http://schemas.microsoft.com/office/drawing/2014/main" id="{00000000-0008-0000-0000-00001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175</xdr:row>
          <xdr:rowOff>0</xdr:rowOff>
        </xdr:from>
        <xdr:to>
          <xdr:col>12</xdr:col>
          <xdr:colOff>716280</xdr:colOff>
          <xdr:row>175</xdr:row>
          <xdr:rowOff>220980</xdr:rowOff>
        </xdr:to>
        <xdr:sp macro="" textlink="">
          <xdr:nvSpPr>
            <xdr:cNvPr id="3351" name="Drop Down 2327" hidden="1">
              <a:extLst>
                <a:ext uri="{63B3BB69-23CF-44E3-9099-C40C66FF867C}">
                  <a14:compatExt spid="_x0000_s3351"/>
                </a:ext>
                <a:ext uri="{FF2B5EF4-FFF2-40B4-BE49-F238E27FC236}">
                  <a16:creationId xmlns:a16="http://schemas.microsoft.com/office/drawing/2014/main" id="{00000000-0008-0000-0000-00001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175</xdr:row>
          <xdr:rowOff>15240</xdr:rowOff>
        </xdr:from>
        <xdr:to>
          <xdr:col>12</xdr:col>
          <xdr:colOff>1325880</xdr:colOff>
          <xdr:row>175</xdr:row>
          <xdr:rowOff>220980</xdr:rowOff>
        </xdr:to>
        <xdr:sp macro="" textlink="">
          <xdr:nvSpPr>
            <xdr:cNvPr id="3352" name="Drop Down 2328" hidden="1">
              <a:extLst>
                <a:ext uri="{63B3BB69-23CF-44E3-9099-C40C66FF867C}">
                  <a14:compatExt spid="_x0000_s3352"/>
                </a:ext>
                <a:ext uri="{FF2B5EF4-FFF2-40B4-BE49-F238E27FC236}">
                  <a16:creationId xmlns:a16="http://schemas.microsoft.com/office/drawing/2014/main" id="{00000000-0008-0000-0000-00001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175</xdr:row>
          <xdr:rowOff>0</xdr:rowOff>
        </xdr:from>
        <xdr:to>
          <xdr:col>13</xdr:col>
          <xdr:colOff>0</xdr:colOff>
          <xdr:row>175</xdr:row>
          <xdr:rowOff>220980</xdr:rowOff>
        </xdr:to>
        <xdr:sp macro="" textlink="">
          <xdr:nvSpPr>
            <xdr:cNvPr id="3353" name="Drop Down 2329" hidden="1">
              <a:extLst>
                <a:ext uri="{63B3BB69-23CF-44E3-9099-C40C66FF867C}">
                  <a14:compatExt spid="_x0000_s3353"/>
                </a:ext>
                <a:ext uri="{FF2B5EF4-FFF2-40B4-BE49-F238E27FC236}">
                  <a16:creationId xmlns:a16="http://schemas.microsoft.com/office/drawing/2014/main" id="{00000000-0008-0000-0000-00001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xdr:row>
          <xdr:rowOff>0</xdr:rowOff>
        </xdr:from>
        <xdr:to>
          <xdr:col>12</xdr:col>
          <xdr:colOff>701040</xdr:colOff>
          <xdr:row>177</xdr:row>
          <xdr:rowOff>220980</xdr:rowOff>
        </xdr:to>
        <xdr:sp macro="" textlink="">
          <xdr:nvSpPr>
            <xdr:cNvPr id="3354" name="Drop Down 2330" hidden="1">
              <a:extLst>
                <a:ext uri="{63B3BB69-23CF-44E3-9099-C40C66FF867C}">
                  <a14:compatExt spid="_x0000_s3354"/>
                </a:ext>
                <a:ext uri="{FF2B5EF4-FFF2-40B4-BE49-F238E27FC236}">
                  <a16:creationId xmlns:a16="http://schemas.microsoft.com/office/drawing/2014/main" id="{00000000-0008-0000-0000-00001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xdr:row>
          <xdr:rowOff>15240</xdr:rowOff>
        </xdr:from>
        <xdr:to>
          <xdr:col>12</xdr:col>
          <xdr:colOff>1310640</xdr:colOff>
          <xdr:row>177</xdr:row>
          <xdr:rowOff>220980</xdr:rowOff>
        </xdr:to>
        <xdr:sp macro="" textlink="">
          <xdr:nvSpPr>
            <xdr:cNvPr id="3355" name="Drop Down 2331" hidden="1">
              <a:extLst>
                <a:ext uri="{63B3BB69-23CF-44E3-9099-C40C66FF867C}">
                  <a14:compatExt spid="_x0000_s3355"/>
                </a:ext>
                <a:ext uri="{FF2B5EF4-FFF2-40B4-BE49-F238E27FC236}">
                  <a16:creationId xmlns:a16="http://schemas.microsoft.com/office/drawing/2014/main" id="{00000000-0008-0000-0000-00001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176</xdr:row>
          <xdr:rowOff>220980</xdr:rowOff>
        </xdr:from>
        <xdr:to>
          <xdr:col>13</xdr:col>
          <xdr:colOff>0</xdr:colOff>
          <xdr:row>177</xdr:row>
          <xdr:rowOff>220980</xdr:rowOff>
        </xdr:to>
        <xdr:sp macro="" textlink="">
          <xdr:nvSpPr>
            <xdr:cNvPr id="3356" name="Drop Down 2332" hidden="1">
              <a:extLst>
                <a:ext uri="{63B3BB69-23CF-44E3-9099-C40C66FF867C}">
                  <a14:compatExt spid="_x0000_s3356"/>
                </a:ext>
                <a:ext uri="{FF2B5EF4-FFF2-40B4-BE49-F238E27FC236}">
                  <a16:creationId xmlns:a16="http://schemas.microsoft.com/office/drawing/2014/main" id="{00000000-0008-0000-0000-00001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246</xdr:row>
          <xdr:rowOff>0</xdr:rowOff>
        </xdr:from>
        <xdr:to>
          <xdr:col>7</xdr:col>
          <xdr:colOff>624840</xdr:colOff>
          <xdr:row>247</xdr:row>
          <xdr:rowOff>0</xdr:rowOff>
        </xdr:to>
        <xdr:sp macro="" textlink="">
          <xdr:nvSpPr>
            <xdr:cNvPr id="3375" name="Drop Down 2351" hidden="1">
              <a:extLst>
                <a:ext uri="{63B3BB69-23CF-44E3-9099-C40C66FF867C}">
                  <a14:compatExt spid="_x0000_s3375"/>
                </a:ext>
                <a:ext uri="{FF2B5EF4-FFF2-40B4-BE49-F238E27FC236}">
                  <a16:creationId xmlns:a16="http://schemas.microsoft.com/office/drawing/2014/main" id="{00000000-0008-0000-0000-00002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246</xdr:row>
          <xdr:rowOff>15240</xdr:rowOff>
        </xdr:from>
        <xdr:to>
          <xdr:col>7</xdr:col>
          <xdr:colOff>1272540</xdr:colOff>
          <xdr:row>247</xdr:row>
          <xdr:rowOff>0</xdr:rowOff>
        </xdr:to>
        <xdr:sp macro="" textlink="">
          <xdr:nvSpPr>
            <xdr:cNvPr id="3376" name="Drop Down 2352" hidden="1">
              <a:extLst>
                <a:ext uri="{63B3BB69-23CF-44E3-9099-C40C66FF867C}">
                  <a14:compatExt spid="_x0000_s3376"/>
                </a:ext>
                <a:ext uri="{FF2B5EF4-FFF2-40B4-BE49-F238E27FC236}">
                  <a16:creationId xmlns:a16="http://schemas.microsoft.com/office/drawing/2014/main" id="{00000000-0008-0000-0000-00003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246</xdr:row>
          <xdr:rowOff>15240</xdr:rowOff>
        </xdr:from>
        <xdr:to>
          <xdr:col>7</xdr:col>
          <xdr:colOff>1805940</xdr:colOff>
          <xdr:row>246</xdr:row>
          <xdr:rowOff>320040</xdr:rowOff>
        </xdr:to>
        <xdr:sp macro="" textlink="">
          <xdr:nvSpPr>
            <xdr:cNvPr id="3377" name="Drop Down 2353" hidden="1">
              <a:extLst>
                <a:ext uri="{63B3BB69-23CF-44E3-9099-C40C66FF867C}">
                  <a14:compatExt spid="_x0000_s3377"/>
                </a:ext>
                <a:ext uri="{FF2B5EF4-FFF2-40B4-BE49-F238E27FC236}">
                  <a16:creationId xmlns:a16="http://schemas.microsoft.com/office/drawing/2014/main" id="{00000000-0008-0000-0000-00003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247</xdr:row>
          <xdr:rowOff>0</xdr:rowOff>
        </xdr:from>
        <xdr:to>
          <xdr:col>7</xdr:col>
          <xdr:colOff>624840</xdr:colOff>
          <xdr:row>248</xdr:row>
          <xdr:rowOff>0</xdr:rowOff>
        </xdr:to>
        <xdr:sp macro="" textlink="">
          <xdr:nvSpPr>
            <xdr:cNvPr id="3378" name="Drop Down 2354" hidden="1">
              <a:extLst>
                <a:ext uri="{63B3BB69-23CF-44E3-9099-C40C66FF867C}">
                  <a14:compatExt spid="_x0000_s3378"/>
                </a:ext>
                <a:ext uri="{FF2B5EF4-FFF2-40B4-BE49-F238E27FC236}">
                  <a16:creationId xmlns:a16="http://schemas.microsoft.com/office/drawing/2014/main" id="{00000000-0008-0000-0000-00003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247</xdr:row>
          <xdr:rowOff>15240</xdr:rowOff>
        </xdr:from>
        <xdr:to>
          <xdr:col>7</xdr:col>
          <xdr:colOff>1272540</xdr:colOff>
          <xdr:row>248</xdr:row>
          <xdr:rowOff>0</xdr:rowOff>
        </xdr:to>
        <xdr:sp macro="" textlink="">
          <xdr:nvSpPr>
            <xdr:cNvPr id="3379" name="Drop Down 2355" hidden="1">
              <a:extLst>
                <a:ext uri="{63B3BB69-23CF-44E3-9099-C40C66FF867C}">
                  <a14:compatExt spid="_x0000_s3379"/>
                </a:ext>
                <a:ext uri="{FF2B5EF4-FFF2-40B4-BE49-F238E27FC236}">
                  <a16:creationId xmlns:a16="http://schemas.microsoft.com/office/drawing/2014/main" id="{00000000-0008-0000-0000-00003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247</xdr:row>
          <xdr:rowOff>15240</xdr:rowOff>
        </xdr:from>
        <xdr:to>
          <xdr:col>7</xdr:col>
          <xdr:colOff>1805940</xdr:colOff>
          <xdr:row>247</xdr:row>
          <xdr:rowOff>320040</xdr:rowOff>
        </xdr:to>
        <xdr:sp macro="" textlink="">
          <xdr:nvSpPr>
            <xdr:cNvPr id="3380" name="Drop Down 2356" hidden="1">
              <a:extLst>
                <a:ext uri="{63B3BB69-23CF-44E3-9099-C40C66FF867C}">
                  <a14:compatExt spid="_x0000_s3380"/>
                </a:ext>
                <a:ext uri="{FF2B5EF4-FFF2-40B4-BE49-F238E27FC236}">
                  <a16:creationId xmlns:a16="http://schemas.microsoft.com/office/drawing/2014/main" id="{00000000-0008-0000-0000-00003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248</xdr:row>
          <xdr:rowOff>0</xdr:rowOff>
        </xdr:from>
        <xdr:to>
          <xdr:col>7</xdr:col>
          <xdr:colOff>624840</xdr:colOff>
          <xdr:row>249</xdr:row>
          <xdr:rowOff>0</xdr:rowOff>
        </xdr:to>
        <xdr:sp macro="" textlink="">
          <xdr:nvSpPr>
            <xdr:cNvPr id="3381" name="Drop Down 2357" hidden="1">
              <a:extLst>
                <a:ext uri="{63B3BB69-23CF-44E3-9099-C40C66FF867C}">
                  <a14:compatExt spid="_x0000_s3381"/>
                </a:ext>
                <a:ext uri="{FF2B5EF4-FFF2-40B4-BE49-F238E27FC236}">
                  <a16:creationId xmlns:a16="http://schemas.microsoft.com/office/drawing/2014/main" id="{00000000-0008-0000-0000-00003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248</xdr:row>
          <xdr:rowOff>15240</xdr:rowOff>
        </xdr:from>
        <xdr:to>
          <xdr:col>7</xdr:col>
          <xdr:colOff>1272540</xdr:colOff>
          <xdr:row>249</xdr:row>
          <xdr:rowOff>0</xdr:rowOff>
        </xdr:to>
        <xdr:sp macro="" textlink="">
          <xdr:nvSpPr>
            <xdr:cNvPr id="3382" name="Drop Down 2358" hidden="1">
              <a:extLst>
                <a:ext uri="{63B3BB69-23CF-44E3-9099-C40C66FF867C}">
                  <a14:compatExt spid="_x0000_s3382"/>
                </a:ext>
                <a:ext uri="{FF2B5EF4-FFF2-40B4-BE49-F238E27FC236}">
                  <a16:creationId xmlns:a16="http://schemas.microsoft.com/office/drawing/2014/main" id="{00000000-0008-0000-0000-00003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248</xdr:row>
          <xdr:rowOff>15240</xdr:rowOff>
        </xdr:from>
        <xdr:to>
          <xdr:col>7</xdr:col>
          <xdr:colOff>1805940</xdr:colOff>
          <xdr:row>248</xdr:row>
          <xdr:rowOff>320040</xdr:rowOff>
        </xdr:to>
        <xdr:sp macro="" textlink="">
          <xdr:nvSpPr>
            <xdr:cNvPr id="3383" name="Drop Down 2359" hidden="1">
              <a:extLst>
                <a:ext uri="{63B3BB69-23CF-44E3-9099-C40C66FF867C}">
                  <a14:compatExt spid="_x0000_s3383"/>
                </a:ext>
                <a:ext uri="{FF2B5EF4-FFF2-40B4-BE49-F238E27FC236}">
                  <a16:creationId xmlns:a16="http://schemas.microsoft.com/office/drawing/2014/main" id="{00000000-0008-0000-0000-00003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277</xdr:row>
          <xdr:rowOff>15240</xdr:rowOff>
        </xdr:from>
        <xdr:to>
          <xdr:col>4</xdr:col>
          <xdr:colOff>205740</xdr:colOff>
          <xdr:row>277</xdr:row>
          <xdr:rowOff>220980</xdr:rowOff>
        </xdr:to>
        <xdr:sp macro="" textlink="">
          <xdr:nvSpPr>
            <xdr:cNvPr id="3390" name="Drop Down 2366" hidden="1">
              <a:extLst>
                <a:ext uri="{63B3BB69-23CF-44E3-9099-C40C66FF867C}">
                  <a14:compatExt spid="_x0000_s3390"/>
                </a:ext>
                <a:ext uri="{FF2B5EF4-FFF2-40B4-BE49-F238E27FC236}">
                  <a16:creationId xmlns:a16="http://schemas.microsoft.com/office/drawing/2014/main" id="{00000000-0008-0000-0000-00003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277</xdr:row>
          <xdr:rowOff>15240</xdr:rowOff>
        </xdr:from>
        <xdr:to>
          <xdr:col>4</xdr:col>
          <xdr:colOff>1021080</xdr:colOff>
          <xdr:row>277</xdr:row>
          <xdr:rowOff>220980</xdr:rowOff>
        </xdr:to>
        <xdr:sp macro="" textlink="">
          <xdr:nvSpPr>
            <xdr:cNvPr id="3391" name="Drop Down 2367" hidden="1">
              <a:extLst>
                <a:ext uri="{63B3BB69-23CF-44E3-9099-C40C66FF867C}">
                  <a14:compatExt spid="_x0000_s3391"/>
                </a:ext>
                <a:ext uri="{FF2B5EF4-FFF2-40B4-BE49-F238E27FC236}">
                  <a16:creationId xmlns:a16="http://schemas.microsoft.com/office/drawing/2014/main" id="{00000000-0008-0000-0000-00003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277</xdr:row>
          <xdr:rowOff>0</xdr:rowOff>
        </xdr:from>
        <xdr:to>
          <xdr:col>4</xdr:col>
          <xdr:colOff>1706880</xdr:colOff>
          <xdr:row>277</xdr:row>
          <xdr:rowOff>220980</xdr:rowOff>
        </xdr:to>
        <xdr:sp macro="" textlink="">
          <xdr:nvSpPr>
            <xdr:cNvPr id="3392" name="Drop Down 2368" hidden="1">
              <a:extLst>
                <a:ext uri="{63B3BB69-23CF-44E3-9099-C40C66FF867C}">
                  <a14:compatExt spid="_x0000_s3392"/>
                </a:ext>
                <a:ext uri="{FF2B5EF4-FFF2-40B4-BE49-F238E27FC236}">
                  <a16:creationId xmlns:a16="http://schemas.microsoft.com/office/drawing/2014/main" id="{00000000-0008-0000-0000-00004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277</xdr:row>
          <xdr:rowOff>15240</xdr:rowOff>
        </xdr:from>
        <xdr:to>
          <xdr:col>6</xdr:col>
          <xdr:colOff>259080</xdr:colOff>
          <xdr:row>277</xdr:row>
          <xdr:rowOff>220980</xdr:rowOff>
        </xdr:to>
        <xdr:sp macro="" textlink="">
          <xdr:nvSpPr>
            <xdr:cNvPr id="3393" name="Drop Down 2369" hidden="1">
              <a:extLst>
                <a:ext uri="{63B3BB69-23CF-44E3-9099-C40C66FF867C}">
                  <a14:compatExt spid="_x0000_s3393"/>
                </a:ext>
                <a:ext uri="{FF2B5EF4-FFF2-40B4-BE49-F238E27FC236}">
                  <a16:creationId xmlns:a16="http://schemas.microsoft.com/office/drawing/2014/main" id="{00000000-0008-0000-0000-00004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277</xdr:row>
          <xdr:rowOff>15240</xdr:rowOff>
        </xdr:from>
        <xdr:to>
          <xdr:col>6</xdr:col>
          <xdr:colOff>1120140</xdr:colOff>
          <xdr:row>277</xdr:row>
          <xdr:rowOff>220980</xdr:rowOff>
        </xdr:to>
        <xdr:sp macro="" textlink="">
          <xdr:nvSpPr>
            <xdr:cNvPr id="3394" name="Drop Down 2370" hidden="1">
              <a:extLst>
                <a:ext uri="{63B3BB69-23CF-44E3-9099-C40C66FF867C}">
                  <a14:compatExt spid="_x0000_s3394"/>
                </a:ext>
                <a:ext uri="{FF2B5EF4-FFF2-40B4-BE49-F238E27FC236}">
                  <a16:creationId xmlns:a16="http://schemas.microsoft.com/office/drawing/2014/main" id="{00000000-0008-0000-0000-00004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277</xdr:row>
          <xdr:rowOff>0</xdr:rowOff>
        </xdr:from>
        <xdr:to>
          <xdr:col>6</xdr:col>
          <xdr:colOff>1805940</xdr:colOff>
          <xdr:row>277</xdr:row>
          <xdr:rowOff>220980</xdr:rowOff>
        </xdr:to>
        <xdr:sp macro="" textlink="">
          <xdr:nvSpPr>
            <xdr:cNvPr id="3395" name="Drop Down 2371" hidden="1">
              <a:extLst>
                <a:ext uri="{63B3BB69-23CF-44E3-9099-C40C66FF867C}">
                  <a14:compatExt spid="_x0000_s3395"/>
                </a:ext>
                <a:ext uri="{FF2B5EF4-FFF2-40B4-BE49-F238E27FC236}">
                  <a16:creationId xmlns:a16="http://schemas.microsoft.com/office/drawing/2014/main" id="{00000000-0008-0000-0000-00004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275</xdr:row>
          <xdr:rowOff>0</xdr:rowOff>
        </xdr:from>
        <xdr:to>
          <xdr:col>12</xdr:col>
          <xdr:colOff>716280</xdr:colOff>
          <xdr:row>275</xdr:row>
          <xdr:rowOff>220980</xdr:rowOff>
        </xdr:to>
        <xdr:sp macro="" textlink="">
          <xdr:nvSpPr>
            <xdr:cNvPr id="3399" name="Drop Down 2375" hidden="1">
              <a:extLst>
                <a:ext uri="{63B3BB69-23CF-44E3-9099-C40C66FF867C}">
                  <a14:compatExt spid="_x0000_s3399"/>
                </a:ext>
                <a:ext uri="{FF2B5EF4-FFF2-40B4-BE49-F238E27FC236}">
                  <a16:creationId xmlns:a16="http://schemas.microsoft.com/office/drawing/2014/main" id="{00000000-0008-0000-0000-00004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275</xdr:row>
          <xdr:rowOff>15240</xdr:rowOff>
        </xdr:from>
        <xdr:to>
          <xdr:col>12</xdr:col>
          <xdr:colOff>1325880</xdr:colOff>
          <xdr:row>275</xdr:row>
          <xdr:rowOff>220980</xdr:rowOff>
        </xdr:to>
        <xdr:sp macro="" textlink="">
          <xdr:nvSpPr>
            <xdr:cNvPr id="3400" name="Drop Down 2376" hidden="1">
              <a:extLst>
                <a:ext uri="{63B3BB69-23CF-44E3-9099-C40C66FF867C}">
                  <a14:compatExt spid="_x0000_s3400"/>
                </a:ext>
                <a:ext uri="{FF2B5EF4-FFF2-40B4-BE49-F238E27FC236}">
                  <a16:creationId xmlns:a16="http://schemas.microsoft.com/office/drawing/2014/main" id="{00000000-0008-0000-0000-00004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275</xdr:row>
          <xdr:rowOff>0</xdr:rowOff>
        </xdr:from>
        <xdr:to>
          <xdr:col>13</xdr:col>
          <xdr:colOff>0</xdr:colOff>
          <xdr:row>275</xdr:row>
          <xdr:rowOff>220980</xdr:rowOff>
        </xdr:to>
        <xdr:sp macro="" textlink="">
          <xdr:nvSpPr>
            <xdr:cNvPr id="3401" name="Drop Down 2377" hidden="1">
              <a:extLst>
                <a:ext uri="{63B3BB69-23CF-44E3-9099-C40C66FF867C}">
                  <a14:compatExt spid="_x0000_s3401"/>
                </a:ext>
                <a:ext uri="{FF2B5EF4-FFF2-40B4-BE49-F238E27FC236}">
                  <a16:creationId xmlns:a16="http://schemas.microsoft.com/office/drawing/2014/main" id="{00000000-0008-0000-0000-00004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277</xdr:row>
          <xdr:rowOff>0</xdr:rowOff>
        </xdr:from>
        <xdr:to>
          <xdr:col>12</xdr:col>
          <xdr:colOff>701040</xdr:colOff>
          <xdr:row>277</xdr:row>
          <xdr:rowOff>220980</xdr:rowOff>
        </xdr:to>
        <xdr:sp macro="" textlink="">
          <xdr:nvSpPr>
            <xdr:cNvPr id="3402" name="Drop Down 2378" hidden="1">
              <a:extLst>
                <a:ext uri="{63B3BB69-23CF-44E3-9099-C40C66FF867C}">
                  <a14:compatExt spid="_x0000_s3402"/>
                </a:ext>
                <a:ext uri="{FF2B5EF4-FFF2-40B4-BE49-F238E27FC236}">
                  <a16:creationId xmlns:a16="http://schemas.microsoft.com/office/drawing/2014/main" id="{00000000-0008-0000-0000-00004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277</xdr:row>
          <xdr:rowOff>15240</xdr:rowOff>
        </xdr:from>
        <xdr:to>
          <xdr:col>12</xdr:col>
          <xdr:colOff>1310640</xdr:colOff>
          <xdr:row>277</xdr:row>
          <xdr:rowOff>220980</xdr:rowOff>
        </xdr:to>
        <xdr:sp macro="" textlink="">
          <xdr:nvSpPr>
            <xdr:cNvPr id="3403" name="Drop Down 2379" hidden="1">
              <a:extLst>
                <a:ext uri="{63B3BB69-23CF-44E3-9099-C40C66FF867C}">
                  <a14:compatExt spid="_x0000_s3403"/>
                </a:ext>
                <a:ext uri="{FF2B5EF4-FFF2-40B4-BE49-F238E27FC236}">
                  <a16:creationId xmlns:a16="http://schemas.microsoft.com/office/drawing/2014/main" id="{00000000-0008-0000-0000-00004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276</xdr:row>
          <xdr:rowOff>220980</xdr:rowOff>
        </xdr:from>
        <xdr:to>
          <xdr:col>13</xdr:col>
          <xdr:colOff>0</xdr:colOff>
          <xdr:row>277</xdr:row>
          <xdr:rowOff>220980</xdr:rowOff>
        </xdr:to>
        <xdr:sp macro="" textlink="">
          <xdr:nvSpPr>
            <xdr:cNvPr id="3404" name="Drop Down 2380" hidden="1">
              <a:extLst>
                <a:ext uri="{63B3BB69-23CF-44E3-9099-C40C66FF867C}">
                  <a14:compatExt spid="_x0000_s3404"/>
                </a:ext>
                <a:ext uri="{FF2B5EF4-FFF2-40B4-BE49-F238E27FC236}">
                  <a16:creationId xmlns:a16="http://schemas.microsoft.com/office/drawing/2014/main" id="{00000000-0008-0000-0000-00004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446</xdr:row>
          <xdr:rowOff>0</xdr:rowOff>
        </xdr:from>
        <xdr:to>
          <xdr:col>7</xdr:col>
          <xdr:colOff>624840</xdr:colOff>
          <xdr:row>447</xdr:row>
          <xdr:rowOff>0</xdr:rowOff>
        </xdr:to>
        <xdr:sp macro="" textlink="">
          <xdr:nvSpPr>
            <xdr:cNvPr id="3471" name="Drop Down 2447" hidden="1">
              <a:extLst>
                <a:ext uri="{63B3BB69-23CF-44E3-9099-C40C66FF867C}">
                  <a14:compatExt spid="_x0000_s3471"/>
                </a:ext>
                <a:ext uri="{FF2B5EF4-FFF2-40B4-BE49-F238E27FC236}">
                  <a16:creationId xmlns:a16="http://schemas.microsoft.com/office/drawing/2014/main" id="{00000000-0008-0000-0000-00008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446</xdr:row>
          <xdr:rowOff>15240</xdr:rowOff>
        </xdr:from>
        <xdr:to>
          <xdr:col>7</xdr:col>
          <xdr:colOff>1272540</xdr:colOff>
          <xdr:row>447</xdr:row>
          <xdr:rowOff>0</xdr:rowOff>
        </xdr:to>
        <xdr:sp macro="" textlink="">
          <xdr:nvSpPr>
            <xdr:cNvPr id="3472" name="Drop Down 2448" hidden="1">
              <a:extLst>
                <a:ext uri="{63B3BB69-23CF-44E3-9099-C40C66FF867C}">
                  <a14:compatExt spid="_x0000_s3472"/>
                </a:ext>
                <a:ext uri="{FF2B5EF4-FFF2-40B4-BE49-F238E27FC236}">
                  <a16:creationId xmlns:a16="http://schemas.microsoft.com/office/drawing/2014/main" id="{00000000-0008-0000-0000-00009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446</xdr:row>
          <xdr:rowOff>15240</xdr:rowOff>
        </xdr:from>
        <xdr:to>
          <xdr:col>7</xdr:col>
          <xdr:colOff>1805940</xdr:colOff>
          <xdr:row>446</xdr:row>
          <xdr:rowOff>320040</xdr:rowOff>
        </xdr:to>
        <xdr:sp macro="" textlink="">
          <xdr:nvSpPr>
            <xdr:cNvPr id="3473" name="Drop Down 2449" hidden="1">
              <a:extLst>
                <a:ext uri="{63B3BB69-23CF-44E3-9099-C40C66FF867C}">
                  <a14:compatExt spid="_x0000_s3473"/>
                </a:ext>
                <a:ext uri="{FF2B5EF4-FFF2-40B4-BE49-F238E27FC236}">
                  <a16:creationId xmlns:a16="http://schemas.microsoft.com/office/drawing/2014/main" id="{00000000-0008-0000-0000-00009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447</xdr:row>
          <xdr:rowOff>0</xdr:rowOff>
        </xdr:from>
        <xdr:to>
          <xdr:col>7</xdr:col>
          <xdr:colOff>624840</xdr:colOff>
          <xdr:row>448</xdr:row>
          <xdr:rowOff>0</xdr:rowOff>
        </xdr:to>
        <xdr:sp macro="" textlink="">
          <xdr:nvSpPr>
            <xdr:cNvPr id="3474" name="Drop Down 2450" hidden="1">
              <a:extLst>
                <a:ext uri="{63B3BB69-23CF-44E3-9099-C40C66FF867C}">
                  <a14:compatExt spid="_x0000_s3474"/>
                </a:ext>
                <a:ext uri="{FF2B5EF4-FFF2-40B4-BE49-F238E27FC236}">
                  <a16:creationId xmlns:a16="http://schemas.microsoft.com/office/drawing/2014/main" id="{00000000-0008-0000-0000-00009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447</xdr:row>
          <xdr:rowOff>15240</xdr:rowOff>
        </xdr:from>
        <xdr:to>
          <xdr:col>7</xdr:col>
          <xdr:colOff>1272540</xdr:colOff>
          <xdr:row>448</xdr:row>
          <xdr:rowOff>0</xdr:rowOff>
        </xdr:to>
        <xdr:sp macro="" textlink="">
          <xdr:nvSpPr>
            <xdr:cNvPr id="3475" name="Drop Down 2451" hidden="1">
              <a:extLst>
                <a:ext uri="{63B3BB69-23CF-44E3-9099-C40C66FF867C}">
                  <a14:compatExt spid="_x0000_s3475"/>
                </a:ext>
                <a:ext uri="{FF2B5EF4-FFF2-40B4-BE49-F238E27FC236}">
                  <a16:creationId xmlns:a16="http://schemas.microsoft.com/office/drawing/2014/main" id="{00000000-0008-0000-0000-00009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447</xdr:row>
          <xdr:rowOff>15240</xdr:rowOff>
        </xdr:from>
        <xdr:to>
          <xdr:col>7</xdr:col>
          <xdr:colOff>1805940</xdr:colOff>
          <xdr:row>447</xdr:row>
          <xdr:rowOff>320040</xdr:rowOff>
        </xdr:to>
        <xdr:sp macro="" textlink="">
          <xdr:nvSpPr>
            <xdr:cNvPr id="3476" name="Drop Down 2452" hidden="1">
              <a:extLst>
                <a:ext uri="{63B3BB69-23CF-44E3-9099-C40C66FF867C}">
                  <a14:compatExt spid="_x0000_s3476"/>
                </a:ext>
                <a:ext uri="{FF2B5EF4-FFF2-40B4-BE49-F238E27FC236}">
                  <a16:creationId xmlns:a16="http://schemas.microsoft.com/office/drawing/2014/main" id="{00000000-0008-0000-0000-00009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448</xdr:row>
          <xdr:rowOff>0</xdr:rowOff>
        </xdr:from>
        <xdr:to>
          <xdr:col>7</xdr:col>
          <xdr:colOff>624840</xdr:colOff>
          <xdr:row>449</xdr:row>
          <xdr:rowOff>0</xdr:rowOff>
        </xdr:to>
        <xdr:sp macro="" textlink="">
          <xdr:nvSpPr>
            <xdr:cNvPr id="3477" name="Drop Down 2453" hidden="1">
              <a:extLst>
                <a:ext uri="{63B3BB69-23CF-44E3-9099-C40C66FF867C}">
                  <a14:compatExt spid="_x0000_s3477"/>
                </a:ext>
                <a:ext uri="{FF2B5EF4-FFF2-40B4-BE49-F238E27FC236}">
                  <a16:creationId xmlns:a16="http://schemas.microsoft.com/office/drawing/2014/main" id="{00000000-0008-0000-0000-00009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448</xdr:row>
          <xdr:rowOff>15240</xdr:rowOff>
        </xdr:from>
        <xdr:to>
          <xdr:col>7</xdr:col>
          <xdr:colOff>1272540</xdr:colOff>
          <xdr:row>449</xdr:row>
          <xdr:rowOff>0</xdr:rowOff>
        </xdr:to>
        <xdr:sp macro="" textlink="">
          <xdr:nvSpPr>
            <xdr:cNvPr id="3478" name="Drop Down 2454" hidden="1">
              <a:extLst>
                <a:ext uri="{63B3BB69-23CF-44E3-9099-C40C66FF867C}">
                  <a14:compatExt spid="_x0000_s3478"/>
                </a:ext>
                <a:ext uri="{FF2B5EF4-FFF2-40B4-BE49-F238E27FC236}">
                  <a16:creationId xmlns:a16="http://schemas.microsoft.com/office/drawing/2014/main" id="{00000000-0008-0000-0000-00009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448</xdr:row>
          <xdr:rowOff>15240</xdr:rowOff>
        </xdr:from>
        <xdr:to>
          <xdr:col>7</xdr:col>
          <xdr:colOff>1805940</xdr:colOff>
          <xdr:row>448</xdr:row>
          <xdr:rowOff>320040</xdr:rowOff>
        </xdr:to>
        <xdr:sp macro="" textlink="">
          <xdr:nvSpPr>
            <xdr:cNvPr id="3479" name="Drop Down 2455" hidden="1">
              <a:extLst>
                <a:ext uri="{63B3BB69-23CF-44E3-9099-C40C66FF867C}">
                  <a14:compatExt spid="_x0000_s3479"/>
                </a:ext>
                <a:ext uri="{FF2B5EF4-FFF2-40B4-BE49-F238E27FC236}">
                  <a16:creationId xmlns:a16="http://schemas.microsoft.com/office/drawing/2014/main" id="{00000000-0008-0000-0000-00009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477</xdr:row>
          <xdr:rowOff>15240</xdr:rowOff>
        </xdr:from>
        <xdr:to>
          <xdr:col>4</xdr:col>
          <xdr:colOff>205740</xdr:colOff>
          <xdr:row>477</xdr:row>
          <xdr:rowOff>220980</xdr:rowOff>
        </xdr:to>
        <xdr:sp macro="" textlink="">
          <xdr:nvSpPr>
            <xdr:cNvPr id="3486" name="Drop Down 2462" hidden="1">
              <a:extLst>
                <a:ext uri="{63B3BB69-23CF-44E3-9099-C40C66FF867C}">
                  <a14:compatExt spid="_x0000_s3486"/>
                </a:ext>
                <a:ext uri="{FF2B5EF4-FFF2-40B4-BE49-F238E27FC236}">
                  <a16:creationId xmlns:a16="http://schemas.microsoft.com/office/drawing/2014/main" id="{00000000-0008-0000-0000-00009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477</xdr:row>
          <xdr:rowOff>15240</xdr:rowOff>
        </xdr:from>
        <xdr:to>
          <xdr:col>4</xdr:col>
          <xdr:colOff>1021080</xdr:colOff>
          <xdr:row>477</xdr:row>
          <xdr:rowOff>220980</xdr:rowOff>
        </xdr:to>
        <xdr:sp macro="" textlink="">
          <xdr:nvSpPr>
            <xdr:cNvPr id="3487" name="Drop Down 2463" hidden="1">
              <a:extLst>
                <a:ext uri="{63B3BB69-23CF-44E3-9099-C40C66FF867C}">
                  <a14:compatExt spid="_x0000_s3487"/>
                </a:ext>
                <a:ext uri="{FF2B5EF4-FFF2-40B4-BE49-F238E27FC236}">
                  <a16:creationId xmlns:a16="http://schemas.microsoft.com/office/drawing/2014/main" id="{00000000-0008-0000-0000-00009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477</xdr:row>
          <xdr:rowOff>0</xdr:rowOff>
        </xdr:from>
        <xdr:to>
          <xdr:col>4</xdr:col>
          <xdr:colOff>1706880</xdr:colOff>
          <xdr:row>477</xdr:row>
          <xdr:rowOff>220980</xdr:rowOff>
        </xdr:to>
        <xdr:sp macro="" textlink="">
          <xdr:nvSpPr>
            <xdr:cNvPr id="3488" name="Drop Down 2464" hidden="1">
              <a:extLst>
                <a:ext uri="{63B3BB69-23CF-44E3-9099-C40C66FF867C}">
                  <a14:compatExt spid="_x0000_s3488"/>
                </a:ext>
                <a:ext uri="{FF2B5EF4-FFF2-40B4-BE49-F238E27FC236}">
                  <a16:creationId xmlns:a16="http://schemas.microsoft.com/office/drawing/2014/main" id="{00000000-0008-0000-0000-0000A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477</xdr:row>
          <xdr:rowOff>15240</xdr:rowOff>
        </xdr:from>
        <xdr:to>
          <xdr:col>6</xdr:col>
          <xdr:colOff>259080</xdr:colOff>
          <xdr:row>477</xdr:row>
          <xdr:rowOff>220980</xdr:rowOff>
        </xdr:to>
        <xdr:sp macro="" textlink="">
          <xdr:nvSpPr>
            <xdr:cNvPr id="3489" name="Drop Down 2465" hidden="1">
              <a:extLst>
                <a:ext uri="{63B3BB69-23CF-44E3-9099-C40C66FF867C}">
                  <a14:compatExt spid="_x0000_s3489"/>
                </a:ext>
                <a:ext uri="{FF2B5EF4-FFF2-40B4-BE49-F238E27FC236}">
                  <a16:creationId xmlns:a16="http://schemas.microsoft.com/office/drawing/2014/main" id="{00000000-0008-0000-0000-0000A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477</xdr:row>
          <xdr:rowOff>15240</xdr:rowOff>
        </xdr:from>
        <xdr:to>
          <xdr:col>6</xdr:col>
          <xdr:colOff>1120140</xdr:colOff>
          <xdr:row>477</xdr:row>
          <xdr:rowOff>220980</xdr:rowOff>
        </xdr:to>
        <xdr:sp macro="" textlink="">
          <xdr:nvSpPr>
            <xdr:cNvPr id="3490" name="Drop Down 2466" hidden="1">
              <a:extLst>
                <a:ext uri="{63B3BB69-23CF-44E3-9099-C40C66FF867C}">
                  <a14:compatExt spid="_x0000_s3490"/>
                </a:ext>
                <a:ext uri="{FF2B5EF4-FFF2-40B4-BE49-F238E27FC236}">
                  <a16:creationId xmlns:a16="http://schemas.microsoft.com/office/drawing/2014/main" id="{00000000-0008-0000-0000-0000A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477</xdr:row>
          <xdr:rowOff>0</xdr:rowOff>
        </xdr:from>
        <xdr:to>
          <xdr:col>6</xdr:col>
          <xdr:colOff>1805940</xdr:colOff>
          <xdr:row>477</xdr:row>
          <xdr:rowOff>220980</xdr:rowOff>
        </xdr:to>
        <xdr:sp macro="" textlink="">
          <xdr:nvSpPr>
            <xdr:cNvPr id="3491" name="Drop Down 2467" hidden="1">
              <a:extLst>
                <a:ext uri="{63B3BB69-23CF-44E3-9099-C40C66FF867C}">
                  <a14:compatExt spid="_x0000_s3491"/>
                </a:ext>
                <a:ext uri="{FF2B5EF4-FFF2-40B4-BE49-F238E27FC236}">
                  <a16:creationId xmlns:a16="http://schemas.microsoft.com/office/drawing/2014/main" id="{00000000-0008-0000-0000-0000A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475</xdr:row>
          <xdr:rowOff>0</xdr:rowOff>
        </xdr:from>
        <xdr:to>
          <xdr:col>12</xdr:col>
          <xdr:colOff>716280</xdr:colOff>
          <xdr:row>475</xdr:row>
          <xdr:rowOff>220980</xdr:rowOff>
        </xdr:to>
        <xdr:sp macro="" textlink="">
          <xdr:nvSpPr>
            <xdr:cNvPr id="3495" name="Drop Down 2471" hidden="1">
              <a:extLst>
                <a:ext uri="{63B3BB69-23CF-44E3-9099-C40C66FF867C}">
                  <a14:compatExt spid="_x0000_s3495"/>
                </a:ext>
                <a:ext uri="{FF2B5EF4-FFF2-40B4-BE49-F238E27FC236}">
                  <a16:creationId xmlns:a16="http://schemas.microsoft.com/office/drawing/2014/main" id="{00000000-0008-0000-0000-0000A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475</xdr:row>
          <xdr:rowOff>15240</xdr:rowOff>
        </xdr:from>
        <xdr:to>
          <xdr:col>12</xdr:col>
          <xdr:colOff>1325880</xdr:colOff>
          <xdr:row>475</xdr:row>
          <xdr:rowOff>220980</xdr:rowOff>
        </xdr:to>
        <xdr:sp macro="" textlink="">
          <xdr:nvSpPr>
            <xdr:cNvPr id="3496" name="Drop Down 2472" hidden="1">
              <a:extLst>
                <a:ext uri="{63B3BB69-23CF-44E3-9099-C40C66FF867C}">
                  <a14:compatExt spid="_x0000_s3496"/>
                </a:ext>
                <a:ext uri="{FF2B5EF4-FFF2-40B4-BE49-F238E27FC236}">
                  <a16:creationId xmlns:a16="http://schemas.microsoft.com/office/drawing/2014/main" id="{00000000-0008-0000-0000-0000A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475</xdr:row>
          <xdr:rowOff>0</xdr:rowOff>
        </xdr:from>
        <xdr:to>
          <xdr:col>13</xdr:col>
          <xdr:colOff>0</xdr:colOff>
          <xdr:row>475</xdr:row>
          <xdr:rowOff>220980</xdr:rowOff>
        </xdr:to>
        <xdr:sp macro="" textlink="">
          <xdr:nvSpPr>
            <xdr:cNvPr id="3497" name="Drop Down 2473" hidden="1">
              <a:extLst>
                <a:ext uri="{63B3BB69-23CF-44E3-9099-C40C66FF867C}">
                  <a14:compatExt spid="_x0000_s3497"/>
                </a:ext>
                <a:ext uri="{FF2B5EF4-FFF2-40B4-BE49-F238E27FC236}">
                  <a16:creationId xmlns:a16="http://schemas.microsoft.com/office/drawing/2014/main" id="{00000000-0008-0000-0000-0000A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477</xdr:row>
          <xdr:rowOff>0</xdr:rowOff>
        </xdr:from>
        <xdr:to>
          <xdr:col>12</xdr:col>
          <xdr:colOff>701040</xdr:colOff>
          <xdr:row>477</xdr:row>
          <xdr:rowOff>220980</xdr:rowOff>
        </xdr:to>
        <xdr:sp macro="" textlink="">
          <xdr:nvSpPr>
            <xdr:cNvPr id="3498" name="Drop Down 2474" hidden="1">
              <a:extLst>
                <a:ext uri="{63B3BB69-23CF-44E3-9099-C40C66FF867C}">
                  <a14:compatExt spid="_x0000_s3498"/>
                </a:ext>
                <a:ext uri="{FF2B5EF4-FFF2-40B4-BE49-F238E27FC236}">
                  <a16:creationId xmlns:a16="http://schemas.microsoft.com/office/drawing/2014/main" id="{00000000-0008-0000-0000-0000A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477</xdr:row>
          <xdr:rowOff>15240</xdr:rowOff>
        </xdr:from>
        <xdr:to>
          <xdr:col>12</xdr:col>
          <xdr:colOff>1310640</xdr:colOff>
          <xdr:row>477</xdr:row>
          <xdr:rowOff>220980</xdr:rowOff>
        </xdr:to>
        <xdr:sp macro="" textlink="">
          <xdr:nvSpPr>
            <xdr:cNvPr id="3499" name="Drop Down 2475" hidden="1">
              <a:extLst>
                <a:ext uri="{63B3BB69-23CF-44E3-9099-C40C66FF867C}">
                  <a14:compatExt spid="_x0000_s3499"/>
                </a:ext>
                <a:ext uri="{FF2B5EF4-FFF2-40B4-BE49-F238E27FC236}">
                  <a16:creationId xmlns:a16="http://schemas.microsoft.com/office/drawing/2014/main" id="{00000000-0008-0000-0000-0000A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476</xdr:row>
          <xdr:rowOff>220980</xdr:rowOff>
        </xdr:from>
        <xdr:to>
          <xdr:col>13</xdr:col>
          <xdr:colOff>0</xdr:colOff>
          <xdr:row>477</xdr:row>
          <xdr:rowOff>220980</xdr:rowOff>
        </xdr:to>
        <xdr:sp macro="" textlink="">
          <xdr:nvSpPr>
            <xdr:cNvPr id="3500" name="Drop Down 2476" hidden="1">
              <a:extLst>
                <a:ext uri="{63B3BB69-23CF-44E3-9099-C40C66FF867C}">
                  <a14:compatExt spid="_x0000_s3500"/>
                </a:ext>
                <a:ext uri="{FF2B5EF4-FFF2-40B4-BE49-F238E27FC236}">
                  <a16:creationId xmlns:a16="http://schemas.microsoft.com/office/drawing/2014/main" id="{00000000-0008-0000-0000-0000A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546</xdr:row>
          <xdr:rowOff>0</xdr:rowOff>
        </xdr:from>
        <xdr:to>
          <xdr:col>7</xdr:col>
          <xdr:colOff>624840</xdr:colOff>
          <xdr:row>547</xdr:row>
          <xdr:rowOff>0</xdr:rowOff>
        </xdr:to>
        <xdr:sp macro="" textlink="">
          <xdr:nvSpPr>
            <xdr:cNvPr id="3519" name="Drop Down 2495" hidden="1">
              <a:extLst>
                <a:ext uri="{63B3BB69-23CF-44E3-9099-C40C66FF867C}">
                  <a14:compatExt spid="_x0000_s3519"/>
                </a:ext>
                <a:ext uri="{FF2B5EF4-FFF2-40B4-BE49-F238E27FC236}">
                  <a16:creationId xmlns:a16="http://schemas.microsoft.com/office/drawing/2014/main" id="{00000000-0008-0000-0000-0000B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546</xdr:row>
          <xdr:rowOff>15240</xdr:rowOff>
        </xdr:from>
        <xdr:to>
          <xdr:col>7</xdr:col>
          <xdr:colOff>1272540</xdr:colOff>
          <xdr:row>547</xdr:row>
          <xdr:rowOff>0</xdr:rowOff>
        </xdr:to>
        <xdr:sp macro="" textlink="">
          <xdr:nvSpPr>
            <xdr:cNvPr id="3520" name="Drop Down 2496" hidden="1">
              <a:extLst>
                <a:ext uri="{63B3BB69-23CF-44E3-9099-C40C66FF867C}">
                  <a14:compatExt spid="_x0000_s3520"/>
                </a:ext>
                <a:ext uri="{FF2B5EF4-FFF2-40B4-BE49-F238E27FC236}">
                  <a16:creationId xmlns:a16="http://schemas.microsoft.com/office/drawing/2014/main" id="{00000000-0008-0000-0000-0000C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546</xdr:row>
          <xdr:rowOff>15240</xdr:rowOff>
        </xdr:from>
        <xdr:to>
          <xdr:col>7</xdr:col>
          <xdr:colOff>1805940</xdr:colOff>
          <xdr:row>546</xdr:row>
          <xdr:rowOff>320040</xdr:rowOff>
        </xdr:to>
        <xdr:sp macro="" textlink="">
          <xdr:nvSpPr>
            <xdr:cNvPr id="3521" name="Drop Down 2497" hidden="1">
              <a:extLst>
                <a:ext uri="{63B3BB69-23CF-44E3-9099-C40C66FF867C}">
                  <a14:compatExt spid="_x0000_s3521"/>
                </a:ext>
                <a:ext uri="{FF2B5EF4-FFF2-40B4-BE49-F238E27FC236}">
                  <a16:creationId xmlns:a16="http://schemas.microsoft.com/office/drawing/2014/main" id="{00000000-0008-0000-0000-0000C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547</xdr:row>
          <xdr:rowOff>0</xdr:rowOff>
        </xdr:from>
        <xdr:to>
          <xdr:col>7</xdr:col>
          <xdr:colOff>624840</xdr:colOff>
          <xdr:row>548</xdr:row>
          <xdr:rowOff>0</xdr:rowOff>
        </xdr:to>
        <xdr:sp macro="" textlink="">
          <xdr:nvSpPr>
            <xdr:cNvPr id="3522" name="Drop Down 2498" hidden="1">
              <a:extLst>
                <a:ext uri="{63B3BB69-23CF-44E3-9099-C40C66FF867C}">
                  <a14:compatExt spid="_x0000_s3522"/>
                </a:ext>
                <a:ext uri="{FF2B5EF4-FFF2-40B4-BE49-F238E27FC236}">
                  <a16:creationId xmlns:a16="http://schemas.microsoft.com/office/drawing/2014/main" id="{00000000-0008-0000-0000-0000C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547</xdr:row>
          <xdr:rowOff>15240</xdr:rowOff>
        </xdr:from>
        <xdr:to>
          <xdr:col>7</xdr:col>
          <xdr:colOff>1272540</xdr:colOff>
          <xdr:row>548</xdr:row>
          <xdr:rowOff>0</xdr:rowOff>
        </xdr:to>
        <xdr:sp macro="" textlink="">
          <xdr:nvSpPr>
            <xdr:cNvPr id="3523" name="Drop Down 2499" hidden="1">
              <a:extLst>
                <a:ext uri="{63B3BB69-23CF-44E3-9099-C40C66FF867C}">
                  <a14:compatExt spid="_x0000_s3523"/>
                </a:ext>
                <a:ext uri="{FF2B5EF4-FFF2-40B4-BE49-F238E27FC236}">
                  <a16:creationId xmlns:a16="http://schemas.microsoft.com/office/drawing/2014/main" id="{00000000-0008-0000-0000-0000C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547</xdr:row>
          <xdr:rowOff>15240</xdr:rowOff>
        </xdr:from>
        <xdr:to>
          <xdr:col>7</xdr:col>
          <xdr:colOff>1805940</xdr:colOff>
          <xdr:row>547</xdr:row>
          <xdr:rowOff>320040</xdr:rowOff>
        </xdr:to>
        <xdr:sp macro="" textlink="">
          <xdr:nvSpPr>
            <xdr:cNvPr id="3524" name="Drop Down 2500" hidden="1">
              <a:extLst>
                <a:ext uri="{63B3BB69-23CF-44E3-9099-C40C66FF867C}">
                  <a14:compatExt spid="_x0000_s3524"/>
                </a:ext>
                <a:ext uri="{FF2B5EF4-FFF2-40B4-BE49-F238E27FC236}">
                  <a16:creationId xmlns:a16="http://schemas.microsoft.com/office/drawing/2014/main" id="{00000000-0008-0000-0000-0000C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548</xdr:row>
          <xdr:rowOff>0</xdr:rowOff>
        </xdr:from>
        <xdr:to>
          <xdr:col>7</xdr:col>
          <xdr:colOff>624840</xdr:colOff>
          <xdr:row>549</xdr:row>
          <xdr:rowOff>0</xdr:rowOff>
        </xdr:to>
        <xdr:sp macro="" textlink="">
          <xdr:nvSpPr>
            <xdr:cNvPr id="3525" name="Drop Down 2501" hidden="1">
              <a:extLst>
                <a:ext uri="{63B3BB69-23CF-44E3-9099-C40C66FF867C}">
                  <a14:compatExt spid="_x0000_s3525"/>
                </a:ext>
                <a:ext uri="{FF2B5EF4-FFF2-40B4-BE49-F238E27FC236}">
                  <a16:creationId xmlns:a16="http://schemas.microsoft.com/office/drawing/2014/main" id="{00000000-0008-0000-0000-0000C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548</xdr:row>
          <xdr:rowOff>15240</xdr:rowOff>
        </xdr:from>
        <xdr:to>
          <xdr:col>7</xdr:col>
          <xdr:colOff>1272540</xdr:colOff>
          <xdr:row>549</xdr:row>
          <xdr:rowOff>0</xdr:rowOff>
        </xdr:to>
        <xdr:sp macro="" textlink="">
          <xdr:nvSpPr>
            <xdr:cNvPr id="3526" name="Drop Down 2502" hidden="1">
              <a:extLst>
                <a:ext uri="{63B3BB69-23CF-44E3-9099-C40C66FF867C}">
                  <a14:compatExt spid="_x0000_s3526"/>
                </a:ext>
                <a:ext uri="{FF2B5EF4-FFF2-40B4-BE49-F238E27FC236}">
                  <a16:creationId xmlns:a16="http://schemas.microsoft.com/office/drawing/2014/main" id="{00000000-0008-0000-0000-0000C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548</xdr:row>
          <xdr:rowOff>15240</xdr:rowOff>
        </xdr:from>
        <xdr:to>
          <xdr:col>7</xdr:col>
          <xdr:colOff>1805940</xdr:colOff>
          <xdr:row>548</xdr:row>
          <xdr:rowOff>320040</xdr:rowOff>
        </xdr:to>
        <xdr:sp macro="" textlink="">
          <xdr:nvSpPr>
            <xdr:cNvPr id="3527" name="Drop Down 2503" hidden="1">
              <a:extLst>
                <a:ext uri="{63B3BB69-23CF-44E3-9099-C40C66FF867C}">
                  <a14:compatExt spid="_x0000_s3527"/>
                </a:ext>
                <a:ext uri="{FF2B5EF4-FFF2-40B4-BE49-F238E27FC236}">
                  <a16:creationId xmlns:a16="http://schemas.microsoft.com/office/drawing/2014/main" id="{00000000-0008-0000-0000-0000C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577</xdr:row>
          <xdr:rowOff>15240</xdr:rowOff>
        </xdr:from>
        <xdr:to>
          <xdr:col>4</xdr:col>
          <xdr:colOff>205740</xdr:colOff>
          <xdr:row>577</xdr:row>
          <xdr:rowOff>220980</xdr:rowOff>
        </xdr:to>
        <xdr:sp macro="" textlink="">
          <xdr:nvSpPr>
            <xdr:cNvPr id="3534" name="Drop Down 2510" hidden="1">
              <a:extLst>
                <a:ext uri="{63B3BB69-23CF-44E3-9099-C40C66FF867C}">
                  <a14:compatExt spid="_x0000_s3534"/>
                </a:ext>
                <a:ext uri="{FF2B5EF4-FFF2-40B4-BE49-F238E27FC236}">
                  <a16:creationId xmlns:a16="http://schemas.microsoft.com/office/drawing/2014/main" id="{00000000-0008-0000-0000-0000C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577</xdr:row>
          <xdr:rowOff>15240</xdr:rowOff>
        </xdr:from>
        <xdr:to>
          <xdr:col>4</xdr:col>
          <xdr:colOff>1021080</xdr:colOff>
          <xdr:row>577</xdr:row>
          <xdr:rowOff>220980</xdr:rowOff>
        </xdr:to>
        <xdr:sp macro="" textlink="">
          <xdr:nvSpPr>
            <xdr:cNvPr id="3535" name="Drop Down 2511" hidden="1">
              <a:extLst>
                <a:ext uri="{63B3BB69-23CF-44E3-9099-C40C66FF867C}">
                  <a14:compatExt spid="_x0000_s3535"/>
                </a:ext>
                <a:ext uri="{FF2B5EF4-FFF2-40B4-BE49-F238E27FC236}">
                  <a16:creationId xmlns:a16="http://schemas.microsoft.com/office/drawing/2014/main" id="{00000000-0008-0000-0000-0000C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577</xdr:row>
          <xdr:rowOff>0</xdr:rowOff>
        </xdr:from>
        <xdr:to>
          <xdr:col>4</xdr:col>
          <xdr:colOff>1706880</xdr:colOff>
          <xdr:row>577</xdr:row>
          <xdr:rowOff>220980</xdr:rowOff>
        </xdr:to>
        <xdr:sp macro="" textlink="">
          <xdr:nvSpPr>
            <xdr:cNvPr id="3536" name="Drop Down 2512" hidden="1">
              <a:extLst>
                <a:ext uri="{63B3BB69-23CF-44E3-9099-C40C66FF867C}">
                  <a14:compatExt spid="_x0000_s3536"/>
                </a:ext>
                <a:ext uri="{FF2B5EF4-FFF2-40B4-BE49-F238E27FC236}">
                  <a16:creationId xmlns:a16="http://schemas.microsoft.com/office/drawing/2014/main" id="{00000000-0008-0000-0000-0000D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577</xdr:row>
          <xdr:rowOff>15240</xdr:rowOff>
        </xdr:from>
        <xdr:to>
          <xdr:col>6</xdr:col>
          <xdr:colOff>259080</xdr:colOff>
          <xdr:row>577</xdr:row>
          <xdr:rowOff>220980</xdr:rowOff>
        </xdr:to>
        <xdr:sp macro="" textlink="">
          <xdr:nvSpPr>
            <xdr:cNvPr id="3537" name="Drop Down 2513" hidden="1">
              <a:extLst>
                <a:ext uri="{63B3BB69-23CF-44E3-9099-C40C66FF867C}">
                  <a14:compatExt spid="_x0000_s3537"/>
                </a:ext>
                <a:ext uri="{FF2B5EF4-FFF2-40B4-BE49-F238E27FC236}">
                  <a16:creationId xmlns:a16="http://schemas.microsoft.com/office/drawing/2014/main" id="{00000000-0008-0000-0000-0000D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577</xdr:row>
          <xdr:rowOff>15240</xdr:rowOff>
        </xdr:from>
        <xdr:to>
          <xdr:col>6</xdr:col>
          <xdr:colOff>1120140</xdr:colOff>
          <xdr:row>577</xdr:row>
          <xdr:rowOff>220980</xdr:rowOff>
        </xdr:to>
        <xdr:sp macro="" textlink="">
          <xdr:nvSpPr>
            <xdr:cNvPr id="3538" name="Drop Down 2514" hidden="1">
              <a:extLst>
                <a:ext uri="{63B3BB69-23CF-44E3-9099-C40C66FF867C}">
                  <a14:compatExt spid="_x0000_s3538"/>
                </a:ext>
                <a:ext uri="{FF2B5EF4-FFF2-40B4-BE49-F238E27FC236}">
                  <a16:creationId xmlns:a16="http://schemas.microsoft.com/office/drawing/2014/main" id="{00000000-0008-0000-0000-0000D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577</xdr:row>
          <xdr:rowOff>0</xdr:rowOff>
        </xdr:from>
        <xdr:to>
          <xdr:col>6</xdr:col>
          <xdr:colOff>1805940</xdr:colOff>
          <xdr:row>577</xdr:row>
          <xdr:rowOff>220980</xdr:rowOff>
        </xdr:to>
        <xdr:sp macro="" textlink="">
          <xdr:nvSpPr>
            <xdr:cNvPr id="3539" name="Drop Down 2515" hidden="1">
              <a:extLst>
                <a:ext uri="{63B3BB69-23CF-44E3-9099-C40C66FF867C}">
                  <a14:compatExt spid="_x0000_s3539"/>
                </a:ext>
                <a:ext uri="{FF2B5EF4-FFF2-40B4-BE49-F238E27FC236}">
                  <a16:creationId xmlns:a16="http://schemas.microsoft.com/office/drawing/2014/main" id="{00000000-0008-0000-0000-0000D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575</xdr:row>
          <xdr:rowOff>0</xdr:rowOff>
        </xdr:from>
        <xdr:to>
          <xdr:col>12</xdr:col>
          <xdr:colOff>716280</xdr:colOff>
          <xdr:row>575</xdr:row>
          <xdr:rowOff>220980</xdr:rowOff>
        </xdr:to>
        <xdr:sp macro="" textlink="">
          <xdr:nvSpPr>
            <xdr:cNvPr id="3543" name="Drop Down 2519" hidden="1">
              <a:extLst>
                <a:ext uri="{63B3BB69-23CF-44E3-9099-C40C66FF867C}">
                  <a14:compatExt spid="_x0000_s3543"/>
                </a:ext>
                <a:ext uri="{FF2B5EF4-FFF2-40B4-BE49-F238E27FC236}">
                  <a16:creationId xmlns:a16="http://schemas.microsoft.com/office/drawing/2014/main" id="{00000000-0008-0000-0000-0000D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575</xdr:row>
          <xdr:rowOff>15240</xdr:rowOff>
        </xdr:from>
        <xdr:to>
          <xdr:col>12</xdr:col>
          <xdr:colOff>1325880</xdr:colOff>
          <xdr:row>575</xdr:row>
          <xdr:rowOff>220980</xdr:rowOff>
        </xdr:to>
        <xdr:sp macro="" textlink="">
          <xdr:nvSpPr>
            <xdr:cNvPr id="3544" name="Drop Down 2520" hidden="1">
              <a:extLst>
                <a:ext uri="{63B3BB69-23CF-44E3-9099-C40C66FF867C}">
                  <a14:compatExt spid="_x0000_s3544"/>
                </a:ext>
                <a:ext uri="{FF2B5EF4-FFF2-40B4-BE49-F238E27FC236}">
                  <a16:creationId xmlns:a16="http://schemas.microsoft.com/office/drawing/2014/main" id="{00000000-0008-0000-0000-0000D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575</xdr:row>
          <xdr:rowOff>0</xdr:rowOff>
        </xdr:from>
        <xdr:to>
          <xdr:col>13</xdr:col>
          <xdr:colOff>0</xdr:colOff>
          <xdr:row>575</xdr:row>
          <xdr:rowOff>220980</xdr:rowOff>
        </xdr:to>
        <xdr:sp macro="" textlink="">
          <xdr:nvSpPr>
            <xdr:cNvPr id="3545" name="Drop Down 2521" hidden="1">
              <a:extLst>
                <a:ext uri="{63B3BB69-23CF-44E3-9099-C40C66FF867C}">
                  <a14:compatExt spid="_x0000_s3545"/>
                </a:ext>
                <a:ext uri="{FF2B5EF4-FFF2-40B4-BE49-F238E27FC236}">
                  <a16:creationId xmlns:a16="http://schemas.microsoft.com/office/drawing/2014/main" id="{00000000-0008-0000-0000-0000D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577</xdr:row>
          <xdr:rowOff>0</xdr:rowOff>
        </xdr:from>
        <xdr:to>
          <xdr:col>12</xdr:col>
          <xdr:colOff>701040</xdr:colOff>
          <xdr:row>577</xdr:row>
          <xdr:rowOff>220980</xdr:rowOff>
        </xdr:to>
        <xdr:sp macro="" textlink="">
          <xdr:nvSpPr>
            <xdr:cNvPr id="3546" name="Drop Down 2522" hidden="1">
              <a:extLst>
                <a:ext uri="{63B3BB69-23CF-44E3-9099-C40C66FF867C}">
                  <a14:compatExt spid="_x0000_s3546"/>
                </a:ext>
                <a:ext uri="{FF2B5EF4-FFF2-40B4-BE49-F238E27FC236}">
                  <a16:creationId xmlns:a16="http://schemas.microsoft.com/office/drawing/2014/main" id="{00000000-0008-0000-0000-0000D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577</xdr:row>
          <xdr:rowOff>15240</xdr:rowOff>
        </xdr:from>
        <xdr:to>
          <xdr:col>12</xdr:col>
          <xdr:colOff>1310640</xdr:colOff>
          <xdr:row>577</xdr:row>
          <xdr:rowOff>220980</xdr:rowOff>
        </xdr:to>
        <xdr:sp macro="" textlink="">
          <xdr:nvSpPr>
            <xdr:cNvPr id="3547" name="Drop Down 2523" hidden="1">
              <a:extLst>
                <a:ext uri="{63B3BB69-23CF-44E3-9099-C40C66FF867C}">
                  <a14:compatExt spid="_x0000_s3547"/>
                </a:ext>
                <a:ext uri="{FF2B5EF4-FFF2-40B4-BE49-F238E27FC236}">
                  <a16:creationId xmlns:a16="http://schemas.microsoft.com/office/drawing/2014/main" id="{00000000-0008-0000-0000-0000D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576</xdr:row>
          <xdr:rowOff>220980</xdr:rowOff>
        </xdr:from>
        <xdr:to>
          <xdr:col>13</xdr:col>
          <xdr:colOff>0</xdr:colOff>
          <xdr:row>577</xdr:row>
          <xdr:rowOff>220980</xdr:rowOff>
        </xdr:to>
        <xdr:sp macro="" textlink="">
          <xdr:nvSpPr>
            <xdr:cNvPr id="3548" name="Drop Down 2524" hidden="1">
              <a:extLst>
                <a:ext uri="{63B3BB69-23CF-44E3-9099-C40C66FF867C}">
                  <a14:compatExt spid="_x0000_s3548"/>
                </a:ext>
                <a:ext uri="{FF2B5EF4-FFF2-40B4-BE49-F238E27FC236}">
                  <a16:creationId xmlns:a16="http://schemas.microsoft.com/office/drawing/2014/main" id="{00000000-0008-0000-0000-0000D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646</xdr:row>
          <xdr:rowOff>0</xdr:rowOff>
        </xdr:from>
        <xdr:to>
          <xdr:col>7</xdr:col>
          <xdr:colOff>624840</xdr:colOff>
          <xdr:row>647</xdr:row>
          <xdr:rowOff>0</xdr:rowOff>
        </xdr:to>
        <xdr:sp macro="" textlink="">
          <xdr:nvSpPr>
            <xdr:cNvPr id="3567" name="Drop Down 2543" hidden="1">
              <a:extLst>
                <a:ext uri="{63B3BB69-23CF-44E3-9099-C40C66FF867C}">
                  <a14:compatExt spid="_x0000_s3567"/>
                </a:ext>
                <a:ext uri="{FF2B5EF4-FFF2-40B4-BE49-F238E27FC236}">
                  <a16:creationId xmlns:a16="http://schemas.microsoft.com/office/drawing/2014/main" id="{00000000-0008-0000-0000-0000E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646</xdr:row>
          <xdr:rowOff>15240</xdr:rowOff>
        </xdr:from>
        <xdr:to>
          <xdr:col>7</xdr:col>
          <xdr:colOff>1272540</xdr:colOff>
          <xdr:row>647</xdr:row>
          <xdr:rowOff>0</xdr:rowOff>
        </xdr:to>
        <xdr:sp macro="" textlink="">
          <xdr:nvSpPr>
            <xdr:cNvPr id="3568" name="Drop Down 2544" hidden="1">
              <a:extLst>
                <a:ext uri="{63B3BB69-23CF-44E3-9099-C40C66FF867C}">
                  <a14:compatExt spid="_x0000_s3568"/>
                </a:ext>
                <a:ext uri="{FF2B5EF4-FFF2-40B4-BE49-F238E27FC236}">
                  <a16:creationId xmlns:a16="http://schemas.microsoft.com/office/drawing/2014/main" id="{00000000-0008-0000-0000-0000F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646</xdr:row>
          <xdr:rowOff>15240</xdr:rowOff>
        </xdr:from>
        <xdr:to>
          <xdr:col>7</xdr:col>
          <xdr:colOff>1805940</xdr:colOff>
          <xdr:row>646</xdr:row>
          <xdr:rowOff>320040</xdr:rowOff>
        </xdr:to>
        <xdr:sp macro="" textlink="">
          <xdr:nvSpPr>
            <xdr:cNvPr id="3569" name="Drop Down 2545" hidden="1">
              <a:extLst>
                <a:ext uri="{63B3BB69-23CF-44E3-9099-C40C66FF867C}">
                  <a14:compatExt spid="_x0000_s3569"/>
                </a:ext>
                <a:ext uri="{FF2B5EF4-FFF2-40B4-BE49-F238E27FC236}">
                  <a16:creationId xmlns:a16="http://schemas.microsoft.com/office/drawing/2014/main" id="{00000000-0008-0000-0000-0000F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647</xdr:row>
          <xdr:rowOff>0</xdr:rowOff>
        </xdr:from>
        <xdr:to>
          <xdr:col>7</xdr:col>
          <xdr:colOff>624840</xdr:colOff>
          <xdr:row>648</xdr:row>
          <xdr:rowOff>0</xdr:rowOff>
        </xdr:to>
        <xdr:sp macro="" textlink="">
          <xdr:nvSpPr>
            <xdr:cNvPr id="3570" name="Drop Down 2546" hidden="1">
              <a:extLst>
                <a:ext uri="{63B3BB69-23CF-44E3-9099-C40C66FF867C}">
                  <a14:compatExt spid="_x0000_s3570"/>
                </a:ext>
                <a:ext uri="{FF2B5EF4-FFF2-40B4-BE49-F238E27FC236}">
                  <a16:creationId xmlns:a16="http://schemas.microsoft.com/office/drawing/2014/main" id="{00000000-0008-0000-0000-0000F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647</xdr:row>
          <xdr:rowOff>15240</xdr:rowOff>
        </xdr:from>
        <xdr:to>
          <xdr:col>7</xdr:col>
          <xdr:colOff>1272540</xdr:colOff>
          <xdr:row>648</xdr:row>
          <xdr:rowOff>0</xdr:rowOff>
        </xdr:to>
        <xdr:sp macro="" textlink="">
          <xdr:nvSpPr>
            <xdr:cNvPr id="3571" name="Drop Down 2547" hidden="1">
              <a:extLst>
                <a:ext uri="{63B3BB69-23CF-44E3-9099-C40C66FF867C}">
                  <a14:compatExt spid="_x0000_s3571"/>
                </a:ext>
                <a:ext uri="{FF2B5EF4-FFF2-40B4-BE49-F238E27FC236}">
                  <a16:creationId xmlns:a16="http://schemas.microsoft.com/office/drawing/2014/main" id="{00000000-0008-0000-0000-0000F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647</xdr:row>
          <xdr:rowOff>15240</xdr:rowOff>
        </xdr:from>
        <xdr:to>
          <xdr:col>7</xdr:col>
          <xdr:colOff>1805940</xdr:colOff>
          <xdr:row>647</xdr:row>
          <xdr:rowOff>320040</xdr:rowOff>
        </xdr:to>
        <xdr:sp macro="" textlink="">
          <xdr:nvSpPr>
            <xdr:cNvPr id="3572" name="Drop Down 2548" hidden="1">
              <a:extLst>
                <a:ext uri="{63B3BB69-23CF-44E3-9099-C40C66FF867C}">
                  <a14:compatExt spid="_x0000_s3572"/>
                </a:ext>
                <a:ext uri="{FF2B5EF4-FFF2-40B4-BE49-F238E27FC236}">
                  <a16:creationId xmlns:a16="http://schemas.microsoft.com/office/drawing/2014/main" id="{00000000-0008-0000-0000-0000F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648</xdr:row>
          <xdr:rowOff>0</xdr:rowOff>
        </xdr:from>
        <xdr:to>
          <xdr:col>7</xdr:col>
          <xdr:colOff>624840</xdr:colOff>
          <xdr:row>649</xdr:row>
          <xdr:rowOff>0</xdr:rowOff>
        </xdr:to>
        <xdr:sp macro="" textlink="">
          <xdr:nvSpPr>
            <xdr:cNvPr id="3573" name="Drop Down 2549" hidden="1">
              <a:extLst>
                <a:ext uri="{63B3BB69-23CF-44E3-9099-C40C66FF867C}">
                  <a14:compatExt spid="_x0000_s3573"/>
                </a:ext>
                <a:ext uri="{FF2B5EF4-FFF2-40B4-BE49-F238E27FC236}">
                  <a16:creationId xmlns:a16="http://schemas.microsoft.com/office/drawing/2014/main" id="{00000000-0008-0000-0000-0000F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648</xdr:row>
          <xdr:rowOff>15240</xdr:rowOff>
        </xdr:from>
        <xdr:to>
          <xdr:col>7</xdr:col>
          <xdr:colOff>1272540</xdr:colOff>
          <xdr:row>649</xdr:row>
          <xdr:rowOff>0</xdr:rowOff>
        </xdr:to>
        <xdr:sp macro="" textlink="">
          <xdr:nvSpPr>
            <xdr:cNvPr id="3574" name="Drop Down 2550" hidden="1">
              <a:extLst>
                <a:ext uri="{63B3BB69-23CF-44E3-9099-C40C66FF867C}">
                  <a14:compatExt spid="_x0000_s3574"/>
                </a:ext>
                <a:ext uri="{FF2B5EF4-FFF2-40B4-BE49-F238E27FC236}">
                  <a16:creationId xmlns:a16="http://schemas.microsoft.com/office/drawing/2014/main" id="{00000000-0008-0000-0000-0000F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648</xdr:row>
          <xdr:rowOff>15240</xdr:rowOff>
        </xdr:from>
        <xdr:to>
          <xdr:col>7</xdr:col>
          <xdr:colOff>1805940</xdr:colOff>
          <xdr:row>648</xdr:row>
          <xdr:rowOff>320040</xdr:rowOff>
        </xdr:to>
        <xdr:sp macro="" textlink="">
          <xdr:nvSpPr>
            <xdr:cNvPr id="3575" name="Drop Down 2551" hidden="1">
              <a:extLst>
                <a:ext uri="{63B3BB69-23CF-44E3-9099-C40C66FF867C}">
                  <a14:compatExt spid="_x0000_s3575"/>
                </a:ext>
                <a:ext uri="{FF2B5EF4-FFF2-40B4-BE49-F238E27FC236}">
                  <a16:creationId xmlns:a16="http://schemas.microsoft.com/office/drawing/2014/main" id="{00000000-0008-0000-0000-0000F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677</xdr:row>
          <xdr:rowOff>15240</xdr:rowOff>
        </xdr:from>
        <xdr:to>
          <xdr:col>4</xdr:col>
          <xdr:colOff>205740</xdr:colOff>
          <xdr:row>677</xdr:row>
          <xdr:rowOff>220980</xdr:rowOff>
        </xdr:to>
        <xdr:sp macro="" textlink="">
          <xdr:nvSpPr>
            <xdr:cNvPr id="3582" name="Drop Down 2558" hidden="1">
              <a:extLst>
                <a:ext uri="{63B3BB69-23CF-44E3-9099-C40C66FF867C}">
                  <a14:compatExt spid="_x0000_s3582"/>
                </a:ext>
                <a:ext uri="{FF2B5EF4-FFF2-40B4-BE49-F238E27FC236}">
                  <a16:creationId xmlns:a16="http://schemas.microsoft.com/office/drawing/2014/main" id="{00000000-0008-0000-0000-0000F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677</xdr:row>
          <xdr:rowOff>15240</xdr:rowOff>
        </xdr:from>
        <xdr:to>
          <xdr:col>4</xdr:col>
          <xdr:colOff>1021080</xdr:colOff>
          <xdr:row>677</xdr:row>
          <xdr:rowOff>220980</xdr:rowOff>
        </xdr:to>
        <xdr:sp macro="" textlink="">
          <xdr:nvSpPr>
            <xdr:cNvPr id="3583" name="Drop Down 2559" hidden="1">
              <a:extLst>
                <a:ext uri="{63B3BB69-23CF-44E3-9099-C40C66FF867C}">
                  <a14:compatExt spid="_x0000_s3583"/>
                </a:ext>
                <a:ext uri="{FF2B5EF4-FFF2-40B4-BE49-F238E27FC236}">
                  <a16:creationId xmlns:a16="http://schemas.microsoft.com/office/drawing/2014/main" id="{00000000-0008-0000-0000-0000F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677</xdr:row>
          <xdr:rowOff>0</xdr:rowOff>
        </xdr:from>
        <xdr:to>
          <xdr:col>4</xdr:col>
          <xdr:colOff>1706880</xdr:colOff>
          <xdr:row>677</xdr:row>
          <xdr:rowOff>220980</xdr:rowOff>
        </xdr:to>
        <xdr:sp macro="" textlink="">
          <xdr:nvSpPr>
            <xdr:cNvPr id="3584" name="Drop Down 2560" hidden="1">
              <a:extLst>
                <a:ext uri="{63B3BB69-23CF-44E3-9099-C40C66FF867C}">
                  <a14:compatExt spid="_x0000_s3584"/>
                </a:ext>
                <a:ext uri="{FF2B5EF4-FFF2-40B4-BE49-F238E27FC236}">
                  <a16:creationId xmlns:a16="http://schemas.microsoft.com/office/drawing/2014/main" id="{00000000-0008-0000-0000-00000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677</xdr:row>
          <xdr:rowOff>15240</xdr:rowOff>
        </xdr:from>
        <xdr:to>
          <xdr:col>6</xdr:col>
          <xdr:colOff>259080</xdr:colOff>
          <xdr:row>677</xdr:row>
          <xdr:rowOff>220980</xdr:rowOff>
        </xdr:to>
        <xdr:sp macro="" textlink="">
          <xdr:nvSpPr>
            <xdr:cNvPr id="3585" name="Drop Down 2561" hidden="1">
              <a:extLst>
                <a:ext uri="{63B3BB69-23CF-44E3-9099-C40C66FF867C}">
                  <a14:compatExt spid="_x0000_s3585"/>
                </a:ext>
                <a:ext uri="{FF2B5EF4-FFF2-40B4-BE49-F238E27FC236}">
                  <a16:creationId xmlns:a16="http://schemas.microsoft.com/office/drawing/2014/main" id="{00000000-0008-0000-0000-00000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677</xdr:row>
          <xdr:rowOff>15240</xdr:rowOff>
        </xdr:from>
        <xdr:to>
          <xdr:col>6</xdr:col>
          <xdr:colOff>1120140</xdr:colOff>
          <xdr:row>677</xdr:row>
          <xdr:rowOff>220980</xdr:rowOff>
        </xdr:to>
        <xdr:sp macro="" textlink="">
          <xdr:nvSpPr>
            <xdr:cNvPr id="3586" name="Drop Down 2562" hidden="1">
              <a:extLst>
                <a:ext uri="{63B3BB69-23CF-44E3-9099-C40C66FF867C}">
                  <a14:compatExt spid="_x0000_s3586"/>
                </a:ext>
                <a:ext uri="{FF2B5EF4-FFF2-40B4-BE49-F238E27FC236}">
                  <a16:creationId xmlns:a16="http://schemas.microsoft.com/office/drawing/2014/main" id="{00000000-0008-0000-0000-00000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677</xdr:row>
          <xdr:rowOff>0</xdr:rowOff>
        </xdr:from>
        <xdr:to>
          <xdr:col>6</xdr:col>
          <xdr:colOff>1805940</xdr:colOff>
          <xdr:row>677</xdr:row>
          <xdr:rowOff>220980</xdr:rowOff>
        </xdr:to>
        <xdr:sp macro="" textlink="">
          <xdr:nvSpPr>
            <xdr:cNvPr id="3587" name="Drop Down 2563" hidden="1">
              <a:extLst>
                <a:ext uri="{63B3BB69-23CF-44E3-9099-C40C66FF867C}">
                  <a14:compatExt spid="_x0000_s3587"/>
                </a:ext>
                <a:ext uri="{FF2B5EF4-FFF2-40B4-BE49-F238E27FC236}">
                  <a16:creationId xmlns:a16="http://schemas.microsoft.com/office/drawing/2014/main" id="{00000000-0008-0000-0000-00000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675</xdr:row>
          <xdr:rowOff>0</xdr:rowOff>
        </xdr:from>
        <xdr:to>
          <xdr:col>12</xdr:col>
          <xdr:colOff>716280</xdr:colOff>
          <xdr:row>675</xdr:row>
          <xdr:rowOff>220980</xdr:rowOff>
        </xdr:to>
        <xdr:sp macro="" textlink="">
          <xdr:nvSpPr>
            <xdr:cNvPr id="3591" name="Drop Down 2567" hidden="1">
              <a:extLst>
                <a:ext uri="{63B3BB69-23CF-44E3-9099-C40C66FF867C}">
                  <a14:compatExt spid="_x0000_s3591"/>
                </a:ext>
                <a:ext uri="{FF2B5EF4-FFF2-40B4-BE49-F238E27FC236}">
                  <a16:creationId xmlns:a16="http://schemas.microsoft.com/office/drawing/2014/main" id="{00000000-0008-0000-0000-00000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675</xdr:row>
          <xdr:rowOff>15240</xdr:rowOff>
        </xdr:from>
        <xdr:to>
          <xdr:col>12</xdr:col>
          <xdr:colOff>1325880</xdr:colOff>
          <xdr:row>675</xdr:row>
          <xdr:rowOff>220980</xdr:rowOff>
        </xdr:to>
        <xdr:sp macro="" textlink="">
          <xdr:nvSpPr>
            <xdr:cNvPr id="3592" name="Drop Down 2568" hidden="1">
              <a:extLst>
                <a:ext uri="{63B3BB69-23CF-44E3-9099-C40C66FF867C}">
                  <a14:compatExt spid="_x0000_s3592"/>
                </a:ext>
                <a:ext uri="{FF2B5EF4-FFF2-40B4-BE49-F238E27FC236}">
                  <a16:creationId xmlns:a16="http://schemas.microsoft.com/office/drawing/2014/main" id="{00000000-0008-0000-0000-00000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675</xdr:row>
          <xdr:rowOff>0</xdr:rowOff>
        </xdr:from>
        <xdr:to>
          <xdr:col>13</xdr:col>
          <xdr:colOff>0</xdr:colOff>
          <xdr:row>675</xdr:row>
          <xdr:rowOff>220980</xdr:rowOff>
        </xdr:to>
        <xdr:sp macro="" textlink="">
          <xdr:nvSpPr>
            <xdr:cNvPr id="3593" name="Drop Down 2569" hidden="1">
              <a:extLst>
                <a:ext uri="{63B3BB69-23CF-44E3-9099-C40C66FF867C}">
                  <a14:compatExt spid="_x0000_s3593"/>
                </a:ext>
                <a:ext uri="{FF2B5EF4-FFF2-40B4-BE49-F238E27FC236}">
                  <a16:creationId xmlns:a16="http://schemas.microsoft.com/office/drawing/2014/main" id="{00000000-0008-0000-0000-00000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677</xdr:row>
          <xdr:rowOff>0</xdr:rowOff>
        </xdr:from>
        <xdr:to>
          <xdr:col>12</xdr:col>
          <xdr:colOff>701040</xdr:colOff>
          <xdr:row>677</xdr:row>
          <xdr:rowOff>220980</xdr:rowOff>
        </xdr:to>
        <xdr:sp macro="" textlink="">
          <xdr:nvSpPr>
            <xdr:cNvPr id="3594" name="Drop Down 2570" hidden="1">
              <a:extLst>
                <a:ext uri="{63B3BB69-23CF-44E3-9099-C40C66FF867C}">
                  <a14:compatExt spid="_x0000_s3594"/>
                </a:ext>
                <a:ext uri="{FF2B5EF4-FFF2-40B4-BE49-F238E27FC236}">
                  <a16:creationId xmlns:a16="http://schemas.microsoft.com/office/drawing/2014/main" id="{00000000-0008-0000-0000-00000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677</xdr:row>
          <xdr:rowOff>15240</xdr:rowOff>
        </xdr:from>
        <xdr:to>
          <xdr:col>12</xdr:col>
          <xdr:colOff>1310640</xdr:colOff>
          <xdr:row>677</xdr:row>
          <xdr:rowOff>220980</xdr:rowOff>
        </xdr:to>
        <xdr:sp macro="" textlink="">
          <xdr:nvSpPr>
            <xdr:cNvPr id="3595" name="Drop Down 2571" hidden="1">
              <a:extLst>
                <a:ext uri="{63B3BB69-23CF-44E3-9099-C40C66FF867C}">
                  <a14:compatExt spid="_x0000_s3595"/>
                </a:ext>
                <a:ext uri="{FF2B5EF4-FFF2-40B4-BE49-F238E27FC236}">
                  <a16:creationId xmlns:a16="http://schemas.microsoft.com/office/drawing/2014/main" id="{00000000-0008-0000-0000-00000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676</xdr:row>
          <xdr:rowOff>220980</xdr:rowOff>
        </xdr:from>
        <xdr:to>
          <xdr:col>13</xdr:col>
          <xdr:colOff>0</xdr:colOff>
          <xdr:row>677</xdr:row>
          <xdr:rowOff>220980</xdr:rowOff>
        </xdr:to>
        <xdr:sp macro="" textlink="">
          <xdr:nvSpPr>
            <xdr:cNvPr id="3596" name="Drop Down 2572" hidden="1">
              <a:extLst>
                <a:ext uri="{63B3BB69-23CF-44E3-9099-C40C66FF867C}">
                  <a14:compatExt spid="_x0000_s3596"/>
                </a:ext>
                <a:ext uri="{FF2B5EF4-FFF2-40B4-BE49-F238E27FC236}">
                  <a16:creationId xmlns:a16="http://schemas.microsoft.com/office/drawing/2014/main" id="{00000000-0008-0000-0000-00000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746</xdr:row>
          <xdr:rowOff>0</xdr:rowOff>
        </xdr:from>
        <xdr:to>
          <xdr:col>7</xdr:col>
          <xdr:colOff>624840</xdr:colOff>
          <xdr:row>747</xdr:row>
          <xdr:rowOff>0</xdr:rowOff>
        </xdr:to>
        <xdr:sp macro="" textlink="">
          <xdr:nvSpPr>
            <xdr:cNvPr id="3615" name="Drop Down 2591" hidden="1">
              <a:extLst>
                <a:ext uri="{63B3BB69-23CF-44E3-9099-C40C66FF867C}">
                  <a14:compatExt spid="_x0000_s3615"/>
                </a:ext>
                <a:ext uri="{FF2B5EF4-FFF2-40B4-BE49-F238E27FC236}">
                  <a16:creationId xmlns:a16="http://schemas.microsoft.com/office/drawing/2014/main" id="{00000000-0008-0000-0000-00001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746</xdr:row>
          <xdr:rowOff>15240</xdr:rowOff>
        </xdr:from>
        <xdr:to>
          <xdr:col>7</xdr:col>
          <xdr:colOff>1272540</xdr:colOff>
          <xdr:row>747</xdr:row>
          <xdr:rowOff>0</xdr:rowOff>
        </xdr:to>
        <xdr:sp macro="" textlink="">
          <xdr:nvSpPr>
            <xdr:cNvPr id="3616" name="Drop Down 2592" hidden="1">
              <a:extLst>
                <a:ext uri="{63B3BB69-23CF-44E3-9099-C40C66FF867C}">
                  <a14:compatExt spid="_x0000_s3616"/>
                </a:ext>
                <a:ext uri="{FF2B5EF4-FFF2-40B4-BE49-F238E27FC236}">
                  <a16:creationId xmlns:a16="http://schemas.microsoft.com/office/drawing/2014/main" id="{00000000-0008-0000-0000-00002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746</xdr:row>
          <xdr:rowOff>15240</xdr:rowOff>
        </xdr:from>
        <xdr:to>
          <xdr:col>7</xdr:col>
          <xdr:colOff>1805940</xdr:colOff>
          <xdr:row>746</xdr:row>
          <xdr:rowOff>320040</xdr:rowOff>
        </xdr:to>
        <xdr:sp macro="" textlink="">
          <xdr:nvSpPr>
            <xdr:cNvPr id="3617" name="Drop Down 2593" hidden="1">
              <a:extLst>
                <a:ext uri="{63B3BB69-23CF-44E3-9099-C40C66FF867C}">
                  <a14:compatExt spid="_x0000_s3617"/>
                </a:ext>
                <a:ext uri="{FF2B5EF4-FFF2-40B4-BE49-F238E27FC236}">
                  <a16:creationId xmlns:a16="http://schemas.microsoft.com/office/drawing/2014/main" id="{00000000-0008-0000-0000-00002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747</xdr:row>
          <xdr:rowOff>0</xdr:rowOff>
        </xdr:from>
        <xdr:to>
          <xdr:col>7</xdr:col>
          <xdr:colOff>624840</xdr:colOff>
          <xdr:row>748</xdr:row>
          <xdr:rowOff>0</xdr:rowOff>
        </xdr:to>
        <xdr:sp macro="" textlink="">
          <xdr:nvSpPr>
            <xdr:cNvPr id="3618" name="Drop Down 2594" hidden="1">
              <a:extLst>
                <a:ext uri="{63B3BB69-23CF-44E3-9099-C40C66FF867C}">
                  <a14:compatExt spid="_x0000_s3618"/>
                </a:ext>
                <a:ext uri="{FF2B5EF4-FFF2-40B4-BE49-F238E27FC236}">
                  <a16:creationId xmlns:a16="http://schemas.microsoft.com/office/drawing/2014/main" id="{00000000-0008-0000-0000-00002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747</xdr:row>
          <xdr:rowOff>15240</xdr:rowOff>
        </xdr:from>
        <xdr:to>
          <xdr:col>7</xdr:col>
          <xdr:colOff>1272540</xdr:colOff>
          <xdr:row>748</xdr:row>
          <xdr:rowOff>0</xdr:rowOff>
        </xdr:to>
        <xdr:sp macro="" textlink="">
          <xdr:nvSpPr>
            <xdr:cNvPr id="3619" name="Drop Down 2595" hidden="1">
              <a:extLst>
                <a:ext uri="{63B3BB69-23CF-44E3-9099-C40C66FF867C}">
                  <a14:compatExt spid="_x0000_s3619"/>
                </a:ext>
                <a:ext uri="{FF2B5EF4-FFF2-40B4-BE49-F238E27FC236}">
                  <a16:creationId xmlns:a16="http://schemas.microsoft.com/office/drawing/2014/main" id="{00000000-0008-0000-0000-00002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747</xdr:row>
          <xdr:rowOff>15240</xdr:rowOff>
        </xdr:from>
        <xdr:to>
          <xdr:col>7</xdr:col>
          <xdr:colOff>1805940</xdr:colOff>
          <xdr:row>747</xdr:row>
          <xdr:rowOff>320040</xdr:rowOff>
        </xdr:to>
        <xdr:sp macro="" textlink="">
          <xdr:nvSpPr>
            <xdr:cNvPr id="3620" name="Drop Down 2596" hidden="1">
              <a:extLst>
                <a:ext uri="{63B3BB69-23CF-44E3-9099-C40C66FF867C}">
                  <a14:compatExt spid="_x0000_s3620"/>
                </a:ext>
                <a:ext uri="{FF2B5EF4-FFF2-40B4-BE49-F238E27FC236}">
                  <a16:creationId xmlns:a16="http://schemas.microsoft.com/office/drawing/2014/main" id="{00000000-0008-0000-0000-00002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748</xdr:row>
          <xdr:rowOff>0</xdr:rowOff>
        </xdr:from>
        <xdr:to>
          <xdr:col>7</xdr:col>
          <xdr:colOff>624840</xdr:colOff>
          <xdr:row>749</xdr:row>
          <xdr:rowOff>0</xdr:rowOff>
        </xdr:to>
        <xdr:sp macro="" textlink="">
          <xdr:nvSpPr>
            <xdr:cNvPr id="3621" name="Drop Down 2597" hidden="1">
              <a:extLst>
                <a:ext uri="{63B3BB69-23CF-44E3-9099-C40C66FF867C}">
                  <a14:compatExt spid="_x0000_s3621"/>
                </a:ext>
                <a:ext uri="{FF2B5EF4-FFF2-40B4-BE49-F238E27FC236}">
                  <a16:creationId xmlns:a16="http://schemas.microsoft.com/office/drawing/2014/main" id="{00000000-0008-0000-0000-00002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748</xdr:row>
          <xdr:rowOff>15240</xdr:rowOff>
        </xdr:from>
        <xdr:to>
          <xdr:col>7</xdr:col>
          <xdr:colOff>1272540</xdr:colOff>
          <xdr:row>749</xdr:row>
          <xdr:rowOff>0</xdr:rowOff>
        </xdr:to>
        <xdr:sp macro="" textlink="">
          <xdr:nvSpPr>
            <xdr:cNvPr id="3622" name="Drop Down 2598" hidden="1">
              <a:extLst>
                <a:ext uri="{63B3BB69-23CF-44E3-9099-C40C66FF867C}">
                  <a14:compatExt spid="_x0000_s3622"/>
                </a:ext>
                <a:ext uri="{FF2B5EF4-FFF2-40B4-BE49-F238E27FC236}">
                  <a16:creationId xmlns:a16="http://schemas.microsoft.com/office/drawing/2014/main" id="{00000000-0008-0000-0000-00002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748</xdr:row>
          <xdr:rowOff>15240</xdr:rowOff>
        </xdr:from>
        <xdr:to>
          <xdr:col>7</xdr:col>
          <xdr:colOff>1805940</xdr:colOff>
          <xdr:row>748</xdr:row>
          <xdr:rowOff>320040</xdr:rowOff>
        </xdr:to>
        <xdr:sp macro="" textlink="">
          <xdr:nvSpPr>
            <xdr:cNvPr id="3623" name="Drop Down 2599" hidden="1">
              <a:extLst>
                <a:ext uri="{63B3BB69-23CF-44E3-9099-C40C66FF867C}">
                  <a14:compatExt spid="_x0000_s3623"/>
                </a:ext>
                <a:ext uri="{FF2B5EF4-FFF2-40B4-BE49-F238E27FC236}">
                  <a16:creationId xmlns:a16="http://schemas.microsoft.com/office/drawing/2014/main" id="{00000000-0008-0000-0000-00002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777</xdr:row>
          <xdr:rowOff>15240</xdr:rowOff>
        </xdr:from>
        <xdr:to>
          <xdr:col>4</xdr:col>
          <xdr:colOff>205740</xdr:colOff>
          <xdr:row>777</xdr:row>
          <xdr:rowOff>220980</xdr:rowOff>
        </xdr:to>
        <xdr:sp macro="" textlink="">
          <xdr:nvSpPr>
            <xdr:cNvPr id="3636" name="Drop Down 2612" hidden="1">
              <a:extLst>
                <a:ext uri="{63B3BB69-23CF-44E3-9099-C40C66FF867C}">
                  <a14:compatExt spid="_x0000_s3636"/>
                </a:ext>
                <a:ext uri="{FF2B5EF4-FFF2-40B4-BE49-F238E27FC236}">
                  <a16:creationId xmlns:a16="http://schemas.microsoft.com/office/drawing/2014/main" id="{00000000-0008-0000-0000-00003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777</xdr:row>
          <xdr:rowOff>15240</xdr:rowOff>
        </xdr:from>
        <xdr:to>
          <xdr:col>4</xdr:col>
          <xdr:colOff>1021080</xdr:colOff>
          <xdr:row>777</xdr:row>
          <xdr:rowOff>220980</xdr:rowOff>
        </xdr:to>
        <xdr:sp macro="" textlink="">
          <xdr:nvSpPr>
            <xdr:cNvPr id="3637" name="Drop Down 2613" hidden="1">
              <a:extLst>
                <a:ext uri="{63B3BB69-23CF-44E3-9099-C40C66FF867C}">
                  <a14:compatExt spid="_x0000_s3637"/>
                </a:ext>
                <a:ext uri="{FF2B5EF4-FFF2-40B4-BE49-F238E27FC236}">
                  <a16:creationId xmlns:a16="http://schemas.microsoft.com/office/drawing/2014/main" id="{00000000-0008-0000-0000-00003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777</xdr:row>
          <xdr:rowOff>0</xdr:rowOff>
        </xdr:from>
        <xdr:to>
          <xdr:col>4</xdr:col>
          <xdr:colOff>1706880</xdr:colOff>
          <xdr:row>777</xdr:row>
          <xdr:rowOff>220980</xdr:rowOff>
        </xdr:to>
        <xdr:sp macro="" textlink="">
          <xdr:nvSpPr>
            <xdr:cNvPr id="3638" name="Drop Down 2614" hidden="1">
              <a:extLst>
                <a:ext uri="{63B3BB69-23CF-44E3-9099-C40C66FF867C}">
                  <a14:compatExt spid="_x0000_s3638"/>
                </a:ext>
                <a:ext uri="{FF2B5EF4-FFF2-40B4-BE49-F238E27FC236}">
                  <a16:creationId xmlns:a16="http://schemas.microsoft.com/office/drawing/2014/main" id="{00000000-0008-0000-0000-00003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777</xdr:row>
          <xdr:rowOff>15240</xdr:rowOff>
        </xdr:from>
        <xdr:to>
          <xdr:col>6</xdr:col>
          <xdr:colOff>259080</xdr:colOff>
          <xdr:row>777</xdr:row>
          <xdr:rowOff>220980</xdr:rowOff>
        </xdr:to>
        <xdr:sp macro="" textlink="">
          <xdr:nvSpPr>
            <xdr:cNvPr id="3639" name="Drop Down 2615" hidden="1">
              <a:extLst>
                <a:ext uri="{63B3BB69-23CF-44E3-9099-C40C66FF867C}">
                  <a14:compatExt spid="_x0000_s3639"/>
                </a:ext>
                <a:ext uri="{FF2B5EF4-FFF2-40B4-BE49-F238E27FC236}">
                  <a16:creationId xmlns:a16="http://schemas.microsoft.com/office/drawing/2014/main" id="{00000000-0008-0000-0000-00003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777</xdr:row>
          <xdr:rowOff>15240</xdr:rowOff>
        </xdr:from>
        <xdr:to>
          <xdr:col>6</xdr:col>
          <xdr:colOff>1120140</xdr:colOff>
          <xdr:row>777</xdr:row>
          <xdr:rowOff>220980</xdr:rowOff>
        </xdr:to>
        <xdr:sp macro="" textlink="">
          <xdr:nvSpPr>
            <xdr:cNvPr id="3640" name="Drop Down 2616" hidden="1">
              <a:extLst>
                <a:ext uri="{63B3BB69-23CF-44E3-9099-C40C66FF867C}">
                  <a14:compatExt spid="_x0000_s3640"/>
                </a:ext>
                <a:ext uri="{FF2B5EF4-FFF2-40B4-BE49-F238E27FC236}">
                  <a16:creationId xmlns:a16="http://schemas.microsoft.com/office/drawing/2014/main" id="{00000000-0008-0000-0000-00003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777</xdr:row>
          <xdr:rowOff>0</xdr:rowOff>
        </xdr:from>
        <xdr:to>
          <xdr:col>6</xdr:col>
          <xdr:colOff>1805940</xdr:colOff>
          <xdr:row>777</xdr:row>
          <xdr:rowOff>220980</xdr:rowOff>
        </xdr:to>
        <xdr:sp macro="" textlink="">
          <xdr:nvSpPr>
            <xdr:cNvPr id="3641" name="Drop Down 2617" hidden="1">
              <a:extLst>
                <a:ext uri="{63B3BB69-23CF-44E3-9099-C40C66FF867C}">
                  <a14:compatExt spid="_x0000_s3641"/>
                </a:ext>
                <a:ext uri="{FF2B5EF4-FFF2-40B4-BE49-F238E27FC236}">
                  <a16:creationId xmlns:a16="http://schemas.microsoft.com/office/drawing/2014/main" id="{00000000-0008-0000-0000-00003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775</xdr:row>
          <xdr:rowOff>0</xdr:rowOff>
        </xdr:from>
        <xdr:to>
          <xdr:col>12</xdr:col>
          <xdr:colOff>716280</xdr:colOff>
          <xdr:row>775</xdr:row>
          <xdr:rowOff>220980</xdr:rowOff>
        </xdr:to>
        <xdr:sp macro="" textlink="">
          <xdr:nvSpPr>
            <xdr:cNvPr id="3645" name="Drop Down 2621" hidden="1">
              <a:extLst>
                <a:ext uri="{63B3BB69-23CF-44E3-9099-C40C66FF867C}">
                  <a14:compatExt spid="_x0000_s3645"/>
                </a:ext>
                <a:ext uri="{FF2B5EF4-FFF2-40B4-BE49-F238E27FC236}">
                  <a16:creationId xmlns:a16="http://schemas.microsoft.com/office/drawing/2014/main" id="{00000000-0008-0000-0000-00003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775</xdr:row>
          <xdr:rowOff>15240</xdr:rowOff>
        </xdr:from>
        <xdr:to>
          <xdr:col>12</xdr:col>
          <xdr:colOff>1325880</xdr:colOff>
          <xdr:row>775</xdr:row>
          <xdr:rowOff>220980</xdr:rowOff>
        </xdr:to>
        <xdr:sp macro="" textlink="">
          <xdr:nvSpPr>
            <xdr:cNvPr id="3646" name="Drop Down 2622" hidden="1">
              <a:extLst>
                <a:ext uri="{63B3BB69-23CF-44E3-9099-C40C66FF867C}">
                  <a14:compatExt spid="_x0000_s3646"/>
                </a:ext>
                <a:ext uri="{FF2B5EF4-FFF2-40B4-BE49-F238E27FC236}">
                  <a16:creationId xmlns:a16="http://schemas.microsoft.com/office/drawing/2014/main" id="{00000000-0008-0000-0000-00003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775</xdr:row>
          <xdr:rowOff>0</xdr:rowOff>
        </xdr:from>
        <xdr:to>
          <xdr:col>13</xdr:col>
          <xdr:colOff>0</xdr:colOff>
          <xdr:row>775</xdr:row>
          <xdr:rowOff>220980</xdr:rowOff>
        </xdr:to>
        <xdr:sp macro="" textlink="">
          <xdr:nvSpPr>
            <xdr:cNvPr id="3647" name="Drop Down 2623" hidden="1">
              <a:extLst>
                <a:ext uri="{63B3BB69-23CF-44E3-9099-C40C66FF867C}">
                  <a14:compatExt spid="_x0000_s3647"/>
                </a:ext>
                <a:ext uri="{FF2B5EF4-FFF2-40B4-BE49-F238E27FC236}">
                  <a16:creationId xmlns:a16="http://schemas.microsoft.com/office/drawing/2014/main" id="{00000000-0008-0000-0000-00003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777</xdr:row>
          <xdr:rowOff>0</xdr:rowOff>
        </xdr:from>
        <xdr:to>
          <xdr:col>12</xdr:col>
          <xdr:colOff>701040</xdr:colOff>
          <xdr:row>777</xdr:row>
          <xdr:rowOff>220980</xdr:rowOff>
        </xdr:to>
        <xdr:sp macro="" textlink="">
          <xdr:nvSpPr>
            <xdr:cNvPr id="3648" name="Drop Down 2624" hidden="1">
              <a:extLst>
                <a:ext uri="{63B3BB69-23CF-44E3-9099-C40C66FF867C}">
                  <a14:compatExt spid="_x0000_s3648"/>
                </a:ext>
                <a:ext uri="{FF2B5EF4-FFF2-40B4-BE49-F238E27FC236}">
                  <a16:creationId xmlns:a16="http://schemas.microsoft.com/office/drawing/2014/main" id="{00000000-0008-0000-0000-00004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777</xdr:row>
          <xdr:rowOff>15240</xdr:rowOff>
        </xdr:from>
        <xdr:to>
          <xdr:col>12</xdr:col>
          <xdr:colOff>1310640</xdr:colOff>
          <xdr:row>777</xdr:row>
          <xdr:rowOff>220980</xdr:rowOff>
        </xdr:to>
        <xdr:sp macro="" textlink="">
          <xdr:nvSpPr>
            <xdr:cNvPr id="3649" name="Drop Down 2625" hidden="1">
              <a:extLst>
                <a:ext uri="{63B3BB69-23CF-44E3-9099-C40C66FF867C}">
                  <a14:compatExt spid="_x0000_s3649"/>
                </a:ext>
                <a:ext uri="{FF2B5EF4-FFF2-40B4-BE49-F238E27FC236}">
                  <a16:creationId xmlns:a16="http://schemas.microsoft.com/office/drawing/2014/main" id="{00000000-0008-0000-0000-00004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776</xdr:row>
          <xdr:rowOff>220980</xdr:rowOff>
        </xdr:from>
        <xdr:to>
          <xdr:col>13</xdr:col>
          <xdr:colOff>0</xdr:colOff>
          <xdr:row>777</xdr:row>
          <xdr:rowOff>220980</xdr:rowOff>
        </xdr:to>
        <xdr:sp macro="" textlink="">
          <xdr:nvSpPr>
            <xdr:cNvPr id="3650" name="Drop Down 2626" hidden="1">
              <a:extLst>
                <a:ext uri="{63B3BB69-23CF-44E3-9099-C40C66FF867C}">
                  <a14:compatExt spid="_x0000_s3650"/>
                </a:ext>
                <a:ext uri="{FF2B5EF4-FFF2-40B4-BE49-F238E27FC236}">
                  <a16:creationId xmlns:a16="http://schemas.microsoft.com/office/drawing/2014/main" id="{00000000-0008-0000-0000-00004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846</xdr:row>
          <xdr:rowOff>0</xdr:rowOff>
        </xdr:from>
        <xdr:to>
          <xdr:col>7</xdr:col>
          <xdr:colOff>624840</xdr:colOff>
          <xdr:row>847</xdr:row>
          <xdr:rowOff>0</xdr:rowOff>
        </xdr:to>
        <xdr:sp macro="" textlink="">
          <xdr:nvSpPr>
            <xdr:cNvPr id="3669" name="Drop Down 2645" hidden="1">
              <a:extLst>
                <a:ext uri="{63B3BB69-23CF-44E3-9099-C40C66FF867C}">
                  <a14:compatExt spid="_x0000_s3669"/>
                </a:ext>
                <a:ext uri="{FF2B5EF4-FFF2-40B4-BE49-F238E27FC236}">
                  <a16:creationId xmlns:a16="http://schemas.microsoft.com/office/drawing/2014/main" id="{00000000-0008-0000-0000-00005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846</xdr:row>
          <xdr:rowOff>15240</xdr:rowOff>
        </xdr:from>
        <xdr:to>
          <xdr:col>7</xdr:col>
          <xdr:colOff>1272540</xdr:colOff>
          <xdr:row>847</xdr:row>
          <xdr:rowOff>0</xdr:rowOff>
        </xdr:to>
        <xdr:sp macro="" textlink="">
          <xdr:nvSpPr>
            <xdr:cNvPr id="3670" name="Drop Down 2646" hidden="1">
              <a:extLst>
                <a:ext uri="{63B3BB69-23CF-44E3-9099-C40C66FF867C}">
                  <a14:compatExt spid="_x0000_s3670"/>
                </a:ext>
                <a:ext uri="{FF2B5EF4-FFF2-40B4-BE49-F238E27FC236}">
                  <a16:creationId xmlns:a16="http://schemas.microsoft.com/office/drawing/2014/main" id="{00000000-0008-0000-0000-00005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846</xdr:row>
          <xdr:rowOff>15240</xdr:rowOff>
        </xdr:from>
        <xdr:to>
          <xdr:col>7</xdr:col>
          <xdr:colOff>1805940</xdr:colOff>
          <xdr:row>846</xdr:row>
          <xdr:rowOff>320040</xdr:rowOff>
        </xdr:to>
        <xdr:sp macro="" textlink="">
          <xdr:nvSpPr>
            <xdr:cNvPr id="3671" name="Drop Down 2647" hidden="1">
              <a:extLst>
                <a:ext uri="{63B3BB69-23CF-44E3-9099-C40C66FF867C}">
                  <a14:compatExt spid="_x0000_s3671"/>
                </a:ext>
                <a:ext uri="{FF2B5EF4-FFF2-40B4-BE49-F238E27FC236}">
                  <a16:creationId xmlns:a16="http://schemas.microsoft.com/office/drawing/2014/main" id="{00000000-0008-0000-0000-00005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847</xdr:row>
          <xdr:rowOff>0</xdr:rowOff>
        </xdr:from>
        <xdr:to>
          <xdr:col>7</xdr:col>
          <xdr:colOff>624840</xdr:colOff>
          <xdr:row>848</xdr:row>
          <xdr:rowOff>0</xdr:rowOff>
        </xdr:to>
        <xdr:sp macro="" textlink="">
          <xdr:nvSpPr>
            <xdr:cNvPr id="3672" name="Drop Down 2648" hidden="1">
              <a:extLst>
                <a:ext uri="{63B3BB69-23CF-44E3-9099-C40C66FF867C}">
                  <a14:compatExt spid="_x0000_s3672"/>
                </a:ext>
                <a:ext uri="{FF2B5EF4-FFF2-40B4-BE49-F238E27FC236}">
                  <a16:creationId xmlns:a16="http://schemas.microsoft.com/office/drawing/2014/main" id="{00000000-0008-0000-0000-00005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847</xdr:row>
          <xdr:rowOff>15240</xdr:rowOff>
        </xdr:from>
        <xdr:to>
          <xdr:col>7</xdr:col>
          <xdr:colOff>1272540</xdr:colOff>
          <xdr:row>848</xdr:row>
          <xdr:rowOff>0</xdr:rowOff>
        </xdr:to>
        <xdr:sp macro="" textlink="">
          <xdr:nvSpPr>
            <xdr:cNvPr id="3673" name="Drop Down 2649" hidden="1">
              <a:extLst>
                <a:ext uri="{63B3BB69-23CF-44E3-9099-C40C66FF867C}">
                  <a14:compatExt spid="_x0000_s3673"/>
                </a:ext>
                <a:ext uri="{FF2B5EF4-FFF2-40B4-BE49-F238E27FC236}">
                  <a16:creationId xmlns:a16="http://schemas.microsoft.com/office/drawing/2014/main" id="{00000000-0008-0000-0000-00005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847</xdr:row>
          <xdr:rowOff>15240</xdr:rowOff>
        </xdr:from>
        <xdr:to>
          <xdr:col>7</xdr:col>
          <xdr:colOff>1805940</xdr:colOff>
          <xdr:row>847</xdr:row>
          <xdr:rowOff>320040</xdr:rowOff>
        </xdr:to>
        <xdr:sp macro="" textlink="">
          <xdr:nvSpPr>
            <xdr:cNvPr id="3674" name="Drop Down 2650" hidden="1">
              <a:extLst>
                <a:ext uri="{63B3BB69-23CF-44E3-9099-C40C66FF867C}">
                  <a14:compatExt spid="_x0000_s3674"/>
                </a:ext>
                <a:ext uri="{FF2B5EF4-FFF2-40B4-BE49-F238E27FC236}">
                  <a16:creationId xmlns:a16="http://schemas.microsoft.com/office/drawing/2014/main" id="{00000000-0008-0000-0000-00005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848</xdr:row>
          <xdr:rowOff>0</xdr:rowOff>
        </xdr:from>
        <xdr:to>
          <xdr:col>7</xdr:col>
          <xdr:colOff>624840</xdr:colOff>
          <xdr:row>849</xdr:row>
          <xdr:rowOff>0</xdr:rowOff>
        </xdr:to>
        <xdr:sp macro="" textlink="">
          <xdr:nvSpPr>
            <xdr:cNvPr id="3675" name="Drop Down 2651" hidden="1">
              <a:extLst>
                <a:ext uri="{63B3BB69-23CF-44E3-9099-C40C66FF867C}">
                  <a14:compatExt spid="_x0000_s3675"/>
                </a:ext>
                <a:ext uri="{FF2B5EF4-FFF2-40B4-BE49-F238E27FC236}">
                  <a16:creationId xmlns:a16="http://schemas.microsoft.com/office/drawing/2014/main" id="{00000000-0008-0000-0000-00005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848</xdr:row>
          <xdr:rowOff>15240</xdr:rowOff>
        </xdr:from>
        <xdr:to>
          <xdr:col>7</xdr:col>
          <xdr:colOff>1272540</xdr:colOff>
          <xdr:row>849</xdr:row>
          <xdr:rowOff>0</xdr:rowOff>
        </xdr:to>
        <xdr:sp macro="" textlink="">
          <xdr:nvSpPr>
            <xdr:cNvPr id="3676" name="Drop Down 2652" hidden="1">
              <a:extLst>
                <a:ext uri="{63B3BB69-23CF-44E3-9099-C40C66FF867C}">
                  <a14:compatExt spid="_x0000_s3676"/>
                </a:ext>
                <a:ext uri="{FF2B5EF4-FFF2-40B4-BE49-F238E27FC236}">
                  <a16:creationId xmlns:a16="http://schemas.microsoft.com/office/drawing/2014/main" id="{00000000-0008-0000-0000-00005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848</xdr:row>
          <xdr:rowOff>15240</xdr:rowOff>
        </xdr:from>
        <xdr:to>
          <xdr:col>7</xdr:col>
          <xdr:colOff>1805940</xdr:colOff>
          <xdr:row>848</xdr:row>
          <xdr:rowOff>320040</xdr:rowOff>
        </xdr:to>
        <xdr:sp macro="" textlink="">
          <xdr:nvSpPr>
            <xdr:cNvPr id="3677" name="Drop Down 2653" hidden="1">
              <a:extLst>
                <a:ext uri="{63B3BB69-23CF-44E3-9099-C40C66FF867C}">
                  <a14:compatExt spid="_x0000_s3677"/>
                </a:ext>
                <a:ext uri="{FF2B5EF4-FFF2-40B4-BE49-F238E27FC236}">
                  <a16:creationId xmlns:a16="http://schemas.microsoft.com/office/drawing/2014/main" id="{00000000-0008-0000-0000-00005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877</xdr:row>
          <xdr:rowOff>15240</xdr:rowOff>
        </xdr:from>
        <xdr:to>
          <xdr:col>4</xdr:col>
          <xdr:colOff>205740</xdr:colOff>
          <xdr:row>877</xdr:row>
          <xdr:rowOff>220980</xdr:rowOff>
        </xdr:to>
        <xdr:sp macro="" textlink="">
          <xdr:nvSpPr>
            <xdr:cNvPr id="3684" name="Drop Down 2660" hidden="1">
              <a:extLst>
                <a:ext uri="{63B3BB69-23CF-44E3-9099-C40C66FF867C}">
                  <a14:compatExt spid="_x0000_s3684"/>
                </a:ext>
                <a:ext uri="{FF2B5EF4-FFF2-40B4-BE49-F238E27FC236}">
                  <a16:creationId xmlns:a16="http://schemas.microsoft.com/office/drawing/2014/main" id="{00000000-0008-0000-0000-00006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877</xdr:row>
          <xdr:rowOff>15240</xdr:rowOff>
        </xdr:from>
        <xdr:to>
          <xdr:col>4</xdr:col>
          <xdr:colOff>1021080</xdr:colOff>
          <xdr:row>877</xdr:row>
          <xdr:rowOff>220980</xdr:rowOff>
        </xdr:to>
        <xdr:sp macro="" textlink="">
          <xdr:nvSpPr>
            <xdr:cNvPr id="3685" name="Drop Down 2661" hidden="1">
              <a:extLst>
                <a:ext uri="{63B3BB69-23CF-44E3-9099-C40C66FF867C}">
                  <a14:compatExt spid="_x0000_s3685"/>
                </a:ext>
                <a:ext uri="{FF2B5EF4-FFF2-40B4-BE49-F238E27FC236}">
                  <a16:creationId xmlns:a16="http://schemas.microsoft.com/office/drawing/2014/main" id="{00000000-0008-0000-0000-00006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877</xdr:row>
          <xdr:rowOff>0</xdr:rowOff>
        </xdr:from>
        <xdr:to>
          <xdr:col>4</xdr:col>
          <xdr:colOff>1706880</xdr:colOff>
          <xdr:row>877</xdr:row>
          <xdr:rowOff>220980</xdr:rowOff>
        </xdr:to>
        <xdr:sp macro="" textlink="">
          <xdr:nvSpPr>
            <xdr:cNvPr id="3686" name="Drop Down 2662" hidden="1">
              <a:extLst>
                <a:ext uri="{63B3BB69-23CF-44E3-9099-C40C66FF867C}">
                  <a14:compatExt spid="_x0000_s3686"/>
                </a:ext>
                <a:ext uri="{FF2B5EF4-FFF2-40B4-BE49-F238E27FC236}">
                  <a16:creationId xmlns:a16="http://schemas.microsoft.com/office/drawing/2014/main" id="{00000000-0008-0000-0000-00006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877</xdr:row>
          <xdr:rowOff>15240</xdr:rowOff>
        </xdr:from>
        <xdr:to>
          <xdr:col>6</xdr:col>
          <xdr:colOff>259080</xdr:colOff>
          <xdr:row>877</xdr:row>
          <xdr:rowOff>220980</xdr:rowOff>
        </xdr:to>
        <xdr:sp macro="" textlink="">
          <xdr:nvSpPr>
            <xdr:cNvPr id="3687" name="Drop Down 2663" hidden="1">
              <a:extLst>
                <a:ext uri="{63B3BB69-23CF-44E3-9099-C40C66FF867C}">
                  <a14:compatExt spid="_x0000_s3687"/>
                </a:ext>
                <a:ext uri="{FF2B5EF4-FFF2-40B4-BE49-F238E27FC236}">
                  <a16:creationId xmlns:a16="http://schemas.microsoft.com/office/drawing/2014/main" id="{00000000-0008-0000-0000-00006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877</xdr:row>
          <xdr:rowOff>15240</xdr:rowOff>
        </xdr:from>
        <xdr:to>
          <xdr:col>6</xdr:col>
          <xdr:colOff>1120140</xdr:colOff>
          <xdr:row>877</xdr:row>
          <xdr:rowOff>220980</xdr:rowOff>
        </xdr:to>
        <xdr:sp macro="" textlink="">
          <xdr:nvSpPr>
            <xdr:cNvPr id="3688" name="Drop Down 2664" hidden="1">
              <a:extLst>
                <a:ext uri="{63B3BB69-23CF-44E3-9099-C40C66FF867C}">
                  <a14:compatExt spid="_x0000_s3688"/>
                </a:ext>
                <a:ext uri="{FF2B5EF4-FFF2-40B4-BE49-F238E27FC236}">
                  <a16:creationId xmlns:a16="http://schemas.microsoft.com/office/drawing/2014/main" id="{00000000-0008-0000-0000-00006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877</xdr:row>
          <xdr:rowOff>0</xdr:rowOff>
        </xdr:from>
        <xdr:to>
          <xdr:col>6</xdr:col>
          <xdr:colOff>1805940</xdr:colOff>
          <xdr:row>877</xdr:row>
          <xdr:rowOff>220980</xdr:rowOff>
        </xdr:to>
        <xdr:sp macro="" textlink="">
          <xdr:nvSpPr>
            <xdr:cNvPr id="3689" name="Drop Down 2665" hidden="1">
              <a:extLst>
                <a:ext uri="{63B3BB69-23CF-44E3-9099-C40C66FF867C}">
                  <a14:compatExt spid="_x0000_s3689"/>
                </a:ext>
                <a:ext uri="{FF2B5EF4-FFF2-40B4-BE49-F238E27FC236}">
                  <a16:creationId xmlns:a16="http://schemas.microsoft.com/office/drawing/2014/main" id="{00000000-0008-0000-0000-00006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875</xdr:row>
          <xdr:rowOff>0</xdr:rowOff>
        </xdr:from>
        <xdr:to>
          <xdr:col>12</xdr:col>
          <xdr:colOff>716280</xdr:colOff>
          <xdr:row>875</xdr:row>
          <xdr:rowOff>220980</xdr:rowOff>
        </xdr:to>
        <xdr:sp macro="" textlink="">
          <xdr:nvSpPr>
            <xdr:cNvPr id="3693" name="Drop Down 2669" hidden="1">
              <a:extLst>
                <a:ext uri="{63B3BB69-23CF-44E3-9099-C40C66FF867C}">
                  <a14:compatExt spid="_x0000_s3693"/>
                </a:ext>
                <a:ext uri="{FF2B5EF4-FFF2-40B4-BE49-F238E27FC236}">
                  <a16:creationId xmlns:a16="http://schemas.microsoft.com/office/drawing/2014/main" id="{00000000-0008-0000-0000-00006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875</xdr:row>
          <xdr:rowOff>15240</xdr:rowOff>
        </xdr:from>
        <xdr:to>
          <xdr:col>12</xdr:col>
          <xdr:colOff>1325880</xdr:colOff>
          <xdr:row>875</xdr:row>
          <xdr:rowOff>220980</xdr:rowOff>
        </xdr:to>
        <xdr:sp macro="" textlink="">
          <xdr:nvSpPr>
            <xdr:cNvPr id="3694" name="Drop Down 2670" hidden="1">
              <a:extLst>
                <a:ext uri="{63B3BB69-23CF-44E3-9099-C40C66FF867C}">
                  <a14:compatExt spid="_x0000_s3694"/>
                </a:ext>
                <a:ext uri="{FF2B5EF4-FFF2-40B4-BE49-F238E27FC236}">
                  <a16:creationId xmlns:a16="http://schemas.microsoft.com/office/drawing/2014/main" id="{00000000-0008-0000-0000-00006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875</xdr:row>
          <xdr:rowOff>0</xdr:rowOff>
        </xdr:from>
        <xdr:to>
          <xdr:col>13</xdr:col>
          <xdr:colOff>0</xdr:colOff>
          <xdr:row>875</xdr:row>
          <xdr:rowOff>220980</xdr:rowOff>
        </xdr:to>
        <xdr:sp macro="" textlink="">
          <xdr:nvSpPr>
            <xdr:cNvPr id="3695" name="Drop Down 2671" hidden="1">
              <a:extLst>
                <a:ext uri="{63B3BB69-23CF-44E3-9099-C40C66FF867C}">
                  <a14:compatExt spid="_x0000_s3695"/>
                </a:ext>
                <a:ext uri="{FF2B5EF4-FFF2-40B4-BE49-F238E27FC236}">
                  <a16:creationId xmlns:a16="http://schemas.microsoft.com/office/drawing/2014/main" id="{00000000-0008-0000-0000-00006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877</xdr:row>
          <xdr:rowOff>0</xdr:rowOff>
        </xdr:from>
        <xdr:to>
          <xdr:col>12</xdr:col>
          <xdr:colOff>701040</xdr:colOff>
          <xdr:row>877</xdr:row>
          <xdr:rowOff>220980</xdr:rowOff>
        </xdr:to>
        <xdr:sp macro="" textlink="">
          <xdr:nvSpPr>
            <xdr:cNvPr id="3696" name="Drop Down 2672" hidden="1">
              <a:extLst>
                <a:ext uri="{63B3BB69-23CF-44E3-9099-C40C66FF867C}">
                  <a14:compatExt spid="_x0000_s3696"/>
                </a:ext>
                <a:ext uri="{FF2B5EF4-FFF2-40B4-BE49-F238E27FC236}">
                  <a16:creationId xmlns:a16="http://schemas.microsoft.com/office/drawing/2014/main" id="{00000000-0008-0000-0000-00007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877</xdr:row>
          <xdr:rowOff>15240</xdr:rowOff>
        </xdr:from>
        <xdr:to>
          <xdr:col>12</xdr:col>
          <xdr:colOff>1310640</xdr:colOff>
          <xdr:row>877</xdr:row>
          <xdr:rowOff>220980</xdr:rowOff>
        </xdr:to>
        <xdr:sp macro="" textlink="">
          <xdr:nvSpPr>
            <xdr:cNvPr id="3697" name="Drop Down 2673" hidden="1">
              <a:extLst>
                <a:ext uri="{63B3BB69-23CF-44E3-9099-C40C66FF867C}">
                  <a14:compatExt spid="_x0000_s3697"/>
                </a:ext>
                <a:ext uri="{FF2B5EF4-FFF2-40B4-BE49-F238E27FC236}">
                  <a16:creationId xmlns:a16="http://schemas.microsoft.com/office/drawing/2014/main" id="{00000000-0008-0000-0000-00007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876</xdr:row>
          <xdr:rowOff>220980</xdr:rowOff>
        </xdr:from>
        <xdr:to>
          <xdr:col>13</xdr:col>
          <xdr:colOff>0</xdr:colOff>
          <xdr:row>877</xdr:row>
          <xdr:rowOff>220980</xdr:rowOff>
        </xdr:to>
        <xdr:sp macro="" textlink="">
          <xdr:nvSpPr>
            <xdr:cNvPr id="3698" name="Drop Down 2674" hidden="1">
              <a:extLst>
                <a:ext uri="{63B3BB69-23CF-44E3-9099-C40C66FF867C}">
                  <a14:compatExt spid="_x0000_s3698"/>
                </a:ext>
                <a:ext uri="{FF2B5EF4-FFF2-40B4-BE49-F238E27FC236}">
                  <a16:creationId xmlns:a16="http://schemas.microsoft.com/office/drawing/2014/main" id="{00000000-0008-0000-0000-00007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946</xdr:row>
          <xdr:rowOff>0</xdr:rowOff>
        </xdr:from>
        <xdr:to>
          <xdr:col>7</xdr:col>
          <xdr:colOff>624840</xdr:colOff>
          <xdr:row>947</xdr:row>
          <xdr:rowOff>0</xdr:rowOff>
        </xdr:to>
        <xdr:sp macro="" textlink="">
          <xdr:nvSpPr>
            <xdr:cNvPr id="3717" name="Drop Down 2693" hidden="1">
              <a:extLst>
                <a:ext uri="{63B3BB69-23CF-44E3-9099-C40C66FF867C}">
                  <a14:compatExt spid="_x0000_s3717"/>
                </a:ext>
                <a:ext uri="{FF2B5EF4-FFF2-40B4-BE49-F238E27FC236}">
                  <a16:creationId xmlns:a16="http://schemas.microsoft.com/office/drawing/2014/main" id="{00000000-0008-0000-0000-00008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946</xdr:row>
          <xdr:rowOff>15240</xdr:rowOff>
        </xdr:from>
        <xdr:to>
          <xdr:col>7</xdr:col>
          <xdr:colOff>1272540</xdr:colOff>
          <xdr:row>947</xdr:row>
          <xdr:rowOff>0</xdr:rowOff>
        </xdr:to>
        <xdr:sp macro="" textlink="">
          <xdr:nvSpPr>
            <xdr:cNvPr id="3718" name="Drop Down 2694" hidden="1">
              <a:extLst>
                <a:ext uri="{63B3BB69-23CF-44E3-9099-C40C66FF867C}">
                  <a14:compatExt spid="_x0000_s3718"/>
                </a:ext>
                <a:ext uri="{FF2B5EF4-FFF2-40B4-BE49-F238E27FC236}">
                  <a16:creationId xmlns:a16="http://schemas.microsoft.com/office/drawing/2014/main" id="{00000000-0008-0000-0000-00008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946</xdr:row>
          <xdr:rowOff>15240</xdr:rowOff>
        </xdr:from>
        <xdr:to>
          <xdr:col>7</xdr:col>
          <xdr:colOff>1805940</xdr:colOff>
          <xdr:row>946</xdr:row>
          <xdr:rowOff>320040</xdr:rowOff>
        </xdr:to>
        <xdr:sp macro="" textlink="">
          <xdr:nvSpPr>
            <xdr:cNvPr id="3719" name="Drop Down 2695" hidden="1">
              <a:extLst>
                <a:ext uri="{63B3BB69-23CF-44E3-9099-C40C66FF867C}">
                  <a14:compatExt spid="_x0000_s3719"/>
                </a:ext>
                <a:ext uri="{FF2B5EF4-FFF2-40B4-BE49-F238E27FC236}">
                  <a16:creationId xmlns:a16="http://schemas.microsoft.com/office/drawing/2014/main" id="{00000000-0008-0000-0000-00008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947</xdr:row>
          <xdr:rowOff>0</xdr:rowOff>
        </xdr:from>
        <xdr:to>
          <xdr:col>7</xdr:col>
          <xdr:colOff>624840</xdr:colOff>
          <xdr:row>948</xdr:row>
          <xdr:rowOff>0</xdr:rowOff>
        </xdr:to>
        <xdr:sp macro="" textlink="">
          <xdr:nvSpPr>
            <xdr:cNvPr id="3720" name="Drop Down 2696" hidden="1">
              <a:extLst>
                <a:ext uri="{63B3BB69-23CF-44E3-9099-C40C66FF867C}">
                  <a14:compatExt spid="_x0000_s3720"/>
                </a:ext>
                <a:ext uri="{FF2B5EF4-FFF2-40B4-BE49-F238E27FC236}">
                  <a16:creationId xmlns:a16="http://schemas.microsoft.com/office/drawing/2014/main" id="{00000000-0008-0000-0000-00008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947</xdr:row>
          <xdr:rowOff>15240</xdr:rowOff>
        </xdr:from>
        <xdr:to>
          <xdr:col>7</xdr:col>
          <xdr:colOff>1272540</xdr:colOff>
          <xdr:row>948</xdr:row>
          <xdr:rowOff>0</xdr:rowOff>
        </xdr:to>
        <xdr:sp macro="" textlink="">
          <xdr:nvSpPr>
            <xdr:cNvPr id="3721" name="Drop Down 2697" hidden="1">
              <a:extLst>
                <a:ext uri="{63B3BB69-23CF-44E3-9099-C40C66FF867C}">
                  <a14:compatExt spid="_x0000_s3721"/>
                </a:ext>
                <a:ext uri="{FF2B5EF4-FFF2-40B4-BE49-F238E27FC236}">
                  <a16:creationId xmlns:a16="http://schemas.microsoft.com/office/drawing/2014/main" id="{00000000-0008-0000-0000-00008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947</xdr:row>
          <xdr:rowOff>15240</xdr:rowOff>
        </xdr:from>
        <xdr:to>
          <xdr:col>7</xdr:col>
          <xdr:colOff>1805940</xdr:colOff>
          <xdr:row>947</xdr:row>
          <xdr:rowOff>320040</xdr:rowOff>
        </xdr:to>
        <xdr:sp macro="" textlink="">
          <xdr:nvSpPr>
            <xdr:cNvPr id="3722" name="Drop Down 2698" hidden="1">
              <a:extLst>
                <a:ext uri="{63B3BB69-23CF-44E3-9099-C40C66FF867C}">
                  <a14:compatExt spid="_x0000_s3722"/>
                </a:ext>
                <a:ext uri="{FF2B5EF4-FFF2-40B4-BE49-F238E27FC236}">
                  <a16:creationId xmlns:a16="http://schemas.microsoft.com/office/drawing/2014/main" id="{00000000-0008-0000-0000-00008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948</xdr:row>
          <xdr:rowOff>0</xdr:rowOff>
        </xdr:from>
        <xdr:to>
          <xdr:col>7</xdr:col>
          <xdr:colOff>624840</xdr:colOff>
          <xdr:row>949</xdr:row>
          <xdr:rowOff>0</xdr:rowOff>
        </xdr:to>
        <xdr:sp macro="" textlink="">
          <xdr:nvSpPr>
            <xdr:cNvPr id="3723" name="Drop Down 2699" hidden="1">
              <a:extLst>
                <a:ext uri="{63B3BB69-23CF-44E3-9099-C40C66FF867C}">
                  <a14:compatExt spid="_x0000_s3723"/>
                </a:ext>
                <a:ext uri="{FF2B5EF4-FFF2-40B4-BE49-F238E27FC236}">
                  <a16:creationId xmlns:a16="http://schemas.microsoft.com/office/drawing/2014/main" id="{00000000-0008-0000-0000-00008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948</xdr:row>
          <xdr:rowOff>15240</xdr:rowOff>
        </xdr:from>
        <xdr:to>
          <xdr:col>7</xdr:col>
          <xdr:colOff>1272540</xdr:colOff>
          <xdr:row>949</xdr:row>
          <xdr:rowOff>0</xdr:rowOff>
        </xdr:to>
        <xdr:sp macro="" textlink="">
          <xdr:nvSpPr>
            <xdr:cNvPr id="3724" name="Drop Down 2700" hidden="1">
              <a:extLst>
                <a:ext uri="{63B3BB69-23CF-44E3-9099-C40C66FF867C}">
                  <a14:compatExt spid="_x0000_s3724"/>
                </a:ext>
                <a:ext uri="{FF2B5EF4-FFF2-40B4-BE49-F238E27FC236}">
                  <a16:creationId xmlns:a16="http://schemas.microsoft.com/office/drawing/2014/main" id="{00000000-0008-0000-0000-00008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948</xdr:row>
          <xdr:rowOff>15240</xdr:rowOff>
        </xdr:from>
        <xdr:to>
          <xdr:col>7</xdr:col>
          <xdr:colOff>1805940</xdr:colOff>
          <xdr:row>948</xdr:row>
          <xdr:rowOff>320040</xdr:rowOff>
        </xdr:to>
        <xdr:sp macro="" textlink="">
          <xdr:nvSpPr>
            <xdr:cNvPr id="3725" name="Drop Down 2701" hidden="1">
              <a:extLst>
                <a:ext uri="{63B3BB69-23CF-44E3-9099-C40C66FF867C}">
                  <a14:compatExt spid="_x0000_s3725"/>
                </a:ext>
                <a:ext uri="{FF2B5EF4-FFF2-40B4-BE49-F238E27FC236}">
                  <a16:creationId xmlns:a16="http://schemas.microsoft.com/office/drawing/2014/main" id="{00000000-0008-0000-0000-00008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977</xdr:row>
          <xdr:rowOff>15240</xdr:rowOff>
        </xdr:from>
        <xdr:to>
          <xdr:col>4</xdr:col>
          <xdr:colOff>205740</xdr:colOff>
          <xdr:row>977</xdr:row>
          <xdr:rowOff>220980</xdr:rowOff>
        </xdr:to>
        <xdr:sp macro="" textlink="">
          <xdr:nvSpPr>
            <xdr:cNvPr id="3732" name="Drop Down 2708" hidden="1">
              <a:extLst>
                <a:ext uri="{63B3BB69-23CF-44E3-9099-C40C66FF867C}">
                  <a14:compatExt spid="_x0000_s3732"/>
                </a:ext>
                <a:ext uri="{FF2B5EF4-FFF2-40B4-BE49-F238E27FC236}">
                  <a16:creationId xmlns:a16="http://schemas.microsoft.com/office/drawing/2014/main" id="{00000000-0008-0000-0000-00009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977</xdr:row>
          <xdr:rowOff>15240</xdr:rowOff>
        </xdr:from>
        <xdr:to>
          <xdr:col>4</xdr:col>
          <xdr:colOff>1021080</xdr:colOff>
          <xdr:row>977</xdr:row>
          <xdr:rowOff>220980</xdr:rowOff>
        </xdr:to>
        <xdr:sp macro="" textlink="">
          <xdr:nvSpPr>
            <xdr:cNvPr id="3733" name="Drop Down 2709" hidden="1">
              <a:extLst>
                <a:ext uri="{63B3BB69-23CF-44E3-9099-C40C66FF867C}">
                  <a14:compatExt spid="_x0000_s3733"/>
                </a:ext>
                <a:ext uri="{FF2B5EF4-FFF2-40B4-BE49-F238E27FC236}">
                  <a16:creationId xmlns:a16="http://schemas.microsoft.com/office/drawing/2014/main" id="{00000000-0008-0000-0000-00009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977</xdr:row>
          <xdr:rowOff>0</xdr:rowOff>
        </xdr:from>
        <xdr:to>
          <xdr:col>4</xdr:col>
          <xdr:colOff>1706880</xdr:colOff>
          <xdr:row>977</xdr:row>
          <xdr:rowOff>220980</xdr:rowOff>
        </xdr:to>
        <xdr:sp macro="" textlink="">
          <xdr:nvSpPr>
            <xdr:cNvPr id="3734" name="Drop Down 2710" hidden="1">
              <a:extLst>
                <a:ext uri="{63B3BB69-23CF-44E3-9099-C40C66FF867C}">
                  <a14:compatExt spid="_x0000_s3734"/>
                </a:ext>
                <a:ext uri="{FF2B5EF4-FFF2-40B4-BE49-F238E27FC236}">
                  <a16:creationId xmlns:a16="http://schemas.microsoft.com/office/drawing/2014/main" id="{00000000-0008-0000-0000-00009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977</xdr:row>
          <xdr:rowOff>15240</xdr:rowOff>
        </xdr:from>
        <xdr:to>
          <xdr:col>6</xdr:col>
          <xdr:colOff>259080</xdr:colOff>
          <xdr:row>977</xdr:row>
          <xdr:rowOff>220980</xdr:rowOff>
        </xdr:to>
        <xdr:sp macro="" textlink="">
          <xdr:nvSpPr>
            <xdr:cNvPr id="3735" name="Drop Down 2711" hidden="1">
              <a:extLst>
                <a:ext uri="{63B3BB69-23CF-44E3-9099-C40C66FF867C}">
                  <a14:compatExt spid="_x0000_s3735"/>
                </a:ext>
                <a:ext uri="{FF2B5EF4-FFF2-40B4-BE49-F238E27FC236}">
                  <a16:creationId xmlns:a16="http://schemas.microsoft.com/office/drawing/2014/main" id="{00000000-0008-0000-0000-00009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977</xdr:row>
          <xdr:rowOff>15240</xdr:rowOff>
        </xdr:from>
        <xdr:to>
          <xdr:col>6</xdr:col>
          <xdr:colOff>1120140</xdr:colOff>
          <xdr:row>977</xdr:row>
          <xdr:rowOff>220980</xdr:rowOff>
        </xdr:to>
        <xdr:sp macro="" textlink="">
          <xdr:nvSpPr>
            <xdr:cNvPr id="3736" name="Drop Down 2712" hidden="1">
              <a:extLst>
                <a:ext uri="{63B3BB69-23CF-44E3-9099-C40C66FF867C}">
                  <a14:compatExt spid="_x0000_s3736"/>
                </a:ext>
                <a:ext uri="{FF2B5EF4-FFF2-40B4-BE49-F238E27FC236}">
                  <a16:creationId xmlns:a16="http://schemas.microsoft.com/office/drawing/2014/main" id="{00000000-0008-0000-0000-00009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977</xdr:row>
          <xdr:rowOff>0</xdr:rowOff>
        </xdr:from>
        <xdr:to>
          <xdr:col>6</xdr:col>
          <xdr:colOff>1805940</xdr:colOff>
          <xdr:row>977</xdr:row>
          <xdr:rowOff>220980</xdr:rowOff>
        </xdr:to>
        <xdr:sp macro="" textlink="">
          <xdr:nvSpPr>
            <xdr:cNvPr id="3737" name="Drop Down 2713" hidden="1">
              <a:extLst>
                <a:ext uri="{63B3BB69-23CF-44E3-9099-C40C66FF867C}">
                  <a14:compatExt spid="_x0000_s3737"/>
                </a:ext>
                <a:ext uri="{FF2B5EF4-FFF2-40B4-BE49-F238E27FC236}">
                  <a16:creationId xmlns:a16="http://schemas.microsoft.com/office/drawing/2014/main" id="{00000000-0008-0000-0000-00009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975</xdr:row>
          <xdr:rowOff>0</xdr:rowOff>
        </xdr:from>
        <xdr:to>
          <xdr:col>12</xdr:col>
          <xdr:colOff>716280</xdr:colOff>
          <xdr:row>975</xdr:row>
          <xdr:rowOff>220980</xdr:rowOff>
        </xdr:to>
        <xdr:sp macro="" textlink="">
          <xdr:nvSpPr>
            <xdr:cNvPr id="3741" name="Drop Down 2717" hidden="1">
              <a:extLst>
                <a:ext uri="{63B3BB69-23CF-44E3-9099-C40C66FF867C}">
                  <a14:compatExt spid="_x0000_s3741"/>
                </a:ext>
                <a:ext uri="{FF2B5EF4-FFF2-40B4-BE49-F238E27FC236}">
                  <a16:creationId xmlns:a16="http://schemas.microsoft.com/office/drawing/2014/main" id="{00000000-0008-0000-0000-00009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975</xdr:row>
          <xdr:rowOff>15240</xdr:rowOff>
        </xdr:from>
        <xdr:to>
          <xdr:col>12</xdr:col>
          <xdr:colOff>1325880</xdr:colOff>
          <xdr:row>975</xdr:row>
          <xdr:rowOff>220980</xdr:rowOff>
        </xdr:to>
        <xdr:sp macro="" textlink="">
          <xdr:nvSpPr>
            <xdr:cNvPr id="3742" name="Drop Down 2718" hidden="1">
              <a:extLst>
                <a:ext uri="{63B3BB69-23CF-44E3-9099-C40C66FF867C}">
                  <a14:compatExt spid="_x0000_s3742"/>
                </a:ext>
                <a:ext uri="{FF2B5EF4-FFF2-40B4-BE49-F238E27FC236}">
                  <a16:creationId xmlns:a16="http://schemas.microsoft.com/office/drawing/2014/main" id="{00000000-0008-0000-0000-00009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975</xdr:row>
          <xdr:rowOff>0</xdr:rowOff>
        </xdr:from>
        <xdr:to>
          <xdr:col>13</xdr:col>
          <xdr:colOff>0</xdr:colOff>
          <xdr:row>975</xdr:row>
          <xdr:rowOff>220980</xdr:rowOff>
        </xdr:to>
        <xdr:sp macro="" textlink="">
          <xdr:nvSpPr>
            <xdr:cNvPr id="3743" name="Drop Down 2719" hidden="1">
              <a:extLst>
                <a:ext uri="{63B3BB69-23CF-44E3-9099-C40C66FF867C}">
                  <a14:compatExt spid="_x0000_s3743"/>
                </a:ext>
                <a:ext uri="{FF2B5EF4-FFF2-40B4-BE49-F238E27FC236}">
                  <a16:creationId xmlns:a16="http://schemas.microsoft.com/office/drawing/2014/main" id="{00000000-0008-0000-0000-00009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977</xdr:row>
          <xdr:rowOff>0</xdr:rowOff>
        </xdr:from>
        <xdr:to>
          <xdr:col>12</xdr:col>
          <xdr:colOff>701040</xdr:colOff>
          <xdr:row>977</xdr:row>
          <xdr:rowOff>220980</xdr:rowOff>
        </xdr:to>
        <xdr:sp macro="" textlink="">
          <xdr:nvSpPr>
            <xdr:cNvPr id="3744" name="Drop Down 2720" hidden="1">
              <a:extLst>
                <a:ext uri="{63B3BB69-23CF-44E3-9099-C40C66FF867C}">
                  <a14:compatExt spid="_x0000_s3744"/>
                </a:ext>
                <a:ext uri="{FF2B5EF4-FFF2-40B4-BE49-F238E27FC236}">
                  <a16:creationId xmlns:a16="http://schemas.microsoft.com/office/drawing/2014/main" id="{00000000-0008-0000-0000-0000A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977</xdr:row>
          <xdr:rowOff>15240</xdr:rowOff>
        </xdr:from>
        <xdr:to>
          <xdr:col>12</xdr:col>
          <xdr:colOff>1310640</xdr:colOff>
          <xdr:row>977</xdr:row>
          <xdr:rowOff>220980</xdr:rowOff>
        </xdr:to>
        <xdr:sp macro="" textlink="">
          <xdr:nvSpPr>
            <xdr:cNvPr id="3745" name="Drop Down 2721" hidden="1">
              <a:extLst>
                <a:ext uri="{63B3BB69-23CF-44E3-9099-C40C66FF867C}">
                  <a14:compatExt spid="_x0000_s3745"/>
                </a:ext>
                <a:ext uri="{FF2B5EF4-FFF2-40B4-BE49-F238E27FC236}">
                  <a16:creationId xmlns:a16="http://schemas.microsoft.com/office/drawing/2014/main" id="{00000000-0008-0000-0000-0000A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976</xdr:row>
          <xdr:rowOff>220980</xdr:rowOff>
        </xdr:from>
        <xdr:to>
          <xdr:col>13</xdr:col>
          <xdr:colOff>0</xdr:colOff>
          <xdr:row>977</xdr:row>
          <xdr:rowOff>220980</xdr:rowOff>
        </xdr:to>
        <xdr:sp macro="" textlink="">
          <xdr:nvSpPr>
            <xdr:cNvPr id="3746" name="Drop Down 2722" hidden="1">
              <a:extLst>
                <a:ext uri="{63B3BB69-23CF-44E3-9099-C40C66FF867C}">
                  <a14:compatExt spid="_x0000_s3746"/>
                </a:ext>
                <a:ext uri="{FF2B5EF4-FFF2-40B4-BE49-F238E27FC236}">
                  <a16:creationId xmlns:a16="http://schemas.microsoft.com/office/drawing/2014/main" id="{00000000-0008-0000-0000-0000A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1046</xdr:row>
          <xdr:rowOff>0</xdr:rowOff>
        </xdr:from>
        <xdr:to>
          <xdr:col>7</xdr:col>
          <xdr:colOff>624840</xdr:colOff>
          <xdr:row>1047</xdr:row>
          <xdr:rowOff>0</xdr:rowOff>
        </xdr:to>
        <xdr:sp macro="" textlink="">
          <xdr:nvSpPr>
            <xdr:cNvPr id="3765" name="Drop Down 2741" hidden="1">
              <a:extLst>
                <a:ext uri="{63B3BB69-23CF-44E3-9099-C40C66FF867C}">
                  <a14:compatExt spid="_x0000_s3765"/>
                </a:ext>
                <a:ext uri="{FF2B5EF4-FFF2-40B4-BE49-F238E27FC236}">
                  <a16:creationId xmlns:a16="http://schemas.microsoft.com/office/drawing/2014/main" id="{00000000-0008-0000-0000-0000B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1046</xdr:row>
          <xdr:rowOff>15240</xdr:rowOff>
        </xdr:from>
        <xdr:to>
          <xdr:col>7</xdr:col>
          <xdr:colOff>1272540</xdr:colOff>
          <xdr:row>1047</xdr:row>
          <xdr:rowOff>0</xdr:rowOff>
        </xdr:to>
        <xdr:sp macro="" textlink="">
          <xdr:nvSpPr>
            <xdr:cNvPr id="3766" name="Drop Down 2742" hidden="1">
              <a:extLst>
                <a:ext uri="{63B3BB69-23CF-44E3-9099-C40C66FF867C}">
                  <a14:compatExt spid="_x0000_s3766"/>
                </a:ext>
                <a:ext uri="{FF2B5EF4-FFF2-40B4-BE49-F238E27FC236}">
                  <a16:creationId xmlns:a16="http://schemas.microsoft.com/office/drawing/2014/main" id="{00000000-0008-0000-0000-0000B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1046</xdr:row>
          <xdr:rowOff>15240</xdr:rowOff>
        </xdr:from>
        <xdr:to>
          <xdr:col>7</xdr:col>
          <xdr:colOff>1805940</xdr:colOff>
          <xdr:row>1046</xdr:row>
          <xdr:rowOff>320040</xdr:rowOff>
        </xdr:to>
        <xdr:sp macro="" textlink="">
          <xdr:nvSpPr>
            <xdr:cNvPr id="3767" name="Drop Down 2743" hidden="1">
              <a:extLst>
                <a:ext uri="{63B3BB69-23CF-44E3-9099-C40C66FF867C}">
                  <a14:compatExt spid="_x0000_s3767"/>
                </a:ext>
                <a:ext uri="{FF2B5EF4-FFF2-40B4-BE49-F238E27FC236}">
                  <a16:creationId xmlns:a16="http://schemas.microsoft.com/office/drawing/2014/main" id="{00000000-0008-0000-0000-0000B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1047</xdr:row>
          <xdr:rowOff>0</xdr:rowOff>
        </xdr:from>
        <xdr:to>
          <xdr:col>7</xdr:col>
          <xdr:colOff>624840</xdr:colOff>
          <xdr:row>1048</xdr:row>
          <xdr:rowOff>0</xdr:rowOff>
        </xdr:to>
        <xdr:sp macro="" textlink="">
          <xdr:nvSpPr>
            <xdr:cNvPr id="3768" name="Drop Down 2744" hidden="1">
              <a:extLst>
                <a:ext uri="{63B3BB69-23CF-44E3-9099-C40C66FF867C}">
                  <a14:compatExt spid="_x0000_s3768"/>
                </a:ext>
                <a:ext uri="{FF2B5EF4-FFF2-40B4-BE49-F238E27FC236}">
                  <a16:creationId xmlns:a16="http://schemas.microsoft.com/office/drawing/2014/main" id="{00000000-0008-0000-0000-0000B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1047</xdr:row>
          <xdr:rowOff>15240</xdr:rowOff>
        </xdr:from>
        <xdr:to>
          <xdr:col>7</xdr:col>
          <xdr:colOff>1272540</xdr:colOff>
          <xdr:row>1048</xdr:row>
          <xdr:rowOff>0</xdr:rowOff>
        </xdr:to>
        <xdr:sp macro="" textlink="">
          <xdr:nvSpPr>
            <xdr:cNvPr id="3769" name="Drop Down 2745" hidden="1">
              <a:extLst>
                <a:ext uri="{63B3BB69-23CF-44E3-9099-C40C66FF867C}">
                  <a14:compatExt spid="_x0000_s3769"/>
                </a:ext>
                <a:ext uri="{FF2B5EF4-FFF2-40B4-BE49-F238E27FC236}">
                  <a16:creationId xmlns:a16="http://schemas.microsoft.com/office/drawing/2014/main" id="{00000000-0008-0000-0000-0000B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1047</xdr:row>
          <xdr:rowOff>15240</xdr:rowOff>
        </xdr:from>
        <xdr:to>
          <xdr:col>7</xdr:col>
          <xdr:colOff>1805940</xdr:colOff>
          <xdr:row>1047</xdr:row>
          <xdr:rowOff>320040</xdr:rowOff>
        </xdr:to>
        <xdr:sp macro="" textlink="">
          <xdr:nvSpPr>
            <xdr:cNvPr id="3770" name="Drop Down 2746" hidden="1">
              <a:extLst>
                <a:ext uri="{63B3BB69-23CF-44E3-9099-C40C66FF867C}">
                  <a14:compatExt spid="_x0000_s3770"/>
                </a:ext>
                <a:ext uri="{FF2B5EF4-FFF2-40B4-BE49-F238E27FC236}">
                  <a16:creationId xmlns:a16="http://schemas.microsoft.com/office/drawing/2014/main" id="{00000000-0008-0000-0000-0000B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1048</xdr:row>
          <xdr:rowOff>0</xdr:rowOff>
        </xdr:from>
        <xdr:to>
          <xdr:col>7</xdr:col>
          <xdr:colOff>624840</xdr:colOff>
          <xdr:row>1049</xdr:row>
          <xdr:rowOff>0</xdr:rowOff>
        </xdr:to>
        <xdr:sp macro="" textlink="">
          <xdr:nvSpPr>
            <xdr:cNvPr id="3771" name="Drop Down 2747" hidden="1">
              <a:extLst>
                <a:ext uri="{63B3BB69-23CF-44E3-9099-C40C66FF867C}">
                  <a14:compatExt spid="_x0000_s3771"/>
                </a:ext>
                <a:ext uri="{FF2B5EF4-FFF2-40B4-BE49-F238E27FC236}">
                  <a16:creationId xmlns:a16="http://schemas.microsoft.com/office/drawing/2014/main" id="{00000000-0008-0000-0000-0000B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1048</xdr:row>
          <xdr:rowOff>15240</xdr:rowOff>
        </xdr:from>
        <xdr:to>
          <xdr:col>7</xdr:col>
          <xdr:colOff>1272540</xdr:colOff>
          <xdr:row>1049</xdr:row>
          <xdr:rowOff>0</xdr:rowOff>
        </xdr:to>
        <xdr:sp macro="" textlink="">
          <xdr:nvSpPr>
            <xdr:cNvPr id="3772" name="Drop Down 2748" hidden="1">
              <a:extLst>
                <a:ext uri="{63B3BB69-23CF-44E3-9099-C40C66FF867C}">
                  <a14:compatExt spid="_x0000_s3772"/>
                </a:ext>
                <a:ext uri="{FF2B5EF4-FFF2-40B4-BE49-F238E27FC236}">
                  <a16:creationId xmlns:a16="http://schemas.microsoft.com/office/drawing/2014/main" id="{00000000-0008-0000-0000-0000B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1048</xdr:row>
          <xdr:rowOff>15240</xdr:rowOff>
        </xdr:from>
        <xdr:to>
          <xdr:col>7</xdr:col>
          <xdr:colOff>1805940</xdr:colOff>
          <xdr:row>1048</xdr:row>
          <xdr:rowOff>320040</xdr:rowOff>
        </xdr:to>
        <xdr:sp macro="" textlink="">
          <xdr:nvSpPr>
            <xdr:cNvPr id="3773" name="Drop Down 2749" hidden="1">
              <a:extLst>
                <a:ext uri="{63B3BB69-23CF-44E3-9099-C40C66FF867C}">
                  <a14:compatExt spid="_x0000_s3773"/>
                </a:ext>
                <a:ext uri="{FF2B5EF4-FFF2-40B4-BE49-F238E27FC236}">
                  <a16:creationId xmlns:a16="http://schemas.microsoft.com/office/drawing/2014/main" id="{00000000-0008-0000-0000-0000B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1077</xdr:row>
          <xdr:rowOff>15240</xdr:rowOff>
        </xdr:from>
        <xdr:to>
          <xdr:col>4</xdr:col>
          <xdr:colOff>205740</xdr:colOff>
          <xdr:row>1077</xdr:row>
          <xdr:rowOff>220980</xdr:rowOff>
        </xdr:to>
        <xdr:sp macro="" textlink="">
          <xdr:nvSpPr>
            <xdr:cNvPr id="3780" name="Drop Down 2756" hidden="1">
              <a:extLst>
                <a:ext uri="{63B3BB69-23CF-44E3-9099-C40C66FF867C}">
                  <a14:compatExt spid="_x0000_s3780"/>
                </a:ext>
                <a:ext uri="{FF2B5EF4-FFF2-40B4-BE49-F238E27FC236}">
                  <a16:creationId xmlns:a16="http://schemas.microsoft.com/office/drawing/2014/main" id="{00000000-0008-0000-0000-0000C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1077</xdr:row>
          <xdr:rowOff>15240</xdr:rowOff>
        </xdr:from>
        <xdr:to>
          <xdr:col>4</xdr:col>
          <xdr:colOff>1021080</xdr:colOff>
          <xdr:row>1077</xdr:row>
          <xdr:rowOff>220980</xdr:rowOff>
        </xdr:to>
        <xdr:sp macro="" textlink="">
          <xdr:nvSpPr>
            <xdr:cNvPr id="3781" name="Drop Down 2757" hidden="1">
              <a:extLst>
                <a:ext uri="{63B3BB69-23CF-44E3-9099-C40C66FF867C}">
                  <a14:compatExt spid="_x0000_s3781"/>
                </a:ext>
                <a:ext uri="{FF2B5EF4-FFF2-40B4-BE49-F238E27FC236}">
                  <a16:creationId xmlns:a16="http://schemas.microsoft.com/office/drawing/2014/main" id="{00000000-0008-0000-0000-0000C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1077</xdr:row>
          <xdr:rowOff>0</xdr:rowOff>
        </xdr:from>
        <xdr:to>
          <xdr:col>4</xdr:col>
          <xdr:colOff>1706880</xdr:colOff>
          <xdr:row>1077</xdr:row>
          <xdr:rowOff>220980</xdr:rowOff>
        </xdr:to>
        <xdr:sp macro="" textlink="">
          <xdr:nvSpPr>
            <xdr:cNvPr id="3782" name="Drop Down 2758" hidden="1">
              <a:extLst>
                <a:ext uri="{63B3BB69-23CF-44E3-9099-C40C66FF867C}">
                  <a14:compatExt spid="_x0000_s3782"/>
                </a:ext>
                <a:ext uri="{FF2B5EF4-FFF2-40B4-BE49-F238E27FC236}">
                  <a16:creationId xmlns:a16="http://schemas.microsoft.com/office/drawing/2014/main" id="{00000000-0008-0000-0000-0000C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1077</xdr:row>
          <xdr:rowOff>15240</xdr:rowOff>
        </xdr:from>
        <xdr:to>
          <xdr:col>6</xdr:col>
          <xdr:colOff>259080</xdr:colOff>
          <xdr:row>1077</xdr:row>
          <xdr:rowOff>220980</xdr:rowOff>
        </xdr:to>
        <xdr:sp macro="" textlink="">
          <xdr:nvSpPr>
            <xdr:cNvPr id="3783" name="Drop Down 2759" hidden="1">
              <a:extLst>
                <a:ext uri="{63B3BB69-23CF-44E3-9099-C40C66FF867C}">
                  <a14:compatExt spid="_x0000_s3783"/>
                </a:ext>
                <a:ext uri="{FF2B5EF4-FFF2-40B4-BE49-F238E27FC236}">
                  <a16:creationId xmlns:a16="http://schemas.microsoft.com/office/drawing/2014/main" id="{00000000-0008-0000-0000-0000C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1077</xdr:row>
          <xdr:rowOff>15240</xdr:rowOff>
        </xdr:from>
        <xdr:to>
          <xdr:col>6</xdr:col>
          <xdr:colOff>1120140</xdr:colOff>
          <xdr:row>1077</xdr:row>
          <xdr:rowOff>220980</xdr:rowOff>
        </xdr:to>
        <xdr:sp macro="" textlink="">
          <xdr:nvSpPr>
            <xdr:cNvPr id="3784" name="Drop Down 2760" hidden="1">
              <a:extLst>
                <a:ext uri="{63B3BB69-23CF-44E3-9099-C40C66FF867C}">
                  <a14:compatExt spid="_x0000_s3784"/>
                </a:ext>
                <a:ext uri="{FF2B5EF4-FFF2-40B4-BE49-F238E27FC236}">
                  <a16:creationId xmlns:a16="http://schemas.microsoft.com/office/drawing/2014/main" id="{00000000-0008-0000-0000-0000C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1077</xdr:row>
          <xdr:rowOff>0</xdr:rowOff>
        </xdr:from>
        <xdr:to>
          <xdr:col>6</xdr:col>
          <xdr:colOff>1805940</xdr:colOff>
          <xdr:row>1077</xdr:row>
          <xdr:rowOff>220980</xdr:rowOff>
        </xdr:to>
        <xdr:sp macro="" textlink="">
          <xdr:nvSpPr>
            <xdr:cNvPr id="3785" name="Drop Down 2761" hidden="1">
              <a:extLst>
                <a:ext uri="{63B3BB69-23CF-44E3-9099-C40C66FF867C}">
                  <a14:compatExt spid="_x0000_s3785"/>
                </a:ext>
                <a:ext uri="{FF2B5EF4-FFF2-40B4-BE49-F238E27FC236}">
                  <a16:creationId xmlns:a16="http://schemas.microsoft.com/office/drawing/2014/main" id="{00000000-0008-0000-0000-0000C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1075</xdr:row>
          <xdr:rowOff>0</xdr:rowOff>
        </xdr:from>
        <xdr:to>
          <xdr:col>12</xdr:col>
          <xdr:colOff>716280</xdr:colOff>
          <xdr:row>1075</xdr:row>
          <xdr:rowOff>220980</xdr:rowOff>
        </xdr:to>
        <xdr:sp macro="" textlink="">
          <xdr:nvSpPr>
            <xdr:cNvPr id="3789" name="Drop Down 2765" hidden="1">
              <a:extLst>
                <a:ext uri="{63B3BB69-23CF-44E3-9099-C40C66FF867C}">
                  <a14:compatExt spid="_x0000_s3789"/>
                </a:ext>
                <a:ext uri="{FF2B5EF4-FFF2-40B4-BE49-F238E27FC236}">
                  <a16:creationId xmlns:a16="http://schemas.microsoft.com/office/drawing/2014/main" id="{00000000-0008-0000-0000-0000C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1075</xdr:row>
          <xdr:rowOff>15240</xdr:rowOff>
        </xdr:from>
        <xdr:to>
          <xdr:col>12</xdr:col>
          <xdr:colOff>1325880</xdr:colOff>
          <xdr:row>1075</xdr:row>
          <xdr:rowOff>220980</xdr:rowOff>
        </xdr:to>
        <xdr:sp macro="" textlink="">
          <xdr:nvSpPr>
            <xdr:cNvPr id="3790" name="Drop Down 2766" hidden="1">
              <a:extLst>
                <a:ext uri="{63B3BB69-23CF-44E3-9099-C40C66FF867C}">
                  <a14:compatExt spid="_x0000_s3790"/>
                </a:ext>
                <a:ext uri="{FF2B5EF4-FFF2-40B4-BE49-F238E27FC236}">
                  <a16:creationId xmlns:a16="http://schemas.microsoft.com/office/drawing/2014/main" id="{00000000-0008-0000-0000-0000C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1075</xdr:row>
          <xdr:rowOff>0</xdr:rowOff>
        </xdr:from>
        <xdr:to>
          <xdr:col>13</xdr:col>
          <xdr:colOff>0</xdr:colOff>
          <xdr:row>1075</xdr:row>
          <xdr:rowOff>220980</xdr:rowOff>
        </xdr:to>
        <xdr:sp macro="" textlink="">
          <xdr:nvSpPr>
            <xdr:cNvPr id="3791" name="Drop Down 2767" hidden="1">
              <a:extLst>
                <a:ext uri="{63B3BB69-23CF-44E3-9099-C40C66FF867C}">
                  <a14:compatExt spid="_x0000_s3791"/>
                </a:ext>
                <a:ext uri="{FF2B5EF4-FFF2-40B4-BE49-F238E27FC236}">
                  <a16:creationId xmlns:a16="http://schemas.microsoft.com/office/drawing/2014/main" id="{00000000-0008-0000-0000-0000C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1077</xdr:row>
          <xdr:rowOff>0</xdr:rowOff>
        </xdr:from>
        <xdr:to>
          <xdr:col>12</xdr:col>
          <xdr:colOff>701040</xdr:colOff>
          <xdr:row>1077</xdr:row>
          <xdr:rowOff>220980</xdr:rowOff>
        </xdr:to>
        <xdr:sp macro="" textlink="">
          <xdr:nvSpPr>
            <xdr:cNvPr id="3792" name="Drop Down 2768" hidden="1">
              <a:extLst>
                <a:ext uri="{63B3BB69-23CF-44E3-9099-C40C66FF867C}">
                  <a14:compatExt spid="_x0000_s3792"/>
                </a:ext>
                <a:ext uri="{FF2B5EF4-FFF2-40B4-BE49-F238E27FC236}">
                  <a16:creationId xmlns:a16="http://schemas.microsoft.com/office/drawing/2014/main" id="{00000000-0008-0000-0000-0000D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1077</xdr:row>
          <xdr:rowOff>15240</xdr:rowOff>
        </xdr:from>
        <xdr:to>
          <xdr:col>12</xdr:col>
          <xdr:colOff>1310640</xdr:colOff>
          <xdr:row>1077</xdr:row>
          <xdr:rowOff>220980</xdr:rowOff>
        </xdr:to>
        <xdr:sp macro="" textlink="">
          <xdr:nvSpPr>
            <xdr:cNvPr id="3793" name="Drop Down 2769" hidden="1">
              <a:extLst>
                <a:ext uri="{63B3BB69-23CF-44E3-9099-C40C66FF867C}">
                  <a14:compatExt spid="_x0000_s3793"/>
                </a:ext>
                <a:ext uri="{FF2B5EF4-FFF2-40B4-BE49-F238E27FC236}">
                  <a16:creationId xmlns:a16="http://schemas.microsoft.com/office/drawing/2014/main" id="{00000000-0008-0000-0000-0000D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1076</xdr:row>
          <xdr:rowOff>220980</xdr:rowOff>
        </xdr:from>
        <xdr:to>
          <xdr:col>13</xdr:col>
          <xdr:colOff>0</xdr:colOff>
          <xdr:row>1077</xdr:row>
          <xdr:rowOff>220980</xdr:rowOff>
        </xdr:to>
        <xdr:sp macro="" textlink="">
          <xdr:nvSpPr>
            <xdr:cNvPr id="3794" name="Drop Down 2770" hidden="1">
              <a:extLst>
                <a:ext uri="{63B3BB69-23CF-44E3-9099-C40C66FF867C}">
                  <a14:compatExt spid="_x0000_s3794"/>
                </a:ext>
                <a:ext uri="{FF2B5EF4-FFF2-40B4-BE49-F238E27FC236}">
                  <a16:creationId xmlns:a16="http://schemas.microsoft.com/office/drawing/2014/main" id="{00000000-0008-0000-0000-0000D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1146</xdr:row>
          <xdr:rowOff>0</xdr:rowOff>
        </xdr:from>
        <xdr:to>
          <xdr:col>7</xdr:col>
          <xdr:colOff>624840</xdr:colOff>
          <xdr:row>1147</xdr:row>
          <xdr:rowOff>0</xdr:rowOff>
        </xdr:to>
        <xdr:sp macro="" textlink="">
          <xdr:nvSpPr>
            <xdr:cNvPr id="3813" name="Drop Down 2789" hidden="1">
              <a:extLst>
                <a:ext uri="{63B3BB69-23CF-44E3-9099-C40C66FF867C}">
                  <a14:compatExt spid="_x0000_s3813"/>
                </a:ext>
                <a:ext uri="{FF2B5EF4-FFF2-40B4-BE49-F238E27FC236}">
                  <a16:creationId xmlns:a16="http://schemas.microsoft.com/office/drawing/2014/main" id="{00000000-0008-0000-0000-0000E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1146</xdr:row>
          <xdr:rowOff>15240</xdr:rowOff>
        </xdr:from>
        <xdr:to>
          <xdr:col>7</xdr:col>
          <xdr:colOff>1272540</xdr:colOff>
          <xdr:row>1147</xdr:row>
          <xdr:rowOff>0</xdr:rowOff>
        </xdr:to>
        <xdr:sp macro="" textlink="">
          <xdr:nvSpPr>
            <xdr:cNvPr id="3814" name="Drop Down 2790" hidden="1">
              <a:extLst>
                <a:ext uri="{63B3BB69-23CF-44E3-9099-C40C66FF867C}">
                  <a14:compatExt spid="_x0000_s3814"/>
                </a:ext>
                <a:ext uri="{FF2B5EF4-FFF2-40B4-BE49-F238E27FC236}">
                  <a16:creationId xmlns:a16="http://schemas.microsoft.com/office/drawing/2014/main" id="{00000000-0008-0000-0000-0000E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1146</xdr:row>
          <xdr:rowOff>15240</xdr:rowOff>
        </xdr:from>
        <xdr:to>
          <xdr:col>7</xdr:col>
          <xdr:colOff>1805940</xdr:colOff>
          <xdr:row>1146</xdr:row>
          <xdr:rowOff>320040</xdr:rowOff>
        </xdr:to>
        <xdr:sp macro="" textlink="">
          <xdr:nvSpPr>
            <xdr:cNvPr id="3815" name="Drop Down 2791" hidden="1">
              <a:extLst>
                <a:ext uri="{63B3BB69-23CF-44E3-9099-C40C66FF867C}">
                  <a14:compatExt spid="_x0000_s3815"/>
                </a:ext>
                <a:ext uri="{FF2B5EF4-FFF2-40B4-BE49-F238E27FC236}">
                  <a16:creationId xmlns:a16="http://schemas.microsoft.com/office/drawing/2014/main" id="{00000000-0008-0000-0000-0000E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1147</xdr:row>
          <xdr:rowOff>0</xdr:rowOff>
        </xdr:from>
        <xdr:to>
          <xdr:col>7</xdr:col>
          <xdr:colOff>624840</xdr:colOff>
          <xdr:row>1148</xdr:row>
          <xdr:rowOff>0</xdr:rowOff>
        </xdr:to>
        <xdr:sp macro="" textlink="">
          <xdr:nvSpPr>
            <xdr:cNvPr id="3816" name="Drop Down 2792" hidden="1">
              <a:extLst>
                <a:ext uri="{63B3BB69-23CF-44E3-9099-C40C66FF867C}">
                  <a14:compatExt spid="_x0000_s3816"/>
                </a:ext>
                <a:ext uri="{FF2B5EF4-FFF2-40B4-BE49-F238E27FC236}">
                  <a16:creationId xmlns:a16="http://schemas.microsoft.com/office/drawing/2014/main" id="{00000000-0008-0000-0000-0000E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1147</xdr:row>
          <xdr:rowOff>15240</xdr:rowOff>
        </xdr:from>
        <xdr:to>
          <xdr:col>7</xdr:col>
          <xdr:colOff>1272540</xdr:colOff>
          <xdr:row>1148</xdr:row>
          <xdr:rowOff>0</xdr:rowOff>
        </xdr:to>
        <xdr:sp macro="" textlink="">
          <xdr:nvSpPr>
            <xdr:cNvPr id="3817" name="Drop Down 2793" hidden="1">
              <a:extLst>
                <a:ext uri="{63B3BB69-23CF-44E3-9099-C40C66FF867C}">
                  <a14:compatExt spid="_x0000_s3817"/>
                </a:ext>
                <a:ext uri="{FF2B5EF4-FFF2-40B4-BE49-F238E27FC236}">
                  <a16:creationId xmlns:a16="http://schemas.microsoft.com/office/drawing/2014/main" id="{00000000-0008-0000-0000-0000E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1147</xdr:row>
          <xdr:rowOff>15240</xdr:rowOff>
        </xdr:from>
        <xdr:to>
          <xdr:col>7</xdr:col>
          <xdr:colOff>1805940</xdr:colOff>
          <xdr:row>1147</xdr:row>
          <xdr:rowOff>320040</xdr:rowOff>
        </xdr:to>
        <xdr:sp macro="" textlink="">
          <xdr:nvSpPr>
            <xdr:cNvPr id="3818" name="Drop Down 2794" hidden="1">
              <a:extLst>
                <a:ext uri="{63B3BB69-23CF-44E3-9099-C40C66FF867C}">
                  <a14:compatExt spid="_x0000_s3818"/>
                </a:ext>
                <a:ext uri="{FF2B5EF4-FFF2-40B4-BE49-F238E27FC236}">
                  <a16:creationId xmlns:a16="http://schemas.microsoft.com/office/drawing/2014/main" id="{00000000-0008-0000-0000-0000E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1148</xdr:row>
          <xdr:rowOff>0</xdr:rowOff>
        </xdr:from>
        <xdr:to>
          <xdr:col>7</xdr:col>
          <xdr:colOff>624840</xdr:colOff>
          <xdr:row>1149</xdr:row>
          <xdr:rowOff>0</xdr:rowOff>
        </xdr:to>
        <xdr:sp macro="" textlink="">
          <xdr:nvSpPr>
            <xdr:cNvPr id="3819" name="Drop Down 2795" hidden="1">
              <a:extLst>
                <a:ext uri="{63B3BB69-23CF-44E3-9099-C40C66FF867C}">
                  <a14:compatExt spid="_x0000_s3819"/>
                </a:ext>
                <a:ext uri="{FF2B5EF4-FFF2-40B4-BE49-F238E27FC236}">
                  <a16:creationId xmlns:a16="http://schemas.microsoft.com/office/drawing/2014/main" id="{00000000-0008-0000-0000-0000E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1148</xdr:row>
          <xdr:rowOff>15240</xdr:rowOff>
        </xdr:from>
        <xdr:to>
          <xdr:col>7</xdr:col>
          <xdr:colOff>1272540</xdr:colOff>
          <xdr:row>1149</xdr:row>
          <xdr:rowOff>0</xdr:rowOff>
        </xdr:to>
        <xdr:sp macro="" textlink="">
          <xdr:nvSpPr>
            <xdr:cNvPr id="3820" name="Drop Down 2796" hidden="1">
              <a:extLst>
                <a:ext uri="{63B3BB69-23CF-44E3-9099-C40C66FF867C}">
                  <a14:compatExt spid="_x0000_s3820"/>
                </a:ext>
                <a:ext uri="{FF2B5EF4-FFF2-40B4-BE49-F238E27FC236}">
                  <a16:creationId xmlns:a16="http://schemas.microsoft.com/office/drawing/2014/main" id="{00000000-0008-0000-0000-0000E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1148</xdr:row>
          <xdr:rowOff>15240</xdr:rowOff>
        </xdr:from>
        <xdr:to>
          <xdr:col>7</xdr:col>
          <xdr:colOff>1805940</xdr:colOff>
          <xdr:row>1148</xdr:row>
          <xdr:rowOff>320040</xdr:rowOff>
        </xdr:to>
        <xdr:sp macro="" textlink="">
          <xdr:nvSpPr>
            <xdr:cNvPr id="3821" name="Drop Down 2797" hidden="1">
              <a:extLst>
                <a:ext uri="{63B3BB69-23CF-44E3-9099-C40C66FF867C}">
                  <a14:compatExt spid="_x0000_s3821"/>
                </a:ext>
                <a:ext uri="{FF2B5EF4-FFF2-40B4-BE49-F238E27FC236}">
                  <a16:creationId xmlns:a16="http://schemas.microsoft.com/office/drawing/2014/main" id="{00000000-0008-0000-0000-0000E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1177</xdr:row>
          <xdr:rowOff>15240</xdr:rowOff>
        </xdr:from>
        <xdr:to>
          <xdr:col>4</xdr:col>
          <xdr:colOff>205740</xdr:colOff>
          <xdr:row>1177</xdr:row>
          <xdr:rowOff>220980</xdr:rowOff>
        </xdr:to>
        <xdr:sp macro="" textlink="">
          <xdr:nvSpPr>
            <xdr:cNvPr id="3828" name="Drop Down 2804" hidden="1">
              <a:extLst>
                <a:ext uri="{63B3BB69-23CF-44E3-9099-C40C66FF867C}">
                  <a14:compatExt spid="_x0000_s3828"/>
                </a:ext>
                <a:ext uri="{FF2B5EF4-FFF2-40B4-BE49-F238E27FC236}">
                  <a16:creationId xmlns:a16="http://schemas.microsoft.com/office/drawing/2014/main" id="{00000000-0008-0000-0000-0000F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1177</xdr:row>
          <xdr:rowOff>15240</xdr:rowOff>
        </xdr:from>
        <xdr:to>
          <xdr:col>4</xdr:col>
          <xdr:colOff>1021080</xdr:colOff>
          <xdr:row>1177</xdr:row>
          <xdr:rowOff>220980</xdr:rowOff>
        </xdr:to>
        <xdr:sp macro="" textlink="">
          <xdr:nvSpPr>
            <xdr:cNvPr id="3829" name="Drop Down 2805" hidden="1">
              <a:extLst>
                <a:ext uri="{63B3BB69-23CF-44E3-9099-C40C66FF867C}">
                  <a14:compatExt spid="_x0000_s3829"/>
                </a:ext>
                <a:ext uri="{FF2B5EF4-FFF2-40B4-BE49-F238E27FC236}">
                  <a16:creationId xmlns:a16="http://schemas.microsoft.com/office/drawing/2014/main" id="{00000000-0008-0000-0000-0000F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1177</xdr:row>
          <xdr:rowOff>0</xdr:rowOff>
        </xdr:from>
        <xdr:to>
          <xdr:col>4</xdr:col>
          <xdr:colOff>1706880</xdr:colOff>
          <xdr:row>1177</xdr:row>
          <xdr:rowOff>220980</xdr:rowOff>
        </xdr:to>
        <xdr:sp macro="" textlink="">
          <xdr:nvSpPr>
            <xdr:cNvPr id="3830" name="Drop Down 2806" hidden="1">
              <a:extLst>
                <a:ext uri="{63B3BB69-23CF-44E3-9099-C40C66FF867C}">
                  <a14:compatExt spid="_x0000_s3830"/>
                </a:ext>
                <a:ext uri="{FF2B5EF4-FFF2-40B4-BE49-F238E27FC236}">
                  <a16:creationId xmlns:a16="http://schemas.microsoft.com/office/drawing/2014/main" id="{00000000-0008-0000-0000-0000F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1177</xdr:row>
          <xdr:rowOff>15240</xdr:rowOff>
        </xdr:from>
        <xdr:to>
          <xdr:col>6</xdr:col>
          <xdr:colOff>259080</xdr:colOff>
          <xdr:row>1177</xdr:row>
          <xdr:rowOff>220980</xdr:rowOff>
        </xdr:to>
        <xdr:sp macro="" textlink="">
          <xdr:nvSpPr>
            <xdr:cNvPr id="3831" name="Drop Down 2807" hidden="1">
              <a:extLst>
                <a:ext uri="{63B3BB69-23CF-44E3-9099-C40C66FF867C}">
                  <a14:compatExt spid="_x0000_s3831"/>
                </a:ext>
                <a:ext uri="{FF2B5EF4-FFF2-40B4-BE49-F238E27FC236}">
                  <a16:creationId xmlns:a16="http://schemas.microsoft.com/office/drawing/2014/main" id="{00000000-0008-0000-0000-0000F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1177</xdr:row>
          <xdr:rowOff>15240</xdr:rowOff>
        </xdr:from>
        <xdr:to>
          <xdr:col>6</xdr:col>
          <xdr:colOff>1120140</xdr:colOff>
          <xdr:row>1177</xdr:row>
          <xdr:rowOff>220980</xdr:rowOff>
        </xdr:to>
        <xdr:sp macro="" textlink="">
          <xdr:nvSpPr>
            <xdr:cNvPr id="3832" name="Drop Down 2808" hidden="1">
              <a:extLst>
                <a:ext uri="{63B3BB69-23CF-44E3-9099-C40C66FF867C}">
                  <a14:compatExt spid="_x0000_s3832"/>
                </a:ext>
                <a:ext uri="{FF2B5EF4-FFF2-40B4-BE49-F238E27FC236}">
                  <a16:creationId xmlns:a16="http://schemas.microsoft.com/office/drawing/2014/main" id="{00000000-0008-0000-0000-0000F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1177</xdr:row>
          <xdr:rowOff>0</xdr:rowOff>
        </xdr:from>
        <xdr:to>
          <xdr:col>6</xdr:col>
          <xdr:colOff>1805940</xdr:colOff>
          <xdr:row>1177</xdr:row>
          <xdr:rowOff>220980</xdr:rowOff>
        </xdr:to>
        <xdr:sp macro="" textlink="">
          <xdr:nvSpPr>
            <xdr:cNvPr id="3833" name="Drop Down 2809" hidden="1">
              <a:extLst>
                <a:ext uri="{63B3BB69-23CF-44E3-9099-C40C66FF867C}">
                  <a14:compatExt spid="_x0000_s3833"/>
                </a:ext>
                <a:ext uri="{FF2B5EF4-FFF2-40B4-BE49-F238E27FC236}">
                  <a16:creationId xmlns:a16="http://schemas.microsoft.com/office/drawing/2014/main" id="{00000000-0008-0000-0000-0000F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1175</xdr:row>
          <xdr:rowOff>0</xdr:rowOff>
        </xdr:from>
        <xdr:to>
          <xdr:col>12</xdr:col>
          <xdr:colOff>716280</xdr:colOff>
          <xdr:row>1175</xdr:row>
          <xdr:rowOff>220980</xdr:rowOff>
        </xdr:to>
        <xdr:sp macro="" textlink="">
          <xdr:nvSpPr>
            <xdr:cNvPr id="3837" name="Drop Down 2813" hidden="1">
              <a:extLst>
                <a:ext uri="{63B3BB69-23CF-44E3-9099-C40C66FF867C}">
                  <a14:compatExt spid="_x0000_s3837"/>
                </a:ext>
                <a:ext uri="{FF2B5EF4-FFF2-40B4-BE49-F238E27FC236}">
                  <a16:creationId xmlns:a16="http://schemas.microsoft.com/office/drawing/2014/main" id="{00000000-0008-0000-0000-0000F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1175</xdr:row>
          <xdr:rowOff>15240</xdr:rowOff>
        </xdr:from>
        <xdr:to>
          <xdr:col>12</xdr:col>
          <xdr:colOff>1325880</xdr:colOff>
          <xdr:row>1175</xdr:row>
          <xdr:rowOff>220980</xdr:rowOff>
        </xdr:to>
        <xdr:sp macro="" textlink="">
          <xdr:nvSpPr>
            <xdr:cNvPr id="3838" name="Drop Down 2814" hidden="1">
              <a:extLst>
                <a:ext uri="{63B3BB69-23CF-44E3-9099-C40C66FF867C}">
                  <a14:compatExt spid="_x0000_s3838"/>
                </a:ext>
                <a:ext uri="{FF2B5EF4-FFF2-40B4-BE49-F238E27FC236}">
                  <a16:creationId xmlns:a16="http://schemas.microsoft.com/office/drawing/2014/main" id="{00000000-0008-0000-0000-0000F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1175</xdr:row>
          <xdr:rowOff>0</xdr:rowOff>
        </xdr:from>
        <xdr:to>
          <xdr:col>13</xdr:col>
          <xdr:colOff>0</xdr:colOff>
          <xdr:row>1175</xdr:row>
          <xdr:rowOff>220980</xdr:rowOff>
        </xdr:to>
        <xdr:sp macro="" textlink="">
          <xdr:nvSpPr>
            <xdr:cNvPr id="3839" name="Drop Down 2815" hidden="1">
              <a:extLst>
                <a:ext uri="{63B3BB69-23CF-44E3-9099-C40C66FF867C}">
                  <a14:compatExt spid="_x0000_s3839"/>
                </a:ext>
                <a:ext uri="{FF2B5EF4-FFF2-40B4-BE49-F238E27FC236}">
                  <a16:creationId xmlns:a16="http://schemas.microsoft.com/office/drawing/2014/main" id="{00000000-0008-0000-0000-0000F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1177</xdr:row>
          <xdr:rowOff>0</xdr:rowOff>
        </xdr:from>
        <xdr:to>
          <xdr:col>12</xdr:col>
          <xdr:colOff>701040</xdr:colOff>
          <xdr:row>1177</xdr:row>
          <xdr:rowOff>220980</xdr:rowOff>
        </xdr:to>
        <xdr:sp macro="" textlink="">
          <xdr:nvSpPr>
            <xdr:cNvPr id="3840" name="Drop Down 2816" hidden="1">
              <a:extLst>
                <a:ext uri="{63B3BB69-23CF-44E3-9099-C40C66FF867C}">
                  <a14:compatExt spid="_x0000_s3840"/>
                </a:ext>
                <a:ext uri="{FF2B5EF4-FFF2-40B4-BE49-F238E27FC236}">
                  <a16:creationId xmlns:a16="http://schemas.microsoft.com/office/drawing/2014/main" id="{00000000-0008-0000-0000-00000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1177</xdr:row>
          <xdr:rowOff>15240</xdr:rowOff>
        </xdr:from>
        <xdr:to>
          <xdr:col>12</xdr:col>
          <xdr:colOff>1310640</xdr:colOff>
          <xdr:row>1177</xdr:row>
          <xdr:rowOff>220980</xdr:rowOff>
        </xdr:to>
        <xdr:sp macro="" textlink="">
          <xdr:nvSpPr>
            <xdr:cNvPr id="3841" name="Drop Down 2817" hidden="1">
              <a:extLst>
                <a:ext uri="{63B3BB69-23CF-44E3-9099-C40C66FF867C}">
                  <a14:compatExt spid="_x0000_s3841"/>
                </a:ext>
                <a:ext uri="{FF2B5EF4-FFF2-40B4-BE49-F238E27FC236}">
                  <a16:creationId xmlns:a16="http://schemas.microsoft.com/office/drawing/2014/main" id="{00000000-0008-0000-0000-00000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1176</xdr:row>
          <xdr:rowOff>220980</xdr:rowOff>
        </xdr:from>
        <xdr:to>
          <xdr:col>13</xdr:col>
          <xdr:colOff>0</xdr:colOff>
          <xdr:row>1177</xdr:row>
          <xdr:rowOff>220980</xdr:rowOff>
        </xdr:to>
        <xdr:sp macro="" textlink="">
          <xdr:nvSpPr>
            <xdr:cNvPr id="3842" name="Drop Down 2818" hidden="1">
              <a:extLst>
                <a:ext uri="{63B3BB69-23CF-44E3-9099-C40C66FF867C}">
                  <a14:compatExt spid="_x0000_s3842"/>
                </a:ext>
                <a:ext uri="{FF2B5EF4-FFF2-40B4-BE49-F238E27FC236}">
                  <a16:creationId xmlns:a16="http://schemas.microsoft.com/office/drawing/2014/main" id="{00000000-0008-0000-0000-00000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1246</xdr:row>
          <xdr:rowOff>0</xdr:rowOff>
        </xdr:from>
        <xdr:to>
          <xdr:col>7</xdr:col>
          <xdr:colOff>624840</xdr:colOff>
          <xdr:row>1247</xdr:row>
          <xdr:rowOff>0</xdr:rowOff>
        </xdr:to>
        <xdr:sp macro="" textlink="">
          <xdr:nvSpPr>
            <xdr:cNvPr id="3861" name="Drop Down 2837" hidden="1">
              <a:extLst>
                <a:ext uri="{63B3BB69-23CF-44E3-9099-C40C66FF867C}">
                  <a14:compatExt spid="_x0000_s3861"/>
                </a:ext>
                <a:ext uri="{FF2B5EF4-FFF2-40B4-BE49-F238E27FC236}">
                  <a16:creationId xmlns:a16="http://schemas.microsoft.com/office/drawing/2014/main" id="{00000000-0008-0000-0000-00001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1246</xdr:row>
          <xdr:rowOff>15240</xdr:rowOff>
        </xdr:from>
        <xdr:to>
          <xdr:col>7</xdr:col>
          <xdr:colOff>1272540</xdr:colOff>
          <xdr:row>1247</xdr:row>
          <xdr:rowOff>0</xdr:rowOff>
        </xdr:to>
        <xdr:sp macro="" textlink="">
          <xdr:nvSpPr>
            <xdr:cNvPr id="3862" name="Drop Down 2838" hidden="1">
              <a:extLst>
                <a:ext uri="{63B3BB69-23CF-44E3-9099-C40C66FF867C}">
                  <a14:compatExt spid="_x0000_s3862"/>
                </a:ext>
                <a:ext uri="{FF2B5EF4-FFF2-40B4-BE49-F238E27FC236}">
                  <a16:creationId xmlns:a16="http://schemas.microsoft.com/office/drawing/2014/main" id="{00000000-0008-0000-0000-00001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1246</xdr:row>
          <xdr:rowOff>15240</xdr:rowOff>
        </xdr:from>
        <xdr:to>
          <xdr:col>7</xdr:col>
          <xdr:colOff>1805940</xdr:colOff>
          <xdr:row>1246</xdr:row>
          <xdr:rowOff>320040</xdr:rowOff>
        </xdr:to>
        <xdr:sp macro="" textlink="">
          <xdr:nvSpPr>
            <xdr:cNvPr id="3863" name="Drop Down 2839" hidden="1">
              <a:extLst>
                <a:ext uri="{63B3BB69-23CF-44E3-9099-C40C66FF867C}">
                  <a14:compatExt spid="_x0000_s3863"/>
                </a:ext>
                <a:ext uri="{FF2B5EF4-FFF2-40B4-BE49-F238E27FC236}">
                  <a16:creationId xmlns:a16="http://schemas.microsoft.com/office/drawing/2014/main" id="{00000000-0008-0000-0000-00001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1247</xdr:row>
          <xdr:rowOff>0</xdr:rowOff>
        </xdr:from>
        <xdr:to>
          <xdr:col>7</xdr:col>
          <xdr:colOff>624840</xdr:colOff>
          <xdr:row>1248</xdr:row>
          <xdr:rowOff>0</xdr:rowOff>
        </xdr:to>
        <xdr:sp macro="" textlink="">
          <xdr:nvSpPr>
            <xdr:cNvPr id="3864" name="Drop Down 2840" hidden="1">
              <a:extLst>
                <a:ext uri="{63B3BB69-23CF-44E3-9099-C40C66FF867C}">
                  <a14:compatExt spid="_x0000_s3864"/>
                </a:ext>
                <a:ext uri="{FF2B5EF4-FFF2-40B4-BE49-F238E27FC236}">
                  <a16:creationId xmlns:a16="http://schemas.microsoft.com/office/drawing/2014/main" id="{00000000-0008-0000-0000-00001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1247</xdr:row>
          <xdr:rowOff>15240</xdr:rowOff>
        </xdr:from>
        <xdr:to>
          <xdr:col>7</xdr:col>
          <xdr:colOff>1272540</xdr:colOff>
          <xdr:row>1248</xdr:row>
          <xdr:rowOff>0</xdr:rowOff>
        </xdr:to>
        <xdr:sp macro="" textlink="">
          <xdr:nvSpPr>
            <xdr:cNvPr id="3865" name="Drop Down 2841" hidden="1">
              <a:extLst>
                <a:ext uri="{63B3BB69-23CF-44E3-9099-C40C66FF867C}">
                  <a14:compatExt spid="_x0000_s3865"/>
                </a:ext>
                <a:ext uri="{FF2B5EF4-FFF2-40B4-BE49-F238E27FC236}">
                  <a16:creationId xmlns:a16="http://schemas.microsoft.com/office/drawing/2014/main" id="{00000000-0008-0000-0000-00001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1247</xdr:row>
          <xdr:rowOff>15240</xdr:rowOff>
        </xdr:from>
        <xdr:to>
          <xdr:col>7</xdr:col>
          <xdr:colOff>1805940</xdr:colOff>
          <xdr:row>1247</xdr:row>
          <xdr:rowOff>320040</xdr:rowOff>
        </xdr:to>
        <xdr:sp macro="" textlink="">
          <xdr:nvSpPr>
            <xdr:cNvPr id="3866" name="Drop Down 2842" hidden="1">
              <a:extLst>
                <a:ext uri="{63B3BB69-23CF-44E3-9099-C40C66FF867C}">
                  <a14:compatExt spid="_x0000_s3866"/>
                </a:ext>
                <a:ext uri="{FF2B5EF4-FFF2-40B4-BE49-F238E27FC236}">
                  <a16:creationId xmlns:a16="http://schemas.microsoft.com/office/drawing/2014/main" id="{00000000-0008-0000-0000-00001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1248</xdr:row>
          <xdr:rowOff>0</xdr:rowOff>
        </xdr:from>
        <xdr:to>
          <xdr:col>7</xdr:col>
          <xdr:colOff>624840</xdr:colOff>
          <xdr:row>1249</xdr:row>
          <xdr:rowOff>0</xdr:rowOff>
        </xdr:to>
        <xdr:sp macro="" textlink="">
          <xdr:nvSpPr>
            <xdr:cNvPr id="3867" name="Drop Down 2843" hidden="1">
              <a:extLst>
                <a:ext uri="{63B3BB69-23CF-44E3-9099-C40C66FF867C}">
                  <a14:compatExt spid="_x0000_s3867"/>
                </a:ext>
                <a:ext uri="{FF2B5EF4-FFF2-40B4-BE49-F238E27FC236}">
                  <a16:creationId xmlns:a16="http://schemas.microsoft.com/office/drawing/2014/main" id="{00000000-0008-0000-0000-00001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1248</xdr:row>
          <xdr:rowOff>15240</xdr:rowOff>
        </xdr:from>
        <xdr:to>
          <xdr:col>7</xdr:col>
          <xdr:colOff>1272540</xdr:colOff>
          <xdr:row>1249</xdr:row>
          <xdr:rowOff>0</xdr:rowOff>
        </xdr:to>
        <xdr:sp macro="" textlink="">
          <xdr:nvSpPr>
            <xdr:cNvPr id="3868" name="Drop Down 2844" hidden="1">
              <a:extLst>
                <a:ext uri="{63B3BB69-23CF-44E3-9099-C40C66FF867C}">
                  <a14:compatExt spid="_x0000_s3868"/>
                </a:ext>
                <a:ext uri="{FF2B5EF4-FFF2-40B4-BE49-F238E27FC236}">
                  <a16:creationId xmlns:a16="http://schemas.microsoft.com/office/drawing/2014/main" id="{00000000-0008-0000-0000-00001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1248</xdr:row>
          <xdr:rowOff>15240</xdr:rowOff>
        </xdr:from>
        <xdr:to>
          <xdr:col>7</xdr:col>
          <xdr:colOff>1805940</xdr:colOff>
          <xdr:row>1248</xdr:row>
          <xdr:rowOff>320040</xdr:rowOff>
        </xdr:to>
        <xdr:sp macro="" textlink="">
          <xdr:nvSpPr>
            <xdr:cNvPr id="3869" name="Drop Down 2845" hidden="1">
              <a:extLst>
                <a:ext uri="{63B3BB69-23CF-44E3-9099-C40C66FF867C}">
                  <a14:compatExt spid="_x0000_s3869"/>
                </a:ext>
                <a:ext uri="{FF2B5EF4-FFF2-40B4-BE49-F238E27FC236}">
                  <a16:creationId xmlns:a16="http://schemas.microsoft.com/office/drawing/2014/main" id="{00000000-0008-0000-0000-00001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1277</xdr:row>
          <xdr:rowOff>15240</xdr:rowOff>
        </xdr:from>
        <xdr:to>
          <xdr:col>4</xdr:col>
          <xdr:colOff>205740</xdr:colOff>
          <xdr:row>1277</xdr:row>
          <xdr:rowOff>220980</xdr:rowOff>
        </xdr:to>
        <xdr:sp macro="" textlink="">
          <xdr:nvSpPr>
            <xdr:cNvPr id="3876" name="Drop Down 2852" hidden="1">
              <a:extLst>
                <a:ext uri="{63B3BB69-23CF-44E3-9099-C40C66FF867C}">
                  <a14:compatExt spid="_x0000_s3876"/>
                </a:ext>
                <a:ext uri="{FF2B5EF4-FFF2-40B4-BE49-F238E27FC236}">
                  <a16:creationId xmlns:a16="http://schemas.microsoft.com/office/drawing/2014/main" id="{00000000-0008-0000-0000-00002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1277</xdr:row>
          <xdr:rowOff>15240</xdr:rowOff>
        </xdr:from>
        <xdr:to>
          <xdr:col>4</xdr:col>
          <xdr:colOff>1021080</xdr:colOff>
          <xdr:row>1277</xdr:row>
          <xdr:rowOff>220980</xdr:rowOff>
        </xdr:to>
        <xdr:sp macro="" textlink="">
          <xdr:nvSpPr>
            <xdr:cNvPr id="3877" name="Drop Down 2853" hidden="1">
              <a:extLst>
                <a:ext uri="{63B3BB69-23CF-44E3-9099-C40C66FF867C}">
                  <a14:compatExt spid="_x0000_s3877"/>
                </a:ext>
                <a:ext uri="{FF2B5EF4-FFF2-40B4-BE49-F238E27FC236}">
                  <a16:creationId xmlns:a16="http://schemas.microsoft.com/office/drawing/2014/main" id="{00000000-0008-0000-0000-00002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1277</xdr:row>
          <xdr:rowOff>0</xdr:rowOff>
        </xdr:from>
        <xdr:to>
          <xdr:col>4</xdr:col>
          <xdr:colOff>1706880</xdr:colOff>
          <xdr:row>1277</xdr:row>
          <xdr:rowOff>220980</xdr:rowOff>
        </xdr:to>
        <xdr:sp macro="" textlink="">
          <xdr:nvSpPr>
            <xdr:cNvPr id="3878" name="Drop Down 2854" hidden="1">
              <a:extLst>
                <a:ext uri="{63B3BB69-23CF-44E3-9099-C40C66FF867C}">
                  <a14:compatExt spid="_x0000_s3878"/>
                </a:ext>
                <a:ext uri="{FF2B5EF4-FFF2-40B4-BE49-F238E27FC236}">
                  <a16:creationId xmlns:a16="http://schemas.microsoft.com/office/drawing/2014/main" id="{00000000-0008-0000-0000-00002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1277</xdr:row>
          <xdr:rowOff>15240</xdr:rowOff>
        </xdr:from>
        <xdr:to>
          <xdr:col>6</xdr:col>
          <xdr:colOff>259080</xdr:colOff>
          <xdr:row>1277</xdr:row>
          <xdr:rowOff>220980</xdr:rowOff>
        </xdr:to>
        <xdr:sp macro="" textlink="">
          <xdr:nvSpPr>
            <xdr:cNvPr id="3879" name="Drop Down 2855" hidden="1">
              <a:extLst>
                <a:ext uri="{63B3BB69-23CF-44E3-9099-C40C66FF867C}">
                  <a14:compatExt spid="_x0000_s3879"/>
                </a:ext>
                <a:ext uri="{FF2B5EF4-FFF2-40B4-BE49-F238E27FC236}">
                  <a16:creationId xmlns:a16="http://schemas.microsoft.com/office/drawing/2014/main" id="{00000000-0008-0000-0000-00002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1277</xdr:row>
          <xdr:rowOff>15240</xdr:rowOff>
        </xdr:from>
        <xdr:to>
          <xdr:col>6</xdr:col>
          <xdr:colOff>1120140</xdr:colOff>
          <xdr:row>1277</xdr:row>
          <xdr:rowOff>220980</xdr:rowOff>
        </xdr:to>
        <xdr:sp macro="" textlink="">
          <xdr:nvSpPr>
            <xdr:cNvPr id="3880" name="Drop Down 2856" hidden="1">
              <a:extLst>
                <a:ext uri="{63B3BB69-23CF-44E3-9099-C40C66FF867C}">
                  <a14:compatExt spid="_x0000_s3880"/>
                </a:ext>
                <a:ext uri="{FF2B5EF4-FFF2-40B4-BE49-F238E27FC236}">
                  <a16:creationId xmlns:a16="http://schemas.microsoft.com/office/drawing/2014/main" id="{00000000-0008-0000-0000-00002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1277</xdr:row>
          <xdr:rowOff>0</xdr:rowOff>
        </xdr:from>
        <xdr:to>
          <xdr:col>6</xdr:col>
          <xdr:colOff>1805940</xdr:colOff>
          <xdr:row>1277</xdr:row>
          <xdr:rowOff>220980</xdr:rowOff>
        </xdr:to>
        <xdr:sp macro="" textlink="">
          <xdr:nvSpPr>
            <xdr:cNvPr id="3881" name="Drop Down 2857" hidden="1">
              <a:extLst>
                <a:ext uri="{63B3BB69-23CF-44E3-9099-C40C66FF867C}">
                  <a14:compatExt spid="_x0000_s3881"/>
                </a:ext>
                <a:ext uri="{FF2B5EF4-FFF2-40B4-BE49-F238E27FC236}">
                  <a16:creationId xmlns:a16="http://schemas.microsoft.com/office/drawing/2014/main" id="{00000000-0008-0000-0000-00002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1275</xdr:row>
          <xdr:rowOff>0</xdr:rowOff>
        </xdr:from>
        <xdr:to>
          <xdr:col>12</xdr:col>
          <xdr:colOff>716280</xdr:colOff>
          <xdr:row>1275</xdr:row>
          <xdr:rowOff>220980</xdr:rowOff>
        </xdr:to>
        <xdr:sp macro="" textlink="">
          <xdr:nvSpPr>
            <xdr:cNvPr id="3885" name="Drop Down 2861" hidden="1">
              <a:extLst>
                <a:ext uri="{63B3BB69-23CF-44E3-9099-C40C66FF867C}">
                  <a14:compatExt spid="_x0000_s3885"/>
                </a:ext>
                <a:ext uri="{FF2B5EF4-FFF2-40B4-BE49-F238E27FC236}">
                  <a16:creationId xmlns:a16="http://schemas.microsoft.com/office/drawing/2014/main" id="{00000000-0008-0000-0000-00002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1275</xdr:row>
          <xdr:rowOff>15240</xdr:rowOff>
        </xdr:from>
        <xdr:to>
          <xdr:col>12</xdr:col>
          <xdr:colOff>1325880</xdr:colOff>
          <xdr:row>1275</xdr:row>
          <xdr:rowOff>220980</xdr:rowOff>
        </xdr:to>
        <xdr:sp macro="" textlink="">
          <xdr:nvSpPr>
            <xdr:cNvPr id="3886" name="Drop Down 2862" hidden="1">
              <a:extLst>
                <a:ext uri="{63B3BB69-23CF-44E3-9099-C40C66FF867C}">
                  <a14:compatExt spid="_x0000_s3886"/>
                </a:ext>
                <a:ext uri="{FF2B5EF4-FFF2-40B4-BE49-F238E27FC236}">
                  <a16:creationId xmlns:a16="http://schemas.microsoft.com/office/drawing/2014/main" id="{00000000-0008-0000-0000-00002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1275</xdr:row>
          <xdr:rowOff>0</xdr:rowOff>
        </xdr:from>
        <xdr:to>
          <xdr:col>13</xdr:col>
          <xdr:colOff>0</xdr:colOff>
          <xdr:row>1275</xdr:row>
          <xdr:rowOff>220980</xdr:rowOff>
        </xdr:to>
        <xdr:sp macro="" textlink="">
          <xdr:nvSpPr>
            <xdr:cNvPr id="3887" name="Drop Down 2863" hidden="1">
              <a:extLst>
                <a:ext uri="{63B3BB69-23CF-44E3-9099-C40C66FF867C}">
                  <a14:compatExt spid="_x0000_s3887"/>
                </a:ext>
                <a:ext uri="{FF2B5EF4-FFF2-40B4-BE49-F238E27FC236}">
                  <a16:creationId xmlns:a16="http://schemas.microsoft.com/office/drawing/2014/main" id="{00000000-0008-0000-0000-00002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1277</xdr:row>
          <xdr:rowOff>0</xdr:rowOff>
        </xdr:from>
        <xdr:to>
          <xdr:col>12</xdr:col>
          <xdr:colOff>701040</xdr:colOff>
          <xdr:row>1277</xdr:row>
          <xdr:rowOff>220980</xdr:rowOff>
        </xdr:to>
        <xdr:sp macro="" textlink="">
          <xdr:nvSpPr>
            <xdr:cNvPr id="3888" name="Drop Down 2864" hidden="1">
              <a:extLst>
                <a:ext uri="{63B3BB69-23CF-44E3-9099-C40C66FF867C}">
                  <a14:compatExt spid="_x0000_s3888"/>
                </a:ext>
                <a:ext uri="{FF2B5EF4-FFF2-40B4-BE49-F238E27FC236}">
                  <a16:creationId xmlns:a16="http://schemas.microsoft.com/office/drawing/2014/main" id="{00000000-0008-0000-0000-00003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1277</xdr:row>
          <xdr:rowOff>15240</xdr:rowOff>
        </xdr:from>
        <xdr:to>
          <xdr:col>12</xdr:col>
          <xdr:colOff>1310640</xdr:colOff>
          <xdr:row>1277</xdr:row>
          <xdr:rowOff>220980</xdr:rowOff>
        </xdr:to>
        <xdr:sp macro="" textlink="">
          <xdr:nvSpPr>
            <xdr:cNvPr id="3889" name="Drop Down 2865" hidden="1">
              <a:extLst>
                <a:ext uri="{63B3BB69-23CF-44E3-9099-C40C66FF867C}">
                  <a14:compatExt spid="_x0000_s3889"/>
                </a:ext>
                <a:ext uri="{FF2B5EF4-FFF2-40B4-BE49-F238E27FC236}">
                  <a16:creationId xmlns:a16="http://schemas.microsoft.com/office/drawing/2014/main" id="{00000000-0008-0000-0000-00003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1276</xdr:row>
          <xdr:rowOff>220980</xdr:rowOff>
        </xdr:from>
        <xdr:to>
          <xdr:col>13</xdr:col>
          <xdr:colOff>0</xdr:colOff>
          <xdr:row>1277</xdr:row>
          <xdr:rowOff>220980</xdr:rowOff>
        </xdr:to>
        <xdr:sp macro="" textlink="">
          <xdr:nvSpPr>
            <xdr:cNvPr id="3890" name="Drop Down 2866" hidden="1">
              <a:extLst>
                <a:ext uri="{63B3BB69-23CF-44E3-9099-C40C66FF867C}">
                  <a14:compatExt spid="_x0000_s3890"/>
                </a:ext>
                <a:ext uri="{FF2B5EF4-FFF2-40B4-BE49-F238E27FC236}">
                  <a16:creationId xmlns:a16="http://schemas.microsoft.com/office/drawing/2014/main" id="{00000000-0008-0000-0000-00003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1346</xdr:row>
          <xdr:rowOff>0</xdr:rowOff>
        </xdr:from>
        <xdr:to>
          <xdr:col>7</xdr:col>
          <xdr:colOff>624840</xdr:colOff>
          <xdr:row>1347</xdr:row>
          <xdr:rowOff>0</xdr:rowOff>
        </xdr:to>
        <xdr:sp macro="" textlink="">
          <xdr:nvSpPr>
            <xdr:cNvPr id="3909" name="Drop Down 2885" hidden="1">
              <a:extLst>
                <a:ext uri="{63B3BB69-23CF-44E3-9099-C40C66FF867C}">
                  <a14:compatExt spid="_x0000_s3909"/>
                </a:ext>
                <a:ext uri="{FF2B5EF4-FFF2-40B4-BE49-F238E27FC236}">
                  <a16:creationId xmlns:a16="http://schemas.microsoft.com/office/drawing/2014/main" id="{00000000-0008-0000-0000-00004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1346</xdr:row>
          <xdr:rowOff>15240</xdr:rowOff>
        </xdr:from>
        <xdr:to>
          <xdr:col>7</xdr:col>
          <xdr:colOff>1272540</xdr:colOff>
          <xdr:row>1347</xdr:row>
          <xdr:rowOff>0</xdr:rowOff>
        </xdr:to>
        <xdr:sp macro="" textlink="">
          <xdr:nvSpPr>
            <xdr:cNvPr id="3910" name="Drop Down 2886" hidden="1">
              <a:extLst>
                <a:ext uri="{63B3BB69-23CF-44E3-9099-C40C66FF867C}">
                  <a14:compatExt spid="_x0000_s3910"/>
                </a:ext>
                <a:ext uri="{FF2B5EF4-FFF2-40B4-BE49-F238E27FC236}">
                  <a16:creationId xmlns:a16="http://schemas.microsoft.com/office/drawing/2014/main" id="{00000000-0008-0000-0000-00004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1346</xdr:row>
          <xdr:rowOff>15240</xdr:rowOff>
        </xdr:from>
        <xdr:to>
          <xdr:col>7</xdr:col>
          <xdr:colOff>1805940</xdr:colOff>
          <xdr:row>1346</xdr:row>
          <xdr:rowOff>320040</xdr:rowOff>
        </xdr:to>
        <xdr:sp macro="" textlink="">
          <xdr:nvSpPr>
            <xdr:cNvPr id="3911" name="Drop Down 2887" hidden="1">
              <a:extLst>
                <a:ext uri="{63B3BB69-23CF-44E3-9099-C40C66FF867C}">
                  <a14:compatExt spid="_x0000_s3911"/>
                </a:ext>
                <a:ext uri="{FF2B5EF4-FFF2-40B4-BE49-F238E27FC236}">
                  <a16:creationId xmlns:a16="http://schemas.microsoft.com/office/drawing/2014/main" id="{00000000-0008-0000-0000-00004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1347</xdr:row>
          <xdr:rowOff>0</xdr:rowOff>
        </xdr:from>
        <xdr:to>
          <xdr:col>7</xdr:col>
          <xdr:colOff>624840</xdr:colOff>
          <xdr:row>1348</xdr:row>
          <xdr:rowOff>0</xdr:rowOff>
        </xdr:to>
        <xdr:sp macro="" textlink="">
          <xdr:nvSpPr>
            <xdr:cNvPr id="3912" name="Drop Down 2888" hidden="1">
              <a:extLst>
                <a:ext uri="{63B3BB69-23CF-44E3-9099-C40C66FF867C}">
                  <a14:compatExt spid="_x0000_s3912"/>
                </a:ext>
                <a:ext uri="{FF2B5EF4-FFF2-40B4-BE49-F238E27FC236}">
                  <a16:creationId xmlns:a16="http://schemas.microsoft.com/office/drawing/2014/main" id="{00000000-0008-0000-0000-00004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1347</xdr:row>
          <xdr:rowOff>15240</xdr:rowOff>
        </xdr:from>
        <xdr:to>
          <xdr:col>7</xdr:col>
          <xdr:colOff>1272540</xdr:colOff>
          <xdr:row>1348</xdr:row>
          <xdr:rowOff>0</xdr:rowOff>
        </xdr:to>
        <xdr:sp macro="" textlink="">
          <xdr:nvSpPr>
            <xdr:cNvPr id="3913" name="Drop Down 2889" hidden="1">
              <a:extLst>
                <a:ext uri="{63B3BB69-23CF-44E3-9099-C40C66FF867C}">
                  <a14:compatExt spid="_x0000_s3913"/>
                </a:ext>
                <a:ext uri="{FF2B5EF4-FFF2-40B4-BE49-F238E27FC236}">
                  <a16:creationId xmlns:a16="http://schemas.microsoft.com/office/drawing/2014/main" id="{00000000-0008-0000-0000-00004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1347</xdr:row>
          <xdr:rowOff>15240</xdr:rowOff>
        </xdr:from>
        <xdr:to>
          <xdr:col>7</xdr:col>
          <xdr:colOff>1805940</xdr:colOff>
          <xdr:row>1347</xdr:row>
          <xdr:rowOff>320040</xdr:rowOff>
        </xdr:to>
        <xdr:sp macro="" textlink="">
          <xdr:nvSpPr>
            <xdr:cNvPr id="3914" name="Drop Down 2890" hidden="1">
              <a:extLst>
                <a:ext uri="{63B3BB69-23CF-44E3-9099-C40C66FF867C}">
                  <a14:compatExt spid="_x0000_s3914"/>
                </a:ext>
                <a:ext uri="{FF2B5EF4-FFF2-40B4-BE49-F238E27FC236}">
                  <a16:creationId xmlns:a16="http://schemas.microsoft.com/office/drawing/2014/main" id="{00000000-0008-0000-0000-00004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1348</xdr:row>
          <xdr:rowOff>0</xdr:rowOff>
        </xdr:from>
        <xdr:to>
          <xdr:col>7</xdr:col>
          <xdr:colOff>624840</xdr:colOff>
          <xdr:row>1349</xdr:row>
          <xdr:rowOff>0</xdr:rowOff>
        </xdr:to>
        <xdr:sp macro="" textlink="">
          <xdr:nvSpPr>
            <xdr:cNvPr id="3915" name="Drop Down 2891" hidden="1">
              <a:extLst>
                <a:ext uri="{63B3BB69-23CF-44E3-9099-C40C66FF867C}">
                  <a14:compatExt spid="_x0000_s3915"/>
                </a:ext>
                <a:ext uri="{FF2B5EF4-FFF2-40B4-BE49-F238E27FC236}">
                  <a16:creationId xmlns:a16="http://schemas.microsoft.com/office/drawing/2014/main" id="{00000000-0008-0000-0000-00004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1348</xdr:row>
          <xdr:rowOff>15240</xdr:rowOff>
        </xdr:from>
        <xdr:to>
          <xdr:col>7</xdr:col>
          <xdr:colOff>1272540</xdr:colOff>
          <xdr:row>1349</xdr:row>
          <xdr:rowOff>0</xdr:rowOff>
        </xdr:to>
        <xdr:sp macro="" textlink="">
          <xdr:nvSpPr>
            <xdr:cNvPr id="3916" name="Drop Down 2892" hidden="1">
              <a:extLst>
                <a:ext uri="{63B3BB69-23CF-44E3-9099-C40C66FF867C}">
                  <a14:compatExt spid="_x0000_s3916"/>
                </a:ext>
                <a:ext uri="{FF2B5EF4-FFF2-40B4-BE49-F238E27FC236}">
                  <a16:creationId xmlns:a16="http://schemas.microsoft.com/office/drawing/2014/main" id="{00000000-0008-0000-0000-00004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1348</xdr:row>
          <xdr:rowOff>15240</xdr:rowOff>
        </xdr:from>
        <xdr:to>
          <xdr:col>7</xdr:col>
          <xdr:colOff>1805940</xdr:colOff>
          <xdr:row>1348</xdr:row>
          <xdr:rowOff>320040</xdr:rowOff>
        </xdr:to>
        <xdr:sp macro="" textlink="">
          <xdr:nvSpPr>
            <xdr:cNvPr id="3917" name="Drop Down 2893" hidden="1">
              <a:extLst>
                <a:ext uri="{63B3BB69-23CF-44E3-9099-C40C66FF867C}">
                  <a14:compatExt spid="_x0000_s3917"/>
                </a:ext>
                <a:ext uri="{FF2B5EF4-FFF2-40B4-BE49-F238E27FC236}">
                  <a16:creationId xmlns:a16="http://schemas.microsoft.com/office/drawing/2014/main" id="{00000000-0008-0000-0000-00004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1377</xdr:row>
          <xdr:rowOff>15240</xdr:rowOff>
        </xdr:from>
        <xdr:to>
          <xdr:col>4</xdr:col>
          <xdr:colOff>205740</xdr:colOff>
          <xdr:row>1377</xdr:row>
          <xdr:rowOff>220980</xdr:rowOff>
        </xdr:to>
        <xdr:sp macro="" textlink="">
          <xdr:nvSpPr>
            <xdr:cNvPr id="3924" name="Drop Down 2900" hidden="1">
              <a:extLst>
                <a:ext uri="{63B3BB69-23CF-44E3-9099-C40C66FF867C}">
                  <a14:compatExt spid="_x0000_s3924"/>
                </a:ext>
                <a:ext uri="{FF2B5EF4-FFF2-40B4-BE49-F238E27FC236}">
                  <a16:creationId xmlns:a16="http://schemas.microsoft.com/office/drawing/2014/main" id="{00000000-0008-0000-0000-00005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1377</xdr:row>
          <xdr:rowOff>15240</xdr:rowOff>
        </xdr:from>
        <xdr:to>
          <xdr:col>4</xdr:col>
          <xdr:colOff>1021080</xdr:colOff>
          <xdr:row>1377</xdr:row>
          <xdr:rowOff>220980</xdr:rowOff>
        </xdr:to>
        <xdr:sp macro="" textlink="">
          <xdr:nvSpPr>
            <xdr:cNvPr id="3925" name="Drop Down 2901" hidden="1">
              <a:extLst>
                <a:ext uri="{63B3BB69-23CF-44E3-9099-C40C66FF867C}">
                  <a14:compatExt spid="_x0000_s3925"/>
                </a:ext>
                <a:ext uri="{FF2B5EF4-FFF2-40B4-BE49-F238E27FC236}">
                  <a16:creationId xmlns:a16="http://schemas.microsoft.com/office/drawing/2014/main" id="{00000000-0008-0000-0000-00005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1377</xdr:row>
          <xdr:rowOff>0</xdr:rowOff>
        </xdr:from>
        <xdr:to>
          <xdr:col>4</xdr:col>
          <xdr:colOff>1706880</xdr:colOff>
          <xdr:row>1377</xdr:row>
          <xdr:rowOff>220980</xdr:rowOff>
        </xdr:to>
        <xdr:sp macro="" textlink="">
          <xdr:nvSpPr>
            <xdr:cNvPr id="3926" name="Drop Down 2902" hidden="1">
              <a:extLst>
                <a:ext uri="{63B3BB69-23CF-44E3-9099-C40C66FF867C}">
                  <a14:compatExt spid="_x0000_s3926"/>
                </a:ext>
                <a:ext uri="{FF2B5EF4-FFF2-40B4-BE49-F238E27FC236}">
                  <a16:creationId xmlns:a16="http://schemas.microsoft.com/office/drawing/2014/main" id="{00000000-0008-0000-0000-00005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1377</xdr:row>
          <xdr:rowOff>15240</xdr:rowOff>
        </xdr:from>
        <xdr:to>
          <xdr:col>6</xdr:col>
          <xdr:colOff>259080</xdr:colOff>
          <xdr:row>1377</xdr:row>
          <xdr:rowOff>220980</xdr:rowOff>
        </xdr:to>
        <xdr:sp macro="" textlink="">
          <xdr:nvSpPr>
            <xdr:cNvPr id="3927" name="Drop Down 2903" hidden="1">
              <a:extLst>
                <a:ext uri="{63B3BB69-23CF-44E3-9099-C40C66FF867C}">
                  <a14:compatExt spid="_x0000_s3927"/>
                </a:ext>
                <a:ext uri="{FF2B5EF4-FFF2-40B4-BE49-F238E27FC236}">
                  <a16:creationId xmlns:a16="http://schemas.microsoft.com/office/drawing/2014/main" id="{00000000-0008-0000-0000-00005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1377</xdr:row>
          <xdr:rowOff>15240</xdr:rowOff>
        </xdr:from>
        <xdr:to>
          <xdr:col>6</xdr:col>
          <xdr:colOff>1120140</xdr:colOff>
          <xdr:row>1377</xdr:row>
          <xdr:rowOff>220980</xdr:rowOff>
        </xdr:to>
        <xdr:sp macro="" textlink="">
          <xdr:nvSpPr>
            <xdr:cNvPr id="3928" name="Drop Down 2904" hidden="1">
              <a:extLst>
                <a:ext uri="{63B3BB69-23CF-44E3-9099-C40C66FF867C}">
                  <a14:compatExt spid="_x0000_s3928"/>
                </a:ext>
                <a:ext uri="{FF2B5EF4-FFF2-40B4-BE49-F238E27FC236}">
                  <a16:creationId xmlns:a16="http://schemas.microsoft.com/office/drawing/2014/main" id="{00000000-0008-0000-0000-00005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1377</xdr:row>
          <xdr:rowOff>0</xdr:rowOff>
        </xdr:from>
        <xdr:to>
          <xdr:col>6</xdr:col>
          <xdr:colOff>1805940</xdr:colOff>
          <xdr:row>1377</xdr:row>
          <xdr:rowOff>220980</xdr:rowOff>
        </xdr:to>
        <xdr:sp macro="" textlink="">
          <xdr:nvSpPr>
            <xdr:cNvPr id="3929" name="Drop Down 2905" hidden="1">
              <a:extLst>
                <a:ext uri="{63B3BB69-23CF-44E3-9099-C40C66FF867C}">
                  <a14:compatExt spid="_x0000_s3929"/>
                </a:ext>
                <a:ext uri="{FF2B5EF4-FFF2-40B4-BE49-F238E27FC236}">
                  <a16:creationId xmlns:a16="http://schemas.microsoft.com/office/drawing/2014/main" id="{00000000-0008-0000-0000-00005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1375</xdr:row>
          <xdr:rowOff>0</xdr:rowOff>
        </xdr:from>
        <xdr:to>
          <xdr:col>12</xdr:col>
          <xdr:colOff>716280</xdr:colOff>
          <xdr:row>1375</xdr:row>
          <xdr:rowOff>220980</xdr:rowOff>
        </xdr:to>
        <xdr:sp macro="" textlink="">
          <xdr:nvSpPr>
            <xdr:cNvPr id="3933" name="Drop Down 2909" hidden="1">
              <a:extLst>
                <a:ext uri="{63B3BB69-23CF-44E3-9099-C40C66FF867C}">
                  <a14:compatExt spid="_x0000_s3933"/>
                </a:ext>
                <a:ext uri="{FF2B5EF4-FFF2-40B4-BE49-F238E27FC236}">
                  <a16:creationId xmlns:a16="http://schemas.microsoft.com/office/drawing/2014/main" id="{00000000-0008-0000-0000-00005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1375</xdr:row>
          <xdr:rowOff>15240</xdr:rowOff>
        </xdr:from>
        <xdr:to>
          <xdr:col>12</xdr:col>
          <xdr:colOff>1325880</xdr:colOff>
          <xdr:row>1375</xdr:row>
          <xdr:rowOff>220980</xdr:rowOff>
        </xdr:to>
        <xdr:sp macro="" textlink="">
          <xdr:nvSpPr>
            <xdr:cNvPr id="3934" name="Drop Down 2910" hidden="1">
              <a:extLst>
                <a:ext uri="{63B3BB69-23CF-44E3-9099-C40C66FF867C}">
                  <a14:compatExt spid="_x0000_s3934"/>
                </a:ext>
                <a:ext uri="{FF2B5EF4-FFF2-40B4-BE49-F238E27FC236}">
                  <a16:creationId xmlns:a16="http://schemas.microsoft.com/office/drawing/2014/main" id="{00000000-0008-0000-0000-00005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1375</xdr:row>
          <xdr:rowOff>0</xdr:rowOff>
        </xdr:from>
        <xdr:to>
          <xdr:col>13</xdr:col>
          <xdr:colOff>0</xdr:colOff>
          <xdr:row>1375</xdr:row>
          <xdr:rowOff>220980</xdr:rowOff>
        </xdr:to>
        <xdr:sp macro="" textlink="">
          <xdr:nvSpPr>
            <xdr:cNvPr id="3935" name="Drop Down 2911" hidden="1">
              <a:extLst>
                <a:ext uri="{63B3BB69-23CF-44E3-9099-C40C66FF867C}">
                  <a14:compatExt spid="_x0000_s3935"/>
                </a:ext>
                <a:ext uri="{FF2B5EF4-FFF2-40B4-BE49-F238E27FC236}">
                  <a16:creationId xmlns:a16="http://schemas.microsoft.com/office/drawing/2014/main" id="{00000000-0008-0000-0000-00005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1377</xdr:row>
          <xdr:rowOff>0</xdr:rowOff>
        </xdr:from>
        <xdr:to>
          <xdr:col>12</xdr:col>
          <xdr:colOff>701040</xdr:colOff>
          <xdr:row>1377</xdr:row>
          <xdr:rowOff>220980</xdr:rowOff>
        </xdr:to>
        <xdr:sp macro="" textlink="">
          <xdr:nvSpPr>
            <xdr:cNvPr id="3936" name="Drop Down 2912" hidden="1">
              <a:extLst>
                <a:ext uri="{63B3BB69-23CF-44E3-9099-C40C66FF867C}">
                  <a14:compatExt spid="_x0000_s3936"/>
                </a:ext>
                <a:ext uri="{FF2B5EF4-FFF2-40B4-BE49-F238E27FC236}">
                  <a16:creationId xmlns:a16="http://schemas.microsoft.com/office/drawing/2014/main" id="{00000000-0008-0000-0000-00006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1377</xdr:row>
          <xdr:rowOff>15240</xdr:rowOff>
        </xdr:from>
        <xdr:to>
          <xdr:col>12</xdr:col>
          <xdr:colOff>1310640</xdr:colOff>
          <xdr:row>1377</xdr:row>
          <xdr:rowOff>220980</xdr:rowOff>
        </xdr:to>
        <xdr:sp macro="" textlink="">
          <xdr:nvSpPr>
            <xdr:cNvPr id="3937" name="Drop Down 2913" hidden="1">
              <a:extLst>
                <a:ext uri="{63B3BB69-23CF-44E3-9099-C40C66FF867C}">
                  <a14:compatExt spid="_x0000_s3937"/>
                </a:ext>
                <a:ext uri="{FF2B5EF4-FFF2-40B4-BE49-F238E27FC236}">
                  <a16:creationId xmlns:a16="http://schemas.microsoft.com/office/drawing/2014/main" id="{00000000-0008-0000-0000-00006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1376</xdr:row>
          <xdr:rowOff>220980</xdr:rowOff>
        </xdr:from>
        <xdr:to>
          <xdr:col>13</xdr:col>
          <xdr:colOff>0</xdr:colOff>
          <xdr:row>1377</xdr:row>
          <xdr:rowOff>220980</xdr:rowOff>
        </xdr:to>
        <xdr:sp macro="" textlink="">
          <xdr:nvSpPr>
            <xdr:cNvPr id="3938" name="Drop Down 2914" hidden="1">
              <a:extLst>
                <a:ext uri="{63B3BB69-23CF-44E3-9099-C40C66FF867C}">
                  <a14:compatExt spid="_x0000_s3938"/>
                </a:ext>
                <a:ext uri="{FF2B5EF4-FFF2-40B4-BE49-F238E27FC236}">
                  <a16:creationId xmlns:a16="http://schemas.microsoft.com/office/drawing/2014/main" id="{00000000-0008-0000-0000-00006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1446</xdr:row>
          <xdr:rowOff>0</xdr:rowOff>
        </xdr:from>
        <xdr:to>
          <xdr:col>7</xdr:col>
          <xdr:colOff>624840</xdr:colOff>
          <xdr:row>1447</xdr:row>
          <xdr:rowOff>0</xdr:rowOff>
        </xdr:to>
        <xdr:sp macro="" textlink="">
          <xdr:nvSpPr>
            <xdr:cNvPr id="3957" name="Drop Down 2933" hidden="1">
              <a:extLst>
                <a:ext uri="{63B3BB69-23CF-44E3-9099-C40C66FF867C}">
                  <a14:compatExt spid="_x0000_s3957"/>
                </a:ext>
                <a:ext uri="{FF2B5EF4-FFF2-40B4-BE49-F238E27FC236}">
                  <a16:creationId xmlns:a16="http://schemas.microsoft.com/office/drawing/2014/main" id="{00000000-0008-0000-0000-00007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1446</xdr:row>
          <xdr:rowOff>15240</xdr:rowOff>
        </xdr:from>
        <xdr:to>
          <xdr:col>7</xdr:col>
          <xdr:colOff>1272540</xdr:colOff>
          <xdr:row>1447</xdr:row>
          <xdr:rowOff>0</xdr:rowOff>
        </xdr:to>
        <xdr:sp macro="" textlink="">
          <xdr:nvSpPr>
            <xdr:cNvPr id="3958" name="Drop Down 2934" hidden="1">
              <a:extLst>
                <a:ext uri="{63B3BB69-23CF-44E3-9099-C40C66FF867C}">
                  <a14:compatExt spid="_x0000_s3958"/>
                </a:ext>
                <a:ext uri="{FF2B5EF4-FFF2-40B4-BE49-F238E27FC236}">
                  <a16:creationId xmlns:a16="http://schemas.microsoft.com/office/drawing/2014/main" id="{00000000-0008-0000-0000-00007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1446</xdr:row>
          <xdr:rowOff>15240</xdr:rowOff>
        </xdr:from>
        <xdr:to>
          <xdr:col>7</xdr:col>
          <xdr:colOff>1805940</xdr:colOff>
          <xdr:row>1446</xdr:row>
          <xdr:rowOff>320040</xdr:rowOff>
        </xdr:to>
        <xdr:sp macro="" textlink="">
          <xdr:nvSpPr>
            <xdr:cNvPr id="3959" name="Drop Down 2935" hidden="1">
              <a:extLst>
                <a:ext uri="{63B3BB69-23CF-44E3-9099-C40C66FF867C}">
                  <a14:compatExt spid="_x0000_s3959"/>
                </a:ext>
                <a:ext uri="{FF2B5EF4-FFF2-40B4-BE49-F238E27FC236}">
                  <a16:creationId xmlns:a16="http://schemas.microsoft.com/office/drawing/2014/main" id="{00000000-0008-0000-0000-00007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1447</xdr:row>
          <xdr:rowOff>0</xdr:rowOff>
        </xdr:from>
        <xdr:to>
          <xdr:col>7</xdr:col>
          <xdr:colOff>624840</xdr:colOff>
          <xdr:row>1448</xdr:row>
          <xdr:rowOff>0</xdr:rowOff>
        </xdr:to>
        <xdr:sp macro="" textlink="">
          <xdr:nvSpPr>
            <xdr:cNvPr id="3960" name="Drop Down 2936" hidden="1">
              <a:extLst>
                <a:ext uri="{63B3BB69-23CF-44E3-9099-C40C66FF867C}">
                  <a14:compatExt spid="_x0000_s3960"/>
                </a:ext>
                <a:ext uri="{FF2B5EF4-FFF2-40B4-BE49-F238E27FC236}">
                  <a16:creationId xmlns:a16="http://schemas.microsoft.com/office/drawing/2014/main" id="{00000000-0008-0000-0000-00007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1447</xdr:row>
          <xdr:rowOff>15240</xdr:rowOff>
        </xdr:from>
        <xdr:to>
          <xdr:col>7</xdr:col>
          <xdr:colOff>1272540</xdr:colOff>
          <xdr:row>1448</xdr:row>
          <xdr:rowOff>0</xdr:rowOff>
        </xdr:to>
        <xdr:sp macro="" textlink="">
          <xdr:nvSpPr>
            <xdr:cNvPr id="3961" name="Drop Down 2937" hidden="1">
              <a:extLst>
                <a:ext uri="{63B3BB69-23CF-44E3-9099-C40C66FF867C}">
                  <a14:compatExt spid="_x0000_s3961"/>
                </a:ext>
                <a:ext uri="{FF2B5EF4-FFF2-40B4-BE49-F238E27FC236}">
                  <a16:creationId xmlns:a16="http://schemas.microsoft.com/office/drawing/2014/main" id="{00000000-0008-0000-0000-00007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1447</xdr:row>
          <xdr:rowOff>15240</xdr:rowOff>
        </xdr:from>
        <xdr:to>
          <xdr:col>7</xdr:col>
          <xdr:colOff>1805940</xdr:colOff>
          <xdr:row>1447</xdr:row>
          <xdr:rowOff>320040</xdr:rowOff>
        </xdr:to>
        <xdr:sp macro="" textlink="">
          <xdr:nvSpPr>
            <xdr:cNvPr id="3962" name="Drop Down 2938" hidden="1">
              <a:extLst>
                <a:ext uri="{63B3BB69-23CF-44E3-9099-C40C66FF867C}">
                  <a14:compatExt spid="_x0000_s3962"/>
                </a:ext>
                <a:ext uri="{FF2B5EF4-FFF2-40B4-BE49-F238E27FC236}">
                  <a16:creationId xmlns:a16="http://schemas.microsoft.com/office/drawing/2014/main" id="{00000000-0008-0000-0000-00007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1448</xdr:row>
          <xdr:rowOff>0</xdr:rowOff>
        </xdr:from>
        <xdr:to>
          <xdr:col>7</xdr:col>
          <xdr:colOff>624840</xdr:colOff>
          <xdr:row>1449</xdr:row>
          <xdr:rowOff>0</xdr:rowOff>
        </xdr:to>
        <xdr:sp macro="" textlink="">
          <xdr:nvSpPr>
            <xdr:cNvPr id="3963" name="Drop Down 2939" hidden="1">
              <a:extLst>
                <a:ext uri="{63B3BB69-23CF-44E3-9099-C40C66FF867C}">
                  <a14:compatExt spid="_x0000_s3963"/>
                </a:ext>
                <a:ext uri="{FF2B5EF4-FFF2-40B4-BE49-F238E27FC236}">
                  <a16:creationId xmlns:a16="http://schemas.microsoft.com/office/drawing/2014/main" id="{00000000-0008-0000-0000-00007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1448</xdr:row>
          <xdr:rowOff>15240</xdr:rowOff>
        </xdr:from>
        <xdr:to>
          <xdr:col>7</xdr:col>
          <xdr:colOff>1272540</xdr:colOff>
          <xdr:row>1449</xdr:row>
          <xdr:rowOff>0</xdr:rowOff>
        </xdr:to>
        <xdr:sp macro="" textlink="">
          <xdr:nvSpPr>
            <xdr:cNvPr id="3964" name="Drop Down 2940" hidden="1">
              <a:extLst>
                <a:ext uri="{63B3BB69-23CF-44E3-9099-C40C66FF867C}">
                  <a14:compatExt spid="_x0000_s3964"/>
                </a:ext>
                <a:ext uri="{FF2B5EF4-FFF2-40B4-BE49-F238E27FC236}">
                  <a16:creationId xmlns:a16="http://schemas.microsoft.com/office/drawing/2014/main" id="{00000000-0008-0000-0000-00007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1448</xdr:row>
          <xdr:rowOff>15240</xdr:rowOff>
        </xdr:from>
        <xdr:to>
          <xdr:col>7</xdr:col>
          <xdr:colOff>1805940</xdr:colOff>
          <xdr:row>1448</xdr:row>
          <xdr:rowOff>320040</xdr:rowOff>
        </xdr:to>
        <xdr:sp macro="" textlink="">
          <xdr:nvSpPr>
            <xdr:cNvPr id="3965" name="Drop Down 2941" hidden="1">
              <a:extLst>
                <a:ext uri="{63B3BB69-23CF-44E3-9099-C40C66FF867C}">
                  <a14:compatExt spid="_x0000_s3965"/>
                </a:ext>
                <a:ext uri="{FF2B5EF4-FFF2-40B4-BE49-F238E27FC236}">
                  <a16:creationId xmlns:a16="http://schemas.microsoft.com/office/drawing/2014/main" id="{00000000-0008-0000-0000-00007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1477</xdr:row>
          <xdr:rowOff>15240</xdr:rowOff>
        </xdr:from>
        <xdr:to>
          <xdr:col>4</xdr:col>
          <xdr:colOff>205740</xdr:colOff>
          <xdr:row>1477</xdr:row>
          <xdr:rowOff>220980</xdr:rowOff>
        </xdr:to>
        <xdr:sp macro="" textlink="">
          <xdr:nvSpPr>
            <xdr:cNvPr id="3972" name="Drop Down 2948" hidden="1">
              <a:extLst>
                <a:ext uri="{63B3BB69-23CF-44E3-9099-C40C66FF867C}">
                  <a14:compatExt spid="_x0000_s3972"/>
                </a:ext>
                <a:ext uri="{FF2B5EF4-FFF2-40B4-BE49-F238E27FC236}">
                  <a16:creationId xmlns:a16="http://schemas.microsoft.com/office/drawing/2014/main" id="{00000000-0008-0000-0000-00008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1477</xdr:row>
          <xdr:rowOff>15240</xdr:rowOff>
        </xdr:from>
        <xdr:to>
          <xdr:col>4</xdr:col>
          <xdr:colOff>1021080</xdr:colOff>
          <xdr:row>1477</xdr:row>
          <xdr:rowOff>220980</xdr:rowOff>
        </xdr:to>
        <xdr:sp macro="" textlink="">
          <xdr:nvSpPr>
            <xdr:cNvPr id="3973" name="Drop Down 2949" hidden="1">
              <a:extLst>
                <a:ext uri="{63B3BB69-23CF-44E3-9099-C40C66FF867C}">
                  <a14:compatExt spid="_x0000_s3973"/>
                </a:ext>
                <a:ext uri="{FF2B5EF4-FFF2-40B4-BE49-F238E27FC236}">
                  <a16:creationId xmlns:a16="http://schemas.microsoft.com/office/drawing/2014/main" id="{00000000-0008-0000-0000-00008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1477</xdr:row>
          <xdr:rowOff>0</xdr:rowOff>
        </xdr:from>
        <xdr:to>
          <xdr:col>4</xdr:col>
          <xdr:colOff>1706880</xdr:colOff>
          <xdr:row>1477</xdr:row>
          <xdr:rowOff>220980</xdr:rowOff>
        </xdr:to>
        <xdr:sp macro="" textlink="">
          <xdr:nvSpPr>
            <xdr:cNvPr id="3974" name="Drop Down 2950" hidden="1">
              <a:extLst>
                <a:ext uri="{63B3BB69-23CF-44E3-9099-C40C66FF867C}">
                  <a14:compatExt spid="_x0000_s3974"/>
                </a:ext>
                <a:ext uri="{FF2B5EF4-FFF2-40B4-BE49-F238E27FC236}">
                  <a16:creationId xmlns:a16="http://schemas.microsoft.com/office/drawing/2014/main" id="{00000000-0008-0000-0000-00008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1477</xdr:row>
          <xdr:rowOff>15240</xdr:rowOff>
        </xdr:from>
        <xdr:to>
          <xdr:col>6</xdr:col>
          <xdr:colOff>259080</xdr:colOff>
          <xdr:row>1477</xdr:row>
          <xdr:rowOff>220980</xdr:rowOff>
        </xdr:to>
        <xdr:sp macro="" textlink="">
          <xdr:nvSpPr>
            <xdr:cNvPr id="3975" name="Drop Down 2951" hidden="1">
              <a:extLst>
                <a:ext uri="{63B3BB69-23CF-44E3-9099-C40C66FF867C}">
                  <a14:compatExt spid="_x0000_s3975"/>
                </a:ext>
                <a:ext uri="{FF2B5EF4-FFF2-40B4-BE49-F238E27FC236}">
                  <a16:creationId xmlns:a16="http://schemas.microsoft.com/office/drawing/2014/main" id="{00000000-0008-0000-0000-00008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1477</xdr:row>
          <xdr:rowOff>15240</xdr:rowOff>
        </xdr:from>
        <xdr:to>
          <xdr:col>6</xdr:col>
          <xdr:colOff>1120140</xdr:colOff>
          <xdr:row>1477</xdr:row>
          <xdr:rowOff>220980</xdr:rowOff>
        </xdr:to>
        <xdr:sp macro="" textlink="">
          <xdr:nvSpPr>
            <xdr:cNvPr id="3976" name="Drop Down 2952" hidden="1">
              <a:extLst>
                <a:ext uri="{63B3BB69-23CF-44E3-9099-C40C66FF867C}">
                  <a14:compatExt spid="_x0000_s3976"/>
                </a:ext>
                <a:ext uri="{FF2B5EF4-FFF2-40B4-BE49-F238E27FC236}">
                  <a16:creationId xmlns:a16="http://schemas.microsoft.com/office/drawing/2014/main" id="{00000000-0008-0000-0000-00008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1477</xdr:row>
          <xdr:rowOff>0</xdr:rowOff>
        </xdr:from>
        <xdr:to>
          <xdr:col>6</xdr:col>
          <xdr:colOff>1805940</xdr:colOff>
          <xdr:row>1477</xdr:row>
          <xdr:rowOff>220980</xdr:rowOff>
        </xdr:to>
        <xdr:sp macro="" textlink="">
          <xdr:nvSpPr>
            <xdr:cNvPr id="3977" name="Drop Down 2953" hidden="1">
              <a:extLst>
                <a:ext uri="{63B3BB69-23CF-44E3-9099-C40C66FF867C}">
                  <a14:compatExt spid="_x0000_s3977"/>
                </a:ext>
                <a:ext uri="{FF2B5EF4-FFF2-40B4-BE49-F238E27FC236}">
                  <a16:creationId xmlns:a16="http://schemas.microsoft.com/office/drawing/2014/main" id="{00000000-0008-0000-0000-00008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1475</xdr:row>
          <xdr:rowOff>0</xdr:rowOff>
        </xdr:from>
        <xdr:to>
          <xdr:col>12</xdr:col>
          <xdr:colOff>716280</xdr:colOff>
          <xdr:row>1475</xdr:row>
          <xdr:rowOff>220980</xdr:rowOff>
        </xdr:to>
        <xdr:sp macro="" textlink="">
          <xdr:nvSpPr>
            <xdr:cNvPr id="3981" name="Drop Down 2957" hidden="1">
              <a:extLst>
                <a:ext uri="{63B3BB69-23CF-44E3-9099-C40C66FF867C}">
                  <a14:compatExt spid="_x0000_s3981"/>
                </a:ext>
                <a:ext uri="{FF2B5EF4-FFF2-40B4-BE49-F238E27FC236}">
                  <a16:creationId xmlns:a16="http://schemas.microsoft.com/office/drawing/2014/main" id="{00000000-0008-0000-0000-00008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1475</xdr:row>
          <xdr:rowOff>15240</xdr:rowOff>
        </xdr:from>
        <xdr:to>
          <xdr:col>12</xdr:col>
          <xdr:colOff>1325880</xdr:colOff>
          <xdr:row>1475</xdr:row>
          <xdr:rowOff>220980</xdr:rowOff>
        </xdr:to>
        <xdr:sp macro="" textlink="">
          <xdr:nvSpPr>
            <xdr:cNvPr id="3982" name="Drop Down 2958" hidden="1">
              <a:extLst>
                <a:ext uri="{63B3BB69-23CF-44E3-9099-C40C66FF867C}">
                  <a14:compatExt spid="_x0000_s3982"/>
                </a:ext>
                <a:ext uri="{FF2B5EF4-FFF2-40B4-BE49-F238E27FC236}">
                  <a16:creationId xmlns:a16="http://schemas.microsoft.com/office/drawing/2014/main" id="{00000000-0008-0000-0000-00008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1475</xdr:row>
          <xdr:rowOff>0</xdr:rowOff>
        </xdr:from>
        <xdr:to>
          <xdr:col>13</xdr:col>
          <xdr:colOff>0</xdr:colOff>
          <xdr:row>1475</xdr:row>
          <xdr:rowOff>220980</xdr:rowOff>
        </xdr:to>
        <xdr:sp macro="" textlink="">
          <xdr:nvSpPr>
            <xdr:cNvPr id="3983" name="Drop Down 2959" hidden="1">
              <a:extLst>
                <a:ext uri="{63B3BB69-23CF-44E3-9099-C40C66FF867C}">
                  <a14:compatExt spid="_x0000_s3983"/>
                </a:ext>
                <a:ext uri="{FF2B5EF4-FFF2-40B4-BE49-F238E27FC236}">
                  <a16:creationId xmlns:a16="http://schemas.microsoft.com/office/drawing/2014/main" id="{00000000-0008-0000-0000-00008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1477</xdr:row>
          <xdr:rowOff>0</xdr:rowOff>
        </xdr:from>
        <xdr:to>
          <xdr:col>12</xdr:col>
          <xdr:colOff>701040</xdr:colOff>
          <xdr:row>1477</xdr:row>
          <xdr:rowOff>220980</xdr:rowOff>
        </xdr:to>
        <xdr:sp macro="" textlink="">
          <xdr:nvSpPr>
            <xdr:cNvPr id="3984" name="Drop Down 2960" hidden="1">
              <a:extLst>
                <a:ext uri="{63B3BB69-23CF-44E3-9099-C40C66FF867C}">
                  <a14:compatExt spid="_x0000_s3984"/>
                </a:ext>
                <a:ext uri="{FF2B5EF4-FFF2-40B4-BE49-F238E27FC236}">
                  <a16:creationId xmlns:a16="http://schemas.microsoft.com/office/drawing/2014/main" id="{00000000-0008-0000-0000-00009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1477</xdr:row>
          <xdr:rowOff>15240</xdr:rowOff>
        </xdr:from>
        <xdr:to>
          <xdr:col>12</xdr:col>
          <xdr:colOff>1310640</xdr:colOff>
          <xdr:row>1477</xdr:row>
          <xdr:rowOff>220980</xdr:rowOff>
        </xdr:to>
        <xdr:sp macro="" textlink="">
          <xdr:nvSpPr>
            <xdr:cNvPr id="3985" name="Drop Down 2961" hidden="1">
              <a:extLst>
                <a:ext uri="{63B3BB69-23CF-44E3-9099-C40C66FF867C}">
                  <a14:compatExt spid="_x0000_s3985"/>
                </a:ext>
                <a:ext uri="{FF2B5EF4-FFF2-40B4-BE49-F238E27FC236}">
                  <a16:creationId xmlns:a16="http://schemas.microsoft.com/office/drawing/2014/main" id="{00000000-0008-0000-0000-00009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1476</xdr:row>
          <xdr:rowOff>220980</xdr:rowOff>
        </xdr:from>
        <xdr:to>
          <xdr:col>13</xdr:col>
          <xdr:colOff>0</xdr:colOff>
          <xdr:row>1477</xdr:row>
          <xdr:rowOff>220980</xdr:rowOff>
        </xdr:to>
        <xdr:sp macro="" textlink="">
          <xdr:nvSpPr>
            <xdr:cNvPr id="3986" name="Drop Down 2962" hidden="1">
              <a:extLst>
                <a:ext uri="{63B3BB69-23CF-44E3-9099-C40C66FF867C}">
                  <a14:compatExt spid="_x0000_s3986"/>
                </a:ext>
                <a:ext uri="{FF2B5EF4-FFF2-40B4-BE49-F238E27FC236}">
                  <a16:creationId xmlns:a16="http://schemas.microsoft.com/office/drawing/2014/main" id="{00000000-0008-0000-0000-00009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1546</xdr:row>
          <xdr:rowOff>0</xdr:rowOff>
        </xdr:from>
        <xdr:to>
          <xdr:col>7</xdr:col>
          <xdr:colOff>624840</xdr:colOff>
          <xdr:row>1547</xdr:row>
          <xdr:rowOff>0</xdr:rowOff>
        </xdr:to>
        <xdr:sp macro="" textlink="">
          <xdr:nvSpPr>
            <xdr:cNvPr id="4005" name="Drop Down 2981" hidden="1">
              <a:extLst>
                <a:ext uri="{63B3BB69-23CF-44E3-9099-C40C66FF867C}">
                  <a14:compatExt spid="_x0000_s4005"/>
                </a:ext>
                <a:ext uri="{FF2B5EF4-FFF2-40B4-BE49-F238E27FC236}">
                  <a16:creationId xmlns:a16="http://schemas.microsoft.com/office/drawing/2014/main" id="{00000000-0008-0000-0000-0000A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1546</xdr:row>
          <xdr:rowOff>15240</xdr:rowOff>
        </xdr:from>
        <xdr:to>
          <xdr:col>7</xdr:col>
          <xdr:colOff>1272540</xdr:colOff>
          <xdr:row>1547</xdr:row>
          <xdr:rowOff>0</xdr:rowOff>
        </xdr:to>
        <xdr:sp macro="" textlink="">
          <xdr:nvSpPr>
            <xdr:cNvPr id="4006" name="Drop Down 2982" hidden="1">
              <a:extLst>
                <a:ext uri="{63B3BB69-23CF-44E3-9099-C40C66FF867C}">
                  <a14:compatExt spid="_x0000_s4006"/>
                </a:ext>
                <a:ext uri="{FF2B5EF4-FFF2-40B4-BE49-F238E27FC236}">
                  <a16:creationId xmlns:a16="http://schemas.microsoft.com/office/drawing/2014/main" id="{00000000-0008-0000-0000-0000A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1546</xdr:row>
          <xdr:rowOff>15240</xdr:rowOff>
        </xdr:from>
        <xdr:to>
          <xdr:col>7</xdr:col>
          <xdr:colOff>1805940</xdr:colOff>
          <xdr:row>1546</xdr:row>
          <xdr:rowOff>320040</xdr:rowOff>
        </xdr:to>
        <xdr:sp macro="" textlink="">
          <xdr:nvSpPr>
            <xdr:cNvPr id="4007" name="Drop Down 2983" hidden="1">
              <a:extLst>
                <a:ext uri="{63B3BB69-23CF-44E3-9099-C40C66FF867C}">
                  <a14:compatExt spid="_x0000_s4007"/>
                </a:ext>
                <a:ext uri="{FF2B5EF4-FFF2-40B4-BE49-F238E27FC236}">
                  <a16:creationId xmlns:a16="http://schemas.microsoft.com/office/drawing/2014/main" id="{00000000-0008-0000-0000-0000A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1547</xdr:row>
          <xdr:rowOff>0</xdr:rowOff>
        </xdr:from>
        <xdr:to>
          <xdr:col>7</xdr:col>
          <xdr:colOff>624840</xdr:colOff>
          <xdr:row>1548</xdr:row>
          <xdr:rowOff>0</xdr:rowOff>
        </xdr:to>
        <xdr:sp macro="" textlink="">
          <xdr:nvSpPr>
            <xdr:cNvPr id="4008" name="Drop Down 2984" hidden="1">
              <a:extLst>
                <a:ext uri="{63B3BB69-23CF-44E3-9099-C40C66FF867C}">
                  <a14:compatExt spid="_x0000_s4008"/>
                </a:ext>
                <a:ext uri="{FF2B5EF4-FFF2-40B4-BE49-F238E27FC236}">
                  <a16:creationId xmlns:a16="http://schemas.microsoft.com/office/drawing/2014/main" id="{00000000-0008-0000-0000-0000A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1547</xdr:row>
          <xdr:rowOff>15240</xdr:rowOff>
        </xdr:from>
        <xdr:to>
          <xdr:col>7</xdr:col>
          <xdr:colOff>1272540</xdr:colOff>
          <xdr:row>1548</xdr:row>
          <xdr:rowOff>0</xdr:rowOff>
        </xdr:to>
        <xdr:sp macro="" textlink="">
          <xdr:nvSpPr>
            <xdr:cNvPr id="4009" name="Drop Down 2985" hidden="1">
              <a:extLst>
                <a:ext uri="{63B3BB69-23CF-44E3-9099-C40C66FF867C}">
                  <a14:compatExt spid="_x0000_s4009"/>
                </a:ext>
                <a:ext uri="{FF2B5EF4-FFF2-40B4-BE49-F238E27FC236}">
                  <a16:creationId xmlns:a16="http://schemas.microsoft.com/office/drawing/2014/main" id="{00000000-0008-0000-0000-0000A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1547</xdr:row>
          <xdr:rowOff>15240</xdr:rowOff>
        </xdr:from>
        <xdr:to>
          <xdr:col>7</xdr:col>
          <xdr:colOff>1805940</xdr:colOff>
          <xdr:row>1547</xdr:row>
          <xdr:rowOff>320040</xdr:rowOff>
        </xdr:to>
        <xdr:sp macro="" textlink="">
          <xdr:nvSpPr>
            <xdr:cNvPr id="4010" name="Drop Down 2986" hidden="1">
              <a:extLst>
                <a:ext uri="{63B3BB69-23CF-44E3-9099-C40C66FF867C}">
                  <a14:compatExt spid="_x0000_s4010"/>
                </a:ext>
                <a:ext uri="{FF2B5EF4-FFF2-40B4-BE49-F238E27FC236}">
                  <a16:creationId xmlns:a16="http://schemas.microsoft.com/office/drawing/2014/main" id="{00000000-0008-0000-0000-0000A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1548</xdr:row>
          <xdr:rowOff>0</xdr:rowOff>
        </xdr:from>
        <xdr:to>
          <xdr:col>7</xdr:col>
          <xdr:colOff>624840</xdr:colOff>
          <xdr:row>1549</xdr:row>
          <xdr:rowOff>0</xdr:rowOff>
        </xdr:to>
        <xdr:sp macro="" textlink="">
          <xdr:nvSpPr>
            <xdr:cNvPr id="4011" name="Drop Down 2987" hidden="1">
              <a:extLst>
                <a:ext uri="{63B3BB69-23CF-44E3-9099-C40C66FF867C}">
                  <a14:compatExt spid="_x0000_s4011"/>
                </a:ext>
                <a:ext uri="{FF2B5EF4-FFF2-40B4-BE49-F238E27FC236}">
                  <a16:creationId xmlns:a16="http://schemas.microsoft.com/office/drawing/2014/main" id="{00000000-0008-0000-0000-0000A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1548</xdr:row>
          <xdr:rowOff>15240</xdr:rowOff>
        </xdr:from>
        <xdr:to>
          <xdr:col>7</xdr:col>
          <xdr:colOff>1272540</xdr:colOff>
          <xdr:row>1549</xdr:row>
          <xdr:rowOff>0</xdr:rowOff>
        </xdr:to>
        <xdr:sp macro="" textlink="">
          <xdr:nvSpPr>
            <xdr:cNvPr id="4012" name="Drop Down 2988" hidden="1">
              <a:extLst>
                <a:ext uri="{63B3BB69-23CF-44E3-9099-C40C66FF867C}">
                  <a14:compatExt spid="_x0000_s4012"/>
                </a:ext>
                <a:ext uri="{FF2B5EF4-FFF2-40B4-BE49-F238E27FC236}">
                  <a16:creationId xmlns:a16="http://schemas.microsoft.com/office/drawing/2014/main" id="{00000000-0008-0000-0000-0000A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1548</xdr:row>
          <xdr:rowOff>15240</xdr:rowOff>
        </xdr:from>
        <xdr:to>
          <xdr:col>7</xdr:col>
          <xdr:colOff>1805940</xdr:colOff>
          <xdr:row>1548</xdr:row>
          <xdr:rowOff>320040</xdr:rowOff>
        </xdr:to>
        <xdr:sp macro="" textlink="">
          <xdr:nvSpPr>
            <xdr:cNvPr id="4013" name="Drop Down 2989" hidden="1">
              <a:extLst>
                <a:ext uri="{63B3BB69-23CF-44E3-9099-C40C66FF867C}">
                  <a14:compatExt spid="_x0000_s4013"/>
                </a:ext>
                <a:ext uri="{FF2B5EF4-FFF2-40B4-BE49-F238E27FC236}">
                  <a16:creationId xmlns:a16="http://schemas.microsoft.com/office/drawing/2014/main" id="{00000000-0008-0000-0000-0000A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1577</xdr:row>
          <xdr:rowOff>15240</xdr:rowOff>
        </xdr:from>
        <xdr:to>
          <xdr:col>4</xdr:col>
          <xdr:colOff>205740</xdr:colOff>
          <xdr:row>1577</xdr:row>
          <xdr:rowOff>220980</xdr:rowOff>
        </xdr:to>
        <xdr:sp macro="" textlink="">
          <xdr:nvSpPr>
            <xdr:cNvPr id="4020" name="Drop Down 2996" hidden="1">
              <a:extLst>
                <a:ext uri="{63B3BB69-23CF-44E3-9099-C40C66FF867C}">
                  <a14:compatExt spid="_x0000_s4020"/>
                </a:ext>
                <a:ext uri="{FF2B5EF4-FFF2-40B4-BE49-F238E27FC236}">
                  <a16:creationId xmlns:a16="http://schemas.microsoft.com/office/drawing/2014/main" id="{00000000-0008-0000-0000-0000B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1577</xdr:row>
          <xdr:rowOff>15240</xdr:rowOff>
        </xdr:from>
        <xdr:to>
          <xdr:col>4</xdr:col>
          <xdr:colOff>1021080</xdr:colOff>
          <xdr:row>1577</xdr:row>
          <xdr:rowOff>220980</xdr:rowOff>
        </xdr:to>
        <xdr:sp macro="" textlink="">
          <xdr:nvSpPr>
            <xdr:cNvPr id="4021" name="Drop Down 2997" hidden="1">
              <a:extLst>
                <a:ext uri="{63B3BB69-23CF-44E3-9099-C40C66FF867C}">
                  <a14:compatExt spid="_x0000_s4021"/>
                </a:ext>
                <a:ext uri="{FF2B5EF4-FFF2-40B4-BE49-F238E27FC236}">
                  <a16:creationId xmlns:a16="http://schemas.microsoft.com/office/drawing/2014/main" id="{00000000-0008-0000-0000-0000B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1577</xdr:row>
          <xdr:rowOff>0</xdr:rowOff>
        </xdr:from>
        <xdr:to>
          <xdr:col>4</xdr:col>
          <xdr:colOff>1706880</xdr:colOff>
          <xdr:row>1577</xdr:row>
          <xdr:rowOff>220980</xdr:rowOff>
        </xdr:to>
        <xdr:sp macro="" textlink="">
          <xdr:nvSpPr>
            <xdr:cNvPr id="4022" name="Drop Down 2998" hidden="1">
              <a:extLst>
                <a:ext uri="{63B3BB69-23CF-44E3-9099-C40C66FF867C}">
                  <a14:compatExt spid="_x0000_s4022"/>
                </a:ext>
                <a:ext uri="{FF2B5EF4-FFF2-40B4-BE49-F238E27FC236}">
                  <a16:creationId xmlns:a16="http://schemas.microsoft.com/office/drawing/2014/main" id="{00000000-0008-0000-0000-0000B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1577</xdr:row>
          <xdr:rowOff>15240</xdr:rowOff>
        </xdr:from>
        <xdr:to>
          <xdr:col>6</xdr:col>
          <xdr:colOff>259080</xdr:colOff>
          <xdr:row>1577</xdr:row>
          <xdr:rowOff>220980</xdr:rowOff>
        </xdr:to>
        <xdr:sp macro="" textlink="">
          <xdr:nvSpPr>
            <xdr:cNvPr id="4023" name="Drop Down 2999" hidden="1">
              <a:extLst>
                <a:ext uri="{63B3BB69-23CF-44E3-9099-C40C66FF867C}">
                  <a14:compatExt spid="_x0000_s4023"/>
                </a:ext>
                <a:ext uri="{FF2B5EF4-FFF2-40B4-BE49-F238E27FC236}">
                  <a16:creationId xmlns:a16="http://schemas.microsoft.com/office/drawing/2014/main" id="{00000000-0008-0000-0000-0000B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1577</xdr:row>
          <xdr:rowOff>15240</xdr:rowOff>
        </xdr:from>
        <xdr:to>
          <xdr:col>6</xdr:col>
          <xdr:colOff>1120140</xdr:colOff>
          <xdr:row>1577</xdr:row>
          <xdr:rowOff>220980</xdr:rowOff>
        </xdr:to>
        <xdr:sp macro="" textlink="">
          <xdr:nvSpPr>
            <xdr:cNvPr id="4024" name="Drop Down 3000" hidden="1">
              <a:extLst>
                <a:ext uri="{63B3BB69-23CF-44E3-9099-C40C66FF867C}">
                  <a14:compatExt spid="_x0000_s4024"/>
                </a:ext>
                <a:ext uri="{FF2B5EF4-FFF2-40B4-BE49-F238E27FC236}">
                  <a16:creationId xmlns:a16="http://schemas.microsoft.com/office/drawing/2014/main" id="{00000000-0008-0000-0000-0000B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1577</xdr:row>
          <xdr:rowOff>0</xdr:rowOff>
        </xdr:from>
        <xdr:to>
          <xdr:col>6</xdr:col>
          <xdr:colOff>1805940</xdr:colOff>
          <xdr:row>1577</xdr:row>
          <xdr:rowOff>220980</xdr:rowOff>
        </xdr:to>
        <xdr:sp macro="" textlink="">
          <xdr:nvSpPr>
            <xdr:cNvPr id="4025" name="Drop Down 3001" hidden="1">
              <a:extLst>
                <a:ext uri="{63B3BB69-23CF-44E3-9099-C40C66FF867C}">
                  <a14:compatExt spid="_x0000_s4025"/>
                </a:ext>
                <a:ext uri="{FF2B5EF4-FFF2-40B4-BE49-F238E27FC236}">
                  <a16:creationId xmlns:a16="http://schemas.microsoft.com/office/drawing/2014/main" id="{00000000-0008-0000-0000-0000B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1575</xdr:row>
          <xdr:rowOff>0</xdr:rowOff>
        </xdr:from>
        <xdr:to>
          <xdr:col>12</xdr:col>
          <xdr:colOff>716280</xdr:colOff>
          <xdr:row>1575</xdr:row>
          <xdr:rowOff>220980</xdr:rowOff>
        </xdr:to>
        <xdr:sp macro="" textlink="">
          <xdr:nvSpPr>
            <xdr:cNvPr id="4029" name="Drop Down 3005" hidden="1">
              <a:extLst>
                <a:ext uri="{63B3BB69-23CF-44E3-9099-C40C66FF867C}">
                  <a14:compatExt spid="_x0000_s4029"/>
                </a:ext>
                <a:ext uri="{FF2B5EF4-FFF2-40B4-BE49-F238E27FC236}">
                  <a16:creationId xmlns:a16="http://schemas.microsoft.com/office/drawing/2014/main" id="{00000000-0008-0000-0000-0000B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1575</xdr:row>
          <xdr:rowOff>15240</xdr:rowOff>
        </xdr:from>
        <xdr:to>
          <xdr:col>12</xdr:col>
          <xdr:colOff>1325880</xdr:colOff>
          <xdr:row>1575</xdr:row>
          <xdr:rowOff>220980</xdr:rowOff>
        </xdr:to>
        <xdr:sp macro="" textlink="">
          <xdr:nvSpPr>
            <xdr:cNvPr id="4030" name="Drop Down 3006" hidden="1">
              <a:extLst>
                <a:ext uri="{63B3BB69-23CF-44E3-9099-C40C66FF867C}">
                  <a14:compatExt spid="_x0000_s4030"/>
                </a:ext>
                <a:ext uri="{FF2B5EF4-FFF2-40B4-BE49-F238E27FC236}">
                  <a16:creationId xmlns:a16="http://schemas.microsoft.com/office/drawing/2014/main" id="{00000000-0008-0000-0000-0000B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1575</xdr:row>
          <xdr:rowOff>0</xdr:rowOff>
        </xdr:from>
        <xdr:to>
          <xdr:col>13</xdr:col>
          <xdr:colOff>0</xdr:colOff>
          <xdr:row>1575</xdr:row>
          <xdr:rowOff>220980</xdr:rowOff>
        </xdr:to>
        <xdr:sp macro="" textlink="">
          <xdr:nvSpPr>
            <xdr:cNvPr id="4031" name="Drop Down 3007" hidden="1">
              <a:extLst>
                <a:ext uri="{63B3BB69-23CF-44E3-9099-C40C66FF867C}">
                  <a14:compatExt spid="_x0000_s4031"/>
                </a:ext>
                <a:ext uri="{FF2B5EF4-FFF2-40B4-BE49-F238E27FC236}">
                  <a16:creationId xmlns:a16="http://schemas.microsoft.com/office/drawing/2014/main" id="{00000000-0008-0000-0000-0000B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1577</xdr:row>
          <xdr:rowOff>0</xdr:rowOff>
        </xdr:from>
        <xdr:to>
          <xdr:col>12</xdr:col>
          <xdr:colOff>701040</xdr:colOff>
          <xdr:row>1577</xdr:row>
          <xdr:rowOff>220980</xdr:rowOff>
        </xdr:to>
        <xdr:sp macro="" textlink="">
          <xdr:nvSpPr>
            <xdr:cNvPr id="4032" name="Drop Down 3008" hidden="1">
              <a:extLst>
                <a:ext uri="{63B3BB69-23CF-44E3-9099-C40C66FF867C}">
                  <a14:compatExt spid="_x0000_s4032"/>
                </a:ext>
                <a:ext uri="{FF2B5EF4-FFF2-40B4-BE49-F238E27FC236}">
                  <a16:creationId xmlns:a16="http://schemas.microsoft.com/office/drawing/2014/main" id="{00000000-0008-0000-0000-0000C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1577</xdr:row>
          <xdr:rowOff>15240</xdr:rowOff>
        </xdr:from>
        <xdr:to>
          <xdr:col>12</xdr:col>
          <xdr:colOff>1310640</xdr:colOff>
          <xdr:row>1577</xdr:row>
          <xdr:rowOff>220980</xdr:rowOff>
        </xdr:to>
        <xdr:sp macro="" textlink="">
          <xdr:nvSpPr>
            <xdr:cNvPr id="4033" name="Drop Down 3009" hidden="1">
              <a:extLst>
                <a:ext uri="{63B3BB69-23CF-44E3-9099-C40C66FF867C}">
                  <a14:compatExt spid="_x0000_s4033"/>
                </a:ext>
                <a:ext uri="{FF2B5EF4-FFF2-40B4-BE49-F238E27FC236}">
                  <a16:creationId xmlns:a16="http://schemas.microsoft.com/office/drawing/2014/main" id="{00000000-0008-0000-0000-0000C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1576</xdr:row>
          <xdr:rowOff>220980</xdr:rowOff>
        </xdr:from>
        <xdr:to>
          <xdr:col>13</xdr:col>
          <xdr:colOff>0</xdr:colOff>
          <xdr:row>1577</xdr:row>
          <xdr:rowOff>220980</xdr:rowOff>
        </xdr:to>
        <xdr:sp macro="" textlink="">
          <xdr:nvSpPr>
            <xdr:cNvPr id="4034" name="Drop Down 3010" hidden="1">
              <a:extLst>
                <a:ext uri="{63B3BB69-23CF-44E3-9099-C40C66FF867C}">
                  <a14:compatExt spid="_x0000_s4034"/>
                </a:ext>
                <a:ext uri="{FF2B5EF4-FFF2-40B4-BE49-F238E27FC236}">
                  <a16:creationId xmlns:a16="http://schemas.microsoft.com/office/drawing/2014/main" id="{00000000-0008-0000-0000-0000C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1646</xdr:row>
          <xdr:rowOff>0</xdr:rowOff>
        </xdr:from>
        <xdr:to>
          <xdr:col>7</xdr:col>
          <xdr:colOff>624840</xdr:colOff>
          <xdr:row>1647</xdr:row>
          <xdr:rowOff>0</xdr:rowOff>
        </xdr:to>
        <xdr:sp macro="" textlink="">
          <xdr:nvSpPr>
            <xdr:cNvPr id="4053" name="Drop Down 3029" hidden="1">
              <a:extLst>
                <a:ext uri="{63B3BB69-23CF-44E3-9099-C40C66FF867C}">
                  <a14:compatExt spid="_x0000_s4053"/>
                </a:ext>
                <a:ext uri="{FF2B5EF4-FFF2-40B4-BE49-F238E27FC236}">
                  <a16:creationId xmlns:a16="http://schemas.microsoft.com/office/drawing/2014/main" id="{00000000-0008-0000-0000-0000D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1646</xdr:row>
          <xdr:rowOff>15240</xdr:rowOff>
        </xdr:from>
        <xdr:to>
          <xdr:col>7</xdr:col>
          <xdr:colOff>1272540</xdr:colOff>
          <xdr:row>1647</xdr:row>
          <xdr:rowOff>0</xdr:rowOff>
        </xdr:to>
        <xdr:sp macro="" textlink="">
          <xdr:nvSpPr>
            <xdr:cNvPr id="4054" name="Drop Down 3030" hidden="1">
              <a:extLst>
                <a:ext uri="{63B3BB69-23CF-44E3-9099-C40C66FF867C}">
                  <a14:compatExt spid="_x0000_s4054"/>
                </a:ext>
                <a:ext uri="{FF2B5EF4-FFF2-40B4-BE49-F238E27FC236}">
                  <a16:creationId xmlns:a16="http://schemas.microsoft.com/office/drawing/2014/main" id="{00000000-0008-0000-0000-0000D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1646</xdr:row>
          <xdr:rowOff>15240</xdr:rowOff>
        </xdr:from>
        <xdr:to>
          <xdr:col>7</xdr:col>
          <xdr:colOff>1805940</xdr:colOff>
          <xdr:row>1646</xdr:row>
          <xdr:rowOff>320040</xdr:rowOff>
        </xdr:to>
        <xdr:sp macro="" textlink="">
          <xdr:nvSpPr>
            <xdr:cNvPr id="4055" name="Drop Down 3031" hidden="1">
              <a:extLst>
                <a:ext uri="{63B3BB69-23CF-44E3-9099-C40C66FF867C}">
                  <a14:compatExt spid="_x0000_s4055"/>
                </a:ext>
                <a:ext uri="{FF2B5EF4-FFF2-40B4-BE49-F238E27FC236}">
                  <a16:creationId xmlns:a16="http://schemas.microsoft.com/office/drawing/2014/main" id="{00000000-0008-0000-0000-0000D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1647</xdr:row>
          <xdr:rowOff>0</xdr:rowOff>
        </xdr:from>
        <xdr:to>
          <xdr:col>7</xdr:col>
          <xdr:colOff>624840</xdr:colOff>
          <xdr:row>1648</xdr:row>
          <xdr:rowOff>0</xdr:rowOff>
        </xdr:to>
        <xdr:sp macro="" textlink="">
          <xdr:nvSpPr>
            <xdr:cNvPr id="4056" name="Drop Down 3032" hidden="1">
              <a:extLst>
                <a:ext uri="{63B3BB69-23CF-44E3-9099-C40C66FF867C}">
                  <a14:compatExt spid="_x0000_s4056"/>
                </a:ext>
                <a:ext uri="{FF2B5EF4-FFF2-40B4-BE49-F238E27FC236}">
                  <a16:creationId xmlns:a16="http://schemas.microsoft.com/office/drawing/2014/main" id="{00000000-0008-0000-0000-0000D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1647</xdr:row>
          <xdr:rowOff>15240</xdr:rowOff>
        </xdr:from>
        <xdr:to>
          <xdr:col>7</xdr:col>
          <xdr:colOff>1272540</xdr:colOff>
          <xdr:row>1648</xdr:row>
          <xdr:rowOff>0</xdr:rowOff>
        </xdr:to>
        <xdr:sp macro="" textlink="">
          <xdr:nvSpPr>
            <xdr:cNvPr id="4057" name="Drop Down 3033" hidden="1">
              <a:extLst>
                <a:ext uri="{63B3BB69-23CF-44E3-9099-C40C66FF867C}">
                  <a14:compatExt spid="_x0000_s4057"/>
                </a:ext>
                <a:ext uri="{FF2B5EF4-FFF2-40B4-BE49-F238E27FC236}">
                  <a16:creationId xmlns:a16="http://schemas.microsoft.com/office/drawing/2014/main" id="{00000000-0008-0000-0000-0000D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1647</xdr:row>
          <xdr:rowOff>15240</xdr:rowOff>
        </xdr:from>
        <xdr:to>
          <xdr:col>7</xdr:col>
          <xdr:colOff>1805940</xdr:colOff>
          <xdr:row>1647</xdr:row>
          <xdr:rowOff>320040</xdr:rowOff>
        </xdr:to>
        <xdr:sp macro="" textlink="">
          <xdr:nvSpPr>
            <xdr:cNvPr id="4058" name="Drop Down 3034" hidden="1">
              <a:extLst>
                <a:ext uri="{63B3BB69-23CF-44E3-9099-C40C66FF867C}">
                  <a14:compatExt spid="_x0000_s4058"/>
                </a:ext>
                <a:ext uri="{FF2B5EF4-FFF2-40B4-BE49-F238E27FC236}">
                  <a16:creationId xmlns:a16="http://schemas.microsoft.com/office/drawing/2014/main" id="{00000000-0008-0000-0000-0000D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1648</xdr:row>
          <xdr:rowOff>0</xdr:rowOff>
        </xdr:from>
        <xdr:to>
          <xdr:col>7</xdr:col>
          <xdr:colOff>624840</xdr:colOff>
          <xdr:row>1649</xdr:row>
          <xdr:rowOff>0</xdr:rowOff>
        </xdr:to>
        <xdr:sp macro="" textlink="">
          <xdr:nvSpPr>
            <xdr:cNvPr id="4059" name="Drop Down 3035" hidden="1">
              <a:extLst>
                <a:ext uri="{63B3BB69-23CF-44E3-9099-C40C66FF867C}">
                  <a14:compatExt spid="_x0000_s4059"/>
                </a:ext>
                <a:ext uri="{FF2B5EF4-FFF2-40B4-BE49-F238E27FC236}">
                  <a16:creationId xmlns:a16="http://schemas.microsoft.com/office/drawing/2014/main" id="{00000000-0008-0000-0000-0000D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1648</xdr:row>
          <xdr:rowOff>15240</xdr:rowOff>
        </xdr:from>
        <xdr:to>
          <xdr:col>7</xdr:col>
          <xdr:colOff>1272540</xdr:colOff>
          <xdr:row>1649</xdr:row>
          <xdr:rowOff>0</xdr:rowOff>
        </xdr:to>
        <xdr:sp macro="" textlink="">
          <xdr:nvSpPr>
            <xdr:cNvPr id="4060" name="Drop Down 3036" hidden="1">
              <a:extLst>
                <a:ext uri="{63B3BB69-23CF-44E3-9099-C40C66FF867C}">
                  <a14:compatExt spid="_x0000_s4060"/>
                </a:ext>
                <a:ext uri="{FF2B5EF4-FFF2-40B4-BE49-F238E27FC236}">
                  <a16:creationId xmlns:a16="http://schemas.microsoft.com/office/drawing/2014/main" id="{00000000-0008-0000-0000-0000D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1648</xdr:row>
          <xdr:rowOff>15240</xdr:rowOff>
        </xdr:from>
        <xdr:to>
          <xdr:col>7</xdr:col>
          <xdr:colOff>1805940</xdr:colOff>
          <xdr:row>1648</xdr:row>
          <xdr:rowOff>320040</xdr:rowOff>
        </xdr:to>
        <xdr:sp macro="" textlink="">
          <xdr:nvSpPr>
            <xdr:cNvPr id="4061" name="Drop Down 3037" hidden="1">
              <a:extLst>
                <a:ext uri="{63B3BB69-23CF-44E3-9099-C40C66FF867C}">
                  <a14:compatExt spid="_x0000_s4061"/>
                </a:ext>
                <a:ext uri="{FF2B5EF4-FFF2-40B4-BE49-F238E27FC236}">
                  <a16:creationId xmlns:a16="http://schemas.microsoft.com/office/drawing/2014/main" id="{00000000-0008-0000-0000-0000D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1677</xdr:row>
          <xdr:rowOff>15240</xdr:rowOff>
        </xdr:from>
        <xdr:to>
          <xdr:col>4</xdr:col>
          <xdr:colOff>205740</xdr:colOff>
          <xdr:row>1677</xdr:row>
          <xdr:rowOff>220980</xdr:rowOff>
        </xdr:to>
        <xdr:sp macro="" textlink="">
          <xdr:nvSpPr>
            <xdr:cNvPr id="4068" name="Drop Down 3044" hidden="1">
              <a:extLst>
                <a:ext uri="{63B3BB69-23CF-44E3-9099-C40C66FF867C}">
                  <a14:compatExt spid="_x0000_s4068"/>
                </a:ext>
                <a:ext uri="{FF2B5EF4-FFF2-40B4-BE49-F238E27FC236}">
                  <a16:creationId xmlns:a16="http://schemas.microsoft.com/office/drawing/2014/main" id="{00000000-0008-0000-0000-0000E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1677</xdr:row>
          <xdr:rowOff>15240</xdr:rowOff>
        </xdr:from>
        <xdr:to>
          <xdr:col>4</xdr:col>
          <xdr:colOff>1021080</xdr:colOff>
          <xdr:row>1677</xdr:row>
          <xdr:rowOff>220980</xdr:rowOff>
        </xdr:to>
        <xdr:sp macro="" textlink="">
          <xdr:nvSpPr>
            <xdr:cNvPr id="4069" name="Drop Down 3045" hidden="1">
              <a:extLst>
                <a:ext uri="{63B3BB69-23CF-44E3-9099-C40C66FF867C}">
                  <a14:compatExt spid="_x0000_s4069"/>
                </a:ext>
                <a:ext uri="{FF2B5EF4-FFF2-40B4-BE49-F238E27FC236}">
                  <a16:creationId xmlns:a16="http://schemas.microsoft.com/office/drawing/2014/main" id="{00000000-0008-0000-0000-0000E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1677</xdr:row>
          <xdr:rowOff>0</xdr:rowOff>
        </xdr:from>
        <xdr:to>
          <xdr:col>4</xdr:col>
          <xdr:colOff>1706880</xdr:colOff>
          <xdr:row>1677</xdr:row>
          <xdr:rowOff>220980</xdr:rowOff>
        </xdr:to>
        <xdr:sp macro="" textlink="">
          <xdr:nvSpPr>
            <xdr:cNvPr id="4070" name="Drop Down 3046" hidden="1">
              <a:extLst>
                <a:ext uri="{63B3BB69-23CF-44E3-9099-C40C66FF867C}">
                  <a14:compatExt spid="_x0000_s4070"/>
                </a:ext>
                <a:ext uri="{FF2B5EF4-FFF2-40B4-BE49-F238E27FC236}">
                  <a16:creationId xmlns:a16="http://schemas.microsoft.com/office/drawing/2014/main" id="{00000000-0008-0000-0000-0000E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1677</xdr:row>
          <xdr:rowOff>15240</xdr:rowOff>
        </xdr:from>
        <xdr:to>
          <xdr:col>6</xdr:col>
          <xdr:colOff>259080</xdr:colOff>
          <xdr:row>1677</xdr:row>
          <xdr:rowOff>220980</xdr:rowOff>
        </xdr:to>
        <xdr:sp macro="" textlink="">
          <xdr:nvSpPr>
            <xdr:cNvPr id="4071" name="Drop Down 3047" hidden="1">
              <a:extLst>
                <a:ext uri="{63B3BB69-23CF-44E3-9099-C40C66FF867C}">
                  <a14:compatExt spid="_x0000_s4071"/>
                </a:ext>
                <a:ext uri="{FF2B5EF4-FFF2-40B4-BE49-F238E27FC236}">
                  <a16:creationId xmlns:a16="http://schemas.microsoft.com/office/drawing/2014/main" id="{00000000-0008-0000-0000-0000E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1677</xdr:row>
          <xdr:rowOff>15240</xdr:rowOff>
        </xdr:from>
        <xdr:to>
          <xdr:col>6</xdr:col>
          <xdr:colOff>1120140</xdr:colOff>
          <xdr:row>1677</xdr:row>
          <xdr:rowOff>220980</xdr:rowOff>
        </xdr:to>
        <xdr:sp macro="" textlink="">
          <xdr:nvSpPr>
            <xdr:cNvPr id="4072" name="Drop Down 3048" hidden="1">
              <a:extLst>
                <a:ext uri="{63B3BB69-23CF-44E3-9099-C40C66FF867C}">
                  <a14:compatExt spid="_x0000_s4072"/>
                </a:ext>
                <a:ext uri="{FF2B5EF4-FFF2-40B4-BE49-F238E27FC236}">
                  <a16:creationId xmlns:a16="http://schemas.microsoft.com/office/drawing/2014/main" id="{00000000-0008-0000-0000-0000E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1677</xdr:row>
          <xdr:rowOff>0</xdr:rowOff>
        </xdr:from>
        <xdr:to>
          <xdr:col>6</xdr:col>
          <xdr:colOff>1805940</xdr:colOff>
          <xdr:row>1677</xdr:row>
          <xdr:rowOff>220980</xdr:rowOff>
        </xdr:to>
        <xdr:sp macro="" textlink="">
          <xdr:nvSpPr>
            <xdr:cNvPr id="4073" name="Drop Down 3049" hidden="1">
              <a:extLst>
                <a:ext uri="{63B3BB69-23CF-44E3-9099-C40C66FF867C}">
                  <a14:compatExt spid="_x0000_s4073"/>
                </a:ext>
                <a:ext uri="{FF2B5EF4-FFF2-40B4-BE49-F238E27FC236}">
                  <a16:creationId xmlns:a16="http://schemas.microsoft.com/office/drawing/2014/main" id="{00000000-0008-0000-0000-0000E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1675</xdr:row>
          <xdr:rowOff>0</xdr:rowOff>
        </xdr:from>
        <xdr:to>
          <xdr:col>12</xdr:col>
          <xdr:colOff>716280</xdr:colOff>
          <xdr:row>1675</xdr:row>
          <xdr:rowOff>220980</xdr:rowOff>
        </xdr:to>
        <xdr:sp macro="" textlink="">
          <xdr:nvSpPr>
            <xdr:cNvPr id="4077" name="Drop Down 3053" hidden="1">
              <a:extLst>
                <a:ext uri="{63B3BB69-23CF-44E3-9099-C40C66FF867C}">
                  <a14:compatExt spid="_x0000_s4077"/>
                </a:ext>
                <a:ext uri="{FF2B5EF4-FFF2-40B4-BE49-F238E27FC236}">
                  <a16:creationId xmlns:a16="http://schemas.microsoft.com/office/drawing/2014/main" id="{00000000-0008-0000-0000-0000E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1675</xdr:row>
          <xdr:rowOff>15240</xdr:rowOff>
        </xdr:from>
        <xdr:to>
          <xdr:col>12</xdr:col>
          <xdr:colOff>1325880</xdr:colOff>
          <xdr:row>1675</xdr:row>
          <xdr:rowOff>220980</xdr:rowOff>
        </xdr:to>
        <xdr:sp macro="" textlink="">
          <xdr:nvSpPr>
            <xdr:cNvPr id="4078" name="Drop Down 3054" hidden="1">
              <a:extLst>
                <a:ext uri="{63B3BB69-23CF-44E3-9099-C40C66FF867C}">
                  <a14:compatExt spid="_x0000_s4078"/>
                </a:ext>
                <a:ext uri="{FF2B5EF4-FFF2-40B4-BE49-F238E27FC236}">
                  <a16:creationId xmlns:a16="http://schemas.microsoft.com/office/drawing/2014/main" id="{00000000-0008-0000-0000-0000E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1675</xdr:row>
          <xdr:rowOff>0</xdr:rowOff>
        </xdr:from>
        <xdr:to>
          <xdr:col>13</xdr:col>
          <xdr:colOff>0</xdr:colOff>
          <xdr:row>1675</xdr:row>
          <xdr:rowOff>220980</xdr:rowOff>
        </xdr:to>
        <xdr:sp macro="" textlink="">
          <xdr:nvSpPr>
            <xdr:cNvPr id="4079" name="Drop Down 3055" hidden="1">
              <a:extLst>
                <a:ext uri="{63B3BB69-23CF-44E3-9099-C40C66FF867C}">
                  <a14:compatExt spid="_x0000_s4079"/>
                </a:ext>
                <a:ext uri="{FF2B5EF4-FFF2-40B4-BE49-F238E27FC236}">
                  <a16:creationId xmlns:a16="http://schemas.microsoft.com/office/drawing/2014/main" id="{00000000-0008-0000-0000-0000E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1677</xdr:row>
          <xdr:rowOff>0</xdr:rowOff>
        </xdr:from>
        <xdr:to>
          <xdr:col>12</xdr:col>
          <xdr:colOff>701040</xdr:colOff>
          <xdr:row>1677</xdr:row>
          <xdr:rowOff>220980</xdr:rowOff>
        </xdr:to>
        <xdr:sp macro="" textlink="">
          <xdr:nvSpPr>
            <xdr:cNvPr id="4080" name="Drop Down 3056" hidden="1">
              <a:extLst>
                <a:ext uri="{63B3BB69-23CF-44E3-9099-C40C66FF867C}">
                  <a14:compatExt spid="_x0000_s4080"/>
                </a:ext>
                <a:ext uri="{FF2B5EF4-FFF2-40B4-BE49-F238E27FC236}">
                  <a16:creationId xmlns:a16="http://schemas.microsoft.com/office/drawing/2014/main" id="{00000000-0008-0000-0000-0000F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1677</xdr:row>
          <xdr:rowOff>15240</xdr:rowOff>
        </xdr:from>
        <xdr:to>
          <xdr:col>12</xdr:col>
          <xdr:colOff>1310640</xdr:colOff>
          <xdr:row>1677</xdr:row>
          <xdr:rowOff>220980</xdr:rowOff>
        </xdr:to>
        <xdr:sp macro="" textlink="">
          <xdr:nvSpPr>
            <xdr:cNvPr id="4081" name="Drop Down 3057" hidden="1">
              <a:extLst>
                <a:ext uri="{63B3BB69-23CF-44E3-9099-C40C66FF867C}">
                  <a14:compatExt spid="_x0000_s4081"/>
                </a:ext>
                <a:ext uri="{FF2B5EF4-FFF2-40B4-BE49-F238E27FC236}">
                  <a16:creationId xmlns:a16="http://schemas.microsoft.com/office/drawing/2014/main" id="{00000000-0008-0000-0000-0000F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1676</xdr:row>
          <xdr:rowOff>220980</xdr:rowOff>
        </xdr:from>
        <xdr:to>
          <xdr:col>13</xdr:col>
          <xdr:colOff>0</xdr:colOff>
          <xdr:row>1677</xdr:row>
          <xdr:rowOff>220980</xdr:rowOff>
        </xdr:to>
        <xdr:sp macro="" textlink="">
          <xdr:nvSpPr>
            <xdr:cNvPr id="4082" name="Drop Down 3058" hidden="1">
              <a:extLst>
                <a:ext uri="{63B3BB69-23CF-44E3-9099-C40C66FF867C}">
                  <a14:compatExt spid="_x0000_s4082"/>
                </a:ext>
                <a:ext uri="{FF2B5EF4-FFF2-40B4-BE49-F238E27FC236}">
                  <a16:creationId xmlns:a16="http://schemas.microsoft.com/office/drawing/2014/main" id="{00000000-0008-0000-0000-0000F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1746</xdr:row>
          <xdr:rowOff>0</xdr:rowOff>
        </xdr:from>
        <xdr:to>
          <xdr:col>7</xdr:col>
          <xdr:colOff>624840</xdr:colOff>
          <xdr:row>1747</xdr:row>
          <xdr:rowOff>0</xdr:rowOff>
        </xdr:to>
        <xdr:sp macro="" textlink="">
          <xdr:nvSpPr>
            <xdr:cNvPr id="4101" name="Drop Down 3077"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1746</xdr:row>
          <xdr:rowOff>15240</xdr:rowOff>
        </xdr:from>
        <xdr:to>
          <xdr:col>7</xdr:col>
          <xdr:colOff>1272540</xdr:colOff>
          <xdr:row>1747</xdr:row>
          <xdr:rowOff>0</xdr:rowOff>
        </xdr:to>
        <xdr:sp macro="" textlink="">
          <xdr:nvSpPr>
            <xdr:cNvPr id="4102" name="Drop Down 3078"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1746</xdr:row>
          <xdr:rowOff>15240</xdr:rowOff>
        </xdr:from>
        <xdr:to>
          <xdr:col>7</xdr:col>
          <xdr:colOff>1805940</xdr:colOff>
          <xdr:row>1746</xdr:row>
          <xdr:rowOff>320040</xdr:rowOff>
        </xdr:to>
        <xdr:sp macro="" textlink="">
          <xdr:nvSpPr>
            <xdr:cNvPr id="4103" name="Drop Down 3079"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1747</xdr:row>
          <xdr:rowOff>0</xdr:rowOff>
        </xdr:from>
        <xdr:to>
          <xdr:col>7</xdr:col>
          <xdr:colOff>624840</xdr:colOff>
          <xdr:row>1748</xdr:row>
          <xdr:rowOff>0</xdr:rowOff>
        </xdr:to>
        <xdr:sp macro="" textlink="">
          <xdr:nvSpPr>
            <xdr:cNvPr id="4104" name="Drop Down 3080"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1747</xdr:row>
          <xdr:rowOff>15240</xdr:rowOff>
        </xdr:from>
        <xdr:to>
          <xdr:col>7</xdr:col>
          <xdr:colOff>1272540</xdr:colOff>
          <xdr:row>1748</xdr:row>
          <xdr:rowOff>0</xdr:rowOff>
        </xdr:to>
        <xdr:sp macro="" textlink="">
          <xdr:nvSpPr>
            <xdr:cNvPr id="4105" name="Drop Down 3081"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1747</xdr:row>
          <xdr:rowOff>15240</xdr:rowOff>
        </xdr:from>
        <xdr:to>
          <xdr:col>7</xdr:col>
          <xdr:colOff>1805940</xdr:colOff>
          <xdr:row>1747</xdr:row>
          <xdr:rowOff>320040</xdr:rowOff>
        </xdr:to>
        <xdr:sp macro="" textlink="">
          <xdr:nvSpPr>
            <xdr:cNvPr id="4106" name="Drop Down 3082"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1748</xdr:row>
          <xdr:rowOff>0</xdr:rowOff>
        </xdr:from>
        <xdr:to>
          <xdr:col>7</xdr:col>
          <xdr:colOff>624840</xdr:colOff>
          <xdr:row>1749</xdr:row>
          <xdr:rowOff>0</xdr:rowOff>
        </xdr:to>
        <xdr:sp macro="" textlink="">
          <xdr:nvSpPr>
            <xdr:cNvPr id="4107" name="Drop Down 3083"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1748</xdr:row>
          <xdr:rowOff>15240</xdr:rowOff>
        </xdr:from>
        <xdr:to>
          <xdr:col>7</xdr:col>
          <xdr:colOff>1272540</xdr:colOff>
          <xdr:row>1749</xdr:row>
          <xdr:rowOff>0</xdr:rowOff>
        </xdr:to>
        <xdr:sp macro="" textlink="">
          <xdr:nvSpPr>
            <xdr:cNvPr id="4108" name="Drop Down 3084"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1748</xdr:row>
          <xdr:rowOff>15240</xdr:rowOff>
        </xdr:from>
        <xdr:to>
          <xdr:col>7</xdr:col>
          <xdr:colOff>1805940</xdr:colOff>
          <xdr:row>1748</xdr:row>
          <xdr:rowOff>320040</xdr:rowOff>
        </xdr:to>
        <xdr:sp macro="" textlink="">
          <xdr:nvSpPr>
            <xdr:cNvPr id="4109" name="Drop Down 3085"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1777</xdr:row>
          <xdr:rowOff>15240</xdr:rowOff>
        </xdr:from>
        <xdr:to>
          <xdr:col>4</xdr:col>
          <xdr:colOff>205740</xdr:colOff>
          <xdr:row>1777</xdr:row>
          <xdr:rowOff>220980</xdr:rowOff>
        </xdr:to>
        <xdr:sp macro="" textlink="">
          <xdr:nvSpPr>
            <xdr:cNvPr id="4116" name="Drop Down 3092"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1777</xdr:row>
          <xdr:rowOff>15240</xdr:rowOff>
        </xdr:from>
        <xdr:to>
          <xdr:col>4</xdr:col>
          <xdr:colOff>1021080</xdr:colOff>
          <xdr:row>1777</xdr:row>
          <xdr:rowOff>220980</xdr:rowOff>
        </xdr:to>
        <xdr:sp macro="" textlink="">
          <xdr:nvSpPr>
            <xdr:cNvPr id="4117" name="Drop Down 3093" hidden="1">
              <a:extLst>
                <a:ext uri="{63B3BB69-23CF-44E3-9099-C40C66FF867C}">
                  <a14:compatExt spid="_x0000_s4117"/>
                </a:ext>
                <a:ext uri="{FF2B5EF4-FFF2-40B4-BE49-F238E27FC236}">
                  <a16:creationId xmlns:a16="http://schemas.microsoft.com/office/drawing/2014/main" id="{00000000-0008-0000-0000-00001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1777</xdr:row>
          <xdr:rowOff>0</xdr:rowOff>
        </xdr:from>
        <xdr:to>
          <xdr:col>4</xdr:col>
          <xdr:colOff>1706880</xdr:colOff>
          <xdr:row>1777</xdr:row>
          <xdr:rowOff>220980</xdr:rowOff>
        </xdr:to>
        <xdr:sp macro="" textlink="">
          <xdr:nvSpPr>
            <xdr:cNvPr id="4118" name="Drop Down 3094" hidden="1">
              <a:extLst>
                <a:ext uri="{63B3BB69-23CF-44E3-9099-C40C66FF867C}">
                  <a14:compatExt spid="_x0000_s4118"/>
                </a:ext>
                <a:ext uri="{FF2B5EF4-FFF2-40B4-BE49-F238E27FC236}">
                  <a16:creationId xmlns:a16="http://schemas.microsoft.com/office/drawing/2014/main" id="{00000000-0008-0000-0000-00001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1777</xdr:row>
          <xdr:rowOff>15240</xdr:rowOff>
        </xdr:from>
        <xdr:to>
          <xdr:col>6</xdr:col>
          <xdr:colOff>259080</xdr:colOff>
          <xdr:row>1777</xdr:row>
          <xdr:rowOff>220980</xdr:rowOff>
        </xdr:to>
        <xdr:sp macro="" textlink="">
          <xdr:nvSpPr>
            <xdr:cNvPr id="4119" name="Drop Down 3095" hidden="1">
              <a:extLst>
                <a:ext uri="{63B3BB69-23CF-44E3-9099-C40C66FF867C}">
                  <a14:compatExt spid="_x0000_s4119"/>
                </a:ext>
                <a:ext uri="{FF2B5EF4-FFF2-40B4-BE49-F238E27FC236}">
                  <a16:creationId xmlns:a16="http://schemas.microsoft.com/office/drawing/2014/main" id="{00000000-0008-0000-0000-00001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1777</xdr:row>
          <xdr:rowOff>15240</xdr:rowOff>
        </xdr:from>
        <xdr:to>
          <xdr:col>6</xdr:col>
          <xdr:colOff>1120140</xdr:colOff>
          <xdr:row>1777</xdr:row>
          <xdr:rowOff>220980</xdr:rowOff>
        </xdr:to>
        <xdr:sp macro="" textlink="">
          <xdr:nvSpPr>
            <xdr:cNvPr id="4120" name="Drop Down 3096" hidden="1">
              <a:extLst>
                <a:ext uri="{63B3BB69-23CF-44E3-9099-C40C66FF867C}">
                  <a14:compatExt spid="_x0000_s4120"/>
                </a:ext>
                <a:ext uri="{FF2B5EF4-FFF2-40B4-BE49-F238E27FC236}">
                  <a16:creationId xmlns:a16="http://schemas.microsoft.com/office/drawing/2014/main" id="{00000000-0008-0000-0000-00001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1777</xdr:row>
          <xdr:rowOff>0</xdr:rowOff>
        </xdr:from>
        <xdr:to>
          <xdr:col>6</xdr:col>
          <xdr:colOff>1805940</xdr:colOff>
          <xdr:row>1777</xdr:row>
          <xdr:rowOff>220980</xdr:rowOff>
        </xdr:to>
        <xdr:sp macro="" textlink="">
          <xdr:nvSpPr>
            <xdr:cNvPr id="4121" name="Drop Down 3097" hidden="1">
              <a:extLst>
                <a:ext uri="{63B3BB69-23CF-44E3-9099-C40C66FF867C}">
                  <a14:compatExt spid="_x0000_s4121"/>
                </a:ext>
                <a:ext uri="{FF2B5EF4-FFF2-40B4-BE49-F238E27FC236}">
                  <a16:creationId xmlns:a16="http://schemas.microsoft.com/office/drawing/2014/main" id="{00000000-0008-0000-0000-00001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1775</xdr:row>
          <xdr:rowOff>0</xdr:rowOff>
        </xdr:from>
        <xdr:to>
          <xdr:col>12</xdr:col>
          <xdr:colOff>716280</xdr:colOff>
          <xdr:row>1775</xdr:row>
          <xdr:rowOff>220980</xdr:rowOff>
        </xdr:to>
        <xdr:sp macro="" textlink="">
          <xdr:nvSpPr>
            <xdr:cNvPr id="4125" name="Drop Down 3101" hidden="1">
              <a:extLst>
                <a:ext uri="{63B3BB69-23CF-44E3-9099-C40C66FF867C}">
                  <a14:compatExt spid="_x0000_s4125"/>
                </a:ext>
                <a:ext uri="{FF2B5EF4-FFF2-40B4-BE49-F238E27FC236}">
                  <a16:creationId xmlns:a16="http://schemas.microsoft.com/office/drawing/2014/main" id="{00000000-0008-0000-0000-00001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1775</xdr:row>
          <xdr:rowOff>15240</xdr:rowOff>
        </xdr:from>
        <xdr:to>
          <xdr:col>12</xdr:col>
          <xdr:colOff>1325880</xdr:colOff>
          <xdr:row>1775</xdr:row>
          <xdr:rowOff>220980</xdr:rowOff>
        </xdr:to>
        <xdr:sp macro="" textlink="">
          <xdr:nvSpPr>
            <xdr:cNvPr id="4126" name="Drop Down 3102" hidden="1">
              <a:extLst>
                <a:ext uri="{63B3BB69-23CF-44E3-9099-C40C66FF867C}">
                  <a14:compatExt spid="_x0000_s4126"/>
                </a:ext>
                <a:ext uri="{FF2B5EF4-FFF2-40B4-BE49-F238E27FC236}">
                  <a16:creationId xmlns:a16="http://schemas.microsoft.com/office/drawing/2014/main" id="{00000000-0008-0000-0000-00001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1775</xdr:row>
          <xdr:rowOff>0</xdr:rowOff>
        </xdr:from>
        <xdr:to>
          <xdr:col>13</xdr:col>
          <xdr:colOff>0</xdr:colOff>
          <xdr:row>1775</xdr:row>
          <xdr:rowOff>220980</xdr:rowOff>
        </xdr:to>
        <xdr:sp macro="" textlink="">
          <xdr:nvSpPr>
            <xdr:cNvPr id="4127" name="Drop Down 3103" hidden="1">
              <a:extLst>
                <a:ext uri="{63B3BB69-23CF-44E3-9099-C40C66FF867C}">
                  <a14:compatExt spid="_x0000_s4127"/>
                </a:ext>
                <a:ext uri="{FF2B5EF4-FFF2-40B4-BE49-F238E27FC236}">
                  <a16:creationId xmlns:a16="http://schemas.microsoft.com/office/drawing/2014/main" id="{00000000-0008-0000-0000-00001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1777</xdr:row>
          <xdr:rowOff>0</xdr:rowOff>
        </xdr:from>
        <xdr:to>
          <xdr:col>12</xdr:col>
          <xdr:colOff>701040</xdr:colOff>
          <xdr:row>1777</xdr:row>
          <xdr:rowOff>220980</xdr:rowOff>
        </xdr:to>
        <xdr:sp macro="" textlink="">
          <xdr:nvSpPr>
            <xdr:cNvPr id="4128" name="Drop Down 3104" hidden="1">
              <a:extLst>
                <a:ext uri="{63B3BB69-23CF-44E3-9099-C40C66FF867C}">
                  <a14:compatExt spid="_x0000_s4128"/>
                </a:ext>
                <a:ext uri="{FF2B5EF4-FFF2-40B4-BE49-F238E27FC236}">
                  <a16:creationId xmlns:a16="http://schemas.microsoft.com/office/drawing/2014/main" id="{00000000-0008-0000-0000-00002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1777</xdr:row>
          <xdr:rowOff>15240</xdr:rowOff>
        </xdr:from>
        <xdr:to>
          <xdr:col>12</xdr:col>
          <xdr:colOff>1310640</xdr:colOff>
          <xdr:row>1777</xdr:row>
          <xdr:rowOff>220980</xdr:rowOff>
        </xdr:to>
        <xdr:sp macro="" textlink="">
          <xdr:nvSpPr>
            <xdr:cNvPr id="4129" name="Drop Down 3105" hidden="1">
              <a:extLst>
                <a:ext uri="{63B3BB69-23CF-44E3-9099-C40C66FF867C}">
                  <a14:compatExt spid="_x0000_s4129"/>
                </a:ext>
                <a:ext uri="{FF2B5EF4-FFF2-40B4-BE49-F238E27FC236}">
                  <a16:creationId xmlns:a16="http://schemas.microsoft.com/office/drawing/2014/main" id="{00000000-0008-0000-0000-00002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1776</xdr:row>
          <xdr:rowOff>220980</xdr:rowOff>
        </xdr:from>
        <xdr:to>
          <xdr:col>13</xdr:col>
          <xdr:colOff>0</xdr:colOff>
          <xdr:row>1777</xdr:row>
          <xdr:rowOff>220980</xdr:rowOff>
        </xdr:to>
        <xdr:sp macro="" textlink="">
          <xdr:nvSpPr>
            <xdr:cNvPr id="4130" name="Drop Down 3106" hidden="1">
              <a:extLst>
                <a:ext uri="{63B3BB69-23CF-44E3-9099-C40C66FF867C}">
                  <a14:compatExt spid="_x0000_s4130"/>
                </a:ext>
                <a:ext uri="{FF2B5EF4-FFF2-40B4-BE49-F238E27FC236}">
                  <a16:creationId xmlns:a16="http://schemas.microsoft.com/office/drawing/2014/main" id="{00000000-0008-0000-0000-00002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1846</xdr:row>
          <xdr:rowOff>0</xdr:rowOff>
        </xdr:from>
        <xdr:to>
          <xdr:col>7</xdr:col>
          <xdr:colOff>624840</xdr:colOff>
          <xdr:row>1847</xdr:row>
          <xdr:rowOff>0</xdr:rowOff>
        </xdr:to>
        <xdr:sp macro="" textlink="">
          <xdr:nvSpPr>
            <xdr:cNvPr id="4149" name="Drop Down 3125" hidden="1">
              <a:extLst>
                <a:ext uri="{63B3BB69-23CF-44E3-9099-C40C66FF867C}">
                  <a14:compatExt spid="_x0000_s4149"/>
                </a:ext>
                <a:ext uri="{FF2B5EF4-FFF2-40B4-BE49-F238E27FC236}">
                  <a16:creationId xmlns:a16="http://schemas.microsoft.com/office/drawing/2014/main" id="{00000000-0008-0000-0000-00003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1846</xdr:row>
          <xdr:rowOff>15240</xdr:rowOff>
        </xdr:from>
        <xdr:to>
          <xdr:col>7</xdr:col>
          <xdr:colOff>1272540</xdr:colOff>
          <xdr:row>1847</xdr:row>
          <xdr:rowOff>0</xdr:rowOff>
        </xdr:to>
        <xdr:sp macro="" textlink="">
          <xdr:nvSpPr>
            <xdr:cNvPr id="4150" name="Drop Down 3126" hidden="1">
              <a:extLst>
                <a:ext uri="{63B3BB69-23CF-44E3-9099-C40C66FF867C}">
                  <a14:compatExt spid="_x0000_s4150"/>
                </a:ext>
                <a:ext uri="{FF2B5EF4-FFF2-40B4-BE49-F238E27FC236}">
                  <a16:creationId xmlns:a16="http://schemas.microsoft.com/office/drawing/2014/main" id="{00000000-0008-0000-0000-00003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1846</xdr:row>
          <xdr:rowOff>15240</xdr:rowOff>
        </xdr:from>
        <xdr:to>
          <xdr:col>7</xdr:col>
          <xdr:colOff>1805940</xdr:colOff>
          <xdr:row>1846</xdr:row>
          <xdr:rowOff>320040</xdr:rowOff>
        </xdr:to>
        <xdr:sp macro="" textlink="">
          <xdr:nvSpPr>
            <xdr:cNvPr id="4151" name="Drop Down 3127" hidden="1">
              <a:extLst>
                <a:ext uri="{63B3BB69-23CF-44E3-9099-C40C66FF867C}">
                  <a14:compatExt spid="_x0000_s4151"/>
                </a:ext>
                <a:ext uri="{FF2B5EF4-FFF2-40B4-BE49-F238E27FC236}">
                  <a16:creationId xmlns:a16="http://schemas.microsoft.com/office/drawing/2014/main" id="{00000000-0008-0000-0000-00003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1847</xdr:row>
          <xdr:rowOff>0</xdr:rowOff>
        </xdr:from>
        <xdr:to>
          <xdr:col>7</xdr:col>
          <xdr:colOff>624840</xdr:colOff>
          <xdr:row>1848</xdr:row>
          <xdr:rowOff>0</xdr:rowOff>
        </xdr:to>
        <xdr:sp macro="" textlink="">
          <xdr:nvSpPr>
            <xdr:cNvPr id="4152" name="Drop Down 3128" hidden="1">
              <a:extLst>
                <a:ext uri="{63B3BB69-23CF-44E3-9099-C40C66FF867C}">
                  <a14:compatExt spid="_x0000_s4152"/>
                </a:ext>
                <a:ext uri="{FF2B5EF4-FFF2-40B4-BE49-F238E27FC236}">
                  <a16:creationId xmlns:a16="http://schemas.microsoft.com/office/drawing/2014/main" id="{00000000-0008-0000-0000-00003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1847</xdr:row>
          <xdr:rowOff>15240</xdr:rowOff>
        </xdr:from>
        <xdr:to>
          <xdr:col>7</xdr:col>
          <xdr:colOff>1272540</xdr:colOff>
          <xdr:row>1848</xdr:row>
          <xdr:rowOff>0</xdr:rowOff>
        </xdr:to>
        <xdr:sp macro="" textlink="">
          <xdr:nvSpPr>
            <xdr:cNvPr id="4153" name="Drop Down 3129" hidden="1">
              <a:extLst>
                <a:ext uri="{63B3BB69-23CF-44E3-9099-C40C66FF867C}">
                  <a14:compatExt spid="_x0000_s4153"/>
                </a:ext>
                <a:ext uri="{FF2B5EF4-FFF2-40B4-BE49-F238E27FC236}">
                  <a16:creationId xmlns:a16="http://schemas.microsoft.com/office/drawing/2014/main" id="{00000000-0008-0000-0000-00003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1847</xdr:row>
          <xdr:rowOff>15240</xdr:rowOff>
        </xdr:from>
        <xdr:to>
          <xdr:col>7</xdr:col>
          <xdr:colOff>1805940</xdr:colOff>
          <xdr:row>1847</xdr:row>
          <xdr:rowOff>320040</xdr:rowOff>
        </xdr:to>
        <xdr:sp macro="" textlink="">
          <xdr:nvSpPr>
            <xdr:cNvPr id="4154" name="Drop Down 3130" hidden="1">
              <a:extLst>
                <a:ext uri="{63B3BB69-23CF-44E3-9099-C40C66FF867C}">
                  <a14:compatExt spid="_x0000_s4154"/>
                </a:ext>
                <a:ext uri="{FF2B5EF4-FFF2-40B4-BE49-F238E27FC236}">
                  <a16:creationId xmlns:a16="http://schemas.microsoft.com/office/drawing/2014/main" id="{00000000-0008-0000-0000-00003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1848</xdr:row>
          <xdr:rowOff>0</xdr:rowOff>
        </xdr:from>
        <xdr:to>
          <xdr:col>7</xdr:col>
          <xdr:colOff>624840</xdr:colOff>
          <xdr:row>1849</xdr:row>
          <xdr:rowOff>0</xdr:rowOff>
        </xdr:to>
        <xdr:sp macro="" textlink="">
          <xdr:nvSpPr>
            <xdr:cNvPr id="4155" name="Drop Down 3131" hidden="1">
              <a:extLst>
                <a:ext uri="{63B3BB69-23CF-44E3-9099-C40C66FF867C}">
                  <a14:compatExt spid="_x0000_s4155"/>
                </a:ext>
                <a:ext uri="{FF2B5EF4-FFF2-40B4-BE49-F238E27FC236}">
                  <a16:creationId xmlns:a16="http://schemas.microsoft.com/office/drawing/2014/main" id="{00000000-0008-0000-0000-00003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1848</xdr:row>
          <xdr:rowOff>15240</xdr:rowOff>
        </xdr:from>
        <xdr:to>
          <xdr:col>7</xdr:col>
          <xdr:colOff>1272540</xdr:colOff>
          <xdr:row>1849</xdr:row>
          <xdr:rowOff>0</xdr:rowOff>
        </xdr:to>
        <xdr:sp macro="" textlink="">
          <xdr:nvSpPr>
            <xdr:cNvPr id="4156" name="Drop Down 3132" hidden="1">
              <a:extLst>
                <a:ext uri="{63B3BB69-23CF-44E3-9099-C40C66FF867C}">
                  <a14:compatExt spid="_x0000_s4156"/>
                </a:ext>
                <a:ext uri="{FF2B5EF4-FFF2-40B4-BE49-F238E27FC236}">
                  <a16:creationId xmlns:a16="http://schemas.microsoft.com/office/drawing/2014/main" id="{00000000-0008-0000-0000-00003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1848</xdr:row>
          <xdr:rowOff>15240</xdr:rowOff>
        </xdr:from>
        <xdr:to>
          <xdr:col>7</xdr:col>
          <xdr:colOff>1805940</xdr:colOff>
          <xdr:row>1848</xdr:row>
          <xdr:rowOff>320040</xdr:rowOff>
        </xdr:to>
        <xdr:sp macro="" textlink="">
          <xdr:nvSpPr>
            <xdr:cNvPr id="4157" name="Drop Down 3133" hidden="1">
              <a:extLst>
                <a:ext uri="{63B3BB69-23CF-44E3-9099-C40C66FF867C}">
                  <a14:compatExt spid="_x0000_s4157"/>
                </a:ext>
                <a:ext uri="{FF2B5EF4-FFF2-40B4-BE49-F238E27FC236}">
                  <a16:creationId xmlns:a16="http://schemas.microsoft.com/office/drawing/2014/main" id="{00000000-0008-0000-0000-00003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1877</xdr:row>
          <xdr:rowOff>15240</xdr:rowOff>
        </xdr:from>
        <xdr:to>
          <xdr:col>4</xdr:col>
          <xdr:colOff>205740</xdr:colOff>
          <xdr:row>1877</xdr:row>
          <xdr:rowOff>220980</xdr:rowOff>
        </xdr:to>
        <xdr:sp macro="" textlink="">
          <xdr:nvSpPr>
            <xdr:cNvPr id="4164" name="Drop Down 3140" hidden="1">
              <a:extLst>
                <a:ext uri="{63B3BB69-23CF-44E3-9099-C40C66FF867C}">
                  <a14:compatExt spid="_x0000_s4164"/>
                </a:ext>
                <a:ext uri="{FF2B5EF4-FFF2-40B4-BE49-F238E27FC236}">
                  <a16:creationId xmlns:a16="http://schemas.microsoft.com/office/drawing/2014/main" id="{00000000-0008-0000-0000-00004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1877</xdr:row>
          <xdr:rowOff>15240</xdr:rowOff>
        </xdr:from>
        <xdr:to>
          <xdr:col>4</xdr:col>
          <xdr:colOff>1021080</xdr:colOff>
          <xdr:row>1877</xdr:row>
          <xdr:rowOff>220980</xdr:rowOff>
        </xdr:to>
        <xdr:sp macro="" textlink="">
          <xdr:nvSpPr>
            <xdr:cNvPr id="4165" name="Drop Down 3141" hidden="1">
              <a:extLst>
                <a:ext uri="{63B3BB69-23CF-44E3-9099-C40C66FF867C}">
                  <a14:compatExt spid="_x0000_s4165"/>
                </a:ext>
                <a:ext uri="{FF2B5EF4-FFF2-40B4-BE49-F238E27FC236}">
                  <a16:creationId xmlns:a16="http://schemas.microsoft.com/office/drawing/2014/main" id="{00000000-0008-0000-0000-00004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1877</xdr:row>
          <xdr:rowOff>0</xdr:rowOff>
        </xdr:from>
        <xdr:to>
          <xdr:col>4</xdr:col>
          <xdr:colOff>1706880</xdr:colOff>
          <xdr:row>1877</xdr:row>
          <xdr:rowOff>220980</xdr:rowOff>
        </xdr:to>
        <xdr:sp macro="" textlink="">
          <xdr:nvSpPr>
            <xdr:cNvPr id="4166" name="Drop Down 3142" hidden="1">
              <a:extLst>
                <a:ext uri="{63B3BB69-23CF-44E3-9099-C40C66FF867C}">
                  <a14:compatExt spid="_x0000_s4166"/>
                </a:ext>
                <a:ext uri="{FF2B5EF4-FFF2-40B4-BE49-F238E27FC236}">
                  <a16:creationId xmlns:a16="http://schemas.microsoft.com/office/drawing/2014/main" id="{00000000-0008-0000-0000-00004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1877</xdr:row>
          <xdr:rowOff>15240</xdr:rowOff>
        </xdr:from>
        <xdr:to>
          <xdr:col>6</xdr:col>
          <xdr:colOff>259080</xdr:colOff>
          <xdr:row>1877</xdr:row>
          <xdr:rowOff>220980</xdr:rowOff>
        </xdr:to>
        <xdr:sp macro="" textlink="">
          <xdr:nvSpPr>
            <xdr:cNvPr id="4167" name="Drop Down 3143" hidden="1">
              <a:extLst>
                <a:ext uri="{63B3BB69-23CF-44E3-9099-C40C66FF867C}">
                  <a14:compatExt spid="_x0000_s4167"/>
                </a:ext>
                <a:ext uri="{FF2B5EF4-FFF2-40B4-BE49-F238E27FC236}">
                  <a16:creationId xmlns:a16="http://schemas.microsoft.com/office/drawing/2014/main" id="{00000000-0008-0000-0000-00004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1877</xdr:row>
          <xdr:rowOff>15240</xdr:rowOff>
        </xdr:from>
        <xdr:to>
          <xdr:col>6</xdr:col>
          <xdr:colOff>1120140</xdr:colOff>
          <xdr:row>1877</xdr:row>
          <xdr:rowOff>220980</xdr:rowOff>
        </xdr:to>
        <xdr:sp macro="" textlink="">
          <xdr:nvSpPr>
            <xdr:cNvPr id="4168" name="Drop Down 3144" hidden="1">
              <a:extLst>
                <a:ext uri="{63B3BB69-23CF-44E3-9099-C40C66FF867C}">
                  <a14:compatExt spid="_x0000_s4168"/>
                </a:ext>
                <a:ext uri="{FF2B5EF4-FFF2-40B4-BE49-F238E27FC236}">
                  <a16:creationId xmlns:a16="http://schemas.microsoft.com/office/drawing/2014/main" id="{00000000-0008-0000-0000-00004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1877</xdr:row>
          <xdr:rowOff>0</xdr:rowOff>
        </xdr:from>
        <xdr:to>
          <xdr:col>6</xdr:col>
          <xdr:colOff>1805940</xdr:colOff>
          <xdr:row>1877</xdr:row>
          <xdr:rowOff>220980</xdr:rowOff>
        </xdr:to>
        <xdr:sp macro="" textlink="">
          <xdr:nvSpPr>
            <xdr:cNvPr id="4169" name="Drop Down 3145" hidden="1">
              <a:extLst>
                <a:ext uri="{63B3BB69-23CF-44E3-9099-C40C66FF867C}">
                  <a14:compatExt spid="_x0000_s4169"/>
                </a:ext>
                <a:ext uri="{FF2B5EF4-FFF2-40B4-BE49-F238E27FC236}">
                  <a16:creationId xmlns:a16="http://schemas.microsoft.com/office/drawing/2014/main" id="{00000000-0008-0000-0000-00004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1875</xdr:row>
          <xdr:rowOff>0</xdr:rowOff>
        </xdr:from>
        <xdr:to>
          <xdr:col>12</xdr:col>
          <xdr:colOff>716280</xdr:colOff>
          <xdr:row>1875</xdr:row>
          <xdr:rowOff>220980</xdr:rowOff>
        </xdr:to>
        <xdr:sp macro="" textlink="">
          <xdr:nvSpPr>
            <xdr:cNvPr id="4173" name="Drop Down 3149" hidden="1">
              <a:extLst>
                <a:ext uri="{63B3BB69-23CF-44E3-9099-C40C66FF867C}">
                  <a14:compatExt spid="_x0000_s4173"/>
                </a:ext>
                <a:ext uri="{FF2B5EF4-FFF2-40B4-BE49-F238E27FC236}">
                  <a16:creationId xmlns:a16="http://schemas.microsoft.com/office/drawing/2014/main" id="{00000000-0008-0000-0000-00004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1875</xdr:row>
          <xdr:rowOff>15240</xdr:rowOff>
        </xdr:from>
        <xdr:to>
          <xdr:col>12</xdr:col>
          <xdr:colOff>1325880</xdr:colOff>
          <xdr:row>1875</xdr:row>
          <xdr:rowOff>220980</xdr:rowOff>
        </xdr:to>
        <xdr:sp macro="" textlink="">
          <xdr:nvSpPr>
            <xdr:cNvPr id="4174" name="Drop Down 3150" hidden="1">
              <a:extLst>
                <a:ext uri="{63B3BB69-23CF-44E3-9099-C40C66FF867C}">
                  <a14:compatExt spid="_x0000_s4174"/>
                </a:ext>
                <a:ext uri="{FF2B5EF4-FFF2-40B4-BE49-F238E27FC236}">
                  <a16:creationId xmlns:a16="http://schemas.microsoft.com/office/drawing/2014/main" id="{00000000-0008-0000-0000-00004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1875</xdr:row>
          <xdr:rowOff>0</xdr:rowOff>
        </xdr:from>
        <xdr:to>
          <xdr:col>13</xdr:col>
          <xdr:colOff>0</xdr:colOff>
          <xdr:row>1875</xdr:row>
          <xdr:rowOff>220980</xdr:rowOff>
        </xdr:to>
        <xdr:sp macro="" textlink="">
          <xdr:nvSpPr>
            <xdr:cNvPr id="4175" name="Drop Down 3151" hidden="1">
              <a:extLst>
                <a:ext uri="{63B3BB69-23CF-44E3-9099-C40C66FF867C}">
                  <a14:compatExt spid="_x0000_s4175"/>
                </a:ext>
                <a:ext uri="{FF2B5EF4-FFF2-40B4-BE49-F238E27FC236}">
                  <a16:creationId xmlns:a16="http://schemas.microsoft.com/office/drawing/2014/main" id="{00000000-0008-0000-0000-00004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1877</xdr:row>
          <xdr:rowOff>0</xdr:rowOff>
        </xdr:from>
        <xdr:to>
          <xdr:col>12</xdr:col>
          <xdr:colOff>701040</xdr:colOff>
          <xdr:row>1877</xdr:row>
          <xdr:rowOff>220980</xdr:rowOff>
        </xdr:to>
        <xdr:sp macro="" textlink="">
          <xdr:nvSpPr>
            <xdr:cNvPr id="4176" name="Drop Down 3152" hidden="1">
              <a:extLst>
                <a:ext uri="{63B3BB69-23CF-44E3-9099-C40C66FF867C}">
                  <a14:compatExt spid="_x0000_s4176"/>
                </a:ext>
                <a:ext uri="{FF2B5EF4-FFF2-40B4-BE49-F238E27FC236}">
                  <a16:creationId xmlns:a16="http://schemas.microsoft.com/office/drawing/2014/main" id="{00000000-0008-0000-0000-00005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1877</xdr:row>
          <xdr:rowOff>15240</xdr:rowOff>
        </xdr:from>
        <xdr:to>
          <xdr:col>12</xdr:col>
          <xdr:colOff>1310640</xdr:colOff>
          <xdr:row>1877</xdr:row>
          <xdr:rowOff>220980</xdr:rowOff>
        </xdr:to>
        <xdr:sp macro="" textlink="">
          <xdr:nvSpPr>
            <xdr:cNvPr id="4177" name="Drop Down 3153" hidden="1">
              <a:extLst>
                <a:ext uri="{63B3BB69-23CF-44E3-9099-C40C66FF867C}">
                  <a14:compatExt spid="_x0000_s4177"/>
                </a:ext>
                <a:ext uri="{FF2B5EF4-FFF2-40B4-BE49-F238E27FC236}">
                  <a16:creationId xmlns:a16="http://schemas.microsoft.com/office/drawing/2014/main" id="{00000000-0008-0000-0000-00005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1876</xdr:row>
          <xdr:rowOff>220980</xdr:rowOff>
        </xdr:from>
        <xdr:to>
          <xdr:col>13</xdr:col>
          <xdr:colOff>0</xdr:colOff>
          <xdr:row>1877</xdr:row>
          <xdr:rowOff>220980</xdr:rowOff>
        </xdr:to>
        <xdr:sp macro="" textlink="">
          <xdr:nvSpPr>
            <xdr:cNvPr id="4178" name="Drop Down 3154" hidden="1">
              <a:extLst>
                <a:ext uri="{63B3BB69-23CF-44E3-9099-C40C66FF867C}">
                  <a14:compatExt spid="_x0000_s4178"/>
                </a:ext>
                <a:ext uri="{FF2B5EF4-FFF2-40B4-BE49-F238E27FC236}">
                  <a16:creationId xmlns:a16="http://schemas.microsoft.com/office/drawing/2014/main" id="{00000000-0008-0000-0000-00005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1946</xdr:row>
          <xdr:rowOff>0</xdr:rowOff>
        </xdr:from>
        <xdr:to>
          <xdr:col>7</xdr:col>
          <xdr:colOff>624840</xdr:colOff>
          <xdr:row>1947</xdr:row>
          <xdr:rowOff>0</xdr:rowOff>
        </xdr:to>
        <xdr:sp macro="" textlink="">
          <xdr:nvSpPr>
            <xdr:cNvPr id="4197" name="Drop Down 3173" hidden="1">
              <a:extLst>
                <a:ext uri="{63B3BB69-23CF-44E3-9099-C40C66FF867C}">
                  <a14:compatExt spid="_x0000_s4197"/>
                </a:ext>
                <a:ext uri="{FF2B5EF4-FFF2-40B4-BE49-F238E27FC236}">
                  <a16:creationId xmlns:a16="http://schemas.microsoft.com/office/drawing/2014/main" id="{00000000-0008-0000-0000-00006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1946</xdr:row>
          <xdr:rowOff>15240</xdr:rowOff>
        </xdr:from>
        <xdr:to>
          <xdr:col>7</xdr:col>
          <xdr:colOff>1272540</xdr:colOff>
          <xdr:row>1947</xdr:row>
          <xdr:rowOff>0</xdr:rowOff>
        </xdr:to>
        <xdr:sp macro="" textlink="">
          <xdr:nvSpPr>
            <xdr:cNvPr id="4198" name="Drop Down 3174" hidden="1">
              <a:extLst>
                <a:ext uri="{63B3BB69-23CF-44E3-9099-C40C66FF867C}">
                  <a14:compatExt spid="_x0000_s4198"/>
                </a:ext>
                <a:ext uri="{FF2B5EF4-FFF2-40B4-BE49-F238E27FC236}">
                  <a16:creationId xmlns:a16="http://schemas.microsoft.com/office/drawing/2014/main" id="{00000000-0008-0000-0000-00006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1946</xdr:row>
          <xdr:rowOff>15240</xdr:rowOff>
        </xdr:from>
        <xdr:to>
          <xdr:col>7</xdr:col>
          <xdr:colOff>1805940</xdr:colOff>
          <xdr:row>1946</xdr:row>
          <xdr:rowOff>320040</xdr:rowOff>
        </xdr:to>
        <xdr:sp macro="" textlink="">
          <xdr:nvSpPr>
            <xdr:cNvPr id="4199" name="Drop Down 3175" hidden="1">
              <a:extLst>
                <a:ext uri="{63B3BB69-23CF-44E3-9099-C40C66FF867C}">
                  <a14:compatExt spid="_x0000_s4199"/>
                </a:ext>
                <a:ext uri="{FF2B5EF4-FFF2-40B4-BE49-F238E27FC236}">
                  <a16:creationId xmlns:a16="http://schemas.microsoft.com/office/drawing/2014/main" id="{00000000-0008-0000-0000-00006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1947</xdr:row>
          <xdr:rowOff>0</xdr:rowOff>
        </xdr:from>
        <xdr:to>
          <xdr:col>7</xdr:col>
          <xdr:colOff>624840</xdr:colOff>
          <xdr:row>1948</xdr:row>
          <xdr:rowOff>0</xdr:rowOff>
        </xdr:to>
        <xdr:sp macro="" textlink="">
          <xdr:nvSpPr>
            <xdr:cNvPr id="4200" name="Drop Down 3176" hidden="1">
              <a:extLst>
                <a:ext uri="{63B3BB69-23CF-44E3-9099-C40C66FF867C}">
                  <a14:compatExt spid="_x0000_s4200"/>
                </a:ext>
                <a:ext uri="{FF2B5EF4-FFF2-40B4-BE49-F238E27FC236}">
                  <a16:creationId xmlns:a16="http://schemas.microsoft.com/office/drawing/2014/main" id="{00000000-0008-0000-0000-00006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1947</xdr:row>
          <xdr:rowOff>15240</xdr:rowOff>
        </xdr:from>
        <xdr:to>
          <xdr:col>7</xdr:col>
          <xdr:colOff>1272540</xdr:colOff>
          <xdr:row>1948</xdr:row>
          <xdr:rowOff>0</xdr:rowOff>
        </xdr:to>
        <xdr:sp macro="" textlink="">
          <xdr:nvSpPr>
            <xdr:cNvPr id="4201" name="Drop Down 3177" hidden="1">
              <a:extLst>
                <a:ext uri="{63B3BB69-23CF-44E3-9099-C40C66FF867C}">
                  <a14:compatExt spid="_x0000_s4201"/>
                </a:ext>
                <a:ext uri="{FF2B5EF4-FFF2-40B4-BE49-F238E27FC236}">
                  <a16:creationId xmlns:a16="http://schemas.microsoft.com/office/drawing/2014/main" id="{00000000-0008-0000-0000-00006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1947</xdr:row>
          <xdr:rowOff>15240</xdr:rowOff>
        </xdr:from>
        <xdr:to>
          <xdr:col>7</xdr:col>
          <xdr:colOff>1805940</xdr:colOff>
          <xdr:row>1947</xdr:row>
          <xdr:rowOff>320040</xdr:rowOff>
        </xdr:to>
        <xdr:sp macro="" textlink="">
          <xdr:nvSpPr>
            <xdr:cNvPr id="4202" name="Drop Down 3178" hidden="1">
              <a:extLst>
                <a:ext uri="{63B3BB69-23CF-44E3-9099-C40C66FF867C}">
                  <a14:compatExt spid="_x0000_s4202"/>
                </a:ext>
                <a:ext uri="{FF2B5EF4-FFF2-40B4-BE49-F238E27FC236}">
                  <a16:creationId xmlns:a16="http://schemas.microsoft.com/office/drawing/2014/main" id="{00000000-0008-0000-0000-00006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1948</xdr:row>
          <xdr:rowOff>0</xdr:rowOff>
        </xdr:from>
        <xdr:to>
          <xdr:col>7</xdr:col>
          <xdr:colOff>624840</xdr:colOff>
          <xdr:row>1949</xdr:row>
          <xdr:rowOff>0</xdr:rowOff>
        </xdr:to>
        <xdr:sp macro="" textlink="">
          <xdr:nvSpPr>
            <xdr:cNvPr id="4203" name="Drop Down 3179" hidden="1">
              <a:extLst>
                <a:ext uri="{63B3BB69-23CF-44E3-9099-C40C66FF867C}">
                  <a14:compatExt spid="_x0000_s4203"/>
                </a:ext>
                <a:ext uri="{FF2B5EF4-FFF2-40B4-BE49-F238E27FC236}">
                  <a16:creationId xmlns:a16="http://schemas.microsoft.com/office/drawing/2014/main" id="{00000000-0008-0000-0000-00006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1948</xdr:row>
          <xdr:rowOff>15240</xdr:rowOff>
        </xdr:from>
        <xdr:to>
          <xdr:col>7</xdr:col>
          <xdr:colOff>1272540</xdr:colOff>
          <xdr:row>1949</xdr:row>
          <xdr:rowOff>0</xdr:rowOff>
        </xdr:to>
        <xdr:sp macro="" textlink="">
          <xdr:nvSpPr>
            <xdr:cNvPr id="4204" name="Drop Down 3180" hidden="1">
              <a:extLst>
                <a:ext uri="{63B3BB69-23CF-44E3-9099-C40C66FF867C}">
                  <a14:compatExt spid="_x0000_s4204"/>
                </a:ext>
                <a:ext uri="{FF2B5EF4-FFF2-40B4-BE49-F238E27FC236}">
                  <a16:creationId xmlns:a16="http://schemas.microsoft.com/office/drawing/2014/main" id="{00000000-0008-0000-0000-00006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1948</xdr:row>
          <xdr:rowOff>15240</xdr:rowOff>
        </xdr:from>
        <xdr:to>
          <xdr:col>7</xdr:col>
          <xdr:colOff>1805940</xdr:colOff>
          <xdr:row>1948</xdr:row>
          <xdr:rowOff>320040</xdr:rowOff>
        </xdr:to>
        <xdr:sp macro="" textlink="">
          <xdr:nvSpPr>
            <xdr:cNvPr id="4205" name="Drop Down 3181" hidden="1">
              <a:extLst>
                <a:ext uri="{63B3BB69-23CF-44E3-9099-C40C66FF867C}">
                  <a14:compatExt spid="_x0000_s4205"/>
                </a:ext>
                <a:ext uri="{FF2B5EF4-FFF2-40B4-BE49-F238E27FC236}">
                  <a16:creationId xmlns:a16="http://schemas.microsoft.com/office/drawing/2014/main" id="{00000000-0008-0000-0000-00006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1977</xdr:row>
          <xdr:rowOff>15240</xdr:rowOff>
        </xdr:from>
        <xdr:to>
          <xdr:col>4</xdr:col>
          <xdr:colOff>205740</xdr:colOff>
          <xdr:row>1977</xdr:row>
          <xdr:rowOff>220980</xdr:rowOff>
        </xdr:to>
        <xdr:sp macro="" textlink="">
          <xdr:nvSpPr>
            <xdr:cNvPr id="4212" name="Drop Down 3188" hidden="1">
              <a:extLst>
                <a:ext uri="{63B3BB69-23CF-44E3-9099-C40C66FF867C}">
                  <a14:compatExt spid="_x0000_s4212"/>
                </a:ext>
                <a:ext uri="{FF2B5EF4-FFF2-40B4-BE49-F238E27FC236}">
                  <a16:creationId xmlns:a16="http://schemas.microsoft.com/office/drawing/2014/main" id="{00000000-0008-0000-0000-00007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1977</xdr:row>
          <xdr:rowOff>15240</xdr:rowOff>
        </xdr:from>
        <xdr:to>
          <xdr:col>4</xdr:col>
          <xdr:colOff>1021080</xdr:colOff>
          <xdr:row>1977</xdr:row>
          <xdr:rowOff>220980</xdr:rowOff>
        </xdr:to>
        <xdr:sp macro="" textlink="">
          <xdr:nvSpPr>
            <xdr:cNvPr id="4213" name="Drop Down 3189" hidden="1">
              <a:extLst>
                <a:ext uri="{63B3BB69-23CF-44E3-9099-C40C66FF867C}">
                  <a14:compatExt spid="_x0000_s4213"/>
                </a:ext>
                <a:ext uri="{FF2B5EF4-FFF2-40B4-BE49-F238E27FC236}">
                  <a16:creationId xmlns:a16="http://schemas.microsoft.com/office/drawing/2014/main" id="{00000000-0008-0000-0000-00007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1977</xdr:row>
          <xdr:rowOff>0</xdr:rowOff>
        </xdr:from>
        <xdr:to>
          <xdr:col>4</xdr:col>
          <xdr:colOff>1706880</xdr:colOff>
          <xdr:row>1977</xdr:row>
          <xdr:rowOff>220980</xdr:rowOff>
        </xdr:to>
        <xdr:sp macro="" textlink="">
          <xdr:nvSpPr>
            <xdr:cNvPr id="4214" name="Drop Down 3190" hidden="1">
              <a:extLst>
                <a:ext uri="{63B3BB69-23CF-44E3-9099-C40C66FF867C}">
                  <a14:compatExt spid="_x0000_s4214"/>
                </a:ext>
                <a:ext uri="{FF2B5EF4-FFF2-40B4-BE49-F238E27FC236}">
                  <a16:creationId xmlns:a16="http://schemas.microsoft.com/office/drawing/2014/main" id="{00000000-0008-0000-0000-00007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1977</xdr:row>
          <xdr:rowOff>15240</xdr:rowOff>
        </xdr:from>
        <xdr:to>
          <xdr:col>6</xdr:col>
          <xdr:colOff>259080</xdr:colOff>
          <xdr:row>1977</xdr:row>
          <xdr:rowOff>220980</xdr:rowOff>
        </xdr:to>
        <xdr:sp macro="" textlink="">
          <xdr:nvSpPr>
            <xdr:cNvPr id="4215" name="Drop Down 3191" hidden="1">
              <a:extLst>
                <a:ext uri="{63B3BB69-23CF-44E3-9099-C40C66FF867C}">
                  <a14:compatExt spid="_x0000_s4215"/>
                </a:ext>
                <a:ext uri="{FF2B5EF4-FFF2-40B4-BE49-F238E27FC236}">
                  <a16:creationId xmlns:a16="http://schemas.microsoft.com/office/drawing/2014/main" id="{00000000-0008-0000-0000-00007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1977</xdr:row>
          <xdr:rowOff>15240</xdr:rowOff>
        </xdr:from>
        <xdr:to>
          <xdr:col>6</xdr:col>
          <xdr:colOff>1120140</xdr:colOff>
          <xdr:row>1977</xdr:row>
          <xdr:rowOff>220980</xdr:rowOff>
        </xdr:to>
        <xdr:sp macro="" textlink="">
          <xdr:nvSpPr>
            <xdr:cNvPr id="4216" name="Drop Down 3192" hidden="1">
              <a:extLst>
                <a:ext uri="{63B3BB69-23CF-44E3-9099-C40C66FF867C}">
                  <a14:compatExt spid="_x0000_s4216"/>
                </a:ext>
                <a:ext uri="{FF2B5EF4-FFF2-40B4-BE49-F238E27FC236}">
                  <a16:creationId xmlns:a16="http://schemas.microsoft.com/office/drawing/2014/main" id="{00000000-0008-0000-0000-00007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1977</xdr:row>
          <xdr:rowOff>0</xdr:rowOff>
        </xdr:from>
        <xdr:to>
          <xdr:col>6</xdr:col>
          <xdr:colOff>1805940</xdr:colOff>
          <xdr:row>1977</xdr:row>
          <xdr:rowOff>220980</xdr:rowOff>
        </xdr:to>
        <xdr:sp macro="" textlink="">
          <xdr:nvSpPr>
            <xdr:cNvPr id="4217" name="Drop Down 3193" hidden="1">
              <a:extLst>
                <a:ext uri="{63B3BB69-23CF-44E3-9099-C40C66FF867C}">
                  <a14:compatExt spid="_x0000_s4217"/>
                </a:ext>
                <a:ext uri="{FF2B5EF4-FFF2-40B4-BE49-F238E27FC236}">
                  <a16:creationId xmlns:a16="http://schemas.microsoft.com/office/drawing/2014/main" id="{00000000-0008-0000-0000-00007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1975</xdr:row>
          <xdr:rowOff>0</xdr:rowOff>
        </xdr:from>
        <xdr:to>
          <xdr:col>12</xdr:col>
          <xdr:colOff>716280</xdr:colOff>
          <xdr:row>1975</xdr:row>
          <xdr:rowOff>220980</xdr:rowOff>
        </xdr:to>
        <xdr:sp macro="" textlink="">
          <xdr:nvSpPr>
            <xdr:cNvPr id="4221" name="Drop Down 3197" hidden="1">
              <a:extLst>
                <a:ext uri="{63B3BB69-23CF-44E3-9099-C40C66FF867C}">
                  <a14:compatExt spid="_x0000_s4221"/>
                </a:ext>
                <a:ext uri="{FF2B5EF4-FFF2-40B4-BE49-F238E27FC236}">
                  <a16:creationId xmlns:a16="http://schemas.microsoft.com/office/drawing/2014/main" id="{00000000-0008-0000-0000-00007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1975</xdr:row>
          <xdr:rowOff>15240</xdr:rowOff>
        </xdr:from>
        <xdr:to>
          <xdr:col>12</xdr:col>
          <xdr:colOff>1325880</xdr:colOff>
          <xdr:row>1975</xdr:row>
          <xdr:rowOff>220980</xdr:rowOff>
        </xdr:to>
        <xdr:sp macro="" textlink="">
          <xdr:nvSpPr>
            <xdr:cNvPr id="4222" name="Drop Down 3198" hidden="1">
              <a:extLst>
                <a:ext uri="{63B3BB69-23CF-44E3-9099-C40C66FF867C}">
                  <a14:compatExt spid="_x0000_s4222"/>
                </a:ext>
                <a:ext uri="{FF2B5EF4-FFF2-40B4-BE49-F238E27FC236}">
                  <a16:creationId xmlns:a16="http://schemas.microsoft.com/office/drawing/2014/main" id="{00000000-0008-0000-0000-00007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1975</xdr:row>
          <xdr:rowOff>0</xdr:rowOff>
        </xdr:from>
        <xdr:to>
          <xdr:col>13</xdr:col>
          <xdr:colOff>0</xdr:colOff>
          <xdr:row>1975</xdr:row>
          <xdr:rowOff>220980</xdr:rowOff>
        </xdr:to>
        <xdr:sp macro="" textlink="">
          <xdr:nvSpPr>
            <xdr:cNvPr id="4223" name="Drop Down 3199" hidden="1">
              <a:extLst>
                <a:ext uri="{63B3BB69-23CF-44E3-9099-C40C66FF867C}">
                  <a14:compatExt spid="_x0000_s4223"/>
                </a:ext>
                <a:ext uri="{FF2B5EF4-FFF2-40B4-BE49-F238E27FC236}">
                  <a16:creationId xmlns:a16="http://schemas.microsoft.com/office/drawing/2014/main" id="{00000000-0008-0000-0000-00007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1977</xdr:row>
          <xdr:rowOff>0</xdr:rowOff>
        </xdr:from>
        <xdr:to>
          <xdr:col>12</xdr:col>
          <xdr:colOff>701040</xdr:colOff>
          <xdr:row>1977</xdr:row>
          <xdr:rowOff>220980</xdr:rowOff>
        </xdr:to>
        <xdr:sp macro="" textlink="">
          <xdr:nvSpPr>
            <xdr:cNvPr id="4224" name="Drop Down 3200" hidden="1">
              <a:extLst>
                <a:ext uri="{63B3BB69-23CF-44E3-9099-C40C66FF867C}">
                  <a14:compatExt spid="_x0000_s4224"/>
                </a:ext>
                <a:ext uri="{FF2B5EF4-FFF2-40B4-BE49-F238E27FC236}">
                  <a16:creationId xmlns:a16="http://schemas.microsoft.com/office/drawing/2014/main" id="{00000000-0008-0000-0000-00008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1977</xdr:row>
          <xdr:rowOff>15240</xdr:rowOff>
        </xdr:from>
        <xdr:to>
          <xdr:col>12</xdr:col>
          <xdr:colOff>1310640</xdr:colOff>
          <xdr:row>1977</xdr:row>
          <xdr:rowOff>220980</xdr:rowOff>
        </xdr:to>
        <xdr:sp macro="" textlink="">
          <xdr:nvSpPr>
            <xdr:cNvPr id="4225" name="Drop Down 3201" hidden="1">
              <a:extLst>
                <a:ext uri="{63B3BB69-23CF-44E3-9099-C40C66FF867C}">
                  <a14:compatExt spid="_x0000_s4225"/>
                </a:ext>
                <a:ext uri="{FF2B5EF4-FFF2-40B4-BE49-F238E27FC236}">
                  <a16:creationId xmlns:a16="http://schemas.microsoft.com/office/drawing/2014/main" id="{00000000-0008-0000-0000-00008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1976</xdr:row>
          <xdr:rowOff>220980</xdr:rowOff>
        </xdr:from>
        <xdr:to>
          <xdr:col>13</xdr:col>
          <xdr:colOff>0</xdr:colOff>
          <xdr:row>1977</xdr:row>
          <xdr:rowOff>220980</xdr:rowOff>
        </xdr:to>
        <xdr:sp macro="" textlink="">
          <xdr:nvSpPr>
            <xdr:cNvPr id="4226" name="Drop Down 3202" hidden="1">
              <a:extLst>
                <a:ext uri="{63B3BB69-23CF-44E3-9099-C40C66FF867C}">
                  <a14:compatExt spid="_x0000_s4226"/>
                </a:ext>
                <a:ext uri="{FF2B5EF4-FFF2-40B4-BE49-F238E27FC236}">
                  <a16:creationId xmlns:a16="http://schemas.microsoft.com/office/drawing/2014/main" id="{00000000-0008-0000-0000-00008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83</xdr:col>
          <xdr:colOff>0</xdr:colOff>
          <xdr:row>4015</xdr:row>
          <xdr:rowOff>0</xdr:rowOff>
        </xdr:from>
        <xdr:to>
          <xdr:col>84</xdr:col>
          <xdr:colOff>0</xdr:colOff>
          <xdr:row>4016</xdr:row>
          <xdr:rowOff>38100</xdr:rowOff>
        </xdr:to>
        <xdr:sp macro="" textlink="">
          <xdr:nvSpPr>
            <xdr:cNvPr id="4909" name="Drop Down 3885" hidden="1">
              <a:extLst>
                <a:ext uri="{63B3BB69-23CF-44E3-9099-C40C66FF867C}">
                  <a14:compatExt spid="_x0000_s4909"/>
                </a:ext>
                <a:ext uri="{FF2B5EF4-FFF2-40B4-BE49-F238E27FC236}">
                  <a16:creationId xmlns:a16="http://schemas.microsoft.com/office/drawing/2014/main" id="{00000000-0008-0000-0000-00002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1846</xdr:row>
          <xdr:rowOff>0</xdr:rowOff>
        </xdr:from>
        <xdr:to>
          <xdr:col>6</xdr:col>
          <xdr:colOff>624840</xdr:colOff>
          <xdr:row>1847</xdr:row>
          <xdr:rowOff>0</xdr:rowOff>
        </xdr:to>
        <xdr:sp macro="" textlink="">
          <xdr:nvSpPr>
            <xdr:cNvPr id="4926" name="Drop Down 3902" hidden="1">
              <a:extLst>
                <a:ext uri="{63B3BB69-23CF-44E3-9099-C40C66FF867C}">
                  <a14:compatExt spid="_x0000_s4926"/>
                </a:ext>
                <a:ext uri="{FF2B5EF4-FFF2-40B4-BE49-F238E27FC236}">
                  <a16:creationId xmlns:a16="http://schemas.microsoft.com/office/drawing/2014/main" id="{00000000-0008-0000-0000-00003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1846</xdr:row>
          <xdr:rowOff>15240</xdr:rowOff>
        </xdr:from>
        <xdr:to>
          <xdr:col>6</xdr:col>
          <xdr:colOff>1272540</xdr:colOff>
          <xdr:row>1847</xdr:row>
          <xdr:rowOff>0</xdr:rowOff>
        </xdr:to>
        <xdr:sp macro="" textlink="">
          <xdr:nvSpPr>
            <xdr:cNvPr id="4927" name="Drop Down 3903" hidden="1">
              <a:extLst>
                <a:ext uri="{63B3BB69-23CF-44E3-9099-C40C66FF867C}">
                  <a14:compatExt spid="_x0000_s4927"/>
                </a:ext>
                <a:ext uri="{FF2B5EF4-FFF2-40B4-BE49-F238E27FC236}">
                  <a16:creationId xmlns:a16="http://schemas.microsoft.com/office/drawing/2014/main" id="{00000000-0008-0000-0000-00003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1846</xdr:row>
          <xdr:rowOff>15240</xdr:rowOff>
        </xdr:from>
        <xdr:to>
          <xdr:col>6</xdr:col>
          <xdr:colOff>1805940</xdr:colOff>
          <xdr:row>1846</xdr:row>
          <xdr:rowOff>320040</xdr:rowOff>
        </xdr:to>
        <xdr:sp macro="" textlink="">
          <xdr:nvSpPr>
            <xdr:cNvPr id="4928" name="Drop Down 3904" hidden="1">
              <a:extLst>
                <a:ext uri="{63B3BB69-23CF-44E3-9099-C40C66FF867C}">
                  <a14:compatExt spid="_x0000_s4928"/>
                </a:ext>
                <a:ext uri="{FF2B5EF4-FFF2-40B4-BE49-F238E27FC236}">
                  <a16:creationId xmlns:a16="http://schemas.microsoft.com/office/drawing/2014/main" id="{00000000-0008-0000-0000-00004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1847</xdr:row>
          <xdr:rowOff>0</xdr:rowOff>
        </xdr:from>
        <xdr:to>
          <xdr:col>6</xdr:col>
          <xdr:colOff>624840</xdr:colOff>
          <xdr:row>1848</xdr:row>
          <xdr:rowOff>0</xdr:rowOff>
        </xdr:to>
        <xdr:sp macro="" textlink="">
          <xdr:nvSpPr>
            <xdr:cNvPr id="4929" name="Drop Down 3905" hidden="1">
              <a:extLst>
                <a:ext uri="{63B3BB69-23CF-44E3-9099-C40C66FF867C}">
                  <a14:compatExt spid="_x0000_s4929"/>
                </a:ext>
                <a:ext uri="{FF2B5EF4-FFF2-40B4-BE49-F238E27FC236}">
                  <a16:creationId xmlns:a16="http://schemas.microsoft.com/office/drawing/2014/main" id="{00000000-0008-0000-0000-00004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1847</xdr:row>
          <xdr:rowOff>15240</xdr:rowOff>
        </xdr:from>
        <xdr:to>
          <xdr:col>6</xdr:col>
          <xdr:colOff>1272540</xdr:colOff>
          <xdr:row>1848</xdr:row>
          <xdr:rowOff>0</xdr:rowOff>
        </xdr:to>
        <xdr:sp macro="" textlink="">
          <xdr:nvSpPr>
            <xdr:cNvPr id="4930" name="Drop Down 3906" hidden="1">
              <a:extLst>
                <a:ext uri="{63B3BB69-23CF-44E3-9099-C40C66FF867C}">
                  <a14:compatExt spid="_x0000_s4930"/>
                </a:ext>
                <a:ext uri="{FF2B5EF4-FFF2-40B4-BE49-F238E27FC236}">
                  <a16:creationId xmlns:a16="http://schemas.microsoft.com/office/drawing/2014/main" id="{00000000-0008-0000-0000-00004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1847</xdr:row>
          <xdr:rowOff>15240</xdr:rowOff>
        </xdr:from>
        <xdr:to>
          <xdr:col>6</xdr:col>
          <xdr:colOff>1805940</xdr:colOff>
          <xdr:row>1847</xdr:row>
          <xdr:rowOff>320040</xdr:rowOff>
        </xdr:to>
        <xdr:sp macro="" textlink="">
          <xdr:nvSpPr>
            <xdr:cNvPr id="4931" name="Drop Down 3907" hidden="1">
              <a:extLst>
                <a:ext uri="{63B3BB69-23CF-44E3-9099-C40C66FF867C}">
                  <a14:compatExt spid="_x0000_s4931"/>
                </a:ext>
                <a:ext uri="{FF2B5EF4-FFF2-40B4-BE49-F238E27FC236}">
                  <a16:creationId xmlns:a16="http://schemas.microsoft.com/office/drawing/2014/main" id="{00000000-0008-0000-0000-00004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1848</xdr:row>
          <xdr:rowOff>0</xdr:rowOff>
        </xdr:from>
        <xdr:to>
          <xdr:col>6</xdr:col>
          <xdr:colOff>624840</xdr:colOff>
          <xdr:row>1849</xdr:row>
          <xdr:rowOff>0</xdr:rowOff>
        </xdr:to>
        <xdr:sp macro="" textlink="">
          <xdr:nvSpPr>
            <xdr:cNvPr id="4932" name="Drop Down 3908" hidden="1">
              <a:extLst>
                <a:ext uri="{63B3BB69-23CF-44E3-9099-C40C66FF867C}">
                  <a14:compatExt spid="_x0000_s4932"/>
                </a:ext>
                <a:ext uri="{FF2B5EF4-FFF2-40B4-BE49-F238E27FC236}">
                  <a16:creationId xmlns:a16="http://schemas.microsoft.com/office/drawing/2014/main" id="{00000000-0008-0000-0000-00004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1848</xdr:row>
          <xdr:rowOff>15240</xdr:rowOff>
        </xdr:from>
        <xdr:to>
          <xdr:col>6</xdr:col>
          <xdr:colOff>1272540</xdr:colOff>
          <xdr:row>1849</xdr:row>
          <xdr:rowOff>0</xdr:rowOff>
        </xdr:to>
        <xdr:sp macro="" textlink="">
          <xdr:nvSpPr>
            <xdr:cNvPr id="4933" name="Drop Down 3909" hidden="1">
              <a:extLst>
                <a:ext uri="{63B3BB69-23CF-44E3-9099-C40C66FF867C}">
                  <a14:compatExt spid="_x0000_s4933"/>
                </a:ext>
                <a:ext uri="{FF2B5EF4-FFF2-40B4-BE49-F238E27FC236}">
                  <a16:creationId xmlns:a16="http://schemas.microsoft.com/office/drawing/2014/main" id="{00000000-0008-0000-0000-00004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1848</xdr:row>
          <xdr:rowOff>15240</xdr:rowOff>
        </xdr:from>
        <xdr:to>
          <xdr:col>6</xdr:col>
          <xdr:colOff>1805940</xdr:colOff>
          <xdr:row>1848</xdr:row>
          <xdr:rowOff>320040</xdr:rowOff>
        </xdr:to>
        <xdr:sp macro="" textlink="">
          <xdr:nvSpPr>
            <xdr:cNvPr id="4934" name="Drop Down 3910" hidden="1">
              <a:extLst>
                <a:ext uri="{63B3BB69-23CF-44E3-9099-C40C66FF867C}">
                  <a14:compatExt spid="_x0000_s4934"/>
                </a:ext>
                <a:ext uri="{FF2B5EF4-FFF2-40B4-BE49-F238E27FC236}">
                  <a16:creationId xmlns:a16="http://schemas.microsoft.com/office/drawing/2014/main" id="{00000000-0008-0000-0000-00004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1946</xdr:row>
          <xdr:rowOff>0</xdr:rowOff>
        </xdr:from>
        <xdr:to>
          <xdr:col>6</xdr:col>
          <xdr:colOff>624840</xdr:colOff>
          <xdr:row>1947</xdr:row>
          <xdr:rowOff>0</xdr:rowOff>
        </xdr:to>
        <xdr:sp macro="" textlink="">
          <xdr:nvSpPr>
            <xdr:cNvPr id="4941" name="Drop Down 3917" hidden="1">
              <a:extLst>
                <a:ext uri="{63B3BB69-23CF-44E3-9099-C40C66FF867C}">
                  <a14:compatExt spid="_x0000_s4941"/>
                </a:ext>
                <a:ext uri="{FF2B5EF4-FFF2-40B4-BE49-F238E27FC236}">
                  <a16:creationId xmlns:a16="http://schemas.microsoft.com/office/drawing/2014/main" id="{00000000-0008-0000-0000-00004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1946</xdr:row>
          <xdr:rowOff>15240</xdr:rowOff>
        </xdr:from>
        <xdr:to>
          <xdr:col>6</xdr:col>
          <xdr:colOff>1272540</xdr:colOff>
          <xdr:row>1947</xdr:row>
          <xdr:rowOff>0</xdr:rowOff>
        </xdr:to>
        <xdr:sp macro="" textlink="">
          <xdr:nvSpPr>
            <xdr:cNvPr id="4942" name="Drop Down 3918" hidden="1">
              <a:extLst>
                <a:ext uri="{63B3BB69-23CF-44E3-9099-C40C66FF867C}">
                  <a14:compatExt spid="_x0000_s4942"/>
                </a:ext>
                <a:ext uri="{FF2B5EF4-FFF2-40B4-BE49-F238E27FC236}">
                  <a16:creationId xmlns:a16="http://schemas.microsoft.com/office/drawing/2014/main" id="{00000000-0008-0000-0000-00004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1946</xdr:row>
          <xdr:rowOff>15240</xdr:rowOff>
        </xdr:from>
        <xdr:to>
          <xdr:col>6</xdr:col>
          <xdr:colOff>1805940</xdr:colOff>
          <xdr:row>1946</xdr:row>
          <xdr:rowOff>320040</xdr:rowOff>
        </xdr:to>
        <xdr:sp macro="" textlink="">
          <xdr:nvSpPr>
            <xdr:cNvPr id="4943" name="Drop Down 3919" hidden="1">
              <a:extLst>
                <a:ext uri="{63B3BB69-23CF-44E3-9099-C40C66FF867C}">
                  <a14:compatExt spid="_x0000_s4943"/>
                </a:ext>
                <a:ext uri="{FF2B5EF4-FFF2-40B4-BE49-F238E27FC236}">
                  <a16:creationId xmlns:a16="http://schemas.microsoft.com/office/drawing/2014/main" id="{00000000-0008-0000-0000-00004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1948</xdr:row>
          <xdr:rowOff>0</xdr:rowOff>
        </xdr:from>
        <xdr:to>
          <xdr:col>6</xdr:col>
          <xdr:colOff>624840</xdr:colOff>
          <xdr:row>1949</xdr:row>
          <xdr:rowOff>0</xdr:rowOff>
        </xdr:to>
        <xdr:sp macro="" textlink="">
          <xdr:nvSpPr>
            <xdr:cNvPr id="4944" name="Drop Down 3920" hidden="1">
              <a:extLst>
                <a:ext uri="{63B3BB69-23CF-44E3-9099-C40C66FF867C}">
                  <a14:compatExt spid="_x0000_s4944"/>
                </a:ext>
                <a:ext uri="{FF2B5EF4-FFF2-40B4-BE49-F238E27FC236}">
                  <a16:creationId xmlns:a16="http://schemas.microsoft.com/office/drawing/2014/main" id="{00000000-0008-0000-0000-00005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1948</xdr:row>
          <xdr:rowOff>15240</xdr:rowOff>
        </xdr:from>
        <xdr:to>
          <xdr:col>6</xdr:col>
          <xdr:colOff>1272540</xdr:colOff>
          <xdr:row>1949</xdr:row>
          <xdr:rowOff>0</xdr:rowOff>
        </xdr:to>
        <xdr:sp macro="" textlink="">
          <xdr:nvSpPr>
            <xdr:cNvPr id="4945" name="Drop Down 3921" hidden="1">
              <a:extLst>
                <a:ext uri="{63B3BB69-23CF-44E3-9099-C40C66FF867C}">
                  <a14:compatExt spid="_x0000_s4945"/>
                </a:ext>
                <a:ext uri="{FF2B5EF4-FFF2-40B4-BE49-F238E27FC236}">
                  <a16:creationId xmlns:a16="http://schemas.microsoft.com/office/drawing/2014/main" id="{00000000-0008-0000-0000-00005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1948</xdr:row>
          <xdr:rowOff>15240</xdr:rowOff>
        </xdr:from>
        <xdr:to>
          <xdr:col>6</xdr:col>
          <xdr:colOff>1805940</xdr:colOff>
          <xdr:row>1948</xdr:row>
          <xdr:rowOff>320040</xdr:rowOff>
        </xdr:to>
        <xdr:sp macro="" textlink="">
          <xdr:nvSpPr>
            <xdr:cNvPr id="4946" name="Drop Down 3922" hidden="1">
              <a:extLst>
                <a:ext uri="{63B3BB69-23CF-44E3-9099-C40C66FF867C}">
                  <a14:compatExt spid="_x0000_s4946"/>
                </a:ext>
                <a:ext uri="{FF2B5EF4-FFF2-40B4-BE49-F238E27FC236}">
                  <a16:creationId xmlns:a16="http://schemas.microsoft.com/office/drawing/2014/main" id="{00000000-0008-0000-0000-00005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1947</xdr:row>
          <xdr:rowOff>0</xdr:rowOff>
        </xdr:from>
        <xdr:to>
          <xdr:col>6</xdr:col>
          <xdr:colOff>624840</xdr:colOff>
          <xdr:row>1948</xdr:row>
          <xdr:rowOff>0</xdr:rowOff>
        </xdr:to>
        <xdr:sp macro="" textlink="">
          <xdr:nvSpPr>
            <xdr:cNvPr id="4947" name="Drop Down 3923" hidden="1">
              <a:extLst>
                <a:ext uri="{63B3BB69-23CF-44E3-9099-C40C66FF867C}">
                  <a14:compatExt spid="_x0000_s4947"/>
                </a:ext>
                <a:ext uri="{FF2B5EF4-FFF2-40B4-BE49-F238E27FC236}">
                  <a16:creationId xmlns:a16="http://schemas.microsoft.com/office/drawing/2014/main" id="{00000000-0008-0000-0000-00005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1947</xdr:row>
          <xdr:rowOff>15240</xdr:rowOff>
        </xdr:from>
        <xdr:to>
          <xdr:col>6</xdr:col>
          <xdr:colOff>1272540</xdr:colOff>
          <xdr:row>1948</xdr:row>
          <xdr:rowOff>0</xdr:rowOff>
        </xdr:to>
        <xdr:sp macro="" textlink="">
          <xdr:nvSpPr>
            <xdr:cNvPr id="4948" name="Drop Down 3924" hidden="1">
              <a:extLst>
                <a:ext uri="{63B3BB69-23CF-44E3-9099-C40C66FF867C}">
                  <a14:compatExt spid="_x0000_s4948"/>
                </a:ext>
                <a:ext uri="{FF2B5EF4-FFF2-40B4-BE49-F238E27FC236}">
                  <a16:creationId xmlns:a16="http://schemas.microsoft.com/office/drawing/2014/main" id="{00000000-0008-0000-0000-00005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1947</xdr:row>
          <xdr:rowOff>15240</xdr:rowOff>
        </xdr:from>
        <xdr:to>
          <xdr:col>6</xdr:col>
          <xdr:colOff>1805940</xdr:colOff>
          <xdr:row>1947</xdr:row>
          <xdr:rowOff>320040</xdr:rowOff>
        </xdr:to>
        <xdr:sp macro="" textlink="">
          <xdr:nvSpPr>
            <xdr:cNvPr id="4949" name="Drop Down 3925" hidden="1">
              <a:extLst>
                <a:ext uri="{63B3BB69-23CF-44E3-9099-C40C66FF867C}">
                  <a14:compatExt spid="_x0000_s4949"/>
                </a:ext>
                <a:ext uri="{FF2B5EF4-FFF2-40B4-BE49-F238E27FC236}">
                  <a16:creationId xmlns:a16="http://schemas.microsoft.com/office/drawing/2014/main" id="{00000000-0008-0000-0000-00005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1546</xdr:row>
          <xdr:rowOff>0</xdr:rowOff>
        </xdr:from>
        <xdr:to>
          <xdr:col>6</xdr:col>
          <xdr:colOff>624840</xdr:colOff>
          <xdr:row>1547</xdr:row>
          <xdr:rowOff>0</xdr:rowOff>
        </xdr:to>
        <xdr:sp macro="" textlink="">
          <xdr:nvSpPr>
            <xdr:cNvPr id="5106" name="Drop Down 4082" hidden="1">
              <a:extLst>
                <a:ext uri="{63B3BB69-23CF-44E3-9099-C40C66FF867C}">
                  <a14:compatExt spid="_x0000_s5106"/>
                </a:ext>
                <a:ext uri="{FF2B5EF4-FFF2-40B4-BE49-F238E27FC236}">
                  <a16:creationId xmlns:a16="http://schemas.microsoft.com/office/drawing/2014/main" id="{00000000-0008-0000-0000-0000F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1546</xdr:row>
          <xdr:rowOff>15240</xdr:rowOff>
        </xdr:from>
        <xdr:to>
          <xdr:col>6</xdr:col>
          <xdr:colOff>1272540</xdr:colOff>
          <xdr:row>1547</xdr:row>
          <xdr:rowOff>0</xdr:rowOff>
        </xdr:to>
        <xdr:sp macro="" textlink="">
          <xdr:nvSpPr>
            <xdr:cNvPr id="5107" name="Drop Down 4083" hidden="1">
              <a:extLst>
                <a:ext uri="{63B3BB69-23CF-44E3-9099-C40C66FF867C}">
                  <a14:compatExt spid="_x0000_s5107"/>
                </a:ext>
                <a:ext uri="{FF2B5EF4-FFF2-40B4-BE49-F238E27FC236}">
                  <a16:creationId xmlns:a16="http://schemas.microsoft.com/office/drawing/2014/main" id="{00000000-0008-0000-0000-0000F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1546</xdr:row>
          <xdr:rowOff>15240</xdr:rowOff>
        </xdr:from>
        <xdr:to>
          <xdr:col>6</xdr:col>
          <xdr:colOff>1805940</xdr:colOff>
          <xdr:row>1546</xdr:row>
          <xdr:rowOff>320040</xdr:rowOff>
        </xdr:to>
        <xdr:sp macro="" textlink="">
          <xdr:nvSpPr>
            <xdr:cNvPr id="5108" name="Drop Down 4084" hidden="1">
              <a:extLst>
                <a:ext uri="{63B3BB69-23CF-44E3-9099-C40C66FF867C}">
                  <a14:compatExt spid="_x0000_s5108"/>
                </a:ext>
                <a:ext uri="{FF2B5EF4-FFF2-40B4-BE49-F238E27FC236}">
                  <a16:creationId xmlns:a16="http://schemas.microsoft.com/office/drawing/2014/main" id="{00000000-0008-0000-0000-0000F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1547</xdr:row>
          <xdr:rowOff>0</xdr:rowOff>
        </xdr:from>
        <xdr:to>
          <xdr:col>6</xdr:col>
          <xdr:colOff>624840</xdr:colOff>
          <xdr:row>1548</xdr:row>
          <xdr:rowOff>0</xdr:rowOff>
        </xdr:to>
        <xdr:sp macro="" textlink="">
          <xdr:nvSpPr>
            <xdr:cNvPr id="5109" name="Drop Down 4085" hidden="1">
              <a:extLst>
                <a:ext uri="{63B3BB69-23CF-44E3-9099-C40C66FF867C}">
                  <a14:compatExt spid="_x0000_s5109"/>
                </a:ext>
                <a:ext uri="{FF2B5EF4-FFF2-40B4-BE49-F238E27FC236}">
                  <a16:creationId xmlns:a16="http://schemas.microsoft.com/office/drawing/2014/main" id="{00000000-0008-0000-0000-0000F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1547</xdr:row>
          <xdr:rowOff>15240</xdr:rowOff>
        </xdr:from>
        <xdr:to>
          <xdr:col>6</xdr:col>
          <xdr:colOff>1272540</xdr:colOff>
          <xdr:row>1548</xdr:row>
          <xdr:rowOff>0</xdr:rowOff>
        </xdr:to>
        <xdr:sp macro="" textlink="">
          <xdr:nvSpPr>
            <xdr:cNvPr id="5110" name="Drop Down 4086" hidden="1">
              <a:extLst>
                <a:ext uri="{63B3BB69-23CF-44E3-9099-C40C66FF867C}">
                  <a14:compatExt spid="_x0000_s5110"/>
                </a:ext>
                <a:ext uri="{FF2B5EF4-FFF2-40B4-BE49-F238E27FC236}">
                  <a16:creationId xmlns:a16="http://schemas.microsoft.com/office/drawing/2014/main" id="{00000000-0008-0000-0000-0000F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1547</xdr:row>
          <xdr:rowOff>15240</xdr:rowOff>
        </xdr:from>
        <xdr:to>
          <xdr:col>6</xdr:col>
          <xdr:colOff>1805940</xdr:colOff>
          <xdr:row>1547</xdr:row>
          <xdr:rowOff>320040</xdr:rowOff>
        </xdr:to>
        <xdr:sp macro="" textlink="">
          <xdr:nvSpPr>
            <xdr:cNvPr id="5111" name="Drop Down 4087" hidden="1">
              <a:extLst>
                <a:ext uri="{63B3BB69-23CF-44E3-9099-C40C66FF867C}">
                  <a14:compatExt spid="_x0000_s5111"/>
                </a:ext>
                <a:ext uri="{FF2B5EF4-FFF2-40B4-BE49-F238E27FC236}">
                  <a16:creationId xmlns:a16="http://schemas.microsoft.com/office/drawing/2014/main" id="{00000000-0008-0000-0000-0000F7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1548</xdr:row>
          <xdr:rowOff>0</xdr:rowOff>
        </xdr:from>
        <xdr:to>
          <xdr:col>6</xdr:col>
          <xdr:colOff>624840</xdr:colOff>
          <xdr:row>1549</xdr:row>
          <xdr:rowOff>0</xdr:rowOff>
        </xdr:to>
        <xdr:sp macro="" textlink="">
          <xdr:nvSpPr>
            <xdr:cNvPr id="5112" name="Drop Down 4088" hidden="1">
              <a:extLst>
                <a:ext uri="{63B3BB69-23CF-44E3-9099-C40C66FF867C}">
                  <a14:compatExt spid="_x0000_s5112"/>
                </a:ext>
                <a:ext uri="{FF2B5EF4-FFF2-40B4-BE49-F238E27FC236}">
                  <a16:creationId xmlns:a16="http://schemas.microsoft.com/office/drawing/2014/main" id="{00000000-0008-0000-0000-0000F8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1548</xdr:row>
          <xdr:rowOff>15240</xdr:rowOff>
        </xdr:from>
        <xdr:to>
          <xdr:col>6</xdr:col>
          <xdr:colOff>1272540</xdr:colOff>
          <xdr:row>1549</xdr:row>
          <xdr:rowOff>0</xdr:rowOff>
        </xdr:to>
        <xdr:sp macro="" textlink="">
          <xdr:nvSpPr>
            <xdr:cNvPr id="5113" name="Drop Down 4089" hidden="1">
              <a:extLst>
                <a:ext uri="{63B3BB69-23CF-44E3-9099-C40C66FF867C}">
                  <a14:compatExt spid="_x0000_s5113"/>
                </a:ext>
                <a:ext uri="{FF2B5EF4-FFF2-40B4-BE49-F238E27FC236}">
                  <a16:creationId xmlns:a16="http://schemas.microsoft.com/office/drawing/2014/main" id="{00000000-0008-0000-0000-0000F9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1548</xdr:row>
          <xdr:rowOff>15240</xdr:rowOff>
        </xdr:from>
        <xdr:to>
          <xdr:col>6</xdr:col>
          <xdr:colOff>1805940</xdr:colOff>
          <xdr:row>1548</xdr:row>
          <xdr:rowOff>320040</xdr:rowOff>
        </xdr:to>
        <xdr:sp macro="" textlink="">
          <xdr:nvSpPr>
            <xdr:cNvPr id="5114" name="Drop Down 4090" hidden="1">
              <a:extLst>
                <a:ext uri="{63B3BB69-23CF-44E3-9099-C40C66FF867C}">
                  <a14:compatExt spid="_x0000_s5114"/>
                </a:ext>
                <a:ext uri="{FF2B5EF4-FFF2-40B4-BE49-F238E27FC236}">
                  <a16:creationId xmlns:a16="http://schemas.microsoft.com/office/drawing/2014/main" id="{00000000-0008-0000-0000-0000FA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6</xdr:col>
          <xdr:colOff>624840</xdr:colOff>
          <xdr:row>47</xdr:row>
          <xdr:rowOff>0</xdr:rowOff>
        </xdr:to>
        <xdr:sp macro="" textlink="">
          <xdr:nvSpPr>
            <xdr:cNvPr id="5121" name="Drop Down 4097"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46</xdr:row>
          <xdr:rowOff>15240</xdr:rowOff>
        </xdr:from>
        <xdr:to>
          <xdr:col>6</xdr:col>
          <xdr:colOff>1272540</xdr:colOff>
          <xdr:row>47</xdr:row>
          <xdr:rowOff>0</xdr:rowOff>
        </xdr:to>
        <xdr:sp macro="" textlink="">
          <xdr:nvSpPr>
            <xdr:cNvPr id="5122" name="Drop Down 4098"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46</xdr:row>
          <xdr:rowOff>15240</xdr:rowOff>
        </xdr:from>
        <xdr:to>
          <xdr:col>6</xdr:col>
          <xdr:colOff>1805940</xdr:colOff>
          <xdr:row>46</xdr:row>
          <xdr:rowOff>320040</xdr:rowOff>
        </xdr:to>
        <xdr:sp macro="" textlink="">
          <xdr:nvSpPr>
            <xdr:cNvPr id="5123" name="Drop Down 4099"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47</xdr:row>
          <xdr:rowOff>0</xdr:rowOff>
        </xdr:from>
        <xdr:to>
          <xdr:col>6</xdr:col>
          <xdr:colOff>624840</xdr:colOff>
          <xdr:row>48</xdr:row>
          <xdr:rowOff>0</xdr:rowOff>
        </xdr:to>
        <xdr:sp macro="" textlink="">
          <xdr:nvSpPr>
            <xdr:cNvPr id="5124" name="Drop Down 4100"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47</xdr:row>
          <xdr:rowOff>15240</xdr:rowOff>
        </xdr:from>
        <xdr:to>
          <xdr:col>6</xdr:col>
          <xdr:colOff>1272540</xdr:colOff>
          <xdr:row>48</xdr:row>
          <xdr:rowOff>0</xdr:rowOff>
        </xdr:to>
        <xdr:sp macro="" textlink="">
          <xdr:nvSpPr>
            <xdr:cNvPr id="5125" name="Drop Down 4101" hidden="1">
              <a:extLst>
                <a:ext uri="{63B3BB69-23CF-44E3-9099-C40C66FF867C}">
                  <a14:compatExt spid="_x0000_s5125"/>
                </a:ext>
                <a:ext uri="{FF2B5EF4-FFF2-40B4-BE49-F238E27FC236}">
                  <a16:creationId xmlns:a16="http://schemas.microsoft.com/office/drawing/2014/main" id="{00000000-0008-0000-0000-00000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47</xdr:row>
          <xdr:rowOff>15240</xdr:rowOff>
        </xdr:from>
        <xdr:to>
          <xdr:col>6</xdr:col>
          <xdr:colOff>1805940</xdr:colOff>
          <xdr:row>47</xdr:row>
          <xdr:rowOff>320040</xdr:rowOff>
        </xdr:to>
        <xdr:sp macro="" textlink="">
          <xdr:nvSpPr>
            <xdr:cNvPr id="5126" name="Drop Down 4102"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6</xdr:col>
          <xdr:colOff>624840</xdr:colOff>
          <xdr:row>49</xdr:row>
          <xdr:rowOff>0</xdr:rowOff>
        </xdr:to>
        <xdr:sp macro="" textlink="">
          <xdr:nvSpPr>
            <xdr:cNvPr id="5127" name="Drop Down 4103" hidden="1">
              <a:extLst>
                <a:ext uri="{63B3BB69-23CF-44E3-9099-C40C66FF867C}">
                  <a14:compatExt spid="_x0000_s5127"/>
                </a:ext>
                <a:ext uri="{FF2B5EF4-FFF2-40B4-BE49-F238E27FC236}">
                  <a16:creationId xmlns:a16="http://schemas.microsoft.com/office/drawing/2014/main" id="{00000000-0008-0000-0000-00000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48</xdr:row>
          <xdr:rowOff>15240</xdr:rowOff>
        </xdr:from>
        <xdr:to>
          <xdr:col>6</xdr:col>
          <xdr:colOff>1272540</xdr:colOff>
          <xdr:row>49</xdr:row>
          <xdr:rowOff>0</xdr:rowOff>
        </xdr:to>
        <xdr:sp macro="" textlink="">
          <xdr:nvSpPr>
            <xdr:cNvPr id="5128" name="Drop Down 4104" hidden="1">
              <a:extLst>
                <a:ext uri="{63B3BB69-23CF-44E3-9099-C40C66FF867C}">
                  <a14:compatExt spid="_x0000_s5128"/>
                </a:ext>
                <a:ext uri="{FF2B5EF4-FFF2-40B4-BE49-F238E27FC236}">
                  <a16:creationId xmlns:a16="http://schemas.microsoft.com/office/drawing/2014/main" id="{00000000-0008-0000-0000-00000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48</xdr:row>
          <xdr:rowOff>15240</xdr:rowOff>
        </xdr:from>
        <xdr:to>
          <xdr:col>6</xdr:col>
          <xdr:colOff>1805940</xdr:colOff>
          <xdr:row>48</xdr:row>
          <xdr:rowOff>320040</xdr:rowOff>
        </xdr:to>
        <xdr:sp macro="" textlink="">
          <xdr:nvSpPr>
            <xdr:cNvPr id="5129" name="Drop Down 4105" hidden="1">
              <a:extLst>
                <a:ext uri="{63B3BB69-23CF-44E3-9099-C40C66FF867C}">
                  <a14:compatExt spid="_x0000_s5129"/>
                </a:ext>
                <a:ext uri="{FF2B5EF4-FFF2-40B4-BE49-F238E27FC236}">
                  <a16:creationId xmlns:a16="http://schemas.microsoft.com/office/drawing/2014/main" id="{00000000-0008-0000-0000-00000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146</xdr:row>
          <xdr:rowOff>0</xdr:rowOff>
        </xdr:from>
        <xdr:to>
          <xdr:col>6</xdr:col>
          <xdr:colOff>624840</xdr:colOff>
          <xdr:row>147</xdr:row>
          <xdr:rowOff>0</xdr:rowOff>
        </xdr:to>
        <xdr:sp macro="" textlink="">
          <xdr:nvSpPr>
            <xdr:cNvPr id="5136" name="Drop Down 4112" hidden="1">
              <a:extLst>
                <a:ext uri="{63B3BB69-23CF-44E3-9099-C40C66FF867C}">
                  <a14:compatExt spid="_x0000_s5136"/>
                </a:ext>
                <a:ext uri="{FF2B5EF4-FFF2-40B4-BE49-F238E27FC236}">
                  <a16:creationId xmlns:a16="http://schemas.microsoft.com/office/drawing/2014/main" id="{00000000-0008-0000-0000-00001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146</xdr:row>
          <xdr:rowOff>15240</xdr:rowOff>
        </xdr:from>
        <xdr:to>
          <xdr:col>6</xdr:col>
          <xdr:colOff>1272540</xdr:colOff>
          <xdr:row>147</xdr:row>
          <xdr:rowOff>0</xdr:rowOff>
        </xdr:to>
        <xdr:sp macro="" textlink="">
          <xdr:nvSpPr>
            <xdr:cNvPr id="5137" name="Drop Down 4113" hidden="1">
              <a:extLst>
                <a:ext uri="{63B3BB69-23CF-44E3-9099-C40C66FF867C}">
                  <a14:compatExt spid="_x0000_s5137"/>
                </a:ext>
                <a:ext uri="{FF2B5EF4-FFF2-40B4-BE49-F238E27FC236}">
                  <a16:creationId xmlns:a16="http://schemas.microsoft.com/office/drawing/2014/main" id="{00000000-0008-0000-0000-00001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146</xdr:row>
          <xdr:rowOff>15240</xdr:rowOff>
        </xdr:from>
        <xdr:to>
          <xdr:col>6</xdr:col>
          <xdr:colOff>1805940</xdr:colOff>
          <xdr:row>146</xdr:row>
          <xdr:rowOff>320040</xdr:rowOff>
        </xdr:to>
        <xdr:sp macro="" textlink="">
          <xdr:nvSpPr>
            <xdr:cNvPr id="5138" name="Drop Down 4114" hidden="1">
              <a:extLst>
                <a:ext uri="{63B3BB69-23CF-44E3-9099-C40C66FF867C}">
                  <a14:compatExt spid="_x0000_s5138"/>
                </a:ext>
                <a:ext uri="{FF2B5EF4-FFF2-40B4-BE49-F238E27FC236}">
                  <a16:creationId xmlns:a16="http://schemas.microsoft.com/office/drawing/2014/main" id="{00000000-0008-0000-0000-00001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147</xdr:row>
          <xdr:rowOff>0</xdr:rowOff>
        </xdr:from>
        <xdr:to>
          <xdr:col>6</xdr:col>
          <xdr:colOff>624840</xdr:colOff>
          <xdr:row>148</xdr:row>
          <xdr:rowOff>0</xdr:rowOff>
        </xdr:to>
        <xdr:sp macro="" textlink="">
          <xdr:nvSpPr>
            <xdr:cNvPr id="5139" name="Drop Down 4115" hidden="1">
              <a:extLst>
                <a:ext uri="{63B3BB69-23CF-44E3-9099-C40C66FF867C}">
                  <a14:compatExt spid="_x0000_s5139"/>
                </a:ext>
                <a:ext uri="{FF2B5EF4-FFF2-40B4-BE49-F238E27FC236}">
                  <a16:creationId xmlns:a16="http://schemas.microsoft.com/office/drawing/2014/main" id="{00000000-0008-0000-0000-00001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147</xdr:row>
          <xdr:rowOff>15240</xdr:rowOff>
        </xdr:from>
        <xdr:to>
          <xdr:col>6</xdr:col>
          <xdr:colOff>1272540</xdr:colOff>
          <xdr:row>148</xdr:row>
          <xdr:rowOff>0</xdr:rowOff>
        </xdr:to>
        <xdr:sp macro="" textlink="">
          <xdr:nvSpPr>
            <xdr:cNvPr id="5140" name="Drop Down 4116" hidden="1">
              <a:extLst>
                <a:ext uri="{63B3BB69-23CF-44E3-9099-C40C66FF867C}">
                  <a14:compatExt spid="_x0000_s5140"/>
                </a:ext>
                <a:ext uri="{FF2B5EF4-FFF2-40B4-BE49-F238E27FC236}">
                  <a16:creationId xmlns:a16="http://schemas.microsoft.com/office/drawing/2014/main" id="{00000000-0008-0000-0000-00001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147</xdr:row>
          <xdr:rowOff>15240</xdr:rowOff>
        </xdr:from>
        <xdr:to>
          <xdr:col>6</xdr:col>
          <xdr:colOff>1805940</xdr:colOff>
          <xdr:row>147</xdr:row>
          <xdr:rowOff>320040</xdr:rowOff>
        </xdr:to>
        <xdr:sp macro="" textlink="">
          <xdr:nvSpPr>
            <xdr:cNvPr id="5141" name="Drop Down 4117" hidden="1">
              <a:extLst>
                <a:ext uri="{63B3BB69-23CF-44E3-9099-C40C66FF867C}">
                  <a14:compatExt spid="_x0000_s5141"/>
                </a:ext>
                <a:ext uri="{FF2B5EF4-FFF2-40B4-BE49-F238E27FC236}">
                  <a16:creationId xmlns:a16="http://schemas.microsoft.com/office/drawing/2014/main" id="{00000000-0008-0000-0000-00001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148</xdr:row>
          <xdr:rowOff>0</xdr:rowOff>
        </xdr:from>
        <xdr:to>
          <xdr:col>6</xdr:col>
          <xdr:colOff>624840</xdr:colOff>
          <xdr:row>149</xdr:row>
          <xdr:rowOff>0</xdr:rowOff>
        </xdr:to>
        <xdr:sp macro="" textlink="">
          <xdr:nvSpPr>
            <xdr:cNvPr id="5142" name="Drop Down 4118" hidden="1">
              <a:extLst>
                <a:ext uri="{63B3BB69-23CF-44E3-9099-C40C66FF867C}">
                  <a14:compatExt spid="_x0000_s5142"/>
                </a:ext>
                <a:ext uri="{FF2B5EF4-FFF2-40B4-BE49-F238E27FC236}">
                  <a16:creationId xmlns:a16="http://schemas.microsoft.com/office/drawing/2014/main" id="{00000000-0008-0000-0000-00001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148</xdr:row>
          <xdr:rowOff>15240</xdr:rowOff>
        </xdr:from>
        <xdr:to>
          <xdr:col>6</xdr:col>
          <xdr:colOff>1272540</xdr:colOff>
          <xdr:row>149</xdr:row>
          <xdr:rowOff>0</xdr:rowOff>
        </xdr:to>
        <xdr:sp macro="" textlink="">
          <xdr:nvSpPr>
            <xdr:cNvPr id="5143" name="Drop Down 4119" hidden="1">
              <a:extLst>
                <a:ext uri="{63B3BB69-23CF-44E3-9099-C40C66FF867C}">
                  <a14:compatExt spid="_x0000_s5143"/>
                </a:ext>
                <a:ext uri="{FF2B5EF4-FFF2-40B4-BE49-F238E27FC236}">
                  <a16:creationId xmlns:a16="http://schemas.microsoft.com/office/drawing/2014/main" id="{00000000-0008-0000-0000-00001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148</xdr:row>
          <xdr:rowOff>15240</xdr:rowOff>
        </xdr:from>
        <xdr:to>
          <xdr:col>6</xdr:col>
          <xdr:colOff>1805940</xdr:colOff>
          <xdr:row>148</xdr:row>
          <xdr:rowOff>320040</xdr:rowOff>
        </xdr:to>
        <xdr:sp macro="" textlink="">
          <xdr:nvSpPr>
            <xdr:cNvPr id="5144" name="Drop Down 4120" hidden="1">
              <a:extLst>
                <a:ext uri="{63B3BB69-23CF-44E3-9099-C40C66FF867C}">
                  <a14:compatExt spid="_x0000_s5144"/>
                </a:ext>
                <a:ext uri="{FF2B5EF4-FFF2-40B4-BE49-F238E27FC236}">
                  <a16:creationId xmlns:a16="http://schemas.microsoft.com/office/drawing/2014/main" id="{00000000-0008-0000-0000-00001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246</xdr:row>
          <xdr:rowOff>0</xdr:rowOff>
        </xdr:from>
        <xdr:to>
          <xdr:col>6</xdr:col>
          <xdr:colOff>624840</xdr:colOff>
          <xdr:row>247</xdr:row>
          <xdr:rowOff>0</xdr:rowOff>
        </xdr:to>
        <xdr:sp macro="" textlink="">
          <xdr:nvSpPr>
            <xdr:cNvPr id="5151" name="Drop Down 4127" hidden="1">
              <a:extLst>
                <a:ext uri="{63B3BB69-23CF-44E3-9099-C40C66FF867C}">
                  <a14:compatExt spid="_x0000_s5151"/>
                </a:ext>
                <a:ext uri="{FF2B5EF4-FFF2-40B4-BE49-F238E27FC236}">
                  <a16:creationId xmlns:a16="http://schemas.microsoft.com/office/drawing/2014/main" id="{00000000-0008-0000-0000-00001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246</xdr:row>
          <xdr:rowOff>15240</xdr:rowOff>
        </xdr:from>
        <xdr:to>
          <xdr:col>6</xdr:col>
          <xdr:colOff>1272540</xdr:colOff>
          <xdr:row>247</xdr:row>
          <xdr:rowOff>0</xdr:rowOff>
        </xdr:to>
        <xdr:sp macro="" textlink="">
          <xdr:nvSpPr>
            <xdr:cNvPr id="5152" name="Drop Down 4128" hidden="1">
              <a:extLst>
                <a:ext uri="{63B3BB69-23CF-44E3-9099-C40C66FF867C}">
                  <a14:compatExt spid="_x0000_s5152"/>
                </a:ext>
                <a:ext uri="{FF2B5EF4-FFF2-40B4-BE49-F238E27FC236}">
                  <a16:creationId xmlns:a16="http://schemas.microsoft.com/office/drawing/2014/main" id="{00000000-0008-0000-0000-00002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246</xdr:row>
          <xdr:rowOff>15240</xdr:rowOff>
        </xdr:from>
        <xdr:to>
          <xdr:col>6</xdr:col>
          <xdr:colOff>1805940</xdr:colOff>
          <xdr:row>246</xdr:row>
          <xdr:rowOff>320040</xdr:rowOff>
        </xdr:to>
        <xdr:sp macro="" textlink="">
          <xdr:nvSpPr>
            <xdr:cNvPr id="5153" name="Drop Down 4129" hidden="1">
              <a:extLst>
                <a:ext uri="{63B3BB69-23CF-44E3-9099-C40C66FF867C}">
                  <a14:compatExt spid="_x0000_s5153"/>
                </a:ext>
                <a:ext uri="{FF2B5EF4-FFF2-40B4-BE49-F238E27FC236}">
                  <a16:creationId xmlns:a16="http://schemas.microsoft.com/office/drawing/2014/main" id="{00000000-0008-0000-0000-00002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247</xdr:row>
          <xdr:rowOff>0</xdr:rowOff>
        </xdr:from>
        <xdr:to>
          <xdr:col>6</xdr:col>
          <xdr:colOff>624840</xdr:colOff>
          <xdr:row>248</xdr:row>
          <xdr:rowOff>0</xdr:rowOff>
        </xdr:to>
        <xdr:sp macro="" textlink="">
          <xdr:nvSpPr>
            <xdr:cNvPr id="5154" name="Drop Down 4130" hidden="1">
              <a:extLst>
                <a:ext uri="{63B3BB69-23CF-44E3-9099-C40C66FF867C}">
                  <a14:compatExt spid="_x0000_s5154"/>
                </a:ext>
                <a:ext uri="{FF2B5EF4-FFF2-40B4-BE49-F238E27FC236}">
                  <a16:creationId xmlns:a16="http://schemas.microsoft.com/office/drawing/2014/main" id="{00000000-0008-0000-0000-00002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247</xdr:row>
          <xdr:rowOff>15240</xdr:rowOff>
        </xdr:from>
        <xdr:to>
          <xdr:col>6</xdr:col>
          <xdr:colOff>1272540</xdr:colOff>
          <xdr:row>248</xdr:row>
          <xdr:rowOff>0</xdr:rowOff>
        </xdr:to>
        <xdr:sp macro="" textlink="">
          <xdr:nvSpPr>
            <xdr:cNvPr id="5155" name="Drop Down 4131" hidden="1">
              <a:extLst>
                <a:ext uri="{63B3BB69-23CF-44E3-9099-C40C66FF867C}">
                  <a14:compatExt spid="_x0000_s5155"/>
                </a:ext>
                <a:ext uri="{FF2B5EF4-FFF2-40B4-BE49-F238E27FC236}">
                  <a16:creationId xmlns:a16="http://schemas.microsoft.com/office/drawing/2014/main" id="{00000000-0008-0000-0000-00002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247</xdr:row>
          <xdr:rowOff>15240</xdr:rowOff>
        </xdr:from>
        <xdr:to>
          <xdr:col>6</xdr:col>
          <xdr:colOff>1805940</xdr:colOff>
          <xdr:row>247</xdr:row>
          <xdr:rowOff>320040</xdr:rowOff>
        </xdr:to>
        <xdr:sp macro="" textlink="">
          <xdr:nvSpPr>
            <xdr:cNvPr id="5156" name="Drop Down 4132" hidden="1">
              <a:extLst>
                <a:ext uri="{63B3BB69-23CF-44E3-9099-C40C66FF867C}">
                  <a14:compatExt spid="_x0000_s5156"/>
                </a:ext>
                <a:ext uri="{FF2B5EF4-FFF2-40B4-BE49-F238E27FC236}">
                  <a16:creationId xmlns:a16="http://schemas.microsoft.com/office/drawing/2014/main" id="{00000000-0008-0000-0000-00002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248</xdr:row>
          <xdr:rowOff>0</xdr:rowOff>
        </xdr:from>
        <xdr:to>
          <xdr:col>6</xdr:col>
          <xdr:colOff>624840</xdr:colOff>
          <xdr:row>249</xdr:row>
          <xdr:rowOff>0</xdr:rowOff>
        </xdr:to>
        <xdr:sp macro="" textlink="">
          <xdr:nvSpPr>
            <xdr:cNvPr id="5157" name="Drop Down 4133" hidden="1">
              <a:extLst>
                <a:ext uri="{63B3BB69-23CF-44E3-9099-C40C66FF867C}">
                  <a14:compatExt spid="_x0000_s5157"/>
                </a:ext>
                <a:ext uri="{FF2B5EF4-FFF2-40B4-BE49-F238E27FC236}">
                  <a16:creationId xmlns:a16="http://schemas.microsoft.com/office/drawing/2014/main" id="{00000000-0008-0000-0000-00002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248</xdr:row>
          <xdr:rowOff>15240</xdr:rowOff>
        </xdr:from>
        <xdr:to>
          <xdr:col>6</xdr:col>
          <xdr:colOff>1272540</xdr:colOff>
          <xdr:row>249</xdr:row>
          <xdr:rowOff>0</xdr:rowOff>
        </xdr:to>
        <xdr:sp macro="" textlink="">
          <xdr:nvSpPr>
            <xdr:cNvPr id="5158" name="Drop Down 4134" hidden="1">
              <a:extLst>
                <a:ext uri="{63B3BB69-23CF-44E3-9099-C40C66FF867C}">
                  <a14:compatExt spid="_x0000_s5158"/>
                </a:ext>
                <a:ext uri="{FF2B5EF4-FFF2-40B4-BE49-F238E27FC236}">
                  <a16:creationId xmlns:a16="http://schemas.microsoft.com/office/drawing/2014/main" id="{00000000-0008-0000-0000-00002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248</xdr:row>
          <xdr:rowOff>15240</xdr:rowOff>
        </xdr:from>
        <xdr:to>
          <xdr:col>6</xdr:col>
          <xdr:colOff>1805940</xdr:colOff>
          <xdr:row>248</xdr:row>
          <xdr:rowOff>320040</xdr:rowOff>
        </xdr:to>
        <xdr:sp macro="" textlink="">
          <xdr:nvSpPr>
            <xdr:cNvPr id="5159" name="Drop Down 4135" hidden="1">
              <a:extLst>
                <a:ext uri="{63B3BB69-23CF-44E3-9099-C40C66FF867C}">
                  <a14:compatExt spid="_x0000_s5159"/>
                </a:ext>
                <a:ext uri="{FF2B5EF4-FFF2-40B4-BE49-F238E27FC236}">
                  <a16:creationId xmlns:a16="http://schemas.microsoft.com/office/drawing/2014/main" id="{00000000-0008-0000-0000-00002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446</xdr:row>
          <xdr:rowOff>0</xdr:rowOff>
        </xdr:from>
        <xdr:to>
          <xdr:col>6</xdr:col>
          <xdr:colOff>624840</xdr:colOff>
          <xdr:row>447</xdr:row>
          <xdr:rowOff>0</xdr:rowOff>
        </xdr:to>
        <xdr:sp macro="" textlink="">
          <xdr:nvSpPr>
            <xdr:cNvPr id="5181" name="Drop Down 4157"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446</xdr:row>
          <xdr:rowOff>15240</xdr:rowOff>
        </xdr:from>
        <xdr:to>
          <xdr:col>6</xdr:col>
          <xdr:colOff>1272540</xdr:colOff>
          <xdr:row>447</xdr:row>
          <xdr:rowOff>0</xdr:rowOff>
        </xdr:to>
        <xdr:sp macro="" textlink="">
          <xdr:nvSpPr>
            <xdr:cNvPr id="5182" name="Drop Down 4158"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446</xdr:row>
          <xdr:rowOff>15240</xdr:rowOff>
        </xdr:from>
        <xdr:to>
          <xdr:col>6</xdr:col>
          <xdr:colOff>1805940</xdr:colOff>
          <xdr:row>446</xdr:row>
          <xdr:rowOff>320040</xdr:rowOff>
        </xdr:to>
        <xdr:sp macro="" textlink="">
          <xdr:nvSpPr>
            <xdr:cNvPr id="5183" name="Drop Down 4159"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447</xdr:row>
          <xdr:rowOff>0</xdr:rowOff>
        </xdr:from>
        <xdr:to>
          <xdr:col>6</xdr:col>
          <xdr:colOff>624840</xdr:colOff>
          <xdr:row>448</xdr:row>
          <xdr:rowOff>0</xdr:rowOff>
        </xdr:to>
        <xdr:sp macro="" textlink="">
          <xdr:nvSpPr>
            <xdr:cNvPr id="5184" name="Drop Down 4160"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447</xdr:row>
          <xdr:rowOff>15240</xdr:rowOff>
        </xdr:from>
        <xdr:to>
          <xdr:col>6</xdr:col>
          <xdr:colOff>1272540</xdr:colOff>
          <xdr:row>448</xdr:row>
          <xdr:rowOff>0</xdr:rowOff>
        </xdr:to>
        <xdr:sp macro="" textlink="">
          <xdr:nvSpPr>
            <xdr:cNvPr id="5185" name="Drop Down 4161"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447</xdr:row>
          <xdr:rowOff>15240</xdr:rowOff>
        </xdr:from>
        <xdr:to>
          <xdr:col>6</xdr:col>
          <xdr:colOff>1805940</xdr:colOff>
          <xdr:row>447</xdr:row>
          <xdr:rowOff>320040</xdr:rowOff>
        </xdr:to>
        <xdr:sp macro="" textlink="">
          <xdr:nvSpPr>
            <xdr:cNvPr id="5186" name="Drop Down 4162"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448</xdr:row>
          <xdr:rowOff>0</xdr:rowOff>
        </xdr:from>
        <xdr:to>
          <xdr:col>6</xdr:col>
          <xdr:colOff>624840</xdr:colOff>
          <xdr:row>449</xdr:row>
          <xdr:rowOff>0</xdr:rowOff>
        </xdr:to>
        <xdr:sp macro="" textlink="">
          <xdr:nvSpPr>
            <xdr:cNvPr id="5187" name="Drop Down 4163"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448</xdr:row>
          <xdr:rowOff>15240</xdr:rowOff>
        </xdr:from>
        <xdr:to>
          <xdr:col>6</xdr:col>
          <xdr:colOff>1272540</xdr:colOff>
          <xdr:row>449</xdr:row>
          <xdr:rowOff>0</xdr:rowOff>
        </xdr:to>
        <xdr:sp macro="" textlink="">
          <xdr:nvSpPr>
            <xdr:cNvPr id="5188" name="Drop Down 4164"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448</xdr:row>
          <xdr:rowOff>15240</xdr:rowOff>
        </xdr:from>
        <xdr:to>
          <xdr:col>6</xdr:col>
          <xdr:colOff>1805940</xdr:colOff>
          <xdr:row>448</xdr:row>
          <xdr:rowOff>320040</xdr:rowOff>
        </xdr:to>
        <xdr:sp macro="" textlink="">
          <xdr:nvSpPr>
            <xdr:cNvPr id="5189" name="Drop Down 4165" hidden="1">
              <a:extLst>
                <a:ext uri="{63B3BB69-23CF-44E3-9099-C40C66FF867C}">
                  <a14:compatExt spid="_x0000_s5189"/>
                </a:ext>
                <a:ext uri="{FF2B5EF4-FFF2-40B4-BE49-F238E27FC236}">
                  <a16:creationId xmlns:a16="http://schemas.microsoft.com/office/drawing/2014/main" id="{00000000-0008-0000-0000-00004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546</xdr:row>
          <xdr:rowOff>0</xdr:rowOff>
        </xdr:from>
        <xdr:to>
          <xdr:col>6</xdr:col>
          <xdr:colOff>624840</xdr:colOff>
          <xdr:row>547</xdr:row>
          <xdr:rowOff>0</xdr:rowOff>
        </xdr:to>
        <xdr:sp macro="" textlink="">
          <xdr:nvSpPr>
            <xdr:cNvPr id="5196" name="Drop Down 4172" hidden="1">
              <a:extLst>
                <a:ext uri="{63B3BB69-23CF-44E3-9099-C40C66FF867C}">
                  <a14:compatExt spid="_x0000_s5196"/>
                </a:ext>
                <a:ext uri="{FF2B5EF4-FFF2-40B4-BE49-F238E27FC236}">
                  <a16:creationId xmlns:a16="http://schemas.microsoft.com/office/drawing/2014/main" id="{00000000-0008-0000-0000-00004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546</xdr:row>
          <xdr:rowOff>15240</xdr:rowOff>
        </xdr:from>
        <xdr:to>
          <xdr:col>6</xdr:col>
          <xdr:colOff>1272540</xdr:colOff>
          <xdr:row>547</xdr:row>
          <xdr:rowOff>0</xdr:rowOff>
        </xdr:to>
        <xdr:sp macro="" textlink="">
          <xdr:nvSpPr>
            <xdr:cNvPr id="5197" name="Drop Down 4173" hidden="1">
              <a:extLst>
                <a:ext uri="{63B3BB69-23CF-44E3-9099-C40C66FF867C}">
                  <a14:compatExt spid="_x0000_s5197"/>
                </a:ext>
                <a:ext uri="{FF2B5EF4-FFF2-40B4-BE49-F238E27FC236}">
                  <a16:creationId xmlns:a16="http://schemas.microsoft.com/office/drawing/2014/main" id="{00000000-0008-0000-0000-00004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546</xdr:row>
          <xdr:rowOff>15240</xdr:rowOff>
        </xdr:from>
        <xdr:to>
          <xdr:col>6</xdr:col>
          <xdr:colOff>1805940</xdr:colOff>
          <xdr:row>546</xdr:row>
          <xdr:rowOff>320040</xdr:rowOff>
        </xdr:to>
        <xdr:sp macro="" textlink="">
          <xdr:nvSpPr>
            <xdr:cNvPr id="5198" name="Drop Down 4174" hidden="1">
              <a:extLst>
                <a:ext uri="{63B3BB69-23CF-44E3-9099-C40C66FF867C}">
                  <a14:compatExt spid="_x0000_s5198"/>
                </a:ext>
                <a:ext uri="{FF2B5EF4-FFF2-40B4-BE49-F238E27FC236}">
                  <a16:creationId xmlns:a16="http://schemas.microsoft.com/office/drawing/2014/main" id="{00000000-0008-0000-0000-00004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547</xdr:row>
          <xdr:rowOff>0</xdr:rowOff>
        </xdr:from>
        <xdr:to>
          <xdr:col>6</xdr:col>
          <xdr:colOff>15240</xdr:colOff>
          <xdr:row>548</xdr:row>
          <xdr:rowOff>15240</xdr:rowOff>
        </xdr:to>
        <xdr:sp macro="" textlink="">
          <xdr:nvSpPr>
            <xdr:cNvPr id="5199" name="Drop Down 4175" hidden="1">
              <a:extLst>
                <a:ext uri="{63B3BB69-23CF-44E3-9099-C40C66FF867C}">
                  <a14:compatExt spid="_x0000_s5199"/>
                </a:ext>
                <a:ext uri="{FF2B5EF4-FFF2-40B4-BE49-F238E27FC236}">
                  <a16:creationId xmlns:a16="http://schemas.microsoft.com/office/drawing/2014/main" id="{00000000-0008-0000-0000-00004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547</xdr:row>
          <xdr:rowOff>0</xdr:rowOff>
        </xdr:from>
        <xdr:to>
          <xdr:col>6</xdr:col>
          <xdr:colOff>624840</xdr:colOff>
          <xdr:row>548</xdr:row>
          <xdr:rowOff>0</xdr:rowOff>
        </xdr:to>
        <xdr:sp macro="" textlink="">
          <xdr:nvSpPr>
            <xdr:cNvPr id="5200" name="Drop Down 4176" hidden="1">
              <a:extLst>
                <a:ext uri="{63B3BB69-23CF-44E3-9099-C40C66FF867C}">
                  <a14:compatExt spid="_x0000_s5200"/>
                </a:ext>
                <a:ext uri="{FF2B5EF4-FFF2-40B4-BE49-F238E27FC236}">
                  <a16:creationId xmlns:a16="http://schemas.microsoft.com/office/drawing/2014/main" id="{00000000-0008-0000-0000-00005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547</xdr:row>
          <xdr:rowOff>15240</xdr:rowOff>
        </xdr:from>
        <xdr:to>
          <xdr:col>6</xdr:col>
          <xdr:colOff>1272540</xdr:colOff>
          <xdr:row>548</xdr:row>
          <xdr:rowOff>0</xdr:rowOff>
        </xdr:to>
        <xdr:sp macro="" textlink="">
          <xdr:nvSpPr>
            <xdr:cNvPr id="5201" name="Drop Down 4177" hidden="1">
              <a:extLst>
                <a:ext uri="{63B3BB69-23CF-44E3-9099-C40C66FF867C}">
                  <a14:compatExt spid="_x0000_s5201"/>
                </a:ext>
                <a:ext uri="{FF2B5EF4-FFF2-40B4-BE49-F238E27FC236}">
                  <a16:creationId xmlns:a16="http://schemas.microsoft.com/office/drawing/2014/main" id="{00000000-0008-0000-0000-00005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547</xdr:row>
          <xdr:rowOff>15240</xdr:rowOff>
        </xdr:from>
        <xdr:to>
          <xdr:col>6</xdr:col>
          <xdr:colOff>1805940</xdr:colOff>
          <xdr:row>547</xdr:row>
          <xdr:rowOff>320040</xdr:rowOff>
        </xdr:to>
        <xdr:sp macro="" textlink="">
          <xdr:nvSpPr>
            <xdr:cNvPr id="5202" name="Drop Down 4178" hidden="1">
              <a:extLst>
                <a:ext uri="{63B3BB69-23CF-44E3-9099-C40C66FF867C}">
                  <a14:compatExt spid="_x0000_s5202"/>
                </a:ext>
                <a:ext uri="{FF2B5EF4-FFF2-40B4-BE49-F238E27FC236}">
                  <a16:creationId xmlns:a16="http://schemas.microsoft.com/office/drawing/2014/main" id="{00000000-0008-0000-0000-00005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548</xdr:row>
          <xdr:rowOff>0</xdr:rowOff>
        </xdr:from>
        <xdr:to>
          <xdr:col>6</xdr:col>
          <xdr:colOff>15240</xdr:colOff>
          <xdr:row>549</xdr:row>
          <xdr:rowOff>0</xdr:rowOff>
        </xdr:to>
        <xdr:sp macro="" textlink="">
          <xdr:nvSpPr>
            <xdr:cNvPr id="5203" name="Drop Down 4179" hidden="1">
              <a:extLst>
                <a:ext uri="{63B3BB69-23CF-44E3-9099-C40C66FF867C}">
                  <a14:compatExt spid="_x0000_s5203"/>
                </a:ext>
                <a:ext uri="{FF2B5EF4-FFF2-40B4-BE49-F238E27FC236}">
                  <a16:creationId xmlns:a16="http://schemas.microsoft.com/office/drawing/2014/main" id="{00000000-0008-0000-0000-00005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548</xdr:row>
          <xdr:rowOff>0</xdr:rowOff>
        </xdr:from>
        <xdr:to>
          <xdr:col>6</xdr:col>
          <xdr:colOff>624840</xdr:colOff>
          <xdr:row>549</xdr:row>
          <xdr:rowOff>0</xdr:rowOff>
        </xdr:to>
        <xdr:sp macro="" textlink="">
          <xdr:nvSpPr>
            <xdr:cNvPr id="5204" name="Drop Down 4180" hidden="1">
              <a:extLst>
                <a:ext uri="{63B3BB69-23CF-44E3-9099-C40C66FF867C}">
                  <a14:compatExt spid="_x0000_s5204"/>
                </a:ext>
                <a:ext uri="{FF2B5EF4-FFF2-40B4-BE49-F238E27FC236}">
                  <a16:creationId xmlns:a16="http://schemas.microsoft.com/office/drawing/2014/main" id="{00000000-0008-0000-0000-00005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548</xdr:row>
          <xdr:rowOff>15240</xdr:rowOff>
        </xdr:from>
        <xdr:to>
          <xdr:col>6</xdr:col>
          <xdr:colOff>1272540</xdr:colOff>
          <xdr:row>549</xdr:row>
          <xdr:rowOff>0</xdr:rowOff>
        </xdr:to>
        <xdr:sp macro="" textlink="">
          <xdr:nvSpPr>
            <xdr:cNvPr id="5205" name="Drop Down 4181" hidden="1">
              <a:extLst>
                <a:ext uri="{63B3BB69-23CF-44E3-9099-C40C66FF867C}">
                  <a14:compatExt spid="_x0000_s5205"/>
                </a:ext>
                <a:ext uri="{FF2B5EF4-FFF2-40B4-BE49-F238E27FC236}">
                  <a16:creationId xmlns:a16="http://schemas.microsoft.com/office/drawing/2014/main" id="{00000000-0008-0000-0000-00005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548</xdr:row>
          <xdr:rowOff>15240</xdr:rowOff>
        </xdr:from>
        <xdr:to>
          <xdr:col>6</xdr:col>
          <xdr:colOff>1805940</xdr:colOff>
          <xdr:row>548</xdr:row>
          <xdr:rowOff>320040</xdr:rowOff>
        </xdr:to>
        <xdr:sp macro="" textlink="">
          <xdr:nvSpPr>
            <xdr:cNvPr id="5206" name="Drop Down 4182" hidden="1">
              <a:extLst>
                <a:ext uri="{63B3BB69-23CF-44E3-9099-C40C66FF867C}">
                  <a14:compatExt spid="_x0000_s5206"/>
                </a:ext>
                <a:ext uri="{FF2B5EF4-FFF2-40B4-BE49-F238E27FC236}">
                  <a16:creationId xmlns:a16="http://schemas.microsoft.com/office/drawing/2014/main" id="{00000000-0008-0000-0000-00005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1646</xdr:row>
          <xdr:rowOff>0</xdr:rowOff>
        </xdr:from>
        <xdr:to>
          <xdr:col>6</xdr:col>
          <xdr:colOff>624840</xdr:colOff>
          <xdr:row>1647</xdr:row>
          <xdr:rowOff>0</xdr:rowOff>
        </xdr:to>
        <xdr:sp macro="" textlink="">
          <xdr:nvSpPr>
            <xdr:cNvPr id="5215" name="Drop Down 4191" hidden="1">
              <a:extLst>
                <a:ext uri="{63B3BB69-23CF-44E3-9099-C40C66FF867C}">
                  <a14:compatExt spid="_x0000_s5215"/>
                </a:ext>
                <a:ext uri="{FF2B5EF4-FFF2-40B4-BE49-F238E27FC236}">
                  <a16:creationId xmlns:a16="http://schemas.microsoft.com/office/drawing/2014/main" id="{00000000-0008-0000-0000-00005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1646</xdr:row>
          <xdr:rowOff>15240</xdr:rowOff>
        </xdr:from>
        <xdr:to>
          <xdr:col>6</xdr:col>
          <xdr:colOff>1272540</xdr:colOff>
          <xdr:row>1647</xdr:row>
          <xdr:rowOff>0</xdr:rowOff>
        </xdr:to>
        <xdr:sp macro="" textlink="">
          <xdr:nvSpPr>
            <xdr:cNvPr id="5216" name="Drop Down 4192" hidden="1">
              <a:extLst>
                <a:ext uri="{63B3BB69-23CF-44E3-9099-C40C66FF867C}">
                  <a14:compatExt spid="_x0000_s5216"/>
                </a:ext>
                <a:ext uri="{FF2B5EF4-FFF2-40B4-BE49-F238E27FC236}">
                  <a16:creationId xmlns:a16="http://schemas.microsoft.com/office/drawing/2014/main" id="{00000000-0008-0000-0000-00006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1646</xdr:row>
          <xdr:rowOff>15240</xdr:rowOff>
        </xdr:from>
        <xdr:to>
          <xdr:col>6</xdr:col>
          <xdr:colOff>1805940</xdr:colOff>
          <xdr:row>1646</xdr:row>
          <xdr:rowOff>320040</xdr:rowOff>
        </xdr:to>
        <xdr:sp macro="" textlink="">
          <xdr:nvSpPr>
            <xdr:cNvPr id="5217" name="Drop Down 4193" hidden="1">
              <a:extLst>
                <a:ext uri="{63B3BB69-23CF-44E3-9099-C40C66FF867C}">
                  <a14:compatExt spid="_x0000_s5217"/>
                </a:ext>
                <a:ext uri="{FF2B5EF4-FFF2-40B4-BE49-F238E27FC236}">
                  <a16:creationId xmlns:a16="http://schemas.microsoft.com/office/drawing/2014/main" id="{00000000-0008-0000-0000-00006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1647</xdr:row>
          <xdr:rowOff>0</xdr:rowOff>
        </xdr:from>
        <xdr:to>
          <xdr:col>6</xdr:col>
          <xdr:colOff>624840</xdr:colOff>
          <xdr:row>1648</xdr:row>
          <xdr:rowOff>0</xdr:rowOff>
        </xdr:to>
        <xdr:sp macro="" textlink="">
          <xdr:nvSpPr>
            <xdr:cNvPr id="5218" name="Drop Down 4194" hidden="1">
              <a:extLst>
                <a:ext uri="{63B3BB69-23CF-44E3-9099-C40C66FF867C}">
                  <a14:compatExt spid="_x0000_s5218"/>
                </a:ext>
                <a:ext uri="{FF2B5EF4-FFF2-40B4-BE49-F238E27FC236}">
                  <a16:creationId xmlns:a16="http://schemas.microsoft.com/office/drawing/2014/main" id="{00000000-0008-0000-0000-00006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1647</xdr:row>
          <xdr:rowOff>15240</xdr:rowOff>
        </xdr:from>
        <xdr:to>
          <xdr:col>6</xdr:col>
          <xdr:colOff>1272540</xdr:colOff>
          <xdr:row>1648</xdr:row>
          <xdr:rowOff>0</xdr:rowOff>
        </xdr:to>
        <xdr:sp macro="" textlink="">
          <xdr:nvSpPr>
            <xdr:cNvPr id="5219" name="Drop Down 4195" hidden="1">
              <a:extLst>
                <a:ext uri="{63B3BB69-23CF-44E3-9099-C40C66FF867C}">
                  <a14:compatExt spid="_x0000_s5219"/>
                </a:ext>
                <a:ext uri="{FF2B5EF4-FFF2-40B4-BE49-F238E27FC236}">
                  <a16:creationId xmlns:a16="http://schemas.microsoft.com/office/drawing/2014/main" id="{00000000-0008-0000-0000-00006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1647</xdr:row>
          <xdr:rowOff>15240</xdr:rowOff>
        </xdr:from>
        <xdr:to>
          <xdr:col>6</xdr:col>
          <xdr:colOff>1805940</xdr:colOff>
          <xdr:row>1647</xdr:row>
          <xdr:rowOff>320040</xdr:rowOff>
        </xdr:to>
        <xdr:sp macro="" textlink="">
          <xdr:nvSpPr>
            <xdr:cNvPr id="5220" name="Drop Down 4196" hidden="1">
              <a:extLst>
                <a:ext uri="{63B3BB69-23CF-44E3-9099-C40C66FF867C}">
                  <a14:compatExt spid="_x0000_s5220"/>
                </a:ext>
                <a:ext uri="{FF2B5EF4-FFF2-40B4-BE49-F238E27FC236}">
                  <a16:creationId xmlns:a16="http://schemas.microsoft.com/office/drawing/2014/main" id="{00000000-0008-0000-0000-00006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1648</xdr:row>
          <xdr:rowOff>0</xdr:rowOff>
        </xdr:from>
        <xdr:to>
          <xdr:col>6</xdr:col>
          <xdr:colOff>624840</xdr:colOff>
          <xdr:row>1649</xdr:row>
          <xdr:rowOff>0</xdr:rowOff>
        </xdr:to>
        <xdr:sp macro="" textlink="">
          <xdr:nvSpPr>
            <xdr:cNvPr id="5221" name="Drop Down 4197" hidden="1">
              <a:extLst>
                <a:ext uri="{63B3BB69-23CF-44E3-9099-C40C66FF867C}">
                  <a14:compatExt spid="_x0000_s5221"/>
                </a:ext>
                <a:ext uri="{FF2B5EF4-FFF2-40B4-BE49-F238E27FC236}">
                  <a16:creationId xmlns:a16="http://schemas.microsoft.com/office/drawing/2014/main" id="{00000000-0008-0000-0000-00006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1648</xdr:row>
          <xdr:rowOff>15240</xdr:rowOff>
        </xdr:from>
        <xdr:to>
          <xdr:col>6</xdr:col>
          <xdr:colOff>1272540</xdr:colOff>
          <xdr:row>1649</xdr:row>
          <xdr:rowOff>0</xdr:rowOff>
        </xdr:to>
        <xdr:sp macro="" textlink="">
          <xdr:nvSpPr>
            <xdr:cNvPr id="5222" name="Drop Down 4198" hidden="1">
              <a:extLst>
                <a:ext uri="{63B3BB69-23CF-44E3-9099-C40C66FF867C}">
                  <a14:compatExt spid="_x0000_s5222"/>
                </a:ext>
                <a:ext uri="{FF2B5EF4-FFF2-40B4-BE49-F238E27FC236}">
                  <a16:creationId xmlns:a16="http://schemas.microsoft.com/office/drawing/2014/main" id="{00000000-0008-0000-0000-00006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1648</xdr:row>
          <xdr:rowOff>15240</xdr:rowOff>
        </xdr:from>
        <xdr:to>
          <xdr:col>6</xdr:col>
          <xdr:colOff>1805940</xdr:colOff>
          <xdr:row>1648</xdr:row>
          <xdr:rowOff>320040</xdr:rowOff>
        </xdr:to>
        <xdr:sp macro="" textlink="">
          <xdr:nvSpPr>
            <xdr:cNvPr id="5223" name="Drop Down 4199" hidden="1">
              <a:extLst>
                <a:ext uri="{63B3BB69-23CF-44E3-9099-C40C66FF867C}">
                  <a14:compatExt spid="_x0000_s5223"/>
                </a:ext>
                <a:ext uri="{FF2B5EF4-FFF2-40B4-BE49-F238E27FC236}">
                  <a16:creationId xmlns:a16="http://schemas.microsoft.com/office/drawing/2014/main" id="{00000000-0008-0000-0000-00006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1746</xdr:row>
          <xdr:rowOff>0</xdr:rowOff>
        </xdr:from>
        <xdr:to>
          <xdr:col>6</xdr:col>
          <xdr:colOff>624840</xdr:colOff>
          <xdr:row>1747</xdr:row>
          <xdr:rowOff>0</xdr:rowOff>
        </xdr:to>
        <xdr:sp macro="" textlink="">
          <xdr:nvSpPr>
            <xdr:cNvPr id="5230" name="Drop Down 4206" hidden="1">
              <a:extLst>
                <a:ext uri="{63B3BB69-23CF-44E3-9099-C40C66FF867C}">
                  <a14:compatExt spid="_x0000_s5230"/>
                </a:ext>
                <a:ext uri="{FF2B5EF4-FFF2-40B4-BE49-F238E27FC236}">
                  <a16:creationId xmlns:a16="http://schemas.microsoft.com/office/drawing/2014/main" id="{00000000-0008-0000-0000-00006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1746</xdr:row>
          <xdr:rowOff>15240</xdr:rowOff>
        </xdr:from>
        <xdr:to>
          <xdr:col>6</xdr:col>
          <xdr:colOff>1272540</xdr:colOff>
          <xdr:row>1747</xdr:row>
          <xdr:rowOff>0</xdr:rowOff>
        </xdr:to>
        <xdr:sp macro="" textlink="">
          <xdr:nvSpPr>
            <xdr:cNvPr id="5231" name="Drop Down 4207" hidden="1">
              <a:extLst>
                <a:ext uri="{63B3BB69-23CF-44E3-9099-C40C66FF867C}">
                  <a14:compatExt spid="_x0000_s5231"/>
                </a:ext>
                <a:ext uri="{FF2B5EF4-FFF2-40B4-BE49-F238E27FC236}">
                  <a16:creationId xmlns:a16="http://schemas.microsoft.com/office/drawing/2014/main" id="{00000000-0008-0000-0000-00006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1746</xdr:row>
          <xdr:rowOff>15240</xdr:rowOff>
        </xdr:from>
        <xdr:to>
          <xdr:col>6</xdr:col>
          <xdr:colOff>1805940</xdr:colOff>
          <xdr:row>1746</xdr:row>
          <xdr:rowOff>320040</xdr:rowOff>
        </xdr:to>
        <xdr:sp macro="" textlink="">
          <xdr:nvSpPr>
            <xdr:cNvPr id="5232" name="Drop Down 4208" hidden="1">
              <a:extLst>
                <a:ext uri="{63B3BB69-23CF-44E3-9099-C40C66FF867C}">
                  <a14:compatExt spid="_x0000_s5232"/>
                </a:ext>
                <a:ext uri="{FF2B5EF4-FFF2-40B4-BE49-F238E27FC236}">
                  <a16:creationId xmlns:a16="http://schemas.microsoft.com/office/drawing/2014/main" id="{00000000-0008-0000-0000-00007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1747</xdr:row>
          <xdr:rowOff>0</xdr:rowOff>
        </xdr:from>
        <xdr:to>
          <xdr:col>6</xdr:col>
          <xdr:colOff>624840</xdr:colOff>
          <xdr:row>1748</xdr:row>
          <xdr:rowOff>0</xdr:rowOff>
        </xdr:to>
        <xdr:sp macro="" textlink="">
          <xdr:nvSpPr>
            <xdr:cNvPr id="5233" name="Drop Down 4209" hidden="1">
              <a:extLst>
                <a:ext uri="{63B3BB69-23CF-44E3-9099-C40C66FF867C}">
                  <a14:compatExt spid="_x0000_s5233"/>
                </a:ext>
                <a:ext uri="{FF2B5EF4-FFF2-40B4-BE49-F238E27FC236}">
                  <a16:creationId xmlns:a16="http://schemas.microsoft.com/office/drawing/2014/main" id="{00000000-0008-0000-0000-00007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1747</xdr:row>
          <xdr:rowOff>15240</xdr:rowOff>
        </xdr:from>
        <xdr:to>
          <xdr:col>6</xdr:col>
          <xdr:colOff>1272540</xdr:colOff>
          <xdr:row>1748</xdr:row>
          <xdr:rowOff>0</xdr:rowOff>
        </xdr:to>
        <xdr:sp macro="" textlink="">
          <xdr:nvSpPr>
            <xdr:cNvPr id="5234" name="Drop Down 4210" hidden="1">
              <a:extLst>
                <a:ext uri="{63B3BB69-23CF-44E3-9099-C40C66FF867C}">
                  <a14:compatExt spid="_x0000_s5234"/>
                </a:ext>
                <a:ext uri="{FF2B5EF4-FFF2-40B4-BE49-F238E27FC236}">
                  <a16:creationId xmlns:a16="http://schemas.microsoft.com/office/drawing/2014/main" id="{00000000-0008-0000-0000-00007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1747</xdr:row>
          <xdr:rowOff>15240</xdr:rowOff>
        </xdr:from>
        <xdr:to>
          <xdr:col>6</xdr:col>
          <xdr:colOff>1805940</xdr:colOff>
          <xdr:row>1747</xdr:row>
          <xdr:rowOff>320040</xdr:rowOff>
        </xdr:to>
        <xdr:sp macro="" textlink="">
          <xdr:nvSpPr>
            <xdr:cNvPr id="5235" name="Drop Down 4211" hidden="1">
              <a:extLst>
                <a:ext uri="{63B3BB69-23CF-44E3-9099-C40C66FF867C}">
                  <a14:compatExt spid="_x0000_s5235"/>
                </a:ext>
                <a:ext uri="{FF2B5EF4-FFF2-40B4-BE49-F238E27FC236}">
                  <a16:creationId xmlns:a16="http://schemas.microsoft.com/office/drawing/2014/main" id="{00000000-0008-0000-0000-00007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1748</xdr:row>
          <xdr:rowOff>0</xdr:rowOff>
        </xdr:from>
        <xdr:to>
          <xdr:col>6</xdr:col>
          <xdr:colOff>624840</xdr:colOff>
          <xdr:row>1749</xdr:row>
          <xdr:rowOff>0</xdr:rowOff>
        </xdr:to>
        <xdr:sp macro="" textlink="">
          <xdr:nvSpPr>
            <xdr:cNvPr id="5236" name="Drop Down 4212" hidden="1">
              <a:extLst>
                <a:ext uri="{63B3BB69-23CF-44E3-9099-C40C66FF867C}">
                  <a14:compatExt spid="_x0000_s5236"/>
                </a:ext>
                <a:ext uri="{FF2B5EF4-FFF2-40B4-BE49-F238E27FC236}">
                  <a16:creationId xmlns:a16="http://schemas.microsoft.com/office/drawing/2014/main" id="{00000000-0008-0000-0000-00007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1748</xdr:row>
          <xdr:rowOff>15240</xdr:rowOff>
        </xdr:from>
        <xdr:to>
          <xdr:col>6</xdr:col>
          <xdr:colOff>1272540</xdr:colOff>
          <xdr:row>1749</xdr:row>
          <xdr:rowOff>0</xdr:rowOff>
        </xdr:to>
        <xdr:sp macro="" textlink="">
          <xdr:nvSpPr>
            <xdr:cNvPr id="5237" name="Drop Down 4213" hidden="1">
              <a:extLst>
                <a:ext uri="{63B3BB69-23CF-44E3-9099-C40C66FF867C}">
                  <a14:compatExt spid="_x0000_s5237"/>
                </a:ext>
                <a:ext uri="{FF2B5EF4-FFF2-40B4-BE49-F238E27FC236}">
                  <a16:creationId xmlns:a16="http://schemas.microsoft.com/office/drawing/2014/main" id="{00000000-0008-0000-0000-00007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1748</xdr:row>
          <xdr:rowOff>15240</xdr:rowOff>
        </xdr:from>
        <xdr:to>
          <xdr:col>6</xdr:col>
          <xdr:colOff>1805940</xdr:colOff>
          <xdr:row>1748</xdr:row>
          <xdr:rowOff>320040</xdr:rowOff>
        </xdr:to>
        <xdr:sp macro="" textlink="">
          <xdr:nvSpPr>
            <xdr:cNvPr id="5238" name="Drop Down 4214" hidden="1">
              <a:extLst>
                <a:ext uri="{63B3BB69-23CF-44E3-9099-C40C66FF867C}">
                  <a14:compatExt spid="_x0000_s5238"/>
                </a:ext>
                <a:ext uri="{FF2B5EF4-FFF2-40B4-BE49-F238E27FC236}">
                  <a16:creationId xmlns:a16="http://schemas.microsoft.com/office/drawing/2014/main" id="{00000000-0008-0000-0000-00007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646</xdr:row>
          <xdr:rowOff>0</xdr:rowOff>
        </xdr:from>
        <xdr:to>
          <xdr:col>6</xdr:col>
          <xdr:colOff>624840</xdr:colOff>
          <xdr:row>647</xdr:row>
          <xdr:rowOff>0</xdr:rowOff>
        </xdr:to>
        <xdr:sp macro="" textlink="">
          <xdr:nvSpPr>
            <xdr:cNvPr id="5246" name="Drop Down 4222" hidden="1">
              <a:extLst>
                <a:ext uri="{63B3BB69-23CF-44E3-9099-C40C66FF867C}">
                  <a14:compatExt spid="_x0000_s5246"/>
                </a:ext>
                <a:ext uri="{FF2B5EF4-FFF2-40B4-BE49-F238E27FC236}">
                  <a16:creationId xmlns:a16="http://schemas.microsoft.com/office/drawing/2014/main" id="{00000000-0008-0000-0000-00007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646</xdr:row>
          <xdr:rowOff>15240</xdr:rowOff>
        </xdr:from>
        <xdr:to>
          <xdr:col>6</xdr:col>
          <xdr:colOff>1272540</xdr:colOff>
          <xdr:row>647</xdr:row>
          <xdr:rowOff>0</xdr:rowOff>
        </xdr:to>
        <xdr:sp macro="" textlink="">
          <xdr:nvSpPr>
            <xdr:cNvPr id="5247" name="Drop Down 4223" hidden="1">
              <a:extLst>
                <a:ext uri="{63B3BB69-23CF-44E3-9099-C40C66FF867C}">
                  <a14:compatExt spid="_x0000_s5247"/>
                </a:ext>
                <a:ext uri="{FF2B5EF4-FFF2-40B4-BE49-F238E27FC236}">
                  <a16:creationId xmlns:a16="http://schemas.microsoft.com/office/drawing/2014/main" id="{00000000-0008-0000-0000-00007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646</xdr:row>
          <xdr:rowOff>15240</xdr:rowOff>
        </xdr:from>
        <xdr:to>
          <xdr:col>6</xdr:col>
          <xdr:colOff>1805940</xdr:colOff>
          <xdr:row>646</xdr:row>
          <xdr:rowOff>320040</xdr:rowOff>
        </xdr:to>
        <xdr:sp macro="" textlink="">
          <xdr:nvSpPr>
            <xdr:cNvPr id="5248" name="Drop Down 4224" hidden="1">
              <a:extLst>
                <a:ext uri="{63B3BB69-23CF-44E3-9099-C40C66FF867C}">
                  <a14:compatExt spid="_x0000_s5248"/>
                </a:ext>
                <a:ext uri="{FF2B5EF4-FFF2-40B4-BE49-F238E27FC236}">
                  <a16:creationId xmlns:a16="http://schemas.microsoft.com/office/drawing/2014/main" id="{00000000-0008-0000-0000-00008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647</xdr:row>
          <xdr:rowOff>0</xdr:rowOff>
        </xdr:from>
        <xdr:to>
          <xdr:col>6</xdr:col>
          <xdr:colOff>624840</xdr:colOff>
          <xdr:row>648</xdr:row>
          <xdr:rowOff>0</xdr:rowOff>
        </xdr:to>
        <xdr:sp macro="" textlink="">
          <xdr:nvSpPr>
            <xdr:cNvPr id="5250" name="Drop Down 4226" hidden="1">
              <a:extLst>
                <a:ext uri="{63B3BB69-23CF-44E3-9099-C40C66FF867C}">
                  <a14:compatExt spid="_x0000_s5250"/>
                </a:ext>
                <a:ext uri="{FF2B5EF4-FFF2-40B4-BE49-F238E27FC236}">
                  <a16:creationId xmlns:a16="http://schemas.microsoft.com/office/drawing/2014/main" id="{00000000-0008-0000-0000-00008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647</xdr:row>
          <xdr:rowOff>15240</xdr:rowOff>
        </xdr:from>
        <xdr:to>
          <xdr:col>6</xdr:col>
          <xdr:colOff>1272540</xdr:colOff>
          <xdr:row>648</xdr:row>
          <xdr:rowOff>0</xdr:rowOff>
        </xdr:to>
        <xdr:sp macro="" textlink="">
          <xdr:nvSpPr>
            <xdr:cNvPr id="5251" name="Drop Down 4227" hidden="1">
              <a:extLst>
                <a:ext uri="{63B3BB69-23CF-44E3-9099-C40C66FF867C}">
                  <a14:compatExt spid="_x0000_s5251"/>
                </a:ext>
                <a:ext uri="{FF2B5EF4-FFF2-40B4-BE49-F238E27FC236}">
                  <a16:creationId xmlns:a16="http://schemas.microsoft.com/office/drawing/2014/main" id="{00000000-0008-0000-0000-00008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647</xdr:row>
          <xdr:rowOff>15240</xdr:rowOff>
        </xdr:from>
        <xdr:to>
          <xdr:col>6</xdr:col>
          <xdr:colOff>1805940</xdr:colOff>
          <xdr:row>647</xdr:row>
          <xdr:rowOff>320040</xdr:rowOff>
        </xdr:to>
        <xdr:sp macro="" textlink="">
          <xdr:nvSpPr>
            <xdr:cNvPr id="5252" name="Drop Down 4228" hidden="1">
              <a:extLst>
                <a:ext uri="{63B3BB69-23CF-44E3-9099-C40C66FF867C}">
                  <a14:compatExt spid="_x0000_s5252"/>
                </a:ext>
                <a:ext uri="{FF2B5EF4-FFF2-40B4-BE49-F238E27FC236}">
                  <a16:creationId xmlns:a16="http://schemas.microsoft.com/office/drawing/2014/main" id="{00000000-0008-0000-0000-00008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648</xdr:row>
          <xdr:rowOff>0</xdr:rowOff>
        </xdr:from>
        <xdr:to>
          <xdr:col>6</xdr:col>
          <xdr:colOff>624840</xdr:colOff>
          <xdr:row>649</xdr:row>
          <xdr:rowOff>0</xdr:rowOff>
        </xdr:to>
        <xdr:sp macro="" textlink="">
          <xdr:nvSpPr>
            <xdr:cNvPr id="5254" name="Drop Down 4230" hidden="1">
              <a:extLst>
                <a:ext uri="{63B3BB69-23CF-44E3-9099-C40C66FF867C}">
                  <a14:compatExt spid="_x0000_s5254"/>
                </a:ext>
                <a:ext uri="{FF2B5EF4-FFF2-40B4-BE49-F238E27FC236}">
                  <a16:creationId xmlns:a16="http://schemas.microsoft.com/office/drawing/2014/main" id="{00000000-0008-0000-0000-00008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648</xdr:row>
          <xdr:rowOff>15240</xdr:rowOff>
        </xdr:from>
        <xdr:to>
          <xdr:col>6</xdr:col>
          <xdr:colOff>1272540</xdr:colOff>
          <xdr:row>649</xdr:row>
          <xdr:rowOff>0</xdr:rowOff>
        </xdr:to>
        <xdr:sp macro="" textlink="">
          <xdr:nvSpPr>
            <xdr:cNvPr id="5255" name="Drop Down 4231" hidden="1">
              <a:extLst>
                <a:ext uri="{63B3BB69-23CF-44E3-9099-C40C66FF867C}">
                  <a14:compatExt spid="_x0000_s5255"/>
                </a:ext>
                <a:ext uri="{FF2B5EF4-FFF2-40B4-BE49-F238E27FC236}">
                  <a16:creationId xmlns:a16="http://schemas.microsoft.com/office/drawing/2014/main" id="{00000000-0008-0000-0000-00008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648</xdr:row>
          <xdr:rowOff>15240</xdr:rowOff>
        </xdr:from>
        <xdr:to>
          <xdr:col>6</xdr:col>
          <xdr:colOff>1805940</xdr:colOff>
          <xdr:row>648</xdr:row>
          <xdr:rowOff>320040</xdr:rowOff>
        </xdr:to>
        <xdr:sp macro="" textlink="">
          <xdr:nvSpPr>
            <xdr:cNvPr id="5256" name="Drop Down 4232" hidden="1">
              <a:extLst>
                <a:ext uri="{63B3BB69-23CF-44E3-9099-C40C66FF867C}">
                  <a14:compatExt spid="_x0000_s5256"/>
                </a:ext>
                <a:ext uri="{FF2B5EF4-FFF2-40B4-BE49-F238E27FC236}">
                  <a16:creationId xmlns:a16="http://schemas.microsoft.com/office/drawing/2014/main" id="{00000000-0008-0000-0000-00008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746</xdr:row>
          <xdr:rowOff>0</xdr:rowOff>
        </xdr:from>
        <xdr:to>
          <xdr:col>6</xdr:col>
          <xdr:colOff>624840</xdr:colOff>
          <xdr:row>747</xdr:row>
          <xdr:rowOff>0</xdr:rowOff>
        </xdr:to>
        <xdr:sp macro="" textlink="">
          <xdr:nvSpPr>
            <xdr:cNvPr id="5266" name="Drop Down 4242" hidden="1">
              <a:extLst>
                <a:ext uri="{63B3BB69-23CF-44E3-9099-C40C66FF867C}">
                  <a14:compatExt spid="_x0000_s5266"/>
                </a:ext>
                <a:ext uri="{FF2B5EF4-FFF2-40B4-BE49-F238E27FC236}">
                  <a16:creationId xmlns:a16="http://schemas.microsoft.com/office/drawing/2014/main" id="{00000000-0008-0000-0000-00009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746</xdr:row>
          <xdr:rowOff>15240</xdr:rowOff>
        </xdr:from>
        <xdr:to>
          <xdr:col>6</xdr:col>
          <xdr:colOff>1272540</xdr:colOff>
          <xdr:row>747</xdr:row>
          <xdr:rowOff>0</xdr:rowOff>
        </xdr:to>
        <xdr:sp macro="" textlink="">
          <xdr:nvSpPr>
            <xdr:cNvPr id="5267" name="Drop Down 4243" hidden="1">
              <a:extLst>
                <a:ext uri="{63B3BB69-23CF-44E3-9099-C40C66FF867C}">
                  <a14:compatExt spid="_x0000_s5267"/>
                </a:ext>
                <a:ext uri="{FF2B5EF4-FFF2-40B4-BE49-F238E27FC236}">
                  <a16:creationId xmlns:a16="http://schemas.microsoft.com/office/drawing/2014/main" id="{00000000-0008-0000-0000-00009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746</xdr:row>
          <xdr:rowOff>15240</xdr:rowOff>
        </xdr:from>
        <xdr:to>
          <xdr:col>6</xdr:col>
          <xdr:colOff>1805940</xdr:colOff>
          <xdr:row>746</xdr:row>
          <xdr:rowOff>320040</xdr:rowOff>
        </xdr:to>
        <xdr:sp macro="" textlink="">
          <xdr:nvSpPr>
            <xdr:cNvPr id="5268" name="Drop Down 4244" hidden="1">
              <a:extLst>
                <a:ext uri="{63B3BB69-23CF-44E3-9099-C40C66FF867C}">
                  <a14:compatExt spid="_x0000_s5268"/>
                </a:ext>
                <a:ext uri="{FF2B5EF4-FFF2-40B4-BE49-F238E27FC236}">
                  <a16:creationId xmlns:a16="http://schemas.microsoft.com/office/drawing/2014/main" id="{00000000-0008-0000-0000-00009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747</xdr:row>
          <xdr:rowOff>0</xdr:rowOff>
        </xdr:from>
        <xdr:to>
          <xdr:col>6</xdr:col>
          <xdr:colOff>624840</xdr:colOff>
          <xdr:row>748</xdr:row>
          <xdr:rowOff>0</xdr:rowOff>
        </xdr:to>
        <xdr:sp macro="" textlink="">
          <xdr:nvSpPr>
            <xdr:cNvPr id="5270" name="Drop Down 4246" hidden="1">
              <a:extLst>
                <a:ext uri="{63B3BB69-23CF-44E3-9099-C40C66FF867C}">
                  <a14:compatExt spid="_x0000_s5270"/>
                </a:ext>
                <a:ext uri="{FF2B5EF4-FFF2-40B4-BE49-F238E27FC236}">
                  <a16:creationId xmlns:a16="http://schemas.microsoft.com/office/drawing/2014/main" id="{00000000-0008-0000-0000-00009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747</xdr:row>
          <xdr:rowOff>15240</xdr:rowOff>
        </xdr:from>
        <xdr:to>
          <xdr:col>6</xdr:col>
          <xdr:colOff>1272540</xdr:colOff>
          <xdr:row>748</xdr:row>
          <xdr:rowOff>0</xdr:rowOff>
        </xdr:to>
        <xdr:sp macro="" textlink="">
          <xdr:nvSpPr>
            <xdr:cNvPr id="5271" name="Drop Down 4247" hidden="1">
              <a:extLst>
                <a:ext uri="{63B3BB69-23CF-44E3-9099-C40C66FF867C}">
                  <a14:compatExt spid="_x0000_s5271"/>
                </a:ext>
                <a:ext uri="{FF2B5EF4-FFF2-40B4-BE49-F238E27FC236}">
                  <a16:creationId xmlns:a16="http://schemas.microsoft.com/office/drawing/2014/main" id="{00000000-0008-0000-0000-00009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747</xdr:row>
          <xdr:rowOff>15240</xdr:rowOff>
        </xdr:from>
        <xdr:to>
          <xdr:col>6</xdr:col>
          <xdr:colOff>1805940</xdr:colOff>
          <xdr:row>747</xdr:row>
          <xdr:rowOff>320040</xdr:rowOff>
        </xdr:to>
        <xdr:sp macro="" textlink="">
          <xdr:nvSpPr>
            <xdr:cNvPr id="5272" name="Drop Down 4248" hidden="1">
              <a:extLst>
                <a:ext uri="{63B3BB69-23CF-44E3-9099-C40C66FF867C}">
                  <a14:compatExt spid="_x0000_s5272"/>
                </a:ext>
                <a:ext uri="{FF2B5EF4-FFF2-40B4-BE49-F238E27FC236}">
                  <a16:creationId xmlns:a16="http://schemas.microsoft.com/office/drawing/2014/main" id="{00000000-0008-0000-0000-00009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748</xdr:row>
          <xdr:rowOff>0</xdr:rowOff>
        </xdr:from>
        <xdr:to>
          <xdr:col>6</xdr:col>
          <xdr:colOff>624840</xdr:colOff>
          <xdr:row>749</xdr:row>
          <xdr:rowOff>0</xdr:rowOff>
        </xdr:to>
        <xdr:sp macro="" textlink="">
          <xdr:nvSpPr>
            <xdr:cNvPr id="5274" name="Drop Down 4250" hidden="1">
              <a:extLst>
                <a:ext uri="{63B3BB69-23CF-44E3-9099-C40C66FF867C}">
                  <a14:compatExt spid="_x0000_s5274"/>
                </a:ext>
                <a:ext uri="{FF2B5EF4-FFF2-40B4-BE49-F238E27FC236}">
                  <a16:creationId xmlns:a16="http://schemas.microsoft.com/office/drawing/2014/main" id="{00000000-0008-0000-0000-00009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748</xdr:row>
          <xdr:rowOff>15240</xdr:rowOff>
        </xdr:from>
        <xdr:to>
          <xdr:col>6</xdr:col>
          <xdr:colOff>1272540</xdr:colOff>
          <xdr:row>749</xdr:row>
          <xdr:rowOff>0</xdr:rowOff>
        </xdr:to>
        <xdr:sp macro="" textlink="">
          <xdr:nvSpPr>
            <xdr:cNvPr id="5275" name="Drop Down 4251" hidden="1">
              <a:extLst>
                <a:ext uri="{63B3BB69-23CF-44E3-9099-C40C66FF867C}">
                  <a14:compatExt spid="_x0000_s5275"/>
                </a:ext>
                <a:ext uri="{FF2B5EF4-FFF2-40B4-BE49-F238E27FC236}">
                  <a16:creationId xmlns:a16="http://schemas.microsoft.com/office/drawing/2014/main" id="{00000000-0008-0000-0000-00009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748</xdr:row>
          <xdr:rowOff>15240</xdr:rowOff>
        </xdr:from>
        <xdr:to>
          <xdr:col>6</xdr:col>
          <xdr:colOff>1805940</xdr:colOff>
          <xdr:row>748</xdr:row>
          <xdr:rowOff>320040</xdr:rowOff>
        </xdr:to>
        <xdr:sp macro="" textlink="">
          <xdr:nvSpPr>
            <xdr:cNvPr id="5276" name="Drop Down 4252" hidden="1">
              <a:extLst>
                <a:ext uri="{63B3BB69-23CF-44E3-9099-C40C66FF867C}">
                  <a14:compatExt spid="_x0000_s5276"/>
                </a:ext>
                <a:ext uri="{FF2B5EF4-FFF2-40B4-BE49-F238E27FC236}">
                  <a16:creationId xmlns:a16="http://schemas.microsoft.com/office/drawing/2014/main" id="{00000000-0008-0000-0000-00009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846</xdr:row>
          <xdr:rowOff>0</xdr:rowOff>
        </xdr:from>
        <xdr:to>
          <xdr:col>6</xdr:col>
          <xdr:colOff>624840</xdr:colOff>
          <xdr:row>847</xdr:row>
          <xdr:rowOff>0</xdr:rowOff>
        </xdr:to>
        <xdr:sp macro="" textlink="">
          <xdr:nvSpPr>
            <xdr:cNvPr id="5286" name="Drop Down 4262" hidden="1">
              <a:extLst>
                <a:ext uri="{63B3BB69-23CF-44E3-9099-C40C66FF867C}">
                  <a14:compatExt spid="_x0000_s5286"/>
                </a:ext>
                <a:ext uri="{FF2B5EF4-FFF2-40B4-BE49-F238E27FC236}">
                  <a16:creationId xmlns:a16="http://schemas.microsoft.com/office/drawing/2014/main" id="{00000000-0008-0000-0000-0000A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846</xdr:row>
          <xdr:rowOff>15240</xdr:rowOff>
        </xdr:from>
        <xdr:to>
          <xdr:col>6</xdr:col>
          <xdr:colOff>1272540</xdr:colOff>
          <xdr:row>847</xdr:row>
          <xdr:rowOff>0</xdr:rowOff>
        </xdr:to>
        <xdr:sp macro="" textlink="">
          <xdr:nvSpPr>
            <xdr:cNvPr id="5287" name="Drop Down 4263" hidden="1">
              <a:extLst>
                <a:ext uri="{63B3BB69-23CF-44E3-9099-C40C66FF867C}">
                  <a14:compatExt spid="_x0000_s5287"/>
                </a:ext>
                <a:ext uri="{FF2B5EF4-FFF2-40B4-BE49-F238E27FC236}">
                  <a16:creationId xmlns:a16="http://schemas.microsoft.com/office/drawing/2014/main" id="{00000000-0008-0000-0000-0000A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846</xdr:row>
          <xdr:rowOff>15240</xdr:rowOff>
        </xdr:from>
        <xdr:to>
          <xdr:col>6</xdr:col>
          <xdr:colOff>1805940</xdr:colOff>
          <xdr:row>846</xdr:row>
          <xdr:rowOff>320040</xdr:rowOff>
        </xdr:to>
        <xdr:sp macro="" textlink="">
          <xdr:nvSpPr>
            <xdr:cNvPr id="5288" name="Drop Down 4264" hidden="1">
              <a:extLst>
                <a:ext uri="{63B3BB69-23CF-44E3-9099-C40C66FF867C}">
                  <a14:compatExt spid="_x0000_s5288"/>
                </a:ext>
                <a:ext uri="{FF2B5EF4-FFF2-40B4-BE49-F238E27FC236}">
                  <a16:creationId xmlns:a16="http://schemas.microsoft.com/office/drawing/2014/main" id="{00000000-0008-0000-0000-0000A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847</xdr:row>
          <xdr:rowOff>0</xdr:rowOff>
        </xdr:from>
        <xdr:to>
          <xdr:col>6</xdr:col>
          <xdr:colOff>624840</xdr:colOff>
          <xdr:row>848</xdr:row>
          <xdr:rowOff>0</xdr:rowOff>
        </xdr:to>
        <xdr:sp macro="" textlink="">
          <xdr:nvSpPr>
            <xdr:cNvPr id="5290" name="Drop Down 4266" hidden="1">
              <a:extLst>
                <a:ext uri="{63B3BB69-23CF-44E3-9099-C40C66FF867C}">
                  <a14:compatExt spid="_x0000_s5290"/>
                </a:ext>
                <a:ext uri="{FF2B5EF4-FFF2-40B4-BE49-F238E27FC236}">
                  <a16:creationId xmlns:a16="http://schemas.microsoft.com/office/drawing/2014/main" id="{00000000-0008-0000-0000-0000A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847</xdr:row>
          <xdr:rowOff>15240</xdr:rowOff>
        </xdr:from>
        <xdr:to>
          <xdr:col>6</xdr:col>
          <xdr:colOff>1272540</xdr:colOff>
          <xdr:row>848</xdr:row>
          <xdr:rowOff>0</xdr:rowOff>
        </xdr:to>
        <xdr:sp macro="" textlink="">
          <xdr:nvSpPr>
            <xdr:cNvPr id="5291" name="Drop Down 4267" hidden="1">
              <a:extLst>
                <a:ext uri="{63B3BB69-23CF-44E3-9099-C40C66FF867C}">
                  <a14:compatExt spid="_x0000_s5291"/>
                </a:ext>
                <a:ext uri="{FF2B5EF4-FFF2-40B4-BE49-F238E27FC236}">
                  <a16:creationId xmlns:a16="http://schemas.microsoft.com/office/drawing/2014/main" id="{00000000-0008-0000-0000-0000A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847</xdr:row>
          <xdr:rowOff>15240</xdr:rowOff>
        </xdr:from>
        <xdr:to>
          <xdr:col>6</xdr:col>
          <xdr:colOff>1805940</xdr:colOff>
          <xdr:row>847</xdr:row>
          <xdr:rowOff>320040</xdr:rowOff>
        </xdr:to>
        <xdr:sp macro="" textlink="">
          <xdr:nvSpPr>
            <xdr:cNvPr id="5292" name="Drop Down 4268" hidden="1">
              <a:extLst>
                <a:ext uri="{63B3BB69-23CF-44E3-9099-C40C66FF867C}">
                  <a14:compatExt spid="_x0000_s5292"/>
                </a:ext>
                <a:ext uri="{FF2B5EF4-FFF2-40B4-BE49-F238E27FC236}">
                  <a16:creationId xmlns:a16="http://schemas.microsoft.com/office/drawing/2014/main" id="{00000000-0008-0000-0000-0000A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848</xdr:row>
          <xdr:rowOff>0</xdr:rowOff>
        </xdr:from>
        <xdr:to>
          <xdr:col>6</xdr:col>
          <xdr:colOff>624840</xdr:colOff>
          <xdr:row>849</xdr:row>
          <xdr:rowOff>0</xdr:rowOff>
        </xdr:to>
        <xdr:sp macro="" textlink="">
          <xdr:nvSpPr>
            <xdr:cNvPr id="5294" name="Drop Down 4270" hidden="1">
              <a:extLst>
                <a:ext uri="{63B3BB69-23CF-44E3-9099-C40C66FF867C}">
                  <a14:compatExt spid="_x0000_s5294"/>
                </a:ext>
                <a:ext uri="{FF2B5EF4-FFF2-40B4-BE49-F238E27FC236}">
                  <a16:creationId xmlns:a16="http://schemas.microsoft.com/office/drawing/2014/main" id="{00000000-0008-0000-0000-0000A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848</xdr:row>
          <xdr:rowOff>15240</xdr:rowOff>
        </xdr:from>
        <xdr:to>
          <xdr:col>6</xdr:col>
          <xdr:colOff>1272540</xdr:colOff>
          <xdr:row>849</xdr:row>
          <xdr:rowOff>0</xdr:rowOff>
        </xdr:to>
        <xdr:sp macro="" textlink="">
          <xdr:nvSpPr>
            <xdr:cNvPr id="5295" name="Drop Down 4271" hidden="1">
              <a:extLst>
                <a:ext uri="{63B3BB69-23CF-44E3-9099-C40C66FF867C}">
                  <a14:compatExt spid="_x0000_s5295"/>
                </a:ext>
                <a:ext uri="{FF2B5EF4-FFF2-40B4-BE49-F238E27FC236}">
                  <a16:creationId xmlns:a16="http://schemas.microsoft.com/office/drawing/2014/main" id="{00000000-0008-0000-0000-0000A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848</xdr:row>
          <xdr:rowOff>15240</xdr:rowOff>
        </xdr:from>
        <xdr:to>
          <xdr:col>6</xdr:col>
          <xdr:colOff>1805940</xdr:colOff>
          <xdr:row>848</xdr:row>
          <xdr:rowOff>320040</xdr:rowOff>
        </xdr:to>
        <xdr:sp macro="" textlink="">
          <xdr:nvSpPr>
            <xdr:cNvPr id="5296" name="Drop Down 4272" hidden="1">
              <a:extLst>
                <a:ext uri="{63B3BB69-23CF-44E3-9099-C40C66FF867C}">
                  <a14:compatExt spid="_x0000_s5296"/>
                </a:ext>
                <a:ext uri="{FF2B5EF4-FFF2-40B4-BE49-F238E27FC236}">
                  <a16:creationId xmlns:a16="http://schemas.microsoft.com/office/drawing/2014/main" id="{00000000-0008-0000-0000-0000B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946</xdr:row>
          <xdr:rowOff>0</xdr:rowOff>
        </xdr:from>
        <xdr:to>
          <xdr:col>6</xdr:col>
          <xdr:colOff>624840</xdr:colOff>
          <xdr:row>947</xdr:row>
          <xdr:rowOff>0</xdr:rowOff>
        </xdr:to>
        <xdr:sp macro="" textlink="">
          <xdr:nvSpPr>
            <xdr:cNvPr id="5306" name="Drop Down 4282" hidden="1">
              <a:extLst>
                <a:ext uri="{63B3BB69-23CF-44E3-9099-C40C66FF867C}">
                  <a14:compatExt spid="_x0000_s5306"/>
                </a:ext>
                <a:ext uri="{FF2B5EF4-FFF2-40B4-BE49-F238E27FC236}">
                  <a16:creationId xmlns:a16="http://schemas.microsoft.com/office/drawing/2014/main" id="{00000000-0008-0000-0000-0000B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946</xdr:row>
          <xdr:rowOff>15240</xdr:rowOff>
        </xdr:from>
        <xdr:to>
          <xdr:col>6</xdr:col>
          <xdr:colOff>1272540</xdr:colOff>
          <xdr:row>947</xdr:row>
          <xdr:rowOff>0</xdr:rowOff>
        </xdr:to>
        <xdr:sp macro="" textlink="">
          <xdr:nvSpPr>
            <xdr:cNvPr id="5307" name="Drop Down 4283" hidden="1">
              <a:extLst>
                <a:ext uri="{63B3BB69-23CF-44E3-9099-C40C66FF867C}">
                  <a14:compatExt spid="_x0000_s5307"/>
                </a:ext>
                <a:ext uri="{FF2B5EF4-FFF2-40B4-BE49-F238E27FC236}">
                  <a16:creationId xmlns:a16="http://schemas.microsoft.com/office/drawing/2014/main" id="{00000000-0008-0000-0000-0000B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946</xdr:row>
          <xdr:rowOff>15240</xdr:rowOff>
        </xdr:from>
        <xdr:to>
          <xdr:col>6</xdr:col>
          <xdr:colOff>1805940</xdr:colOff>
          <xdr:row>946</xdr:row>
          <xdr:rowOff>320040</xdr:rowOff>
        </xdr:to>
        <xdr:sp macro="" textlink="">
          <xdr:nvSpPr>
            <xdr:cNvPr id="5308" name="Drop Down 4284" hidden="1">
              <a:extLst>
                <a:ext uri="{63B3BB69-23CF-44E3-9099-C40C66FF867C}">
                  <a14:compatExt spid="_x0000_s5308"/>
                </a:ext>
                <a:ext uri="{FF2B5EF4-FFF2-40B4-BE49-F238E27FC236}">
                  <a16:creationId xmlns:a16="http://schemas.microsoft.com/office/drawing/2014/main" id="{00000000-0008-0000-00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947</xdr:row>
          <xdr:rowOff>0</xdr:rowOff>
        </xdr:from>
        <xdr:to>
          <xdr:col>6</xdr:col>
          <xdr:colOff>624840</xdr:colOff>
          <xdr:row>948</xdr:row>
          <xdr:rowOff>0</xdr:rowOff>
        </xdr:to>
        <xdr:sp macro="" textlink="">
          <xdr:nvSpPr>
            <xdr:cNvPr id="5310" name="Drop Down 4286" hidden="1">
              <a:extLst>
                <a:ext uri="{63B3BB69-23CF-44E3-9099-C40C66FF867C}">
                  <a14:compatExt spid="_x0000_s5310"/>
                </a:ext>
                <a:ext uri="{FF2B5EF4-FFF2-40B4-BE49-F238E27FC236}">
                  <a16:creationId xmlns:a16="http://schemas.microsoft.com/office/drawing/2014/main" id="{00000000-0008-0000-00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947</xdr:row>
          <xdr:rowOff>15240</xdr:rowOff>
        </xdr:from>
        <xdr:to>
          <xdr:col>6</xdr:col>
          <xdr:colOff>1272540</xdr:colOff>
          <xdr:row>948</xdr:row>
          <xdr:rowOff>0</xdr:rowOff>
        </xdr:to>
        <xdr:sp macro="" textlink="">
          <xdr:nvSpPr>
            <xdr:cNvPr id="5311" name="Drop Down 4287" hidden="1">
              <a:extLst>
                <a:ext uri="{63B3BB69-23CF-44E3-9099-C40C66FF867C}">
                  <a14:compatExt spid="_x0000_s5311"/>
                </a:ext>
                <a:ext uri="{FF2B5EF4-FFF2-40B4-BE49-F238E27FC236}">
                  <a16:creationId xmlns:a16="http://schemas.microsoft.com/office/drawing/2014/main" id="{00000000-0008-0000-00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947</xdr:row>
          <xdr:rowOff>15240</xdr:rowOff>
        </xdr:from>
        <xdr:to>
          <xdr:col>6</xdr:col>
          <xdr:colOff>1805940</xdr:colOff>
          <xdr:row>947</xdr:row>
          <xdr:rowOff>320040</xdr:rowOff>
        </xdr:to>
        <xdr:sp macro="" textlink="">
          <xdr:nvSpPr>
            <xdr:cNvPr id="5312" name="Drop Down 4288" hidden="1">
              <a:extLst>
                <a:ext uri="{63B3BB69-23CF-44E3-9099-C40C66FF867C}">
                  <a14:compatExt spid="_x0000_s5312"/>
                </a:ext>
                <a:ext uri="{FF2B5EF4-FFF2-40B4-BE49-F238E27FC236}">
                  <a16:creationId xmlns:a16="http://schemas.microsoft.com/office/drawing/2014/main" id="{00000000-0008-0000-00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948</xdr:row>
          <xdr:rowOff>0</xdr:rowOff>
        </xdr:from>
        <xdr:to>
          <xdr:col>6</xdr:col>
          <xdr:colOff>624840</xdr:colOff>
          <xdr:row>949</xdr:row>
          <xdr:rowOff>0</xdr:rowOff>
        </xdr:to>
        <xdr:sp macro="" textlink="">
          <xdr:nvSpPr>
            <xdr:cNvPr id="5314" name="Drop Down 4290" hidden="1">
              <a:extLst>
                <a:ext uri="{63B3BB69-23CF-44E3-9099-C40C66FF867C}">
                  <a14:compatExt spid="_x0000_s5314"/>
                </a:ext>
                <a:ext uri="{FF2B5EF4-FFF2-40B4-BE49-F238E27FC236}">
                  <a16:creationId xmlns:a16="http://schemas.microsoft.com/office/drawing/2014/main" id="{00000000-0008-0000-0000-0000C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948</xdr:row>
          <xdr:rowOff>15240</xdr:rowOff>
        </xdr:from>
        <xdr:to>
          <xdr:col>6</xdr:col>
          <xdr:colOff>1272540</xdr:colOff>
          <xdr:row>949</xdr:row>
          <xdr:rowOff>0</xdr:rowOff>
        </xdr:to>
        <xdr:sp macro="" textlink="">
          <xdr:nvSpPr>
            <xdr:cNvPr id="5315" name="Drop Down 4291" hidden="1">
              <a:extLst>
                <a:ext uri="{63B3BB69-23CF-44E3-9099-C40C66FF867C}">
                  <a14:compatExt spid="_x0000_s5315"/>
                </a:ext>
                <a:ext uri="{FF2B5EF4-FFF2-40B4-BE49-F238E27FC236}">
                  <a16:creationId xmlns:a16="http://schemas.microsoft.com/office/drawing/2014/main" id="{00000000-0008-0000-0000-0000C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948</xdr:row>
          <xdr:rowOff>15240</xdr:rowOff>
        </xdr:from>
        <xdr:to>
          <xdr:col>6</xdr:col>
          <xdr:colOff>1805940</xdr:colOff>
          <xdr:row>948</xdr:row>
          <xdr:rowOff>320040</xdr:rowOff>
        </xdr:to>
        <xdr:sp macro="" textlink="">
          <xdr:nvSpPr>
            <xdr:cNvPr id="5316" name="Drop Down 4292" hidden="1">
              <a:extLst>
                <a:ext uri="{63B3BB69-23CF-44E3-9099-C40C66FF867C}">
                  <a14:compatExt spid="_x0000_s5316"/>
                </a:ext>
                <a:ext uri="{FF2B5EF4-FFF2-40B4-BE49-F238E27FC236}">
                  <a16:creationId xmlns:a16="http://schemas.microsoft.com/office/drawing/2014/main" id="{00000000-0008-0000-0000-0000C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1046</xdr:row>
          <xdr:rowOff>0</xdr:rowOff>
        </xdr:from>
        <xdr:to>
          <xdr:col>6</xdr:col>
          <xdr:colOff>624840</xdr:colOff>
          <xdr:row>1047</xdr:row>
          <xdr:rowOff>0</xdr:rowOff>
        </xdr:to>
        <xdr:sp macro="" textlink="">
          <xdr:nvSpPr>
            <xdr:cNvPr id="5326" name="Drop Down 4302" hidden="1">
              <a:extLst>
                <a:ext uri="{63B3BB69-23CF-44E3-9099-C40C66FF867C}">
                  <a14:compatExt spid="_x0000_s5326"/>
                </a:ext>
                <a:ext uri="{FF2B5EF4-FFF2-40B4-BE49-F238E27FC236}">
                  <a16:creationId xmlns:a16="http://schemas.microsoft.com/office/drawing/2014/main" id="{00000000-0008-0000-0000-0000C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1046</xdr:row>
          <xdr:rowOff>15240</xdr:rowOff>
        </xdr:from>
        <xdr:to>
          <xdr:col>6</xdr:col>
          <xdr:colOff>1272540</xdr:colOff>
          <xdr:row>1047</xdr:row>
          <xdr:rowOff>0</xdr:rowOff>
        </xdr:to>
        <xdr:sp macro="" textlink="">
          <xdr:nvSpPr>
            <xdr:cNvPr id="5327" name="Drop Down 4303" hidden="1">
              <a:extLst>
                <a:ext uri="{63B3BB69-23CF-44E3-9099-C40C66FF867C}">
                  <a14:compatExt spid="_x0000_s5327"/>
                </a:ext>
                <a:ext uri="{FF2B5EF4-FFF2-40B4-BE49-F238E27FC236}">
                  <a16:creationId xmlns:a16="http://schemas.microsoft.com/office/drawing/2014/main" id="{00000000-0008-0000-00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1046</xdr:row>
          <xdr:rowOff>15240</xdr:rowOff>
        </xdr:from>
        <xdr:to>
          <xdr:col>6</xdr:col>
          <xdr:colOff>1805940</xdr:colOff>
          <xdr:row>1046</xdr:row>
          <xdr:rowOff>320040</xdr:rowOff>
        </xdr:to>
        <xdr:sp macro="" textlink="">
          <xdr:nvSpPr>
            <xdr:cNvPr id="5328" name="Drop Down 4304" hidden="1">
              <a:extLst>
                <a:ext uri="{63B3BB69-23CF-44E3-9099-C40C66FF867C}">
                  <a14:compatExt spid="_x0000_s5328"/>
                </a:ext>
                <a:ext uri="{FF2B5EF4-FFF2-40B4-BE49-F238E27FC236}">
                  <a16:creationId xmlns:a16="http://schemas.microsoft.com/office/drawing/2014/main" id="{00000000-0008-0000-0000-0000D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1047</xdr:row>
          <xdr:rowOff>0</xdr:rowOff>
        </xdr:from>
        <xdr:to>
          <xdr:col>6</xdr:col>
          <xdr:colOff>624840</xdr:colOff>
          <xdr:row>1048</xdr:row>
          <xdr:rowOff>0</xdr:rowOff>
        </xdr:to>
        <xdr:sp macro="" textlink="">
          <xdr:nvSpPr>
            <xdr:cNvPr id="5330" name="Drop Down 4306" hidden="1">
              <a:extLst>
                <a:ext uri="{63B3BB69-23CF-44E3-9099-C40C66FF867C}">
                  <a14:compatExt spid="_x0000_s5330"/>
                </a:ext>
                <a:ext uri="{FF2B5EF4-FFF2-40B4-BE49-F238E27FC236}">
                  <a16:creationId xmlns:a16="http://schemas.microsoft.com/office/drawing/2014/main" id="{00000000-0008-0000-0000-0000D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1047</xdr:row>
          <xdr:rowOff>15240</xdr:rowOff>
        </xdr:from>
        <xdr:to>
          <xdr:col>6</xdr:col>
          <xdr:colOff>1272540</xdr:colOff>
          <xdr:row>1048</xdr:row>
          <xdr:rowOff>0</xdr:rowOff>
        </xdr:to>
        <xdr:sp macro="" textlink="">
          <xdr:nvSpPr>
            <xdr:cNvPr id="5331" name="Drop Down 4307" hidden="1">
              <a:extLst>
                <a:ext uri="{63B3BB69-23CF-44E3-9099-C40C66FF867C}">
                  <a14:compatExt spid="_x0000_s5331"/>
                </a:ext>
                <a:ext uri="{FF2B5EF4-FFF2-40B4-BE49-F238E27FC236}">
                  <a16:creationId xmlns:a16="http://schemas.microsoft.com/office/drawing/2014/main" id="{00000000-0008-0000-0000-0000D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1047</xdr:row>
          <xdr:rowOff>15240</xdr:rowOff>
        </xdr:from>
        <xdr:to>
          <xdr:col>6</xdr:col>
          <xdr:colOff>1805940</xdr:colOff>
          <xdr:row>1047</xdr:row>
          <xdr:rowOff>320040</xdr:rowOff>
        </xdr:to>
        <xdr:sp macro="" textlink="">
          <xdr:nvSpPr>
            <xdr:cNvPr id="5332" name="Drop Down 4308" hidden="1">
              <a:extLst>
                <a:ext uri="{63B3BB69-23CF-44E3-9099-C40C66FF867C}">
                  <a14:compatExt spid="_x0000_s5332"/>
                </a:ext>
                <a:ext uri="{FF2B5EF4-FFF2-40B4-BE49-F238E27FC236}">
                  <a16:creationId xmlns:a16="http://schemas.microsoft.com/office/drawing/2014/main" id="{00000000-0008-0000-0000-0000D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1048</xdr:row>
          <xdr:rowOff>0</xdr:rowOff>
        </xdr:from>
        <xdr:to>
          <xdr:col>6</xdr:col>
          <xdr:colOff>624840</xdr:colOff>
          <xdr:row>1049</xdr:row>
          <xdr:rowOff>0</xdr:rowOff>
        </xdr:to>
        <xdr:sp macro="" textlink="">
          <xdr:nvSpPr>
            <xdr:cNvPr id="5334" name="Drop Down 4310" hidden="1">
              <a:extLst>
                <a:ext uri="{63B3BB69-23CF-44E3-9099-C40C66FF867C}">
                  <a14:compatExt spid="_x0000_s5334"/>
                </a:ext>
                <a:ext uri="{FF2B5EF4-FFF2-40B4-BE49-F238E27FC236}">
                  <a16:creationId xmlns:a16="http://schemas.microsoft.com/office/drawing/2014/main" id="{00000000-0008-0000-0000-0000D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1048</xdr:row>
          <xdr:rowOff>15240</xdr:rowOff>
        </xdr:from>
        <xdr:to>
          <xdr:col>6</xdr:col>
          <xdr:colOff>1272540</xdr:colOff>
          <xdr:row>1049</xdr:row>
          <xdr:rowOff>0</xdr:rowOff>
        </xdr:to>
        <xdr:sp macro="" textlink="">
          <xdr:nvSpPr>
            <xdr:cNvPr id="5335" name="Drop Down 4311" hidden="1">
              <a:extLst>
                <a:ext uri="{63B3BB69-23CF-44E3-9099-C40C66FF867C}">
                  <a14:compatExt spid="_x0000_s5335"/>
                </a:ext>
                <a:ext uri="{FF2B5EF4-FFF2-40B4-BE49-F238E27FC236}">
                  <a16:creationId xmlns:a16="http://schemas.microsoft.com/office/drawing/2014/main" id="{00000000-0008-0000-0000-0000D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1048</xdr:row>
          <xdr:rowOff>15240</xdr:rowOff>
        </xdr:from>
        <xdr:to>
          <xdr:col>6</xdr:col>
          <xdr:colOff>1805940</xdr:colOff>
          <xdr:row>1048</xdr:row>
          <xdr:rowOff>320040</xdr:rowOff>
        </xdr:to>
        <xdr:sp macro="" textlink="">
          <xdr:nvSpPr>
            <xdr:cNvPr id="5336" name="Drop Down 4312" hidden="1">
              <a:extLst>
                <a:ext uri="{63B3BB69-23CF-44E3-9099-C40C66FF867C}">
                  <a14:compatExt spid="_x0000_s5336"/>
                </a:ext>
                <a:ext uri="{FF2B5EF4-FFF2-40B4-BE49-F238E27FC236}">
                  <a16:creationId xmlns:a16="http://schemas.microsoft.com/office/drawing/2014/main" id="{00000000-0008-0000-0000-0000D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1146</xdr:row>
          <xdr:rowOff>0</xdr:rowOff>
        </xdr:from>
        <xdr:to>
          <xdr:col>6</xdr:col>
          <xdr:colOff>624840</xdr:colOff>
          <xdr:row>1147</xdr:row>
          <xdr:rowOff>0</xdr:rowOff>
        </xdr:to>
        <xdr:sp macro="" textlink="">
          <xdr:nvSpPr>
            <xdr:cNvPr id="5346" name="Drop Down 4322" hidden="1">
              <a:extLst>
                <a:ext uri="{63B3BB69-23CF-44E3-9099-C40C66FF867C}">
                  <a14:compatExt spid="_x0000_s5346"/>
                </a:ext>
                <a:ext uri="{FF2B5EF4-FFF2-40B4-BE49-F238E27FC236}">
                  <a16:creationId xmlns:a16="http://schemas.microsoft.com/office/drawing/2014/main" id="{00000000-0008-0000-0000-0000E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1146</xdr:row>
          <xdr:rowOff>15240</xdr:rowOff>
        </xdr:from>
        <xdr:to>
          <xdr:col>6</xdr:col>
          <xdr:colOff>1272540</xdr:colOff>
          <xdr:row>1147</xdr:row>
          <xdr:rowOff>0</xdr:rowOff>
        </xdr:to>
        <xdr:sp macro="" textlink="">
          <xdr:nvSpPr>
            <xdr:cNvPr id="5347" name="Drop Down 4323" hidden="1">
              <a:extLst>
                <a:ext uri="{63B3BB69-23CF-44E3-9099-C40C66FF867C}">
                  <a14:compatExt spid="_x0000_s5347"/>
                </a:ext>
                <a:ext uri="{FF2B5EF4-FFF2-40B4-BE49-F238E27FC236}">
                  <a16:creationId xmlns:a16="http://schemas.microsoft.com/office/drawing/2014/main" id="{00000000-0008-0000-0000-0000E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1146</xdr:row>
          <xdr:rowOff>15240</xdr:rowOff>
        </xdr:from>
        <xdr:to>
          <xdr:col>6</xdr:col>
          <xdr:colOff>1805940</xdr:colOff>
          <xdr:row>1146</xdr:row>
          <xdr:rowOff>320040</xdr:rowOff>
        </xdr:to>
        <xdr:sp macro="" textlink="">
          <xdr:nvSpPr>
            <xdr:cNvPr id="5348" name="Drop Down 4324" hidden="1">
              <a:extLst>
                <a:ext uri="{63B3BB69-23CF-44E3-9099-C40C66FF867C}">
                  <a14:compatExt spid="_x0000_s5348"/>
                </a:ext>
                <a:ext uri="{FF2B5EF4-FFF2-40B4-BE49-F238E27FC236}">
                  <a16:creationId xmlns:a16="http://schemas.microsoft.com/office/drawing/2014/main" id="{00000000-0008-0000-0000-0000E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1147</xdr:row>
          <xdr:rowOff>0</xdr:rowOff>
        </xdr:from>
        <xdr:to>
          <xdr:col>6</xdr:col>
          <xdr:colOff>624840</xdr:colOff>
          <xdr:row>1148</xdr:row>
          <xdr:rowOff>0</xdr:rowOff>
        </xdr:to>
        <xdr:sp macro="" textlink="">
          <xdr:nvSpPr>
            <xdr:cNvPr id="5350" name="Drop Down 4326" hidden="1">
              <a:extLst>
                <a:ext uri="{63B3BB69-23CF-44E3-9099-C40C66FF867C}">
                  <a14:compatExt spid="_x0000_s5350"/>
                </a:ext>
                <a:ext uri="{FF2B5EF4-FFF2-40B4-BE49-F238E27FC236}">
                  <a16:creationId xmlns:a16="http://schemas.microsoft.com/office/drawing/2014/main" id="{00000000-0008-0000-0000-0000E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1147</xdr:row>
          <xdr:rowOff>15240</xdr:rowOff>
        </xdr:from>
        <xdr:to>
          <xdr:col>6</xdr:col>
          <xdr:colOff>1272540</xdr:colOff>
          <xdr:row>1148</xdr:row>
          <xdr:rowOff>0</xdr:rowOff>
        </xdr:to>
        <xdr:sp macro="" textlink="">
          <xdr:nvSpPr>
            <xdr:cNvPr id="5351" name="Drop Down 4327" hidden="1">
              <a:extLst>
                <a:ext uri="{63B3BB69-23CF-44E3-9099-C40C66FF867C}">
                  <a14:compatExt spid="_x0000_s5351"/>
                </a:ext>
                <a:ext uri="{FF2B5EF4-FFF2-40B4-BE49-F238E27FC236}">
                  <a16:creationId xmlns:a16="http://schemas.microsoft.com/office/drawing/2014/main" id="{00000000-0008-0000-0000-0000E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1147</xdr:row>
          <xdr:rowOff>15240</xdr:rowOff>
        </xdr:from>
        <xdr:to>
          <xdr:col>6</xdr:col>
          <xdr:colOff>1805940</xdr:colOff>
          <xdr:row>1147</xdr:row>
          <xdr:rowOff>320040</xdr:rowOff>
        </xdr:to>
        <xdr:sp macro="" textlink="">
          <xdr:nvSpPr>
            <xdr:cNvPr id="5352" name="Drop Down 4328" hidden="1">
              <a:extLst>
                <a:ext uri="{63B3BB69-23CF-44E3-9099-C40C66FF867C}">
                  <a14:compatExt spid="_x0000_s5352"/>
                </a:ext>
                <a:ext uri="{FF2B5EF4-FFF2-40B4-BE49-F238E27FC236}">
                  <a16:creationId xmlns:a16="http://schemas.microsoft.com/office/drawing/2014/main" id="{00000000-0008-0000-0000-0000E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1148</xdr:row>
          <xdr:rowOff>0</xdr:rowOff>
        </xdr:from>
        <xdr:to>
          <xdr:col>6</xdr:col>
          <xdr:colOff>624840</xdr:colOff>
          <xdr:row>1149</xdr:row>
          <xdr:rowOff>0</xdr:rowOff>
        </xdr:to>
        <xdr:sp macro="" textlink="">
          <xdr:nvSpPr>
            <xdr:cNvPr id="5354" name="Drop Down 4330" hidden="1">
              <a:extLst>
                <a:ext uri="{63B3BB69-23CF-44E3-9099-C40C66FF867C}">
                  <a14:compatExt spid="_x0000_s5354"/>
                </a:ext>
                <a:ext uri="{FF2B5EF4-FFF2-40B4-BE49-F238E27FC236}">
                  <a16:creationId xmlns:a16="http://schemas.microsoft.com/office/drawing/2014/main" id="{00000000-0008-0000-0000-0000E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1148</xdr:row>
          <xdr:rowOff>15240</xdr:rowOff>
        </xdr:from>
        <xdr:to>
          <xdr:col>6</xdr:col>
          <xdr:colOff>1272540</xdr:colOff>
          <xdr:row>1149</xdr:row>
          <xdr:rowOff>0</xdr:rowOff>
        </xdr:to>
        <xdr:sp macro="" textlink="">
          <xdr:nvSpPr>
            <xdr:cNvPr id="5355" name="Drop Down 4331" hidden="1">
              <a:extLst>
                <a:ext uri="{63B3BB69-23CF-44E3-9099-C40C66FF867C}">
                  <a14:compatExt spid="_x0000_s5355"/>
                </a:ext>
                <a:ext uri="{FF2B5EF4-FFF2-40B4-BE49-F238E27FC236}">
                  <a16:creationId xmlns:a16="http://schemas.microsoft.com/office/drawing/2014/main" id="{00000000-0008-0000-00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1148</xdr:row>
          <xdr:rowOff>15240</xdr:rowOff>
        </xdr:from>
        <xdr:to>
          <xdr:col>6</xdr:col>
          <xdr:colOff>1805940</xdr:colOff>
          <xdr:row>1148</xdr:row>
          <xdr:rowOff>320040</xdr:rowOff>
        </xdr:to>
        <xdr:sp macro="" textlink="">
          <xdr:nvSpPr>
            <xdr:cNvPr id="5356" name="Drop Down 4332" hidden="1">
              <a:extLst>
                <a:ext uri="{63B3BB69-23CF-44E3-9099-C40C66FF867C}">
                  <a14:compatExt spid="_x0000_s5356"/>
                </a:ext>
                <a:ext uri="{FF2B5EF4-FFF2-40B4-BE49-F238E27FC236}">
                  <a16:creationId xmlns:a16="http://schemas.microsoft.com/office/drawing/2014/main" id="{00000000-0008-0000-0000-0000E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1246</xdr:row>
          <xdr:rowOff>0</xdr:rowOff>
        </xdr:from>
        <xdr:to>
          <xdr:col>6</xdr:col>
          <xdr:colOff>624840</xdr:colOff>
          <xdr:row>1247</xdr:row>
          <xdr:rowOff>0</xdr:rowOff>
        </xdr:to>
        <xdr:sp macro="" textlink="">
          <xdr:nvSpPr>
            <xdr:cNvPr id="5366" name="Drop Down 4342" hidden="1">
              <a:extLst>
                <a:ext uri="{63B3BB69-23CF-44E3-9099-C40C66FF867C}">
                  <a14:compatExt spid="_x0000_s5366"/>
                </a:ext>
                <a:ext uri="{FF2B5EF4-FFF2-40B4-BE49-F238E27FC236}">
                  <a16:creationId xmlns:a16="http://schemas.microsoft.com/office/drawing/2014/main" id="{00000000-0008-0000-0000-0000F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1246</xdr:row>
          <xdr:rowOff>15240</xdr:rowOff>
        </xdr:from>
        <xdr:to>
          <xdr:col>6</xdr:col>
          <xdr:colOff>1272540</xdr:colOff>
          <xdr:row>1247</xdr:row>
          <xdr:rowOff>0</xdr:rowOff>
        </xdr:to>
        <xdr:sp macro="" textlink="">
          <xdr:nvSpPr>
            <xdr:cNvPr id="5367" name="Drop Down 4343" hidden="1">
              <a:extLst>
                <a:ext uri="{63B3BB69-23CF-44E3-9099-C40C66FF867C}">
                  <a14:compatExt spid="_x0000_s5367"/>
                </a:ext>
                <a:ext uri="{FF2B5EF4-FFF2-40B4-BE49-F238E27FC236}">
                  <a16:creationId xmlns:a16="http://schemas.microsoft.com/office/drawing/2014/main" id="{00000000-0008-0000-0000-0000F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1246</xdr:row>
          <xdr:rowOff>15240</xdr:rowOff>
        </xdr:from>
        <xdr:to>
          <xdr:col>6</xdr:col>
          <xdr:colOff>1805940</xdr:colOff>
          <xdr:row>1246</xdr:row>
          <xdr:rowOff>320040</xdr:rowOff>
        </xdr:to>
        <xdr:sp macro="" textlink="">
          <xdr:nvSpPr>
            <xdr:cNvPr id="5368" name="Drop Down 4344" hidden="1">
              <a:extLst>
                <a:ext uri="{63B3BB69-23CF-44E3-9099-C40C66FF867C}">
                  <a14:compatExt spid="_x0000_s5368"/>
                </a:ext>
                <a:ext uri="{FF2B5EF4-FFF2-40B4-BE49-F238E27FC236}">
                  <a16:creationId xmlns:a16="http://schemas.microsoft.com/office/drawing/2014/main" id="{00000000-0008-0000-0000-0000F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1247</xdr:row>
          <xdr:rowOff>0</xdr:rowOff>
        </xdr:from>
        <xdr:to>
          <xdr:col>6</xdr:col>
          <xdr:colOff>624840</xdr:colOff>
          <xdr:row>1248</xdr:row>
          <xdr:rowOff>0</xdr:rowOff>
        </xdr:to>
        <xdr:sp macro="" textlink="">
          <xdr:nvSpPr>
            <xdr:cNvPr id="5370" name="Drop Down 4346" hidden="1">
              <a:extLst>
                <a:ext uri="{63B3BB69-23CF-44E3-9099-C40C66FF867C}">
                  <a14:compatExt spid="_x0000_s5370"/>
                </a:ext>
                <a:ext uri="{FF2B5EF4-FFF2-40B4-BE49-F238E27FC236}">
                  <a16:creationId xmlns:a16="http://schemas.microsoft.com/office/drawing/2014/main" id="{00000000-0008-0000-0000-0000F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1247</xdr:row>
          <xdr:rowOff>15240</xdr:rowOff>
        </xdr:from>
        <xdr:to>
          <xdr:col>6</xdr:col>
          <xdr:colOff>1272540</xdr:colOff>
          <xdr:row>1248</xdr:row>
          <xdr:rowOff>0</xdr:rowOff>
        </xdr:to>
        <xdr:sp macro="" textlink="">
          <xdr:nvSpPr>
            <xdr:cNvPr id="5371" name="Drop Down 4347" hidden="1">
              <a:extLst>
                <a:ext uri="{63B3BB69-23CF-44E3-9099-C40C66FF867C}">
                  <a14:compatExt spid="_x0000_s5371"/>
                </a:ext>
                <a:ext uri="{FF2B5EF4-FFF2-40B4-BE49-F238E27FC236}">
                  <a16:creationId xmlns:a16="http://schemas.microsoft.com/office/drawing/2014/main" id="{00000000-0008-0000-0000-0000F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1247</xdr:row>
          <xdr:rowOff>15240</xdr:rowOff>
        </xdr:from>
        <xdr:to>
          <xdr:col>6</xdr:col>
          <xdr:colOff>1805940</xdr:colOff>
          <xdr:row>1247</xdr:row>
          <xdr:rowOff>320040</xdr:rowOff>
        </xdr:to>
        <xdr:sp macro="" textlink="">
          <xdr:nvSpPr>
            <xdr:cNvPr id="5372" name="Drop Down 4348" hidden="1">
              <a:extLst>
                <a:ext uri="{63B3BB69-23CF-44E3-9099-C40C66FF867C}">
                  <a14:compatExt spid="_x0000_s5372"/>
                </a:ext>
                <a:ext uri="{FF2B5EF4-FFF2-40B4-BE49-F238E27FC236}">
                  <a16:creationId xmlns:a16="http://schemas.microsoft.com/office/drawing/2014/main" id="{00000000-0008-0000-0000-0000F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1248</xdr:row>
          <xdr:rowOff>0</xdr:rowOff>
        </xdr:from>
        <xdr:to>
          <xdr:col>6</xdr:col>
          <xdr:colOff>624840</xdr:colOff>
          <xdr:row>1249</xdr:row>
          <xdr:rowOff>0</xdr:rowOff>
        </xdr:to>
        <xdr:sp macro="" textlink="">
          <xdr:nvSpPr>
            <xdr:cNvPr id="5374" name="Drop Down 4350" hidden="1">
              <a:extLst>
                <a:ext uri="{63B3BB69-23CF-44E3-9099-C40C66FF867C}">
                  <a14:compatExt spid="_x0000_s5374"/>
                </a:ext>
                <a:ext uri="{FF2B5EF4-FFF2-40B4-BE49-F238E27FC236}">
                  <a16:creationId xmlns:a16="http://schemas.microsoft.com/office/drawing/2014/main" id="{00000000-0008-0000-0000-0000F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1248</xdr:row>
          <xdr:rowOff>15240</xdr:rowOff>
        </xdr:from>
        <xdr:to>
          <xdr:col>6</xdr:col>
          <xdr:colOff>1272540</xdr:colOff>
          <xdr:row>1249</xdr:row>
          <xdr:rowOff>0</xdr:rowOff>
        </xdr:to>
        <xdr:sp macro="" textlink="">
          <xdr:nvSpPr>
            <xdr:cNvPr id="5375" name="Drop Down 4351" hidden="1">
              <a:extLst>
                <a:ext uri="{63B3BB69-23CF-44E3-9099-C40C66FF867C}">
                  <a14:compatExt spid="_x0000_s5375"/>
                </a:ext>
                <a:ext uri="{FF2B5EF4-FFF2-40B4-BE49-F238E27FC236}">
                  <a16:creationId xmlns:a16="http://schemas.microsoft.com/office/drawing/2014/main" id="{00000000-0008-0000-0000-0000F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1248</xdr:row>
          <xdr:rowOff>15240</xdr:rowOff>
        </xdr:from>
        <xdr:to>
          <xdr:col>6</xdr:col>
          <xdr:colOff>1805940</xdr:colOff>
          <xdr:row>1248</xdr:row>
          <xdr:rowOff>320040</xdr:rowOff>
        </xdr:to>
        <xdr:sp macro="" textlink="">
          <xdr:nvSpPr>
            <xdr:cNvPr id="5376" name="Drop Down 4352" hidden="1">
              <a:extLst>
                <a:ext uri="{63B3BB69-23CF-44E3-9099-C40C66FF867C}">
                  <a14:compatExt spid="_x0000_s5376"/>
                </a:ext>
                <a:ext uri="{FF2B5EF4-FFF2-40B4-BE49-F238E27FC236}">
                  <a16:creationId xmlns:a16="http://schemas.microsoft.com/office/drawing/2014/main" id="{00000000-0008-0000-0000-00000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1346</xdr:row>
          <xdr:rowOff>0</xdr:rowOff>
        </xdr:from>
        <xdr:to>
          <xdr:col>6</xdr:col>
          <xdr:colOff>624840</xdr:colOff>
          <xdr:row>1347</xdr:row>
          <xdr:rowOff>0</xdr:rowOff>
        </xdr:to>
        <xdr:sp macro="" textlink="">
          <xdr:nvSpPr>
            <xdr:cNvPr id="5386" name="Drop Down 4362" hidden="1">
              <a:extLst>
                <a:ext uri="{63B3BB69-23CF-44E3-9099-C40C66FF867C}">
                  <a14:compatExt spid="_x0000_s5386"/>
                </a:ext>
                <a:ext uri="{FF2B5EF4-FFF2-40B4-BE49-F238E27FC236}">
                  <a16:creationId xmlns:a16="http://schemas.microsoft.com/office/drawing/2014/main" id="{00000000-0008-0000-0000-00000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1346</xdr:row>
          <xdr:rowOff>15240</xdr:rowOff>
        </xdr:from>
        <xdr:to>
          <xdr:col>6</xdr:col>
          <xdr:colOff>1272540</xdr:colOff>
          <xdr:row>1347</xdr:row>
          <xdr:rowOff>0</xdr:rowOff>
        </xdr:to>
        <xdr:sp macro="" textlink="">
          <xdr:nvSpPr>
            <xdr:cNvPr id="5387" name="Drop Down 4363" hidden="1">
              <a:extLst>
                <a:ext uri="{63B3BB69-23CF-44E3-9099-C40C66FF867C}">
                  <a14:compatExt spid="_x0000_s5387"/>
                </a:ext>
                <a:ext uri="{FF2B5EF4-FFF2-40B4-BE49-F238E27FC236}">
                  <a16:creationId xmlns:a16="http://schemas.microsoft.com/office/drawing/2014/main" id="{00000000-0008-0000-0000-00000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1346</xdr:row>
          <xdr:rowOff>15240</xdr:rowOff>
        </xdr:from>
        <xdr:to>
          <xdr:col>6</xdr:col>
          <xdr:colOff>1805940</xdr:colOff>
          <xdr:row>1346</xdr:row>
          <xdr:rowOff>320040</xdr:rowOff>
        </xdr:to>
        <xdr:sp macro="" textlink="">
          <xdr:nvSpPr>
            <xdr:cNvPr id="5388" name="Drop Down 4364" hidden="1">
              <a:extLst>
                <a:ext uri="{63B3BB69-23CF-44E3-9099-C40C66FF867C}">
                  <a14:compatExt spid="_x0000_s5388"/>
                </a:ext>
                <a:ext uri="{FF2B5EF4-FFF2-40B4-BE49-F238E27FC236}">
                  <a16:creationId xmlns:a16="http://schemas.microsoft.com/office/drawing/2014/main" id="{00000000-0008-0000-0000-00000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1347</xdr:row>
          <xdr:rowOff>0</xdr:rowOff>
        </xdr:from>
        <xdr:to>
          <xdr:col>6</xdr:col>
          <xdr:colOff>624840</xdr:colOff>
          <xdr:row>1348</xdr:row>
          <xdr:rowOff>0</xdr:rowOff>
        </xdr:to>
        <xdr:sp macro="" textlink="">
          <xdr:nvSpPr>
            <xdr:cNvPr id="5390" name="Drop Down 4366" hidden="1">
              <a:extLst>
                <a:ext uri="{63B3BB69-23CF-44E3-9099-C40C66FF867C}">
                  <a14:compatExt spid="_x0000_s5390"/>
                </a:ext>
                <a:ext uri="{FF2B5EF4-FFF2-40B4-BE49-F238E27FC236}">
                  <a16:creationId xmlns:a16="http://schemas.microsoft.com/office/drawing/2014/main" id="{00000000-0008-0000-0000-00000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1347</xdr:row>
          <xdr:rowOff>15240</xdr:rowOff>
        </xdr:from>
        <xdr:to>
          <xdr:col>6</xdr:col>
          <xdr:colOff>1272540</xdr:colOff>
          <xdr:row>1348</xdr:row>
          <xdr:rowOff>0</xdr:rowOff>
        </xdr:to>
        <xdr:sp macro="" textlink="">
          <xdr:nvSpPr>
            <xdr:cNvPr id="5391" name="Drop Down 4367" hidden="1">
              <a:extLst>
                <a:ext uri="{63B3BB69-23CF-44E3-9099-C40C66FF867C}">
                  <a14:compatExt spid="_x0000_s5391"/>
                </a:ext>
                <a:ext uri="{FF2B5EF4-FFF2-40B4-BE49-F238E27FC236}">
                  <a16:creationId xmlns:a16="http://schemas.microsoft.com/office/drawing/2014/main" id="{00000000-0008-0000-0000-00000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1347</xdr:row>
          <xdr:rowOff>15240</xdr:rowOff>
        </xdr:from>
        <xdr:to>
          <xdr:col>6</xdr:col>
          <xdr:colOff>1805940</xdr:colOff>
          <xdr:row>1347</xdr:row>
          <xdr:rowOff>320040</xdr:rowOff>
        </xdr:to>
        <xdr:sp macro="" textlink="">
          <xdr:nvSpPr>
            <xdr:cNvPr id="5392" name="Drop Down 4368" hidden="1">
              <a:extLst>
                <a:ext uri="{63B3BB69-23CF-44E3-9099-C40C66FF867C}">
                  <a14:compatExt spid="_x0000_s5392"/>
                </a:ext>
                <a:ext uri="{FF2B5EF4-FFF2-40B4-BE49-F238E27FC236}">
                  <a16:creationId xmlns:a16="http://schemas.microsoft.com/office/drawing/2014/main" id="{00000000-0008-0000-0000-00001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1348</xdr:row>
          <xdr:rowOff>0</xdr:rowOff>
        </xdr:from>
        <xdr:to>
          <xdr:col>6</xdr:col>
          <xdr:colOff>624840</xdr:colOff>
          <xdr:row>1349</xdr:row>
          <xdr:rowOff>0</xdr:rowOff>
        </xdr:to>
        <xdr:sp macro="" textlink="">
          <xdr:nvSpPr>
            <xdr:cNvPr id="5394" name="Drop Down 4370" hidden="1">
              <a:extLst>
                <a:ext uri="{63B3BB69-23CF-44E3-9099-C40C66FF867C}">
                  <a14:compatExt spid="_x0000_s5394"/>
                </a:ext>
                <a:ext uri="{FF2B5EF4-FFF2-40B4-BE49-F238E27FC236}">
                  <a16:creationId xmlns:a16="http://schemas.microsoft.com/office/drawing/2014/main" id="{00000000-0008-0000-0000-00001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1348</xdr:row>
          <xdr:rowOff>15240</xdr:rowOff>
        </xdr:from>
        <xdr:to>
          <xdr:col>6</xdr:col>
          <xdr:colOff>1272540</xdr:colOff>
          <xdr:row>1349</xdr:row>
          <xdr:rowOff>0</xdr:rowOff>
        </xdr:to>
        <xdr:sp macro="" textlink="">
          <xdr:nvSpPr>
            <xdr:cNvPr id="5395" name="Drop Down 4371" hidden="1">
              <a:extLst>
                <a:ext uri="{63B3BB69-23CF-44E3-9099-C40C66FF867C}">
                  <a14:compatExt spid="_x0000_s5395"/>
                </a:ext>
                <a:ext uri="{FF2B5EF4-FFF2-40B4-BE49-F238E27FC236}">
                  <a16:creationId xmlns:a16="http://schemas.microsoft.com/office/drawing/2014/main" id="{00000000-0008-0000-0000-00001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1348</xdr:row>
          <xdr:rowOff>15240</xdr:rowOff>
        </xdr:from>
        <xdr:to>
          <xdr:col>6</xdr:col>
          <xdr:colOff>1805940</xdr:colOff>
          <xdr:row>1348</xdr:row>
          <xdr:rowOff>320040</xdr:rowOff>
        </xdr:to>
        <xdr:sp macro="" textlink="">
          <xdr:nvSpPr>
            <xdr:cNvPr id="5396" name="Drop Down 4372" hidden="1">
              <a:extLst>
                <a:ext uri="{63B3BB69-23CF-44E3-9099-C40C66FF867C}">
                  <a14:compatExt spid="_x0000_s5396"/>
                </a:ext>
                <a:ext uri="{FF2B5EF4-FFF2-40B4-BE49-F238E27FC236}">
                  <a16:creationId xmlns:a16="http://schemas.microsoft.com/office/drawing/2014/main" id="{00000000-0008-0000-0000-00001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1446</xdr:row>
          <xdr:rowOff>0</xdr:rowOff>
        </xdr:from>
        <xdr:to>
          <xdr:col>6</xdr:col>
          <xdr:colOff>624840</xdr:colOff>
          <xdr:row>1447</xdr:row>
          <xdr:rowOff>0</xdr:rowOff>
        </xdr:to>
        <xdr:sp macro="" textlink="">
          <xdr:nvSpPr>
            <xdr:cNvPr id="5406" name="Drop Down 4382" hidden="1">
              <a:extLst>
                <a:ext uri="{63B3BB69-23CF-44E3-9099-C40C66FF867C}">
                  <a14:compatExt spid="_x0000_s5406"/>
                </a:ext>
                <a:ext uri="{FF2B5EF4-FFF2-40B4-BE49-F238E27FC236}">
                  <a16:creationId xmlns:a16="http://schemas.microsoft.com/office/drawing/2014/main" id="{00000000-0008-0000-0000-00001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1446</xdr:row>
          <xdr:rowOff>15240</xdr:rowOff>
        </xdr:from>
        <xdr:to>
          <xdr:col>6</xdr:col>
          <xdr:colOff>1272540</xdr:colOff>
          <xdr:row>1447</xdr:row>
          <xdr:rowOff>0</xdr:rowOff>
        </xdr:to>
        <xdr:sp macro="" textlink="">
          <xdr:nvSpPr>
            <xdr:cNvPr id="5407" name="Drop Down 4383" hidden="1">
              <a:extLst>
                <a:ext uri="{63B3BB69-23CF-44E3-9099-C40C66FF867C}">
                  <a14:compatExt spid="_x0000_s5407"/>
                </a:ext>
                <a:ext uri="{FF2B5EF4-FFF2-40B4-BE49-F238E27FC236}">
                  <a16:creationId xmlns:a16="http://schemas.microsoft.com/office/drawing/2014/main" id="{00000000-0008-0000-0000-00001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1446</xdr:row>
          <xdr:rowOff>15240</xdr:rowOff>
        </xdr:from>
        <xdr:to>
          <xdr:col>6</xdr:col>
          <xdr:colOff>1805940</xdr:colOff>
          <xdr:row>1446</xdr:row>
          <xdr:rowOff>320040</xdr:rowOff>
        </xdr:to>
        <xdr:sp macro="" textlink="">
          <xdr:nvSpPr>
            <xdr:cNvPr id="5408" name="Drop Down 4384" hidden="1">
              <a:extLst>
                <a:ext uri="{63B3BB69-23CF-44E3-9099-C40C66FF867C}">
                  <a14:compatExt spid="_x0000_s5408"/>
                </a:ext>
                <a:ext uri="{FF2B5EF4-FFF2-40B4-BE49-F238E27FC236}">
                  <a16:creationId xmlns:a16="http://schemas.microsoft.com/office/drawing/2014/main" id="{00000000-0008-0000-0000-00002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1447</xdr:row>
          <xdr:rowOff>0</xdr:rowOff>
        </xdr:from>
        <xdr:to>
          <xdr:col>6</xdr:col>
          <xdr:colOff>624840</xdr:colOff>
          <xdr:row>1448</xdr:row>
          <xdr:rowOff>0</xdr:rowOff>
        </xdr:to>
        <xdr:sp macro="" textlink="">
          <xdr:nvSpPr>
            <xdr:cNvPr id="5410" name="Drop Down 4386" hidden="1">
              <a:extLst>
                <a:ext uri="{63B3BB69-23CF-44E3-9099-C40C66FF867C}">
                  <a14:compatExt spid="_x0000_s5410"/>
                </a:ext>
                <a:ext uri="{FF2B5EF4-FFF2-40B4-BE49-F238E27FC236}">
                  <a16:creationId xmlns:a16="http://schemas.microsoft.com/office/drawing/2014/main" id="{00000000-0008-0000-0000-00002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1447</xdr:row>
          <xdr:rowOff>15240</xdr:rowOff>
        </xdr:from>
        <xdr:to>
          <xdr:col>6</xdr:col>
          <xdr:colOff>1272540</xdr:colOff>
          <xdr:row>1448</xdr:row>
          <xdr:rowOff>0</xdr:rowOff>
        </xdr:to>
        <xdr:sp macro="" textlink="">
          <xdr:nvSpPr>
            <xdr:cNvPr id="5411" name="Drop Down 4387" hidden="1">
              <a:extLst>
                <a:ext uri="{63B3BB69-23CF-44E3-9099-C40C66FF867C}">
                  <a14:compatExt spid="_x0000_s5411"/>
                </a:ext>
                <a:ext uri="{FF2B5EF4-FFF2-40B4-BE49-F238E27FC236}">
                  <a16:creationId xmlns:a16="http://schemas.microsoft.com/office/drawing/2014/main" id="{00000000-0008-0000-0000-00002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1447</xdr:row>
          <xdr:rowOff>15240</xdr:rowOff>
        </xdr:from>
        <xdr:to>
          <xdr:col>6</xdr:col>
          <xdr:colOff>1805940</xdr:colOff>
          <xdr:row>1447</xdr:row>
          <xdr:rowOff>320040</xdr:rowOff>
        </xdr:to>
        <xdr:sp macro="" textlink="">
          <xdr:nvSpPr>
            <xdr:cNvPr id="5412" name="Drop Down 4388" hidden="1">
              <a:extLst>
                <a:ext uri="{63B3BB69-23CF-44E3-9099-C40C66FF867C}">
                  <a14:compatExt spid="_x0000_s5412"/>
                </a:ext>
                <a:ext uri="{FF2B5EF4-FFF2-40B4-BE49-F238E27FC236}">
                  <a16:creationId xmlns:a16="http://schemas.microsoft.com/office/drawing/2014/main" id="{00000000-0008-0000-0000-00002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1448</xdr:row>
          <xdr:rowOff>0</xdr:rowOff>
        </xdr:from>
        <xdr:to>
          <xdr:col>6</xdr:col>
          <xdr:colOff>624840</xdr:colOff>
          <xdr:row>1449</xdr:row>
          <xdr:rowOff>0</xdr:rowOff>
        </xdr:to>
        <xdr:sp macro="" textlink="">
          <xdr:nvSpPr>
            <xdr:cNvPr id="5414" name="Drop Down 4390" hidden="1">
              <a:extLst>
                <a:ext uri="{63B3BB69-23CF-44E3-9099-C40C66FF867C}">
                  <a14:compatExt spid="_x0000_s5414"/>
                </a:ext>
                <a:ext uri="{FF2B5EF4-FFF2-40B4-BE49-F238E27FC236}">
                  <a16:creationId xmlns:a16="http://schemas.microsoft.com/office/drawing/2014/main" id="{00000000-0008-0000-0000-00002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1448</xdr:row>
          <xdr:rowOff>15240</xdr:rowOff>
        </xdr:from>
        <xdr:to>
          <xdr:col>6</xdr:col>
          <xdr:colOff>1272540</xdr:colOff>
          <xdr:row>1449</xdr:row>
          <xdr:rowOff>0</xdr:rowOff>
        </xdr:to>
        <xdr:sp macro="" textlink="">
          <xdr:nvSpPr>
            <xdr:cNvPr id="5415" name="Drop Down 4391" hidden="1">
              <a:extLst>
                <a:ext uri="{63B3BB69-23CF-44E3-9099-C40C66FF867C}">
                  <a14:compatExt spid="_x0000_s5415"/>
                </a:ext>
                <a:ext uri="{FF2B5EF4-FFF2-40B4-BE49-F238E27FC236}">
                  <a16:creationId xmlns:a16="http://schemas.microsoft.com/office/drawing/2014/main" id="{00000000-0008-0000-0000-00002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1448</xdr:row>
          <xdr:rowOff>15240</xdr:rowOff>
        </xdr:from>
        <xdr:to>
          <xdr:col>6</xdr:col>
          <xdr:colOff>1805940</xdr:colOff>
          <xdr:row>1448</xdr:row>
          <xdr:rowOff>320040</xdr:rowOff>
        </xdr:to>
        <xdr:sp macro="" textlink="">
          <xdr:nvSpPr>
            <xdr:cNvPr id="5416" name="Drop Down 4392" hidden="1">
              <a:extLst>
                <a:ext uri="{63B3BB69-23CF-44E3-9099-C40C66FF867C}">
                  <a14:compatExt spid="_x0000_s5416"/>
                </a:ext>
                <a:ext uri="{FF2B5EF4-FFF2-40B4-BE49-F238E27FC236}">
                  <a16:creationId xmlns:a16="http://schemas.microsoft.com/office/drawing/2014/main" id="{00000000-0008-0000-0000-00002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74</xdr:row>
          <xdr:rowOff>220980</xdr:rowOff>
        </xdr:from>
        <xdr:to>
          <xdr:col>9</xdr:col>
          <xdr:colOff>0</xdr:colOff>
          <xdr:row>75</xdr:row>
          <xdr:rowOff>220980</xdr:rowOff>
        </xdr:to>
        <xdr:sp macro="" textlink="">
          <xdr:nvSpPr>
            <xdr:cNvPr id="5427" name="Drop Down 4403" hidden="1">
              <a:extLst>
                <a:ext uri="{63B3BB69-23CF-44E3-9099-C40C66FF867C}">
                  <a14:compatExt spid="_x0000_s5427"/>
                </a:ext>
                <a:ext uri="{FF2B5EF4-FFF2-40B4-BE49-F238E27FC236}">
                  <a16:creationId xmlns:a16="http://schemas.microsoft.com/office/drawing/2014/main" id="{00000000-0008-0000-0000-00003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77</xdr:row>
          <xdr:rowOff>0</xdr:rowOff>
        </xdr:from>
        <xdr:to>
          <xdr:col>9</xdr:col>
          <xdr:colOff>0</xdr:colOff>
          <xdr:row>78</xdr:row>
          <xdr:rowOff>0</xdr:rowOff>
        </xdr:to>
        <xdr:sp macro="" textlink="">
          <xdr:nvSpPr>
            <xdr:cNvPr id="5428" name="Drop Down 4404" hidden="1">
              <a:extLst>
                <a:ext uri="{63B3BB69-23CF-44E3-9099-C40C66FF867C}">
                  <a14:compatExt spid="_x0000_s5428"/>
                </a:ext>
                <a:ext uri="{FF2B5EF4-FFF2-40B4-BE49-F238E27FC236}">
                  <a16:creationId xmlns:a16="http://schemas.microsoft.com/office/drawing/2014/main" id="{00000000-0008-0000-0000-00003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174</xdr:row>
          <xdr:rowOff>220980</xdr:rowOff>
        </xdr:from>
        <xdr:to>
          <xdr:col>9</xdr:col>
          <xdr:colOff>0</xdr:colOff>
          <xdr:row>175</xdr:row>
          <xdr:rowOff>220980</xdr:rowOff>
        </xdr:to>
        <xdr:sp macro="" textlink="">
          <xdr:nvSpPr>
            <xdr:cNvPr id="5429" name="Drop Down 4405" hidden="1">
              <a:extLst>
                <a:ext uri="{63B3BB69-23CF-44E3-9099-C40C66FF867C}">
                  <a14:compatExt spid="_x0000_s5429"/>
                </a:ext>
                <a:ext uri="{FF2B5EF4-FFF2-40B4-BE49-F238E27FC236}">
                  <a16:creationId xmlns:a16="http://schemas.microsoft.com/office/drawing/2014/main" id="{00000000-0008-0000-0000-00003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177</xdr:row>
          <xdr:rowOff>0</xdr:rowOff>
        </xdr:from>
        <xdr:to>
          <xdr:col>9</xdr:col>
          <xdr:colOff>0</xdr:colOff>
          <xdr:row>178</xdr:row>
          <xdr:rowOff>0</xdr:rowOff>
        </xdr:to>
        <xdr:sp macro="" textlink="">
          <xdr:nvSpPr>
            <xdr:cNvPr id="5430" name="Drop Down 4406" hidden="1">
              <a:extLst>
                <a:ext uri="{63B3BB69-23CF-44E3-9099-C40C66FF867C}">
                  <a14:compatExt spid="_x0000_s5430"/>
                </a:ext>
                <a:ext uri="{FF2B5EF4-FFF2-40B4-BE49-F238E27FC236}">
                  <a16:creationId xmlns:a16="http://schemas.microsoft.com/office/drawing/2014/main" id="{00000000-0008-0000-0000-00003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274</xdr:row>
          <xdr:rowOff>220980</xdr:rowOff>
        </xdr:from>
        <xdr:to>
          <xdr:col>9</xdr:col>
          <xdr:colOff>0</xdr:colOff>
          <xdr:row>275</xdr:row>
          <xdr:rowOff>220980</xdr:rowOff>
        </xdr:to>
        <xdr:sp macro="" textlink="">
          <xdr:nvSpPr>
            <xdr:cNvPr id="5431" name="Drop Down 4407" hidden="1">
              <a:extLst>
                <a:ext uri="{63B3BB69-23CF-44E3-9099-C40C66FF867C}">
                  <a14:compatExt spid="_x0000_s5431"/>
                </a:ext>
                <a:ext uri="{FF2B5EF4-FFF2-40B4-BE49-F238E27FC236}">
                  <a16:creationId xmlns:a16="http://schemas.microsoft.com/office/drawing/2014/main" id="{00000000-0008-0000-0000-00003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277</xdr:row>
          <xdr:rowOff>0</xdr:rowOff>
        </xdr:from>
        <xdr:to>
          <xdr:col>9</xdr:col>
          <xdr:colOff>0</xdr:colOff>
          <xdr:row>278</xdr:row>
          <xdr:rowOff>0</xdr:rowOff>
        </xdr:to>
        <xdr:sp macro="" textlink="">
          <xdr:nvSpPr>
            <xdr:cNvPr id="5432" name="Drop Down 4408" hidden="1">
              <a:extLst>
                <a:ext uri="{63B3BB69-23CF-44E3-9099-C40C66FF867C}">
                  <a14:compatExt spid="_x0000_s5432"/>
                </a:ext>
                <a:ext uri="{FF2B5EF4-FFF2-40B4-BE49-F238E27FC236}">
                  <a16:creationId xmlns:a16="http://schemas.microsoft.com/office/drawing/2014/main" id="{00000000-0008-0000-0000-00003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474</xdr:row>
          <xdr:rowOff>220980</xdr:rowOff>
        </xdr:from>
        <xdr:to>
          <xdr:col>9</xdr:col>
          <xdr:colOff>0</xdr:colOff>
          <xdr:row>475</xdr:row>
          <xdr:rowOff>220980</xdr:rowOff>
        </xdr:to>
        <xdr:sp macro="" textlink="">
          <xdr:nvSpPr>
            <xdr:cNvPr id="5435" name="Drop Down 4411" hidden="1">
              <a:extLst>
                <a:ext uri="{63B3BB69-23CF-44E3-9099-C40C66FF867C}">
                  <a14:compatExt spid="_x0000_s5435"/>
                </a:ext>
                <a:ext uri="{FF2B5EF4-FFF2-40B4-BE49-F238E27FC236}">
                  <a16:creationId xmlns:a16="http://schemas.microsoft.com/office/drawing/2014/main" id="{00000000-0008-0000-0000-00003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477</xdr:row>
          <xdr:rowOff>0</xdr:rowOff>
        </xdr:from>
        <xdr:to>
          <xdr:col>9</xdr:col>
          <xdr:colOff>0</xdr:colOff>
          <xdr:row>478</xdr:row>
          <xdr:rowOff>0</xdr:rowOff>
        </xdr:to>
        <xdr:sp macro="" textlink="">
          <xdr:nvSpPr>
            <xdr:cNvPr id="5436" name="Drop Down 4412" hidden="1">
              <a:extLst>
                <a:ext uri="{63B3BB69-23CF-44E3-9099-C40C66FF867C}">
                  <a14:compatExt spid="_x0000_s5436"/>
                </a:ext>
                <a:ext uri="{FF2B5EF4-FFF2-40B4-BE49-F238E27FC236}">
                  <a16:creationId xmlns:a16="http://schemas.microsoft.com/office/drawing/2014/main" id="{00000000-0008-0000-0000-00003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574</xdr:row>
          <xdr:rowOff>220980</xdr:rowOff>
        </xdr:from>
        <xdr:to>
          <xdr:col>9</xdr:col>
          <xdr:colOff>0</xdr:colOff>
          <xdr:row>575</xdr:row>
          <xdr:rowOff>220980</xdr:rowOff>
        </xdr:to>
        <xdr:sp macro="" textlink="">
          <xdr:nvSpPr>
            <xdr:cNvPr id="5437" name="Drop Down 4413" hidden="1">
              <a:extLst>
                <a:ext uri="{63B3BB69-23CF-44E3-9099-C40C66FF867C}">
                  <a14:compatExt spid="_x0000_s5437"/>
                </a:ext>
                <a:ext uri="{FF2B5EF4-FFF2-40B4-BE49-F238E27FC236}">
                  <a16:creationId xmlns:a16="http://schemas.microsoft.com/office/drawing/2014/main" id="{00000000-0008-0000-0000-00003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577</xdr:row>
          <xdr:rowOff>0</xdr:rowOff>
        </xdr:from>
        <xdr:to>
          <xdr:col>9</xdr:col>
          <xdr:colOff>0</xdr:colOff>
          <xdr:row>578</xdr:row>
          <xdr:rowOff>0</xdr:rowOff>
        </xdr:to>
        <xdr:sp macro="" textlink="">
          <xdr:nvSpPr>
            <xdr:cNvPr id="5438" name="Drop Down 4414" hidden="1">
              <a:extLst>
                <a:ext uri="{63B3BB69-23CF-44E3-9099-C40C66FF867C}">
                  <a14:compatExt spid="_x0000_s5438"/>
                </a:ext>
                <a:ext uri="{FF2B5EF4-FFF2-40B4-BE49-F238E27FC236}">
                  <a16:creationId xmlns:a16="http://schemas.microsoft.com/office/drawing/2014/main" id="{00000000-0008-0000-0000-00003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674</xdr:row>
          <xdr:rowOff>220980</xdr:rowOff>
        </xdr:from>
        <xdr:to>
          <xdr:col>9</xdr:col>
          <xdr:colOff>0</xdr:colOff>
          <xdr:row>675</xdr:row>
          <xdr:rowOff>220980</xdr:rowOff>
        </xdr:to>
        <xdr:sp macro="" textlink="">
          <xdr:nvSpPr>
            <xdr:cNvPr id="5439" name="Drop Down 4415" hidden="1">
              <a:extLst>
                <a:ext uri="{63B3BB69-23CF-44E3-9099-C40C66FF867C}">
                  <a14:compatExt spid="_x0000_s5439"/>
                </a:ext>
                <a:ext uri="{FF2B5EF4-FFF2-40B4-BE49-F238E27FC236}">
                  <a16:creationId xmlns:a16="http://schemas.microsoft.com/office/drawing/2014/main" id="{00000000-0008-0000-0000-00003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677</xdr:row>
          <xdr:rowOff>0</xdr:rowOff>
        </xdr:from>
        <xdr:to>
          <xdr:col>9</xdr:col>
          <xdr:colOff>0</xdr:colOff>
          <xdr:row>678</xdr:row>
          <xdr:rowOff>0</xdr:rowOff>
        </xdr:to>
        <xdr:sp macro="" textlink="">
          <xdr:nvSpPr>
            <xdr:cNvPr id="5440" name="Drop Down 4416" hidden="1">
              <a:extLst>
                <a:ext uri="{63B3BB69-23CF-44E3-9099-C40C66FF867C}">
                  <a14:compatExt spid="_x0000_s5440"/>
                </a:ext>
                <a:ext uri="{FF2B5EF4-FFF2-40B4-BE49-F238E27FC236}">
                  <a16:creationId xmlns:a16="http://schemas.microsoft.com/office/drawing/2014/main" id="{00000000-0008-0000-0000-00004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774</xdr:row>
          <xdr:rowOff>220980</xdr:rowOff>
        </xdr:from>
        <xdr:to>
          <xdr:col>9</xdr:col>
          <xdr:colOff>0</xdr:colOff>
          <xdr:row>775</xdr:row>
          <xdr:rowOff>220980</xdr:rowOff>
        </xdr:to>
        <xdr:sp macro="" textlink="">
          <xdr:nvSpPr>
            <xdr:cNvPr id="5441" name="Drop Down 4417" hidden="1">
              <a:extLst>
                <a:ext uri="{63B3BB69-23CF-44E3-9099-C40C66FF867C}">
                  <a14:compatExt spid="_x0000_s5441"/>
                </a:ext>
                <a:ext uri="{FF2B5EF4-FFF2-40B4-BE49-F238E27FC236}">
                  <a16:creationId xmlns:a16="http://schemas.microsoft.com/office/drawing/2014/main" id="{00000000-0008-0000-0000-00004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777</xdr:row>
          <xdr:rowOff>0</xdr:rowOff>
        </xdr:from>
        <xdr:to>
          <xdr:col>9</xdr:col>
          <xdr:colOff>0</xdr:colOff>
          <xdr:row>778</xdr:row>
          <xdr:rowOff>0</xdr:rowOff>
        </xdr:to>
        <xdr:sp macro="" textlink="">
          <xdr:nvSpPr>
            <xdr:cNvPr id="5442" name="Drop Down 4418" hidden="1">
              <a:extLst>
                <a:ext uri="{63B3BB69-23CF-44E3-9099-C40C66FF867C}">
                  <a14:compatExt spid="_x0000_s5442"/>
                </a:ext>
                <a:ext uri="{FF2B5EF4-FFF2-40B4-BE49-F238E27FC236}">
                  <a16:creationId xmlns:a16="http://schemas.microsoft.com/office/drawing/2014/main" id="{00000000-0008-0000-0000-00004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874</xdr:row>
          <xdr:rowOff>220980</xdr:rowOff>
        </xdr:from>
        <xdr:to>
          <xdr:col>9</xdr:col>
          <xdr:colOff>0</xdr:colOff>
          <xdr:row>875</xdr:row>
          <xdr:rowOff>220980</xdr:rowOff>
        </xdr:to>
        <xdr:sp macro="" textlink="">
          <xdr:nvSpPr>
            <xdr:cNvPr id="5443" name="Drop Down 4419" hidden="1">
              <a:extLst>
                <a:ext uri="{63B3BB69-23CF-44E3-9099-C40C66FF867C}">
                  <a14:compatExt spid="_x0000_s5443"/>
                </a:ext>
                <a:ext uri="{FF2B5EF4-FFF2-40B4-BE49-F238E27FC236}">
                  <a16:creationId xmlns:a16="http://schemas.microsoft.com/office/drawing/2014/main" id="{00000000-0008-0000-0000-00004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877</xdr:row>
          <xdr:rowOff>0</xdr:rowOff>
        </xdr:from>
        <xdr:to>
          <xdr:col>9</xdr:col>
          <xdr:colOff>0</xdr:colOff>
          <xdr:row>878</xdr:row>
          <xdr:rowOff>0</xdr:rowOff>
        </xdr:to>
        <xdr:sp macro="" textlink="">
          <xdr:nvSpPr>
            <xdr:cNvPr id="5444" name="Drop Down 4420" hidden="1">
              <a:extLst>
                <a:ext uri="{63B3BB69-23CF-44E3-9099-C40C66FF867C}">
                  <a14:compatExt spid="_x0000_s5444"/>
                </a:ext>
                <a:ext uri="{FF2B5EF4-FFF2-40B4-BE49-F238E27FC236}">
                  <a16:creationId xmlns:a16="http://schemas.microsoft.com/office/drawing/2014/main" id="{00000000-0008-0000-0000-00004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974</xdr:row>
          <xdr:rowOff>220980</xdr:rowOff>
        </xdr:from>
        <xdr:to>
          <xdr:col>9</xdr:col>
          <xdr:colOff>0</xdr:colOff>
          <xdr:row>975</xdr:row>
          <xdr:rowOff>220980</xdr:rowOff>
        </xdr:to>
        <xdr:sp macro="" textlink="">
          <xdr:nvSpPr>
            <xdr:cNvPr id="5445" name="Drop Down 4421" hidden="1">
              <a:extLst>
                <a:ext uri="{63B3BB69-23CF-44E3-9099-C40C66FF867C}">
                  <a14:compatExt spid="_x0000_s5445"/>
                </a:ext>
                <a:ext uri="{FF2B5EF4-FFF2-40B4-BE49-F238E27FC236}">
                  <a16:creationId xmlns:a16="http://schemas.microsoft.com/office/drawing/2014/main" id="{00000000-0008-0000-0000-00004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977</xdr:row>
          <xdr:rowOff>0</xdr:rowOff>
        </xdr:from>
        <xdr:to>
          <xdr:col>9</xdr:col>
          <xdr:colOff>0</xdr:colOff>
          <xdr:row>978</xdr:row>
          <xdr:rowOff>0</xdr:rowOff>
        </xdr:to>
        <xdr:sp macro="" textlink="">
          <xdr:nvSpPr>
            <xdr:cNvPr id="5446" name="Drop Down 4422" hidden="1">
              <a:extLst>
                <a:ext uri="{63B3BB69-23CF-44E3-9099-C40C66FF867C}">
                  <a14:compatExt spid="_x0000_s5446"/>
                </a:ext>
                <a:ext uri="{FF2B5EF4-FFF2-40B4-BE49-F238E27FC236}">
                  <a16:creationId xmlns:a16="http://schemas.microsoft.com/office/drawing/2014/main" id="{00000000-0008-0000-0000-00004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1074</xdr:row>
          <xdr:rowOff>220980</xdr:rowOff>
        </xdr:from>
        <xdr:to>
          <xdr:col>9</xdr:col>
          <xdr:colOff>0</xdr:colOff>
          <xdr:row>1075</xdr:row>
          <xdr:rowOff>220980</xdr:rowOff>
        </xdr:to>
        <xdr:sp macro="" textlink="">
          <xdr:nvSpPr>
            <xdr:cNvPr id="5447" name="Drop Down 4423" hidden="1">
              <a:extLst>
                <a:ext uri="{63B3BB69-23CF-44E3-9099-C40C66FF867C}">
                  <a14:compatExt spid="_x0000_s5447"/>
                </a:ext>
                <a:ext uri="{FF2B5EF4-FFF2-40B4-BE49-F238E27FC236}">
                  <a16:creationId xmlns:a16="http://schemas.microsoft.com/office/drawing/2014/main" id="{00000000-0008-0000-0000-00004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1077</xdr:row>
          <xdr:rowOff>0</xdr:rowOff>
        </xdr:from>
        <xdr:to>
          <xdr:col>9</xdr:col>
          <xdr:colOff>0</xdr:colOff>
          <xdr:row>1078</xdr:row>
          <xdr:rowOff>0</xdr:rowOff>
        </xdr:to>
        <xdr:sp macro="" textlink="">
          <xdr:nvSpPr>
            <xdr:cNvPr id="5448" name="Drop Down 4424" hidden="1">
              <a:extLst>
                <a:ext uri="{63B3BB69-23CF-44E3-9099-C40C66FF867C}">
                  <a14:compatExt spid="_x0000_s5448"/>
                </a:ext>
                <a:ext uri="{FF2B5EF4-FFF2-40B4-BE49-F238E27FC236}">
                  <a16:creationId xmlns:a16="http://schemas.microsoft.com/office/drawing/2014/main" id="{00000000-0008-0000-0000-00004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1174</xdr:row>
          <xdr:rowOff>220980</xdr:rowOff>
        </xdr:from>
        <xdr:to>
          <xdr:col>9</xdr:col>
          <xdr:colOff>0</xdr:colOff>
          <xdr:row>1175</xdr:row>
          <xdr:rowOff>220980</xdr:rowOff>
        </xdr:to>
        <xdr:sp macro="" textlink="">
          <xdr:nvSpPr>
            <xdr:cNvPr id="5449" name="Drop Down 4425" hidden="1">
              <a:extLst>
                <a:ext uri="{63B3BB69-23CF-44E3-9099-C40C66FF867C}">
                  <a14:compatExt spid="_x0000_s5449"/>
                </a:ext>
                <a:ext uri="{FF2B5EF4-FFF2-40B4-BE49-F238E27FC236}">
                  <a16:creationId xmlns:a16="http://schemas.microsoft.com/office/drawing/2014/main" id="{00000000-0008-0000-0000-00004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1177</xdr:row>
          <xdr:rowOff>0</xdr:rowOff>
        </xdr:from>
        <xdr:to>
          <xdr:col>9</xdr:col>
          <xdr:colOff>0</xdr:colOff>
          <xdr:row>1178</xdr:row>
          <xdr:rowOff>0</xdr:rowOff>
        </xdr:to>
        <xdr:sp macro="" textlink="">
          <xdr:nvSpPr>
            <xdr:cNvPr id="5450" name="Drop Down 4426" hidden="1">
              <a:extLst>
                <a:ext uri="{63B3BB69-23CF-44E3-9099-C40C66FF867C}">
                  <a14:compatExt spid="_x0000_s5450"/>
                </a:ext>
                <a:ext uri="{FF2B5EF4-FFF2-40B4-BE49-F238E27FC236}">
                  <a16:creationId xmlns:a16="http://schemas.microsoft.com/office/drawing/2014/main" id="{00000000-0008-0000-0000-00004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1274</xdr:row>
          <xdr:rowOff>220980</xdr:rowOff>
        </xdr:from>
        <xdr:to>
          <xdr:col>9</xdr:col>
          <xdr:colOff>0</xdr:colOff>
          <xdr:row>1275</xdr:row>
          <xdr:rowOff>220980</xdr:rowOff>
        </xdr:to>
        <xdr:sp macro="" textlink="">
          <xdr:nvSpPr>
            <xdr:cNvPr id="5451" name="Drop Down 4427" hidden="1">
              <a:extLst>
                <a:ext uri="{63B3BB69-23CF-44E3-9099-C40C66FF867C}">
                  <a14:compatExt spid="_x0000_s5451"/>
                </a:ext>
                <a:ext uri="{FF2B5EF4-FFF2-40B4-BE49-F238E27FC236}">
                  <a16:creationId xmlns:a16="http://schemas.microsoft.com/office/drawing/2014/main" id="{00000000-0008-0000-0000-00004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1277</xdr:row>
          <xdr:rowOff>0</xdr:rowOff>
        </xdr:from>
        <xdr:to>
          <xdr:col>9</xdr:col>
          <xdr:colOff>0</xdr:colOff>
          <xdr:row>1278</xdr:row>
          <xdr:rowOff>0</xdr:rowOff>
        </xdr:to>
        <xdr:sp macro="" textlink="">
          <xdr:nvSpPr>
            <xdr:cNvPr id="5452" name="Drop Down 4428" hidden="1">
              <a:extLst>
                <a:ext uri="{63B3BB69-23CF-44E3-9099-C40C66FF867C}">
                  <a14:compatExt spid="_x0000_s5452"/>
                </a:ext>
                <a:ext uri="{FF2B5EF4-FFF2-40B4-BE49-F238E27FC236}">
                  <a16:creationId xmlns:a16="http://schemas.microsoft.com/office/drawing/2014/main" id="{00000000-0008-0000-0000-00004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1374</xdr:row>
          <xdr:rowOff>220980</xdr:rowOff>
        </xdr:from>
        <xdr:to>
          <xdr:col>9</xdr:col>
          <xdr:colOff>0</xdr:colOff>
          <xdr:row>1375</xdr:row>
          <xdr:rowOff>220980</xdr:rowOff>
        </xdr:to>
        <xdr:sp macro="" textlink="">
          <xdr:nvSpPr>
            <xdr:cNvPr id="5453" name="Drop Down 4429" hidden="1">
              <a:extLst>
                <a:ext uri="{63B3BB69-23CF-44E3-9099-C40C66FF867C}">
                  <a14:compatExt spid="_x0000_s5453"/>
                </a:ext>
                <a:ext uri="{FF2B5EF4-FFF2-40B4-BE49-F238E27FC236}">
                  <a16:creationId xmlns:a16="http://schemas.microsoft.com/office/drawing/2014/main" id="{00000000-0008-0000-0000-00004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1377</xdr:row>
          <xdr:rowOff>0</xdr:rowOff>
        </xdr:from>
        <xdr:to>
          <xdr:col>9</xdr:col>
          <xdr:colOff>0</xdr:colOff>
          <xdr:row>1378</xdr:row>
          <xdr:rowOff>0</xdr:rowOff>
        </xdr:to>
        <xdr:sp macro="" textlink="">
          <xdr:nvSpPr>
            <xdr:cNvPr id="5454" name="Drop Down 4430" hidden="1">
              <a:extLst>
                <a:ext uri="{63B3BB69-23CF-44E3-9099-C40C66FF867C}">
                  <a14:compatExt spid="_x0000_s5454"/>
                </a:ext>
                <a:ext uri="{FF2B5EF4-FFF2-40B4-BE49-F238E27FC236}">
                  <a16:creationId xmlns:a16="http://schemas.microsoft.com/office/drawing/2014/main" id="{00000000-0008-0000-0000-00004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1474</xdr:row>
          <xdr:rowOff>220980</xdr:rowOff>
        </xdr:from>
        <xdr:to>
          <xdr:col>9</xdr:col>
          <xdr:colOff>0</xdr:colOff>
          <xdr:row>1475</xdr:row>
          <xdr:rowOff>220980</xdr:rowOff>
        </xdr:to>
        <xdr:sp macro="" textlink="">
          <xdr:nvSpPr>
            <xdr:cNvPr id="5455" name="Drop Down 4431" hidden="1">
              <a:extLst>
                <a:ext uri="{63B3BB69-23CF-44E3-9099-C40C66FF867C}">
                  <a14:compatExt spid="_x0000_s5455"/>
                </a:ext>
                <a:ext uri="{FF2B5EF4-FFF2-40B4-BE49-F238E27FC236}">
                  <a16:creationId xmlns:a16="http://schemas.microsoft.com/office/drawing/2014/main" id="{00000000-0008-0000-0000-00004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1477</xdr:row>
          <xdr:rowOff>0</xdr:rowOff>
        </xdr:from>
        <xdr:to>
          <xdr:col>9</xdr:col>
          <xdr:colOff>0</xdr:colOff>
          <xdr:row>1478</xdr:row>
          <xdr:rowOff>0</xdr:rowOff>
        </xdr:to>
        <xdr:sp macro="" textlink="">
          <xdr:nvSpPr>
            <xdr:cNvPr id="5456" name="Drop Down 4432" hidden="1">
              <a:extLst>
                <a:ext uri="{63B3BB69-23CF-44E3-9099-C40C66FF867C}">
                  <a14:compatExt spid="_x0000_s5456"/>
                </a:ext>
                <a:ext uri="{FF2B5EF4-FFF2-40B4-BE49-F238E27FC236}">
                  <a16:creationId xmlns:a16="http://schemas.microsoft.com/office/drawing/2014/main" id="{00000000-0008-0000-0000-00005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1574</xdr:row>
          <xdr:rowOff>220980</xdr:rowOff>
        </xdr:from>
        <xdr:to>
          <xdr:col>9</xdr:col>
          <xdr:colOff>0</xdr:colOff>
          <xdr:row>1575</xdr:row>
          <xdr:rowOff>220980</xdr:rowOff>
        </xdr:to>
        <xdr:sp macro="" textlink="">
          <xdr:nvSpPr>
            <xdr:cNvPr id="5457" name="Drop Down 4433" hidden="1">
              <a:extLst>
                <a:ext uri="{63B3BB69-23CF-44E3-9099-C40C66FF867C}">
                  <a14:compatExt spid="_x0000_s5457"/>
                </a:ext>
                <a:ext uri="{FF2B5EF4-FFF2-40B4-BE49-F238E27FC236}">
                  <a16:creationId xmlns:a16="http://schemas.microsoft.com/office/drawing/2014/main" id="{00000000-0008-0000-0000-00005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1577</xdr:row>
          <xdr:rowOff>0</xdr:rowOff>
        </xdr:from>
        <xdr:to>
          <xdr:col>9</xdr:col>
          <xdr:colOff>0</xdr:colOff>
          <xdr:row>1578</xdr:row>
          <xdr:rowOff>0</xdr:rowOff>
        </xdr:to>
        <xdr:sp macro="" textlink="">
          <xdr:nvSpPr>
            <xdr:cNvPr id="5458" name="Drop Down 4434" hidden="1">
              <a:extLst>
                <a:ext uri="{63B3BB69-23CF-44E3-9099-C40C66FF867C}">
                  <a14:compatExt spid="_x0000_s5458"/>
                </a:ext>
                <a:ext uri="{FF2B5EF4-FFF2-40B4-BE49-F238E27FC236}">
                  <a16:creationId xmlns:a16="http://schemas.microsoft.com/office/drawing/2014/main" id="{00000000-0008-0000-0000-00005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1674</xdr:row>
          <xdr:rowOff>220980</xdr:rowOff>
        </xdr:from>
        <xdr:to>
          <xdr:col>9</xdr:col>
          <xdr:colOff>0</xdr:colOff>
          <xdr:row>1675</xdr:row>
          <xdr:rowOff>220980</xdr:rowOff>
        </xdr:to>
        <xdr:sp macro="" textlink="">
          <xdr:nvSpPr>
            <xdr:cNvPr id="5459" name="Drop Down 4435" hidden="1">
              <a:extLst>
                <a:ext uri="{63B3BB69-23CF-44E3-9099-C40C66FF867C}">
                  <a14:compatExt spid="_x0000_s5459"/>
                </a:ext>
                <a:ext uri="{FF2B5EF4-FFF2-40B4-BE49-F238E27FC236}">
                  <a16:creationId xmlns:a16="http://schemas.microsoft.com/office/drawing/2014/main" id="{00000000-0008-0000-0000-00005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1677</xdr:row>
          <xdr:rowOff>0</xdr:rowOff>
        </xdr:from>
        <xdr:to>
          <xdr:col>9</xdr:col>
          <xdr:colOff>0</xdr:colOff>
          <xdr:row>1678</xdr:row>
          <xdr:rowOff>0</xdr:rowOff>
        </xdr:to>
        <xdr:sp macro="" textlink="">
          <xdr:nvSpPr>
            <xdr:cNvPr id="5460" name="Drop Down 4436" hidden="1">
              <a:extLst>
                <a:ext uri="{63B3BB69-23CF-44E3-9099-C40C66FF867C}">
                  <a14:compatExt spid="_x0000_s5460"/>
                </a:ext>
                <a:ext uri="{FF2B5EF4-FFF2-40B4-BE49-F238E27FC236}">
                  <a16:creationId xmlns:a16="http://schemas.microsoft.com/office/drawing/2014/main" id="{00000000-0008-0000-0000-00005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1774</xdr:row>
          <xdr:rowOff>220980</xdr:rowOff>
        </xdr:from>
        <xdr:to>
          <xdr:col>9</xdr:col>
          <xdr:colOff>0</xdr:colOff>
          <xdr:row>1775</xdr:row>
          <xdr:rowOff>220980</xdr:rowOff>
        </xdr:to>
        <xdr:sp macro="" textlink="">
          <xdr:nvSpPr>
            <xdr:cNvPr id="5461" name="Drop Down 4437" hidden="1">
              <a:extLst>
                <a:ext uri="{63B3BB69-23CF-44E3-9099-C40C66FF867C}">
                  <a14:compatExt spid="_x0000_s5461"/>
                </a:ext>
                <a:ext uri="{FF2B5EF4-FFF2-40B4-BE49-F238E27FC236}">
                  <a16:creationId xmlns:a16="http://schemas.microsoft.com/office/drawing/2014/main" id="{00000000-0008-0000-0000-00005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1777</xdr:row>
          <xdr:rowOff>0</xdr:rowOff>
        </xdr:from>
        <xdr:to>
          <xdr:col>9</xdr:col>
          <xdr:colOff>0</xdr:colOff>
          <xdr:row>1778</xdr:row>
          <xdr:rowOff>0</xdr:rowOff>
        </xdr:to>
        <xdr:sp macro="" textlink="">
          <xdr:nvSpPr>
            <xdr:cNvPr id="5462" name="Drop Down 4438" hidden="1">
              <a:extLst>
                <a:ext uri="{63B3BB69-23CF-44E3-9099-C40C66FF867C}">
                  <a14:compatExt spid="_x0000_s5462"/>
                </a:ext>
                <a:ext uri="{FF2B5EF4-FFF2-40B4-BE49-F238E27FC236}">
                  <a16:creationId xmlns:a16="http://schemas.microsoft.com/office/drawing/2014/main" id="{00000000-0008-0000-0000-00005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1874</xdr:row>
          <xdr:rowOff>220980</xdr:rowOff>
        </xdr:from>
        <xdr:to>
          <xdr:col>9</xdr:col>
          <xdr:colOff>0</xdr:colOff>
          <xdr:row>1875</xdr:row>
          <xdr:rowOff>220980</xdr:rowOff>
        </xdr:to>
        <xdr:sp macro="" textlink="">
          <xdr:nvSpPr>
            <xdr:cNvPr id="5463" name="Drop Down 4439" hidden="1">
              <a:extLst>
                <a:ext uri="{63B3BB69-23CF-44E3-9099-C40C66FF867C}">
                  <a14:compatExt spid="_x0000_s5463"/>
                </a:ext>
                <a:ext uri="{FF2B5EF4-FFF2-40B4-BE49-F238E27FC236}">
                  <a16:creationId xmlns:a16="http://schemas.microsoft.com/office/drawing/2014/main" id="{00000000-0008-0000-0000-00005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1877</xdr:row>
          <xdr:rowOff>0</xdr:rowOff>
        </xdr:from>
        <xdr:to>
          <xdr:col>9</xdr:col>
          <xdr:colOff>0</xdr:colOff>
          <xdr:row>1878</xdr:row>
          <xdr:rowOff>0</xdr:rowOff>
        </xdr:to>
        <xdr:sp macro="" textlink="">
          <xdr:nvSpPr>
            <xdr:cNvPr id="5464" name="Drop Down 4440" hidden="1">
              <a:extLst>
                <a:ext uri="{63B3BB69-23CF-44E3-9099-C40C66FF867C}">
                  <a14:compatExt spid="_x0000_s5464"/>
                </a:ext>
                <a:ext uri="{FF2B5EF4-FFF2-40B4-BE49-F238E27FC236}">
                  <a16:creationId xmlns:a16="http://schemas.microsoft.com/office/drawing/2014/main" id="{00000000-0008-0000-0000-00005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1974</xdr:row>
          <xdr:rowOff>220980</xdr:rowOff>
        </xdr:from>
        <xdr:to>
          <xdr:col>9</xdr:col>
          <xdr:colOff>0</xdr:colOff>
          <xdr:row>1975</xdr:row>
          <xdr:rowOff>220980</xdr:rowOff>
        </xdr:to>
        <xdr:sp macro="" textlink="">
          <xdr:nvSpPr>
            <xdr:cNvPr id="5465" name="Drop Down 4441" hidden="1">
              <a:extLst>
                <a:ext uri="{63B3BB69-23CF-44E3-9099-C40C66FF867C}">
                  <a14:compatExt spid="_x0000_s5465"/>
                </a:ext>
                <a:ext uri="{FF2B5EF4-FFF2-40B4-BE49-F238E27FC236}">
                  <a16:creationId xmlns:a16="http://schemas.microsoft.com/office/drawing/2014/main" id="{00000000-0008-0000-0000-00005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1977</xdr:row>
          <xdr:rowOff>0</xdr:rowOff>
        </xdr:from>
        <xdr:to>
          <xdr:col>9</xdr:col>
          <xdr:colOff>0</xdr:colOff>
          <xdr:row>1978</xdr:row>
          <xdr:rowOff>0</xdr:rowOff>
        </xdr:to>
        <xdr:sp macro="" textlink="">
          <xdr:nvSpPr>
            <xdr:cNvPr id="5466" name="Drop Down 4442" hidden="1">
              <a:extLst>
                <a:ext uri="{63B3BB69-23CF-44E3-9099-C40C66FF867C}">
                  <a14:compatExt spid="_x0000_s5466"/>
                </a:ext>
                <a:ext uri="{FF2B5EF4-FFF2-40B4-BE49-F238E27FC236}">
                  <a16:creationId xmlns:a16="http://schemas.microsoft.com/office/drawing/2014/main" id="{00000000-0008-0000-0000-00005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30480</xdr:colOff>
          <xdr:row>11</xdr:row>
          <xdr:rowOff>144780</xdr:rowOff>
        </xdr:from>
        <xdr:to>
          <xdr:col>4</xdr:col>
          <xdr:colOff>0</xdr:colOff>
          <xdr:row>12</xdr:row>
          <xdr:rowOff>152400</xdr:rowOff>
        </xdr:to>
        <xdr:sp macro="" textlink="">
          <xdr:nvSpPr>
            <xdr:cNvPr id="5493" name="Button 4469" hidden="1">
              <a:extLst>
                <a:ext uri="{63B3BB69-23CF-44E3-9099-C40C66FF867C}">
                  <a14:compatExt spid="_x0000_s5493"/>
                </a:ext>
                <a:ext uri="{FF2B5EF4-FFF2-40B4-BE49-F238E27FC236}">
                  <a16:creationId xmlns:a16="http://schemas.microsoft.com/office/drawing/2014/main" id="{00000000-0008-0000-0000-000075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815340</xdr:colOff>
          <xdr:row>71</xdr:row>
          <xdr:rowOff>0</xdr:rowOff>
        </xdr:from>
        <xdr:to>
          <xdr:col>8</xdr:col>
          <xdr:colOff>22860</xdr:colOff>
          <xdr:row>72</xdr:row>
          <xdr:rowOff>15240</xdr:rowOff>
        </xdr:to>
        <xdr:sp macro="" textlink="">
          <xdr:nvSpPr>
            <xdr:cNvPr id="5512" name="Drop Down 4488" hidden="1">
              <a:extLst>
                <a:ext uri="{63B3BB69-23CF-44E3-9099-C40C66FF867C}">
                  <a14:compatExt spid="_x0000_s5512"/>
                </a:ext>
                <a:ext uri="{FF2B5EF4-FFF2-40B4-BE49-F238E27FC236}">
                  <a16:creationId xmlns:a16="http://schemas.microsoft.com/office/drawing/2014/main" id="{00000000-0008-0000-0000-00008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171</xdr:row>
          <xdr:rowOff>0</xdr:rowOff>
        </xdr:from>
        <xdr:to>
          <xdr:col>8</xdr:col>
          <xdr:colOff>38100</xdr:colOff>
          <xdr:row>172</xdr:row>
          <xdr:rowOff>15240</xdr:rowOff>
        </xdr:to>
        <xdr:sp macro="" textlink="">
          <xdr:nvSpPr>
            <xdr:cNvPr id="5513" name="Drop Down 4489" hidden="1">
              <a:extLst>
                <a:ext uri="{63B3BB69-23CF-44E3-9099-C40C66FF867C}">
                  <a14:compatExt spid="_x0000_s5513"/>
                </a:ext>
                <a:ext uri="{FF2B5EF4-FFF2-40B4-BE49-F238E27FC236}">
                  <a16:creationId xmlns:a16="http://schemas.microsoft.com/office/drawing/2014/main" id="{00000000-0008-0000-0000-00008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271</xdr:row>
          <xdr:rowOff>0</xdr:rowOff>
        </xdr:from>
        <xdr:to>
          <xdr:col>8</xdr:col>
          <xdr:colOff>38100</xdr:colOff>
          <xdr:row>272</xdr:row>
          <xdr:rowOff>15240</xdr:rowOff>
        </xdr:to>
        <xdr:sp macro="" textlink="">
          <xdr:nvSpPr>
            <xdr:cNvPr id="5514" name="Drop Down 4490" hidden="1">
              <a:extLst>
                <a:ext uri="{63B3BB69-23CF-44E3-9099-C40C66FF867C}">
                  <a14:compatExt spid="_x0000_s5514"/>
                </a:ext>
                <a:ext uri="{FF2B5EF4-FFF2-40B4-BE49-F238E27FC236}">
                  <a16:creationId xmlns:a16="http://schemas.microsoft.com/office/drawing/2014/main" id="{00000000-0008-0000-0000-00008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471</xdr:row>
          <xdr:rowOff>0</xdr:rowOff>
        </xdr:from>
        <xdr:to>
          <xdr:col>8</xdr:col>
          <xdr:colOff>30480</xdr:colOff>
          <xdr:row>472</xdr:row>
          <xdr:rowOff>30480</xdr:rowOff>
        </xdr:to>
        <xdr:sp macro="" textlink="">
          <xdr:nvSpPr>
            <xdr:cNvPr id="5516" name="Drop Down 4492" hidden="1">
              <a:extLst>
                <a:ext uri="{63B3BB69-23CF-44E3-9099-C40C66FF867C}">
                  <a14:compatExt spid="_x0000_s5516"/>
                </a:ext>
                <a:ext uri="{FF2B5EF4-FFF2-40B4-BE49-F238E27FC236}">
                  <a16:creationId xmlns:a16="http://schemas.microsoft.com/office/drawing/2014/main" id="{00000000-0008-0000-0000-00008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571</xdr:row>
          <xdr:rowOff>0</xdr:rowOff>
        </xdr:from>
        <xdr:to>
          <xdr:col>8</xdr:col>
          <xdr:colOff>30480</xdr:colOff>
          <xdr:row>572</xdr:row>
          <xdr:rowOff>15240</xdr:rowOff>
        </xdr:to>
        <xdr:sp macro="" textlink="">
          <xdr:nvSpPr>
            <xdr:cNvPr id="5517" name="Drop Down 4493" hidden="1">
              <a:extLst>
                <a:ext uri="{63B3BB69-23CF-44E3-9099-C40C66FF867C}">
                  <a14:compatExt spid="_x0000_s5517"/>
                </a:ext>
                <a:ext uri="{FF2B5EF4-FFF2-40B4-BE49-F238E27FC236}">
                  <a16:creationId xmlns:a16="http://schemas.microsoft.com/office/drawing/2014/main" id="{00000000-0008-0000-0000-00008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671</xdr:row>
          <xdr:rowOff>0</xdr:rowOff>
        </xdr:from>
        <xdr:to>
          <xdr:col>8</xdr:col>
          <xdr:colOff>30480</xdr:colOff>
          <xdr:row>672</xdr:row>
          <xdr:rowOff>15240</xdr:rowOff>
        </xdr:to>
        <xdr:sp macro="" textlink="">
          <xdr:nvSpPr>
            <xdr:cNvPr id="5518" name="Drop Down 4494" hidden="1">
              <a:extLst>
                <a:ext uri="{63B3BB69-23CF-44E3-9099-C40C66FF867C}">
                  <a14:compatExt spid="_x0000_s5518"/>
                </a:ext>
                <a:ext uri="{FF2B5EF4-FFF2-40B4-BE49-F238E27FC236}">
                  <a16:creationId xmlns:a16="http://schemas.microsoft.com/office/drawing/2014/main" id="{00000000-0008-0000-0000-00008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771</xdr:row>
          <xdr:rowOff>0</xdr:rowOff>
        </xdr:from>
        <xdr:to>
          <xdr:col>8</xdr:col>
          <xdr:colOff>30480</xdr:colOff>
          <xdr:row>772</xdr:row>
          <xdr:rowOff>15240</xdr:rowOff>
        </xdr:to>
        <xdr:sp macro="" textlink="">
          <xdr:nvSpPr>
            <xdr:cNvPr id="5519" name="Drop Down 4495" hidden="1">
              <a:extLst>
                <a:ext uri="{63B3BB69-23CF-44E3-9099-C40C66FF867C}">
                  <a14:compatExt spid="_x0000_s5519"/>
                </a:ext>
                <a:ext uri="{FF2B5EF4-FFF2-40B4-BE49-F238E27FC236}">
                  <a16:creationId xmlns:a16="http://schemas.microsoft.com/office/drawing/2014/main" id="{00000000-0008-0000-0000-00008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871</xdr:row>
          <xdr:rowOff>0</xdr:rowOff>
        </xdr:from>
        <xdr:to>
          <xdr:col>8</xdr:col>
          <xdr:colOff>30480</xdr:colOff>
          <xdr:row>872</xdr:row>
          <xdr:rowOff>15240</xdr:rowOff>
        </xdr:to>
        <xdr:sp macro="" textlink="">
          <xdr:nvSpPr>
            <xdr:cNvPr id="5520" name="Drop Down 4496" hidden="1">
              <a:extLst>
                <a:ext uri="{63B3BB69-23CF-44E3-9099-C40C66FF867C}">
                  <a14:compatExt spid="_x0000_s5520"/>
                </a:ext>
                <a:ext uri="{FF2B5EF4-FFF2-40B4-BE49-F238E27FC236}">
                  <a16:creationId xmlns:a16="http://schemas.microsoft.com/office/drawing/2014/main" id="{00000000-0008-0000-0000-00009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971</xdr:row>
          <xdr:rowOff>0</xdr:rowOff>
        </xdr:from>
        <xdr:to>
          <xdr:col>8</xdr:col>
          <xdr:colOff>30480</xdr:colOff>
          <xdr:row>972</xdr:row>
          <xdr:rowOff>15240</xdr:rowOff>
        </xdr:to>
        <xdr:sp macro="" textlink="">
          <xdr:nvSpPr>
            <xdr:cNvPr id="5521" name="Drop Down 4497" hidden="1">
              <a:extLst>
                <a:ext uri="{63B3BB69-23CF-44E3-9099-C40C66FF867C}">
                  <a14:compatExt spid="_x0000_s5521"/>
                </a:ext>
                <a:ext uri="{FF2B5EF4-FFF2-40B4-BE49-F238E27FC236}">
                  <a16:creationId xmlns:a16="http://schemas.microsoft.com/office/drawing/2014/main" id="{00000000-0008-0000-0000-00009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1071</xdr:row>
          <xdr:rowOff>0</xdr:rowOff>
        </xdr:from>
        <xdr:to>
          <xdr:col>8</xdr:col>
          <xdr:colOff>30480</xdr:colOff>
          <xdr:row>1072</xdr:row>
          <xdr:rowOff>15240</xdr:rowOff>
        </xdr:to>
        <xdr:sp macro="" textlink="">
          <xdr:nvSpPr>
            <xdr:cNvPr id="5522" name="Drop Down 4498" hidden="1">
              <a:extLst>
                <a:ext uri="{63B3BB69-23CF-44E3-9099-C40C66FF867C}">
                  <a14:compatExt spid="_x0000_s5522"/>
                </a:ext>
                <a:ext uri="{FF2B5EF4-FFF2-40B4-BE49-F238E27FC236}">
                  <a16:creationId xmlns:a16="http://schemas.microsoft.com/office/drawing/2014/main" id="{00000000-0008-0000-0000-00009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1171</xdr:row>
          <xdr:rowOff>0</xdr:rowOff>
        </xdr:from>
        <xdr:to>
          <xdr:col>8</xdr:col>
          <xdr:colOff>30480</xdr:colOff>
          <xdr:row>1172</xdr:row>
          <xdr:rowOff>15240</xdr:rowOff>
        </xdr:to>
        <xdr:sp macro="" textlink="">
          <xdr:nvSpPr>
            <xdr:cNvPr id="5523" name="Drop Down 4499" hidden="1">
              <a:extLst>
                <a:ext uri="{63B3BB69-23CF-44E3-9099-C40C66FF867C}">
                  <a14:compatExt spid="_x0000_s5523"/>
                </a:ext>
                <a:ext uri="{FF2B5EF4-FFF2-40B4-BE49-F238E27FC236}">
                  <a16:creationId xmlns:a16="http://schemas.microsoft.com/office/drawing/2014/main" id="{00000000-0008-0000-0000-00009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1271</xdr:row>
          <xdr:rowOff>0</xdr:rowOff>
        </xdr:from>
        <xdr:to>
          <xdr:col>8</xdr:col>
          <xdr:colOff>30480</xdr:colOff>
          <xdr:row>1272</xdr:row>
          <xdr:rowOff>15240</xdr:rowOff>
        </xdr:to>
        <xdr:sp macro="" textlink="">
          <xdr:nvSpPr>
            <xdr:cNvPr id="5524" name="Drop Down 4500" hidden="1">
              <a:extLst>
                <a:ext uri="{63B3BB69-23CF-44E3-9099-C40C66FF867C}">
                  <a14:compatExt spid="_x0000_s5524"/>
                </a:ext>
                <a:ext uri="{FF2B5EF4-FFF2-40B4-BE49-F238E27FC236}">
                  <a16:creationId xmlns:a16="http://schemas.microsoft.com/office/drawing/2014/main" id="{00000000-0008-0000-0000-00009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1371</xdr:row>
          <xdr:rowOff>0</xdr:rowOff>
        </xdr:from>
        <xdr:to>
          <xdr:col>8</xdr:col>
          <xdr:colOff>30480</xdr:colOff>
          <xdr:row>1372</xdr:row>
          <xdr:rowOff>15240</xdr:rowOff>
        </xdr:to>
        <xdr:sp macro="" textlink="">
          <xdr:nvSpPr>
            <xdr:cNvPr id="5525" name="Drop Down 4501" hidden="1">
              <a:extLst>
                <a:ext uri="{63B3BB69-23CF-44E3-9099-C40C66FF867C}">
                  <a14:compatExt spid="_x0000_s5525"/>
                </a:ext>
                <a:ext uri="{FF2B5EF4-FFF2-40B4-BE49-F238E27FC236}">
                  <a16:creationId xmlns:a16="http://schemas.microsoft.com/office/drawing/2014/main" id="{00000000-0008-0000-0000-00009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1471</xdr:row>
          <xdr:rowOff>0</xdr:rowOff>
        </xdr:from>
        <xdr:to>
          <xdr:col>8</xdr:col>
          <xdr:colOff>30480</xdr:colOff>
          <xdr:row>1472</xdr:row>
          <xdr:rowOff>15240</xdr:rowOff>
        </xdr:to>
        <xdr:sp macro="" textlink="">
          <xdr:nvSpPr>
            <xdr:cNvPr id="5526" name="Drop Down 4502" hidden="1">
              <a:extLst>
                <a:ext uri="{63B3BB69-23CF-44E3-9099-C40C66FF867C}">
                  <a14:compatExt spid="_x0000_s5526"/>
                </a:ext>
                <a:ext uri="{FF2B5EF4-FFF2-40B4-BE49-F238E27FC236}">
                  <a16:creationId xmlns:a16="http://schemas.microsoft.com/office/drawing/2014/main" id="{00000000-0008-0000-0000-00009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1571</xdr:row>
          <xdr:rowOff>0</xdr:rowOff>
        </xdr:from>
        <xdr:to>
          <xdr:col>8</xdr:col>
          <xdr:colOff>30480</xdr:colOff>
          <xdr:row>1572</xdr:row>
          <xdr:rowOff>15240</xdr:rowOff>
        </xdr:to>
        <xdr:sp macro="" textlink="">
          <xdr:nvSpPr>
            <xdr:cNvPr id="5527" name="Drop Down 4503" hidden="1">
              <a:extLst>
                <a:ext uri="{63B3BB69-23CF-44E3-9099-C40C66FF867C}">
                  <a14:compatExt spid="_x0000_s5527"/>
                </a:ext>
                <a:ext uri="{FF2B5EF4-FFF2-40B4-BE49-F238E27FC236}">
                  <a16:creationId xmlns:a16="http://schemas.microsoft.com/office/drawing/2014/main" id="{00000000-0008-0000-0000-00009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1671</xdr:row>
          <xdr:rowOff>0</xdr:rowOff>
        </xdr:from>
        <xdr:to>
          <xdr:col>8</xdr:col>
          <xdr:colOff>30480</xdr:colOff>
          <xdr:row>1672</xdr:row>
          <xdr:rowOff>15240</xdr:rowOff>
        </xdr:to>
        <xdr:sp macro="" textlink="">
          <xdr:nvSpPr>
            <xdr:cNvPr id="5528" name="Drop Down 4504" hidden="1">
              <a:extLst>
                <a:ext uri="{63B3BB69-23CF-44E3-9099-C40C66FF867C}">
                  <a14:compatExt spid="_x0000_s5528"/>
                </a:ext>
                <a:ext uri="{FF2B5EF4-FFF2-40B4-BE49-F238E27FC236}">
                  <a16:creationId xmlns:a16="http://schemas.microsoft.com/office/drawing/2014/main" id="{00000000-0008-0000-0000-00009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1771</xdr:row>
          <xdr:rowOff>0</xdr:rowOff>
        </xdr:from>
        <xdr:to>
          <xdr:col>8</xdr:col>
          <xdr:colOff>30480</xdr:colOff>
          <xdr:row>1772</xdr:row>
          <xdr:rowOff>15240</xdr:rowOff>
        </xdr:to>
        <xdr:sp macro="" textlink="">
          <xdr:nvSpPr>
            <xdr:cNvPr id="5529" name="Drop Down 4505" hidden="1">
              <a:extLst>
                <a:ext uri="{63B3BB69-23CF-44E3-9099-C40C66FF867C}">
                  <a14:compatExt spid="_x0000_s5529"/>
                </a:ext>
                <a:ext uri="{FF2B5EF4-FFF2-40B4-BE49-F238E27FC236}">
                  <a16:creationId xmlns:a16="http://schemas.microsoft.com/office/drawing/2014/main" id="{00000000-0008-0000-0000-00009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1871</xdr:row>
          <xdr:rowOff>0</xdr:rowOff>
        </xdr:from>
        <xdr:to>
          <xdr:col>8</xdr:col>
          <xdr:colOff>30480</xdr:colOff>
          <xdr:row>1872</xdr:row>
          <xdr:rowOff>15240</xdr:rowOff>
        </xdr:to>
        <xdr:sp macro="" textlink="">
          <xdr:nvSpPr>
            <xdr:cNvPr id="5530" name="Drop Down 4506" hidden="1">
              <a:extLst>
                <a:ext uri="{63B3BB69-23CF-44E3-9099-C40C66FF867C}">
                  <a14:compatExt spid="_x0000_s5530"/>
                </a:ext>
                <a:ext uri="{FF2B5EF4-FFF2-40B4-BE49-F238E27FC236}">
                  <a16:creationId xmlns:a16="http://schemas.microsoft.com/office/drawing/2014/main" id="{00000000-0008-0000-0000-00009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1971</xdr:row>
          <xdr:rowOff>0</xdr:rowOff>
        </xdr:from>
        <xdr:to>
          <xdr:col>8</xdr:col>
          <xdr:colOff>30480</xdr:colOff>
          <xdr:row>1972</xdr:row>
          <xdr:rowOff>15240</xdr:rowOff>
        </xdr:to>
        <xdr:sp macro="" textlink="">
          <xdr:nvSpPr>
            <xdr:cNvPr id="5531" name="Drop Down 4507" hidden="1">
              <a:extLst>
                <a:ext uri="{63B3BB69-23CF-44E3-9099-C40C66FF867C}">
                  <a14:compatExt spid="_x0000_s5531"/>
                </a:ext>
                <a:ext uri="{FF2B5EF4-FFF2-40B4-BE49-F238E27FC236}">
                  <a16:creationId xmlns:a16="http://schemas.microsoft.com/office/drawing/2014/main" id="{00000000-0008-0000-0000-00009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346</xdr:row>
          <xdr:rowOff>0</xdr:rowOff>
        </xdr:from>
        <xdr:to>
          <xdr:col>5</xdr:col>
          <xdr:colOff>815340</xdr:colOff>
          <xdr:row>347</xdr:row>
          <xdr:rowOff>15240</xdr:rowOff>
        </xdr:to>
        <xdr:sp macro="" textlink="">
          <xdr:nvSpPr>
            <xdr:cNvPr id="5532" name="Drop Down 4508" hidden="1">
              <a:extLst>
                <a:ext uri="{63B3BB69-23CF-44E3-9099-C40C66FF867C}">
                  <a14:compatExt spid="_x0000_s5532"/>
                </a:ext>
                <a:ext uri="{FF2B5EF4-FFF2-40B4-BE49-F238E27FC236}">
                  <a16:creationId xmlns:a16="http://schemas.microsoft.com/office/drawing/2014/main" id="{00000000-0008-0000-0000-00009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347</xdr:row>
          <xdr:rowOff>0</xdr:rowOff>
        </xdr:from>
        <xdr:to>
          <xdr:col>5</xdr:col>
          <xdr:colOff>815340</xdr:colOff>
          <xdr:row>347</xdr:row>
          <xdr:rowOff>320040</xdr:rowOff>
        </xdr:to>
        <xdr:sp macro="" textlink="">
          <xdr:nvSpPr>
            <xdr:cNvPr id="5533" name="Drop Down 4509" hidden="1">
              <a:extLst>
                <a:ext uri="{63B3BB69-23CF-44E3-9099-C40C66FF867C}">
                  <a14:compatExt spid="_x0000_s5533"/>
                </a:ext>
                <a:ext uri="{FF2B5EF4-FFF2-40B4-BE49-F238E27FC236}">
                  <a16:creationId xmlns:a16="http://schemas.microsoft.com/office/drawing/2014/main" id="{00000000-0008-0000-0000-00009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348</xdr:row>
          <xdr:rowOff>0</xdr:rowOff>
        </xdr:from>
        <xdr:to>
          <xdr:col>5</xdr:col>
          <xdr:colOff>815340</xdr:colOff>
          <xdr:row>349</xdr:row>
          <xdr:rowOff>0</xdr:rowOff>
        </xdr:to>
        <xdr:sp macro="" textlink="">
          <xdr:nvSpPr>
            <xdr:cNvPr id="5534" name="Drop Down 4510" hidden="1">
              <a:extLst>
                <a:ext uri="{63B3BB69-23CF-44E3-9099-C40C66FF867C}">
                  <a14:compatExt spid="_x0000_s5534"/>
                </a:ext>
                <a:ext uri="{FF2B5EF4-FFF2-40B4-BE49-F238E27FC236}">
                  <a16:creationId xmlns:a16="http://schemas.microsoft.com/office/drawing/2014/main" id="{00000000-0008-0000-0000-00009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347</xdr:row>
          <xdr:rowOff>0</xdr:rowOff>
        </xdr:from>
        <xdr:to>
          <xdr:col>10</xdr:col>
          <xdr:colOff>1821180</xdr:colOff>
          <xdr:row>347</xdr:row>
          <xdr:rowOff>320040</xdr:rowOff>
        </xdr:to>
        <xdr:sp macro="" textlink="">
          <xdr:nvSpPr>
            <xdr:cNvPr id="5535" name="Drop Down 4511" hidden="1">
              <a:extLst>
                <a:ext uri="{63B3BB69-23CF-44E3-9099-C40C66FF867C}">
                  <a14:compatExt spid="_x0000_s5535"/>
                </a:ext>
                <a:ext uri="{FF2B5EF4-FFF2-40B4-BE49-F238E27FC236}">
                  <a16:creationId xmlns:a16="http://schemas.microsoft.com/office/drawing/2014/main" id="{00000000-0008-0000-0000-00009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348</xdr:row>
          <xdr:rowOff>0</xdr:rowOff>
        </xdr:from>
        <xdr:to>
          <xdr:col>10</xdr:col>
          <xdr:colOff>1821180</xdr:colOff>
          <xdr:row>348</xdr:row>
          <xdr:rowOff>320040</xdr:rowOff>
        </xdr:to>
        <xdr:sp macro="" textlink="">
          <xdr:nvSpPr>
            <xdr:cNvPr id="5536" name="Drop Down 4512" hidden="1">
              <a:extLst>
                <a:ext uri="{63B3BB69-23CF-44E3-9099-C40C66FF867C}">
                  <a14:compatExt spid="_x0000_s5536"/>
                </a:ext>
                <a:ext uri="{FF2B5EF4-FFF2-40B4-BE49-F238E27FC236}">
                  <a16:creationId xmlns:a16="http://schemas.microsoft.com/office/drawing/2014/main" id="{00000000-0008-0000-0000-0000A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346</xdr:row>
          <xdr:rowOff>0</xdr:rowOff>
        </xdr:from>
        <xdr:to>
          <xdr:col>10</xdr:col>
          <xdr:colOff>1821180</xdr:colOff>
          <xdr:row>346</xdr:row>
          <xdr:rowOff>320040</xdr:rowOff>
        </xdr:to>
        <xdr:sp macro="" textlink="">
          <xdr:nvSpPr>
            <xdr:cNvPr id="5537" name="Drop Down 4513" hidden="1">
              <a:extLst>
                <a:ext uri="{63B3BB69-23CF-44E3-9099-C40C66FF867C}">
                  <a14:compatExt spid="_x0000_s5537"/>
                </a:ext>
                <a:ext uri="{FF2B5EF4-FFF2-40B4-BE49-F238E27FC236}">
                  <a16:creationId xmlns:a16="http://schemas.microsoft.com/office/drawing/2014/main" id="{00000000-0008-0000-0000-0000A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346</xdr:row>
          <xdr:rowOff>0</xdr:rowOff>
        </xdr:from>
        <xdr:to>
          <xdr:col>3</xdr:col>
          <xdr:colOff>853440</xdr:colOff>
          <xdr:row>346</xdr:row>
          <xdr:rowOff>320040</xdr:rowOff>
        </xdr:to>
        <xdr:sp macro="" textlink="">
          <xdr:nvSpPr>
            <xdr:cNvPr id="5538" name="Drop Down 4514" hidden="1">
              <a:extLst>
                <a:ext uri="{63B3BB69-23CF-44E3-9099-C40C66FF867C}">
                  <a14:compatExt spid="_x0000_s5538"/>
                </a:ext>
                <a:ext uri="{FF2B5EF4-FFF2-40B4-BE49-F238E27FC236}">
                  <a16:creationId xmlns:a16="http://schemas.microsoft.com/office/drawing/2014/main" id="{00000000-0008-0000-0000-0000A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347</xdr:row>
          <xdr:rowOff>0</xdr:rowOff>
        </xdr:from>
        <xdr:to>
          <xdr:col>3</xdr:col>
          <xdr:colOff>853440</xdr:colOff>
          <xdr:row>347</xdr:row>
          <xdr:rowOff>320040</xdr:rowOff>
        </xdr:to>
        <xdr:sp macro="" textlink="">
          <xdr:nvSpPr>
            <xdr:cNvPr id="5539" name="Drop Down 4515" hidden="1">
              <a:extLst>
                <a:ext uri="{63B3BB69-23CF-44E3-9099-C40C66FF867C}">
                  <a14:compatExt spid="_x0000_s5539"/>
                </a:ext>
                <a:ext uri="{FF2B5EF4-FFF2-40B4-BE49-F238E27FC236}">
                  <a16:creationId xmlns:a16="http://schemas.microsoft.com/office/drawing/2014/main" id="{00000000-0008-0000-0000-0000A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348</xdr:row>
          <xdr:rowOff>0</xdr:rowOff>
        </xdr:from>
        <xdr:to>
          <xdr:col>3</xdr:col>
          <xdr:colOff>853440</xdr:colOff>
          <xdr:row>349</xdr:row>
          <xdr:rowOff>0</xdr:rowOff>
        </xdr:to>
        <xdr:sp macro="" textlink="">
          <xdr:nvSpPr>
            <xdr:cNvPr id="5540" name="Drop Down 4516" hidden="1">
              <a:extLst>
                <a:ext uri="{63B3BB69-23CF-44E3-9099-C40C66FF867C}">
                  <a14:compatExt spid="_x0000_s5540"/>
                </a:ext>
                <a:ext uri="{FF2B5EF4-FFF2-40B4-BE49-F238E27FC236}">
                  <a16:creationId xmlns:a16="http://schemas.microsoft.com/office/drawing/2014/main" id="{00000000-0008-0000-0000-0000A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375</xdr:row>
          <xdr:rowOff>0</xdr:rowOff>
        </xdr:from>
        <xdr:to>
          <xdr:col>5</xdr:col>
          <xdr:colOff>0</xdr:colOff>
          <xdr:row>375</xdr:row>
          <xdr:rowOff>220980</xdr:rowOff>
        </xdr:to>
        <xdr:sp macro="" textlink="">
          <xdr:nvSpPr>
            <xdr:cNvPr id="5541" name="Drop Down 4517" hidden="1">
              <a:extLst>
                <a:ext uri="{63B3BB69-23CF-44E3-9099-C40C66FF867C}">
                  <a14:compatExt spid="_x0000_s5541"/>
                </a:ext>
                <a:ext uri="{FF2B5EF4-FFF2-40B4-BE49-F238E27FC236}">
                  <a16:creationId xmlns:a16="http://schemas.microsoft.com/office/drawing/2014/main" id="{00000000-0008-0000-0000-0000A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346</xdr:row>
          <xdr:rowOff>0</xdr:rowOff>
        </xdr:from>
        <xdr:to>
          <xdr:col>7</xdr:col>
          <xdr:colOff>624840</xdr:colOff>
          <xdr:row>347</xdr:row>
          <xdr:rowOff>0</xdr:rowOff>
        </xdr:to>
        <xdr:sp macro="" textlink="">
          <xdr:nvSpPr>
            <xdr:cNvPr id="5542" name="Drop Down 4518" hidden="1">
              <a:extLst>
                <a:ext uri="{63B3BB69-23CF-44E3-9099-C40C66FF867C}">
                  <a14:compatExt spid="_x0000_s5542"/>
                </a:ext>
                <a:ext uri="{FF2B5EF4-FFF2-40B4-BE49-F238E27FC236}">
                  <a16:creationId xmlns:a16="http://schemas.microsoft.com/office/drawing/2014/main" id="{00000000-0008-0000-0000-0000A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346</xdr:row>
          <xdr:rowOff>15240</xdr:rowOff>
        </xdr:from>
        <xdr:to>
          <xdr:col>7</xdr:col>
          <xdr:colOff>1272540</xdr:colOff>
          <xdr:row>347</xdr:row>
          <xdr:rowOff>0</xdr:rowOff>
        </xdr:to>
        <xdr:sp macro="" textlink="">
          <xdr:nvSpPr>
            <xdr:cNvPr id="5543" name="Drop Down 4519" hidden="1">
              <a:extLst>
                <a:ext uri="{63B3BB69-23CF-44E3-9099-C40C66FF867C}">
                  <a14:compatExt spid="_x0000_s5543"/>
                </a:ext>
                <a:ext uri="{FF2B5EF4-FFF2-40B4-BE49-F238E27FC236}">
                  <a16:creationId xmlns:a16="http://schemas.microsoft.com/office/drawing/2014/main" id="{00000000-0008-0000-0000-0000A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346</xdr:row>
          <xdr:rowOff>15240</xdr:rowOff>
        </xdr:from>
        <xdr:to>
          <xdr:col>7</xdr:col>
          <xdr:colOff>1805940</xdr:colOff>
          <xdr:row>346</xdr:row>
          <xdr:rowOff>320040</xdr:rowOff>
        </xdr:to>
        <xdr:sp macro="" textlink="">
          <xdr:nvSpPr>
            <xdr:cNvPr id="5544" name="Drop Down 4520" hidden="1">
              <a:extLst>
                <a:ext uri="{63B3BB69-23CF-44E3-9099-C40C66FF867C}">
                  <a14:compatExt spid="_x0000_s5544"/>
                </a:ext>
                <a:ext uri="{FF2B5EF4-FFF2-40B4-BE49-F238E27FC236}">
                  <a16:creationId xmlns:a16="http://schemas.microsoft.com/office/drawing/2014/main" id="{00000000-0008-0000-0000-0000A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347</xdr:row>
          <xdr:rowOff>0</xdr:rowOff>
        </xdr:from>
        <xdr:to>
          <xdr:col>7</xdr:col>
          <xdr:colOff>624840</xdr:colOff>
          <xdr:row>348</xdr:row>
          <xdr:rowOff>0</xdr:rowOff>
        </xdr:to>
        <xdr:sp macro="" textlink="">
          <xdr:nvSpPr>
            <xdr:cNvPr id="5545" name="Drop Down 4521" hidden="1">
              <a:extLst>
                <a:ext uri="{63B3BB69-23CF-44E3-9099-C40C66FF867C}">
                  <a14:compatExt spid="_x0000_s5545"/>
                </a:ext>
                <a:ext uri="{FF2B5EF4-FFF2-40B4-BE49-F238E27FC236}">
                  <a16:creationId xmlns:a16="http://schemas.microsoft.com/office/drawing/2014/main" id="{00000000-0008-0000-0000-0000A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347</xdr:row>
          <xdr:rowOff>15240</xdr:rowOff>
        </xdr:from>
        <xdr:to>
          <xdr:col>7</xdr:col>
          <xdr:colOff>1272540</xdr:colOff>
          <xdr:row>348</xdr:row>
          <xdr:rowOff>0</xdr:rowOff>
        </xdr:to>
        <xdr:sp macro="" textlink="">
          <xdr:nvSpPr>
            <xdr:cNvPr id="5546" name="Drop Down 4522" hidden="1">
              <a:extLst>
                <a:ext uri="{63B3BB69-23CF-44E3-9099-C40C66FF867C}">
                  <a14:compatExt spid="_x0000_s5546"/>
                </a:ext>
                <a:ext uri="{FF2B5EF4-FFF2-40B4-BE49-F238E27FC236}">
                  <a16:creationId xmlns:a16="http://schemas.microsoft.com/office/drawing/2014/main" id="{00000000-0008-0000-0000-0000A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347</xdr:row>
          <xdr:rowOff>15240</xdr:rowOff>
        </xdr:from>
        <xdr:to>
          <xdr:col>7</xdr:col>
          <xdr:colOff>1805940</xdr:colOff>
          <xdr:row>347</xdr:row>
          <xdr:rowOff>320040</xdr:rowOff>
        </xdr:to>
        <xdr:sp macro="" textlink="">
          <xdr:nvSpPr>
            <xdr:cNvPr id="5547" name="Drop Down 4523" hidden="1">
              <a:extLst>
                <a:ext uri="{63B3BB69-23CF-44E3-9099-C40C66FF867C}">
                  <a14:compatExt spid="_x0000_s5547"/>
                </a:ext>
                <a:ext uri="{FF2B5EF4-FFF2-40B4-BE49-F238E27FC236}">
                  <a16:creationId xmlns:a16="http://schemas.microsoft.com/office/drawing/2014/main" id="{00000000-0008-0000-0000-0000A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348</xdr:row>
          <xdr:rowOff>0</xdr:rowOff>
        </xdr:from>
        <xdr:to>
          <xdr:col>7</xdr:col>
          <xdr:colOff>624840</xdr:colOff>
          <xdr:row>349</xdr:row>
          <xdr:rowOff>0</xdr:rowOff>
        </xdr:to>
        <xdr:sp macro="" textlink="">
          <xdr:nvSpPr>
            <xdr:cNvPr id="5548" name="Drop Down 4524" hidden="1">
              <a:extLst>
                <a:ext uri="{63B3BB69-23CF-44E3-9099-C40C66FF867C}">
                  <a14:compatExt spid="_x0000_s5548"/>
                </a:ext>
                <a:ext uri="{FF2B5EF4-FFF2-40B4-BE49-F238E27FC236}">
                  <a16:creationId xmlns:a16="http://schemas.microsoft.com/office/drawing/2014/main" id="{00000000-0008-0000-0000-0000A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348</xdr:row>
          <xdr:rowOff>15240</xdr:rowOff>
        </xdr:from>
        <xdr:to>
          <xdr:col>7</xdr:col>
          <xdr:colOff>1272540</xdr:colOff>
          <xdr:row>349</xdr:row>
          <xdr:rowOff>0</xdr:rowOff>
        </xdr:to>
        <xdr:sp macro="" textlink="">
          <xdr:nvSpPr>
            <xdr:cNvPr id="5549" name="Drop Down 4525" hidden="1">
              <a:extLst>
                <a:ext uri="{63B3BB69-23CF-44E3-9099-C40C66FF867C}">
                  <a14:compatExt spid="_x0000_s5549"/>
                </a:ext>
                <a:ext uri="{FF2B5EF4-FFF2-40B4-BE49-F238E27FC236}">
                  <a16:creationId xmlns:a16="http://schemas.microsoft.com/office/drawing/2014/main" id="{00000000-0008-0000-0000-0000A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348</xdr:row>
          <xdr:rowOff>15240</xdr:rowOff>
        </xdr:from>
        <xdr:to>
          <xdr:col>7</xdr:col>
          <xdr:colOff>1805940</xdr:colOff>
          <xdr:row>348</xdr:row>
          <xdr:rowOff>320040</xdr:rowOff>
        </xdr:to>
        <xdr:sp macro="" textlink="">
          <xdr:nvSpPr>
            <xdr:cNvPr id="5550" name="Drop Down 4526" hidden="1">
              <a:extLst>
                <a:ext uri="{63B3BB69-23CF-44E3-9099-C40C66FF867C}">
                  <a14:compatExt spid="_x0000_s5550"/>
                </a:ext>
                <a:ext uri="{FF2B5EF4-FFF2-40B4-BE49-F238E27FC236}">
                  <a16:creationId xmlns:a16="http://schemas.microsoft.com/office/drawing/2014/main" id="{00000000-0008-0000-0000-0000A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377</xdr:row>
          <xdr:rowOff>15240</xdr:rowOff>
        </xdr:from>
        <xdr:to>
          <xdr:col>4</xdr:col>
          <xdr:colOff>205740</xdr:colOff>
          <xdr:row>377</xdr:row>
          <xdr:rowOff>220980</xdr:rowOff>
        </xdr:to>
        <xdr:sp macro="" textlink="">
          <xdr:nvSpPr>
            <xdr:cNvPr id="5551" name="Drop Down 4527" hidden="1">
              <a:extLst>
                <a:ext uri="{63B3BB69-23CF-44E3-9099-C40C66FF867C}">
                  <a14:compatExt spid="_x0000_s5551"/>
                </a:ext>
                <a:ext uri="{FF2B5EF4-FFF2-40B4-BE49-F238E27FC236}">
                  <a16:creationId xmlns:a16="http://schemas.microsoft.com/office/drawing/2014/main" id="{00000000-0008-0000-0000-0000A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377</xdr:row>
          <xdr:rowOff>15240</xdr:rowOff>
        </xdr:from>
        <xdr:to>
          <xdr:col>4</xdr:col>
          <xdr:colOff>1021080</xdr:colOff>
          <xdr:row>377</xdr:row>
          <xdr:rowOff>220980</xdr:rowOff>
        </xdr:to>
        <xdr:sp macro="" textlink="">
          <xdr:nvSpPr>
            <xdr:cNvPr id="5552" name="Drop Down 4528" hidden="1">
              <a:extLst>
                <a:ext uri="{63B3BB69-23CF-44E3-9099-C40C66FF867C}">
                  <a14:compatExt spid="_x0000_s5552"/>
                </a:ext>
                <a:ext uri="{FF2B5EF4-FFF2-40B4-BE49-F238E27FC236}">
                  <a16:creationId xmlns:a16="http://schemas.microsoft.com/office/drawing/2014/main" id="{00000000-0008-0000-0000-0000B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377</xdr:row>
          <xdr:rowOff>0</xdr:rowOff>
        </xdr:from>
        <xdr:to>
          <xdr:col>4</xdr:col>
          <xdr:colOff>1706880</xdr:colOff>
          <xdr:row>377</xdr:row>
          <xdr:rowOff>220980</xdr:rowOff>
        </xdr:to>
        <xdr:sp macro="" textlink="">
          <xdr:nvSpPr>
            <xdr:cNvPr id="5553" name="Drop Down 4529" hidden="1">
              <a:extLst>
                <a:ext uri="{63B3BB69-23CF-44E3-9099-C40C66FF867C}">
                  <a14:compatExt spid="_x0000_s5553"/>
                </a:ext>
                <a:ext uri="{FF2B5EF4-FFF2-40B4-BE49-F238E27FC236}">
                  <a16:creationId xmlns:a16="http://schemas.microsoft.com/office/drawing/2014/main" id="{00000000-0008-0000-0000-0000B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377</xdr:row>
          <xdr:rowOff>15240</xdr:rowOff>
        </xdr:from>
        <xdr:to>
          <xdr:col>6</xdr:col>
          <xdr:colOff>259080</xdr:colOff>
          <xdr:row>377</xdr:row>
          <xdr:rowOff>220980</xdr:rowOff>
        </xdr:to>
        <xdr:sp macro="" textlink="">
          <xdr:nvSpPr>
            <xdr:cNvPr id="5554" name="Drop Down 4530" hidden="1">
              <a:extLst>
                <a:ext uri="{63B3BB69-23CF-44E3-9099-C40C66FF867C}">
                  <a14:compatExt spid="_x0000_s5554"/>
                </a:ext>
                <a:ext uri="{FF2B5EF4-FFF2-40B4-BE49-F238E27FC236}">
                  <a16:creationId xmlns:a16="http://schemas.microsoft.com/office/drawing/2014/main" id="{00000000-0008-0000-0000-0000B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377</xdr:row>
          <xdr:rowOff>15240</xdr:rowOff>
        </xdr:from>
        <xdr:to>
          <xdr:col>6</xdr:col>
          <xdr:colOff>1120140</xdr:colOff>
          <xdr:row>377</xdr:row>
          <xdr:rowOff>220980</xdr:rowOff>
        </xdr:to>
        <xdr:sp macro="" textlink="">
          <xdr:nvSpPr>
            <xdr:cNvPr id="5555" name="Drop Down 4531" hidden="1">
              <a:extLst>
                <a:ext uri="{63B3BB69-23CF-44E3-9099-C40C66FF867C}">
                  <a14:compatExt spid="_x0000_s5555"/>
                </a:ext>
                <a:ext uri="{FF2B5EF4-FFF2-40B4-BE49-F238E27FC236}">
                  <a16:creationId xmlns:a16="http://schemas.microsoft.com/office/drawing/2014/main" id="{00000000-0008-0000-0000-0000B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377</xdr:row>
          <xdr:rowOff>0</xdr:rowOff>
        </xdr:from>
        <xdr:to>
          <xdr:col>6</xdr:col>
          <xdr:colOff>1805940</xdr:colOff>
          <xdr:row>377</xdr:row>
          <xdr:rowOff>220980</xdr:rowOff>
        </xdr:to>
        <xdr:sp macro="" textlink="">
          <xdr:nvSpPr>
            <xdr:cNvPr id="5556" name="Drop Down 4532" hidden="1">
              <a:extLst>
                <a:ext uri="{63B3BB69-23CF-44E3-9099-C40C66FF867C}">
                  <a14:compatExt spid="_x0000_s5556"/>
                </a:ext>
                <a:ext uri="{FF2B5EF4-FFF2-40B4-BE49-F238E27FC236}">
                  <a16:creationId xmlns:a16="http://schemas.microsoft.com/office/drawing/2014/main" id="{00000000-0008-0000-0000-0000B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375</xdr:row>
          <xdr:rowOff>0</xdr:rowOff>
        </xdr:from>
        <xdr:to>
          <xdr:col>12</xdr:col>
          <xdr:colOff>716280</xdr:colOff>
          <xdr:row>375</xdr:row>
          <xdr:rowOff>220980</xdr:rowOff>
        </xdr:to>
        <xdr:sp macro="" textlink="">
          <xdr:nvSpPr>
            <xdr:cNvPr id="5557" name="Drop Down 4533" hidden="1">
              <a:extLst>
                <a:ext uri="{63B3BB69-23CF-44E3-9099-C40C66FF867C}">
                  <a14:compatExt spid="_x0000_s5557"/>
                </a:ext>
                <a:ext uri="{FF2B5EF4-FFF2-40B4-BE49-F238E27FC236}">
                  <a16:creationId xmlns:a16="http://schemas.microsoft.com/office/drawing/2014/main" id="{00000000-0008-0000-0000-0000B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375</xdr:row>
          <xdr:rowOff>15240</xdr:rowOff>
        </xdr:from>
        <xdr:to>
          <xdr:col>12</xdr:col>
          <xdr:colOff>1325880</xdr:colOff>
          <xdr:row>375</xdr:row>
          <xdr:rowOff>220980</xdr:rowOff>
        </xdr:to>
        <xdr:sp macro="" textlink="">
          <xdr:nvSpPr>
            <xdr:cNvPr id="5558" name="Drop Down 4534" hidden="1">
              <a:extLst>
                <a:ext uri="{63B3BB69-23CF-44E3-9099-C40C66FF867C}">
                  <a14:compatExt spid="_x0000_s5558"/>
                </a:ext>
                <a:ext uri="{FF2B5EF4-FFF2-40B4-BE49-F238E27FC236}">
                  <a16:creationId xmlns:a16="http://schemas.microsoft.com/office/drawing/2014/main" id="{00000000-0008-0000-0000-0000B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375</xdr:row>
          <xdr:rowOff>0</xdr:rowOff>
        </xdr:from>
        <xdr:to>
          <xdr:col>13</xdr:col>
          <xdr:colOff>0</xdr:colOff>
          <xdr:row>375</xdr:row>
          <xdr:rowOff>220980</xdr:rowOff>
        </xdr:to>
        <xdr:sp macro="" textlink="">
          <xdr:nvSpPr>
            <xdr:cNvPr id="5559" name="Drop Down 4535" hidden="1">
              <a:extLst>
                <a:ext uri="{63B3BB69-23CF-44E3-9099-C40C66FF867C}">
                  <a14:compatExt spid="_x0000_s5559"/>
                </a:ext>
                <a:ext uri="{FF2B5EF4-FFF2-40B4-BE49-F238E27FC236}">
                  <a16:creationId xmlns:a16="http://schemas.microsoft.com/office/drawing/2014/main" id="{00000000-0008-0000-0000-0000B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377</xdr:row>
          <xdr:rowOff>0</xdr:rowOff>
        </xdr:from>
        <xdr:to>
          <xdr:col>12</xdr:col>
          <xdr:colOff>701040</xdr:colOff>
          <xdr:row>377</xdr:row>
          <xdr:rowOff>220980</xdr:rowOff>
        </xdr:to>
        <xdr:sp macro="" textlink="">
          <xdr:nvSpPr>
            <xdr:cNvPr id="5560" name="Drop Down 4536" hidden="1">
              <a:extLst>
                <a:ext uri="{63B3BB69-23CF-44E3-9099-C40C66FF867C}">
                  <a14:compatExt spid="_x0000_s5560"/>
                </a:ext>
                <a:ext uri="{FF2B5EF4-FFF2-40B4-BE49-F238E27FC236}">
                  <a16:creationId xmlns:a16="http://schemas.microsoft.com/office/drawing/2014/main" id="{00000000-0008-0000-0000-0000B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377</xdr:row>
          <xdr:rowOff>15240</xdr:rowOff>
        </xdr:from>
        <xdr:to>
          <xdr:col>12</xdr:col>
          <xdr:colOff>1310640</xdr:colOff>
          <xdr:row>377</xdr:row>
          <xdr:rowOff>220980</xdr:rowOff>
        </xdr:to>
        <xdr:sp macro="" textlink="">
          <xdr:nvSpPr>
            <xdr:cNvPr id="5561" name="Drop Down 4537" hidden="1">
              <a:extLst>
                <a:ext uri="{63B3BB69-23CF-44E3-9099-C40C66FF867C}">
                  <a14:compatExt spid="_x0000_s5561"/>
                </a:ext>
                <a:ext uri="{FF2B5EF4-FFF2-40B4-BE49-F238E27FC236}">
                  <a16:creationId xmlns:a16="http://schemas.microsoft.com/office/drawing/2014/main" id="{00000000-0008-0000-0000-0000B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376</xdr:row>
          <xdr:rowOff>220980</xdr:rowOff>
        </xdr:from>
        <xdr:to>
          <xdr:col>13</xdr:col>
          <xdr:colOff>0</xdr:colOff>
          <xdr:row>377</xdr:row>
          <xdr:rowOff>220980</xdr:rowOff>
        </xdr:to>
        <xdr:sp macro="" textlink="">
          <xdr:nvSpPr>
            <xdr:cNvPr id="5562" name="Drop Down 4538" hidden="1">
              <a:extLst>
                <a:ext uri="{63B3BB69-23CF-44E3-9099-C40C66FF867C}">
                  <a14:compatExt spid="_x0000_s5562"/>
                </a:ext>
                <a:ext uri="{FF2B5EF4-FFF2-40B4-BE49-F238E27FC236}">
                  <a16:creationId xmlns:a16="http://schemas.microsoft.com/office/drawing/2014/main" id="{00000000-0008-0000-0000-0000B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346</xdr:row>
          <xdr:rowOff>0</xdr:rowOff>
        </xdr:from>
        <xdr:to>
          <xdr:col>6</xdr:col>
          <xdr:colOff>624840</xdr:colOff>
          <xdr:row>347</xdr:row>
          <xdr:rowOff>0</xdr:rowOff>
        </xdr:to>
        <xdr:sp macro="" textlink="">
          <xdr:nvSpPr>
            <xdr:cNvPr id="5563" name="Drop Down 4539" hidden="1">
              <a:extLst>
                <a:ext uri="{63B3BB69-23CF-44E3-9099-C40C66FF867C}">
                  <a14:compatExt spid="_x0000_s5563"/>
                </a:ext>
                <a:ext uri="{FF2B5EF4-FFF2-40B4-BE49-F238E27FC236}">
                  <a16:creationId xmlns:a16="http://schemas.microsoft.com/office/drawing/2014/main" id="{00000000-0008-0000-0000-0000B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346</xdr:row>
          <xdr:rowOff>15240</xdr:rowOff>
        </xdr:from>
        <xdr:to>
          <xdr:col>6</xdr:col>
          <xdr:colOff>1272540</xdr:colOff>
          <xdr:row>347</xdr:row>
          <xdr:rowOff>0</xdr:rowOff>
        </xdr:to>
        <xdr:sp macro="" textlink="">
          <xdr:nvSpPr>
            <xdr:cNvPr id="5564" name="Drop Down 4540" hidden="1">
              <a:extLst>
                <a:ext uri="{63B3BB69-23CF-44E3-9099-C40C66FF867C}">
                  <a14:compatExt spid="_x0000_s5564"/>
                </a:ext>
                <a:ext uri="{FF2B5EF4-FFF2-40B4-BE49-F238E27FC236}">
                  <a16:creationId xmlns:a16="http://schemas.microsoft.com/office/drawing/2014/main" id="{00000000-0008-0000-0000-0000B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346</xdr:row>
          <xdr:rowOff>15240</xdr:rowOff>
        </xdr:from>
        <xdr:to>
          <xdr:col>6</xdr:col>
          <xdr:colOff>1805940</xdr:colOff>
          <xdr:row>346</xdr:row>
          <xdr:rowOff>320040</xdr:rowOff>
        </xdr:to>
        <xdr:sp macro="" textlink="">
          <xdr:nvSpPr>
            <xdr:cNvPr id="5565" name="Drop Down 4541" hidden="1">
              <a:extLst>
                <a:ext uri="{63B3BB69-23CF-44E3-9099-C40C66FF867C}">
                  <a14:compatExt spid="_x0000_s5565"/>
                </a:ext>
                <a:ext uri="{FF2B5EF4-FFF2-40B4-BE49-F238E27FC236}">
                  <a16:creationId xmlns:a16="http://schemas.microsoft.com/office/drawing/2014/main" id="{00000000-0008-0000-0000-0000B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347</xdr:row>
          <xdr:rowOff>0</xdr:rowOff>
        </xdr:from>
        <xdr:to>
          <xdr:col>6</xdr:col>
          <xdr:colOff>624840</xdr:colOff>
          <xdr:row>348</xdr:row>
          <xdr:rowOff>0</xdr:rowOff>
        </xdr:to>
        <xdr:sp macro="" textlink="">
          <xdr:nvSpPr>
            <xdr:cNvPr id="5566" name="Drop Down 4542" hidden="1">
              <a:extLst>
                <a:ext uri="{63B3BB69-23CF-44E3-9099-C40C66FF867C}">
                  <a14:compatExt spid="_x0000_s5566"/>
                </a:ext>
                <a:ext uri="{FF2B5EF4-FFF2-40B4-BE49-F238E27FC236}">
                  <a16:creationId xmlns:a16="http://schemas.microsoft.com/office/drawing/2014/main" id="{00000000-0008-0000-0000-0000B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347</xdr:row>
          <xdr:rowOff>15240</xdr:rowOff>
        </xdr:from>
        <xdr:to>
          <xdr:col>6</xdr:col>
          <xdr:colOff>1272540</xdr:colOff>
          <xdr:row>348</xdr:row>
          <xdr:rowOff>0</xdr:rowOff>
        </xdr:to>
        <xdr:sp macro="" textlink="">
          <xdr:nvSpPr>
            <xdr:cNvPr id="5567" name="Drop Down 4543" hidden="1">
              <a:extLst>
                <a:ext uri="{63B3BB69-23CF-44E3-9099-C40C66FF867C}">
                  <a14:compatExt spid="_x0000_s5567"/>
                </a:ext>
                <a:ext uri="{FF2B5EF4-FFF2-40B4-BE49-F238E27FC236}">
                  <a16:creationId xmlns:a16="http://schemas.microsoft.com/office/drawing/2014/main" id="{00000000-0008-0000-0000-0000B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347</xdr:row>
          <xdr:rowOff>15240</xdr:rowOff>
        </xdr:from>
        <xdr:to>
          <xdr:col>6</xdr:col>
          <xdr:colOff>1805940</xdr:colOff>
          <xdr:row>347</xdr:row>
          <xdr:rowOff>320040</xdr:rowOff>
        </xdr:to>
        <xdr:sp macro="" textlink="">
          <xdr:nvSpPr>
            <xdr:cNvPr id="5568" name="Drop Down 4544" hidden="1">
              <a:extLst>
                <a:ext uri="{63B3BB69-23CF-44E3-9099-C40C66FF867C}">
                  <a14:compatExt spid="_x0000_s5568"/>
                </a:ext>
                <a:ext uri="{FF2B5EF4-FFF2-40B4-BE49-F238E27FC236}">
                  <a16:creationId xmlns:a16="http://schemas.microsoft.com/office/drawing/2014/main" id="{00000000-0008-0000-0000-0000C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348</xdr:row>
          <xdr:rowOff>0</xdr:rowOff>
        </xdr:from>
        <xdr:to>
          <xdr:col>6</xdr:col>
          <xdr:colOff>624840</xdr:colOff>
          <xdr:row>349</xdr:row>
          <xdr:rowOff>0</xdr:rowOff>
        </xdr:to>
        <xdr:sp macro="" textlink="">
          <xdr:nvSpPr>
            <xdr:cNvPr id="5569" name="Drop Down 4545" hidden="1">
              <a:extLst>
                <a:ext uri="{63B3BB69-23CF-44E3-9099-C40C66FF867C}">
                  <a14:compatExt spid="_x0000_s5569"/>
                </a:ext>
                <a:ext uri="{FF2B5EF4-FFF2-40B4-BE49-F238E27FC236}">
                  <a16:creationId xmlns:a16="http://schemas.microsoft.com/office/drawing/2014/main" id="{00000000-0008-0000-0000-0000C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348</xdr:row>
          <xdr:rowOff>15240</xdr:rowOff>
        </xdr:from>
        <xdr:to>
          <xdr:col>6</xdr:col>
          <xdr:colOff>1272540</xdr:colOff>
          <xdr:row>349</xdr:row>
          <xdr:rowOff>0</xdr:rowOff>
        </xdr:to>
        <xdr:sp macro="" textlink="">
          <xdr:nvSpPr>
            <xdr:cNvPr id="5570" name="Drop Down 4546" hidden="1">
              <a:extLst>
                <a:ext uri="{63B3BB69-23CF-44E3-9099-C40C66FF867C}">
                  <a14:compatExt spid="_x0000_s5570"/>
                </a:ext>
                <a:ext uri="{FF2B5EF4-FFF2-40B4-BE49-F238E27FC236}">
                  <a16:creationId xmlns:a16="http://schemas.microsoft.com/office/drawing/2014/main" id="{00000000-0008-0000-0000-0000C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348</xdr:row>
          <xdr:rowOff>15240</xdr:rowOff>
        </xdr:from>
        <xdr:to>
          <xdr:col>6</xdr:col>
          <xdr:colOff>1805940</xdr:colOff>
          <xdr:row>348</xdr:row>
          <xdr:rowOff>320040</xdr:rowOff>
        </xdr:to>
        <xdr:sp macro="" textlink="">
          <xdr:nvSpPr>
            <xdr:cNvPr id="5571" name="Drop Down 4547" hidden="1">
              <a:extLst>
                <a:ext uri="{63B3BB69-23CF-44E3-9099-C40C66FF867C}">
                  <a14:compatExt spid="_x0000_s5571"/>
                </a:ext>
                <a:ext uri="{FF2B5EF4-FFF2-40B4-BE49-F238E27FC236}">
                  <a16:creationId xmlns:a16="http://schemas.microsoft.com/office/drawing/2014/main" id="{00000000-0008-0000-0000-0000C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374</xdr:row>
          <xdr:rowOff>220980</xdr:rowOff>
        </xdr:from>
        <xdr:to>
          <xdr:col>9</xdr:col>
          <xdr:colOff>0</xdr:colOff>
          <xdr:row>375</xdr:row>
          <xdr:rowOff>220980</xdr:rowOff>
        </xdr:to>
        <xdr:sp macro="" textlink="">
          <xdr:nvSpPr>
            <xdr:cNvPr id="5572" name="Drop Down 4548" hidden="1">
              <a:extLst>
                <a:ext uri="{63B3BB69-23CF-44E3-9099-C40C66FF867C}">
                  <a14:compatExt spid="_x0000_s5572"/>
                </a:ext>
                <a:ext uri="{FF2B5EF4-FFF2-40B4-BE49-F238E27FC236}">
                  <a16:creationId xmlns:a16="http://schemas.microsoft.com/office/drawing/2014/main" id="{00000000-0008-0000-0000-0000C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377</xdr:row>
          <xdr:rowOff>0</xdr:rowOff>
        </xdr:from>
        <xdr:to>
          <xdr:col>9</xdr:col>
          <xdr:colOff>0</xdr:colOff>
          <xdr:row>378</xdr:row>
          <xdr:rowOff>0</xdr:rowOff>
        </xdr:to>
        <xdr:sp macro="" textlink="">
          <xdr:nvSpPr>
            <xdr:cNvPr id="5573" name="Drop Down 4549" hidden="1">
              <a:extLst>
                <a:ext uri="{63B3BB69-23CF-44E3-9099-C40C66FF867C}">
                  <a14:compatExt spid="_x0000_s5573"/>
                </a:ext>
                <a:ext uri="{FF2B5EF4-FFF2-40B4-BE49-F238E27FC236}">
                  <a16:creationId xmlns:a16="http://schemas.microsoft.com/office/drawing/2014/main" id="{00000000-0008-0000-0000-0000C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371</xdr:row>
          <xdr:rowOff>0</xdr:rowOff>
        </xdr:from>
        <xdr:to>
          <xdr:col>8</xdr:col>
          <xdr:colOff>38100</xdr:colOff>
          <xdr:row>372</xdr:row>
          <xdr:rowOff>15240</xdr:rowOff>
        </xdr:to>
        <xdr:sp macro="" textlink="">
          <xdr:nvSpPr>
            <xdr:cNvPr id="5574" name="Drop Down 4550" hidden="1">
              <a:extLst>
                <a:ext uri="{63B3BB69-23CF-44E3-9099-C40C66FF867C}">
                  <a14:compatExt spid="_x0000_s5574"/>
                </a:ext>
                <a:ext uri="{FF2B5EF4-FFF2-40B4-BE49-F238E27FC236}">
                  <a16:creationId xmlns:a16="http://schemas.microsoft.com/office/drawing/2014/main" id="{00000000-0008-0000-0000-0000C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3903</xdr:row>
          <xdr:rowOff>0</xdr:rowOff>
        </xdr:from>
        <xdr:to>
          <xdr:col>4</xdr:col>
          <xdr:colOff>952500</xdr:colOff>
          <xdr:row>3903</xdr:row>
          <xdr:rowOff>205740</xdr:rowOff>
        </xdr:to>
        <xdr:sp macro="" textlink="">
          <xdr:nvSpPr>
            <xdr:cNvPr id="5575" name="Drop Down 4551" hidden="1">
              <a:extLst>
                <a:ext uri="{63B3BB69-23CF-44E3-9099-C40C66FF867C}">
                  <a14:compatExt spid="_x0000_s5575"/>
                </a:ext>
                <a:ext uri="{FF2B5EF4-FFF2-40B4-BE49-F238E27FC236}">
                  <a16:creationId xmlns:a16="http://schemas.microsoft.com/office/drawing/2014/main" id="{00000000-0008-0000-0000-0000C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0</xdr:colOff>
          <xdr:row>26</xdr:row>
          <xdr:rowOff>68580</xdr:rowOff>
        </xdr:from>
        <xdr:to>
          <xdr:col>13</xdr:col>
          <xdr:colOff>0</xdr:colOff>
          <xdr:row>29</xdr:row>
          <xdr:rowOff>99060</xdr:rowOff>
        </xdr:to>
        <xdr:sp macro="" textlink="">
          <xdr:nvSpPr>
            <xdr:cNvPr id="5576" name="Button 4552" hidden="1">
              <a:extLst>
                <a:ext uri="{63B3BB69-23CF-44E3-9099-C40C66FF867C}">
                  <a14:compatExt spid="_x0000_s5576"/>
                </a:ext>
                <a:ext uri="{FF2B5EF4-FFF2-40B4-BE49-F238E27FC236}">
                  <a16:creationId xmlns:a16="http://schemas.microsoft.com/office/drawing/2014/main" id="{00000000-0008-0000-0000-0000C815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B7</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9</xdr:row>
          <xdr:rowOff>144780</xdr:rowOff>
        </xdr:from>
        <xdr:to>
          <xdr:col>6</xdr:col>
          <xdr:colOff>1463040</xdr:colOff>
          <xdr:row>11</xdr:row>
          <xdr:rowOff>0</xdr:rowOff>
        </xdr:to>
        <xdr:sp macro="" textlink="">
          <xdr:nvSpPr>
            <xdr:cNvPr id="5579" name="Button 4555" hidden="1">
              <a:extLst>
                <a:ext uri="{63B3BB69-23CF-44E3-9099-C40C66FF867C}">
                  <a14:compatExt spid="_x0000_s5579"/>
                </a:ext>
                <a:ext uri="{FF2B5EF4-FFF2-40B4-BE49-F238E27FC236}">
                  <a16:creationId xmlns:a16="http://schemas.microsoft.com/office/drawing/2014/main" id="{00000000-0008-0000-0000-0000CB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11</xdr:row>
          <xdr:rowOff>152400</xdr:rowOff>
        </xdr:from>
        <xdr:to>
          <xdr:col>6</xdr:col>
          <xdr:colOff>1470660</xdr:colOff>
          <xdr:row>13</xdr:row>
          <xdr:rowOff>15240</xdr:rowOff>
        </xdr:to>
        <xdr:sp macro="" textlink="">
          <xdr:nvSpPr>
            <xdr:cNvPr id="5580" name="Button 4556" hidden="1">
              <a:extLst>
                <a:ext uri="{63B3BB69-23CF-44E3-9099-C40C66FF867C}">
                  <a14:compatExt spid="_x0000_s5580"/>
                </a:ext>
                <a:ext uri="{FF2B5EF4-FFF2-40B4-BE49-F238E27FC236}">
                  <a16:creationId xmlns:a16="http://schemas.microsoft.com/office/drawing/2014/main" id="{00000000-0008-0000-0000-0000CC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495300</xdr:colOff>
          <xdr:row>22</xdr:row>
          <xdr:rowOff>53340</xdr:rowOff>
        </xdr:from>
        <xdr:to>
          <xdr:col>7</xdr:col>
          <xdr:colOff>525780</xdr:colOff>
          <xdr:row>24</xdr:row>
          <xdr:rowOff>22860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24</xdr:row>
          <xdr:rowOff>53340</xdr:rowOff>
        </xdr:from>
        <xdr:to>
          <xdr:col>7</xdr:col>
          <xdr:colOff>525780</xdr:colOff>
          <xdr:row>26</xdr:row>
          <xdr:rowOff>22860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26</xdr:row>
          <xdr:rowOff>53340</xdr:rowOff>
        </xdr:from>
        <xdr:to>
          <xdr:col>7</xdr:col>
          <xdr:colOff>525780</xdr:colOff>
          <xdr:row>28</xdr:row>
          <xdr:rowOff>22860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3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27</xdr:row>
          <xdr:rowOff>175260</xdr:rowOff>
        </xdr:from>
        <xdr:to>
          <xdr:col>8</xdr:col>
          <xdr:colOff>22860</xdr:colOff>
          <xdr:row>31</xdr:row>
          <xdr:rowOff>38100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3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30</xdr:row>
          <xdr:rowOff>53340</xdr:rowOff>
        </xdr:from>
        <xdr:to>
          <xdr:col>7</xdr:col>
          <xdr:colOff>525780</xdr:colOff>
          <xdr:row>32</xdr:row>
          <xdr:rowOff>22860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3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32</xdr:row>
          <xdr:rowOff>53340</xdr:rowOff>
        </xdr:from>
        <xdr:to>
          <xdr:col>7</xdr:col>
          <xdr:colOff>525780</xdr:colOff>
          <xdr:row>34</xdr:row>
          <xdr:rowOff>22860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3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34</xdr:row>
          <xdr:rowOff>53340</xdr:rowOff>
        </xdr:from>
        <xdr:to>
          <xdr:col>7</xdr:col>
          <xdr:colOff>525780</xdr:colOff>
          <xdr:row>36</xdr:row>
          <xdr:rowOff>22860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3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76</xdr:row>
          <xdr:rowOff>15240</xdr:rowOff>
        </xdr:from>
        <xdr:to>
          <xdr:col>5</xdr:col>
          <xdr:colOff>457200</xdr:colOff>
          <xdr:row>76</xdr:row>
          <xdr:rowOff>304800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3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76</xdr:row>
          <xdr:rowOff>15240</xdr:rowOff>
        </xdr:from>
        <xdr:to>
          <xdr:col>8</xdr:col>
          <xdr:colOff>457200</xdr:colOff>
          <xdr:row>76</xdr:row>
          <xdr:rowOff>304800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3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76</xdr:row>
          <xdr:rowOff>15240</xdr:rowOff>
        </xdr:from>
        <xdr:to>
          <xdr:col>11</xdr:col>
          <xdr:colOff>457200</xdr:colOff>
          <xdr:row>76</xdr:row>
          <xdr:rowOff>304800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3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76</xdr:row>
          <xdr:rowOff>15240</xdr:rowOff>
        </xdr:from>
        <xdr:to>
          <xdr:col>14</xdr:col>
          <xdr:colOff>457200</xdr:colOff>
          <xdr:row>76</xdr:row>
          <xdr:rowOff>304800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3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76</xdr:row>
          <xdr:rowOff>15240</xdr:rowOff>
        </xdr:from>
        <xdr:to>
          <xdr:col>17</xdr:col>
          <xdr:colOff>457200</xdr:colOff>
          <xdr:row>76</xdr:row>
          <xdr:rowOff>304800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3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79</xdr:row>
          <xdr:rowOff>68580</xdr:rowOff>
        </xdr:from>
        <xdr:to>
          <xdr:col>5</xdr:col>
          <xdr:colOff>457200</xdr:colOff>
          <xdr:row>79</xdr:row>
          <xdr:rowOff>228600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3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79</xdr:row>
          <xdr:rowOff>68580</xdr:rowOff>
        </xdr:from>
        <xdr:to>
          <xdr:col>8</xdr:col>
          <xdr:colOff>457200</xdr:colOff>
          <xdr:row>79</xdr:row>
          <xdr:rowOff>228600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3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79</xdr:row>
          <xdr:rowOff>68580</xdr:rowOff>
        </xdr:from>
        <xdr:to>
          <xdr:col>11</xdr:col>
          <xdr:colOff>457200</xdr:colOff>
          <xdr:row>79</xdr:row>
          <xdr:rowOff>228600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3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79</xdr:row>
          <xdr:rowOff>68580</xdr:rowOff>
        </xdr:from>
        <xdr:to>
          <xdr:col>14</xdr:col>
          <xdr:colOff>457200</xdr:colOff>
          <xdr:row>79</xdr:row>
          <xdr:rowOff>228600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3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79</xdr:row>
          <xdr:rowOff>68580</xdr:rowOff>
        </xdr:from>
        <xdr:to>
          <xdr:col>17</xdr:col>
          <xdr:colOff>457200</xdr:colOff>
          <xdr:row>79</xdr:row>
          <xdr:rowOff>228600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3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82</xdr:row>
          <xdr:rowOff>60960</xdr:rowOff>
        </xdr:from>
        <xdr:to>
          <xdr:col>5</xdr:col>
          <xdr:colOff>457200</xdr:colOff>
          <xdr:row>82</xdr:row>
          <xdr:rowOff>220980</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3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82</xdr:row>
          <xdr:rowOff>60960</xdr:rowOff>
        </xdr:from>
        <xdr:to>
          <xdr:col>8</xdr:col>
          <xdr:colOff>457200</xdr:colOff>
          <xdr:row>82</xdr:row>
          <xdr:rowOff>220980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3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82</xdr:row>
          <xdr:rowOff>60960</xdr:rowOff>
        </xdr:from>
        <xdr:to>
          <xdr:col>11</xdr:col>
          <xdr:colOff>457200</xdr:colOff>
          <xdr:row>82</xdr:row>
          <xdr:rowOff>220980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3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82</xdr:row>
          <xdr:rowOff>60960</xdr:rowOff>
        </xdr:from>
        <xdr:to>
          <xdr:col>14</xdr:col>
          <xdr:colOff>457200</xdr:colOff>
          <xdr:row>82</xdr:row>
          <xdr:rowOff>220980</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3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82</xdr:row>
          <xdr:rowOff>60960</xdr:rowOff>
        </xdr:from>
        <xdr:to>
          <xdr:col>17</xdr:col>
          <xdr:colOff>457200</xdr:colOff>
          <xdr:row>82</xdr:row>
          <xdr:rowOff>220980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3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73</xdr:row>
          <xdr:rowOff>91440</xdr:rowOff>
        </xdr:from>
        <xdr:to>
          <xdr:col>5</xdr:col>
          <xdr:colOff>457200</xdr:colOff>
          <xdr:row>73</xdr:row>
          <xdr:rowOff>251460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3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73</xdr:row>
          <xdr:rowOff>91440</xdr:rowOff>
        </xdr:from>
        <xdr:to>
          <xdr:col>11</xdr:col>
          <xdr:colOff>457200</xdr:colOff>
          <xdr:row>73</xdr:row>
          <xdr:rowOff>251460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3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73</xdr:row>
          <xdr:rowOff>91440</xdr:rowOff>
        </xdr:from>
        <xdr:to>
          <xdr:col>14</xdr:col>
          <xdr:colOff>457200</xdr:colOff>
          <xdr:row>73</xdr:row>
          <xdr:rowOff>251460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3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73</xdr:row>
          <xdr:rowOff>91440</xdr:rowOff>
        </xdr:from>
        <xdr:to>
          <xdr:col>17</xdr:col>
          <xdr:colOff>457200</xdr:colOff>
          <xdr:row>73</xdr:row>
          <xdr:rowOff>251460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3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73</xdr:row>
          <xdr:rowOff>91440</xdr:rowOff>
        </xdr:from>
        <xdr:to>
          <xdr:col>8</xdr:col>
          <xdr:colOff>457200</xdr:colOff>
          <xdr:row>73</xdr:row>
          <xdr:rowOff>251460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3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89</xdr:row>
          <xdr:rowOff>68580</xdr:rowOff>
        </xdr:from>
        <xdr:to>
          <xdr:col>5</xdr:col>
          <xdr:colOff>457200</xdr:colOff>
          <xdr:row>89</xdr:row>
          <xdr:rowOff>228600</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3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89</xdr:row>
          <xdr:rowOff>68580</xdr:rowOff>
        </xdr:from>
        <xdr:to>
          <xdr:col>8</xdr:col>
          <xdr:colOff>457200</xdr:colOff>
          <xdr:row>89</xdr:row>
          <xdr:rowOff>228600</xdr:rowOff>
        </xdr:to>
        <xdr:sp macro="" textlink="">
          <xdr:nvSpPr>
            <xdr:cNvPr id="6173" name="Check Box 29" hidden="1">
              <a:extLst>
                <a:ext uri="{63B3BB69-23CF-44E3-9099-C40C66FF867C}">
                  <a14:compatExt spid="_x0000_s6173"/>
                </a:ext>
                <a:ext uri="{FF2B5EF4-FFF2-40B4-BE49-F238E27FC236}">
                  <a16:creationId xmlns:a16="http://schemas.microsoft.com/office/drawing/2014/main" id="{00000000-0008-0000-0300-00001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89</xdr:row>
          <xdr:rowOff>68580</xdr:rowOff>
        </xdr:from>
        <xdr:to>
          <xdr:col>11</xdr:col>
          <xdr:colOff>457200</xdr:colOff>
          <xdr:row>89</xdr:row>
          <xdr:rowOff>228600</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3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68580</xdr:rowOff>
        </xdr:from>
        <xdr:to>
          <xdr:col>14</xdr:col>
          <xdr:colOff>457200</xdr:colOff>
          <xdr:row>89</xdr:row>
          <xdr:rowOff>228600</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3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89</xdr:row>
          <xdr:rowOff>68580</xdr:rowOff>
        </xdr:from>
        <xdr:to>
          <xdr:col>17</xdr:col>
          <xdr:colOff>457200</xdr:colOff>
          <xdr:row>89</xdr:row>
          <xdr:rowOff>228600</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3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3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92</xdr:row>
          <xdr:rowOff>68580</xdr:rowOff>
        </xdr:from>
        <xdr:to>
          <xdr:col>8</xdr:col>
          <xdr:colOff>457200</xdr:colOff>
          <xdr:row>92</xdr:row>
          <xdr:rowOff>228600</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3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92</xdr:row>
          <xdr:rowOff>68580</xdr:rowOff>
        </xdr:from>
        <xdr:to>
          <xdr:col>11</xdr:col>
          <xdr:colOff>457200</xdr:colOff>
          <xdr:row>92</xdr:row>
          <xdr:rowOff>228600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3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68580</xdr:rowOff>
        </xdr:from>
        <xdr:to>
          <xdr:col>14</xdr:col>
          <xdr:colOff>457200</xdr:colOff>
          <xdr:row>92</xdr:row>
          <xdr:rowOff>228600</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3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92</xdr:row>
          <xdr:rowOff>68580</xdr:rowOff>
        </xdr:from>
        <xdr:to>
          <xdr:col>17</xdr:col>
          <xdr:colOff>457200</xdr:colOff>
          <xdr:row>92</xdr:row>
          <xdr:rowOff>228600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3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95</xdr:row>
          <xdr:rowOff>68580</xdr:rowOff>
        </xdr:from>
        <xdr:to>
          <xdr:col>5</xdr:col>
          <xdr:colOff>457200</xdr:colOff>
          <xdr:row>95</xdr:row>
          <xdr:rowOff>228600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3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3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95</xdr:row>
          <xdr:rowOff>68580</xdr:rowOff>
        </xdr:from>
        <xdr:to>
          <xdr:col>11</xdr:col>
          <xdr:colOff>457200</xdr:colOff>
          <xdr:row>95</xdr:row>
          <xdr:rowOff>228600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3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95</xdr:row>
          <xdr:rowOff>68580</xdr:rowOff>
        </xdr:from>
        <xdr:to>
          <xdr:col>14</xdr:col>
          <xdr:colOff>457200</xdr:colOff>
          <xdr:row>95</xdr:row>
          <xdr:rowOff>228600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3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95</xdr:row>
          <xdr:rowOff>68580</xdr:rowOff>
        </xdr:from>
        <xdr:to>
          <xdr:col>17</xdr:col>
          <xdr:colOff>457200</xdr:colOff>
          <xdr:row>95</xdr:row>
          <xdr:rowOff>228600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3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98</xdr:row>
          <xdr:rowOff>68580</xdr:rowOff>
        </xdr:from>
        <xdr:to>
          <xdr:col>5</xdr:col>
          <xdr:colOff>457200</xdr:colOff>
          <xdr:row>98</xdr:row>
          <xdr:rowOff>228600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3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98</xdr:row>
          <xdr:rowOff>68580</xdr:rowOff>
        </xdr:from>
        <xdr:to>
          <xdr:col>8</xdr:col>
          <xdr:colOff>457200</xdr:colOff>
          <xdr:row>98</xdr:row>
          <xdr:rowOff>228600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3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98</xdr:row>
          <xdr:rowOff>68580</xdr:rowOff>
        </xdr:from>
        <xdr:to>
          <xdr:col>11</xdr:col>
          <xdr:colOff>457200</xdr:colOff>
          <xdr:row>98</xdr:row>
          <xdr:rowOff>228600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3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98</xdr:row>
          <xdr:rowOff>68580</xdr:rowOff>
        </xdr:from>
        <xdr:to>
          <xdr:col>14</xdr:col>
          <xdr:colOff>457200</xdr:colOff>
          <xdr:row>98</xdr:row>
          <xdr:rowOff>228600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3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98</xdr:row>
          <xdr:rowOff>68580</xdr:rowOff>
        </xdr:from>
        <xdr:to>
          <xdr:col>17</xdr:col>
          <xdr:colOff>457200</xdr:colOff>
          <xdr:row>98</xdr:row>
          <xdr:rowOff>228600</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3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3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3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105</xdr:row>
          <xdr:rowOff>106680</xdr:rowOff>
        </xdr:from>
        <xdr:to>
          <xdr:col>6</xdr:col>
          <xdr:colOff>0</xdr:colOff>
          <xdr:row>105</xdr:row>
          <xdr:rowOff>381000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3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105</xdr:row>
          <xdr:rowOff>106680</xdr:rowOff>
        </xdr:from>
        <xdr:to>
          <xdr:col>9</xdr:col>
          <xdr:colOff>0</xdr:colOff>
          <xdr:row>105</xdr:row>
          <xdr:rowOff>381000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3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105</xdr:row>
          <xdr:rowOff>106680</xdr:rowOff>
        </xdr:from>
        <xdr:to>
          <xdr:col>12</xdr:col>
          <xdr:colOff>15240</xdr:colOff>
          <xdr:row>105</xdr:row>
          <xdr:rowOff>381000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3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105</xdr:row>
          <xdr:rowOff>99060</xdr:rowOff>
        </xdr:from>
        <xdr:to>
          <xdr:col>14</xdr:col>
          <xdr:colOff>640080</xdr:colOff>
          <xdr:row>105</xdr:row>
          <xdr:rowOff>373380</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3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105</xdr:row>
          <xdr:rowOff>99060</xdr:rowOff>
        </xdr:from>
        <xdr:to>
          <xdr:col>22</xdr:col>
          <xdr:colOff>15240</xdr:colOff>
          <xdr:row>105</xdr:row>
          <xdr:rowOff>373380</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3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108</xdr:row>
          <xdr:rowOff>106680</xdr:rowOff>
        </xdr:from>
        <xdr:to>
          <xdr:col>9</xdr:col>
          <xdr:colOff>0</xdr:colOff>
          <xdr:row>108</xdr:row>
          <xdr:rowOff>381000</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3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108</xdr:row>
          <xdr:rowOff>106680</xdr:rowOff>
        </xdr:from>
        <xdr:to>
          <xdr:col>12</xdr:col>
          <xdr:colOff>15240</xdr:colOff>
          <xdr:row>108</xdr:row>
          <xdr:rowOff>381000</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3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108</xdr:row>
          <xdr:rowOff>99060</xdr:rowOff>
        </xdr:from>
        <xdr:to>
          <xdr:col>22</xdr:col>
          <xdr:colOff>15240</xdr:colOff>
          <xdr:row>108</xdr:row>
          <xdr:rowOff>373380</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3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114</xdr:row>
          <xdr:rowOff>53340</xdr:rowOff>
        </xdr:from>
        <xdr:to>
          <xdr:col>5</xdr:col>
          <xdr:colOff>457200</xdr:colOff>
          <xdr:row>114</xdr:row>
          <xdr:rowOff>213360</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3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114</xdr:row>
          <xdr:rowOff>53340</xdr:rowOff>
        </xdr:from>
        <xdr:to>
          <xdr:col>8</xdr:col>
          <xdr:colOff>457200</xdr:colOff>
          <xdr:row>114</xdr:row>
          <xdr:rowOff>213360</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3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114</xdr:row>
          <xdr:rowOff>53340</xdr:rowOff>
        </xdr:from>
        <xdr:to>
          <xdr:col>11</xdr:col>
          <xdr:colOff>457200</xdr:colOff>
          <xdr:row>114</xdr:row>
          <xdr:rowOff>213360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3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114</xdr:row>
          <xdr:rowOff>53340</xdr:rowOff>
        </xdr:from>
        <xdr:to>
          <xdr:col>14</xdr:col>
          <xdr:colOff>480060</xdr:colOff>
          <xdr:row>114</xdr:row>
          <xdr:rowOff>213360</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3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114</xdr:row>
          <xdr:rowOff>53340</xdr:rowOff>
        </xdr:from>
        <xdr:to>
          <xdr:col>17</xdr:col>
          <xdr:colOff>457200</xdr:colOff>
          <xdr:row>114</xdr:row>
          <xdr:rowOff>213360</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3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111</xdr:row>
          <xdr:rowOff>68580</xdr:rowOff>
        </xdr:from>
        <xdr:to>
          <xdr:col>5</xdr:col>
          <xdr:colOff>457200</xdr:colOff>
          <xdr:row>111</xdr:row>
          <xdr:rowOff>228600</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3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111</xdr:row>
          <xdr:rowOff>68580</xdr:rowOff>
        </xdr:from>
        <xdr:to>
          <xdr:col>8</xdr:col>
          <xdr:colOff>457200</xdr:colOff>
          <xdr:row>111</xdr:row>
          <xdr:rowOff>228600</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3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111</xdr:row>
          <xdr:rowOff>68580</xdr:rowOff>
        </xdr:from>
        <xdr:to>
          <xdr:col>11</xdr:col>
          <xdr:colOff>457200</xdr:colOff>
          <xdr:row>111</xdr:row>
          <xdr:rowOff>228600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3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111</xdr:row>
          <xdr:rowOff>68580</xdr:rowOff>
        </xdr:from>
        <xdr:to>
          <xdr:col>14</xdr:col>
          <xdr:colOff>480060</xdr:colOff>
          <xdr:row>111</xdr:row>
          <xdr:rowOff>228600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3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111</xdr:row>
          <xdr:rowOff>68580</xdr:rowOff>
        </xdr:from>
        <xdr:to>
          <xdr:col>17</xdr:col>
          <xdr:colOff>457200</xdr:colOff>
          <xdr:row>111</xdr:row>
          <xdr:rowOff>228600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3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117</xdr:row>
          <xdr:rowOff>38100</xdr:rowOff>
        </xdr:from>
        <xdr:to>
          <xdr:col>5</xdr:col>
          <xdr:colOff>457200</xdr:colOff>
          <xdr:row>117</xdr:row>
          <xdr:rowOff>205740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3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117</xdr:row>
          <xdr:rowOff>38100</xdr:rowOff>
        </xdr:from>
        <xdr:to>
          <xdr:col>8</xdr:col>
          <xdr:colOff>457200</xdr:colOff>
          <xdr:row>117</xdr:row>
          <xdr:rowOff>205740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3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117</xdr:row>
          <xdr:rowOff>38100</xdr:rowOff>
        </xdr:from>
        <xdr:to>
          <xdr:col>11</xdr:col>
          <xdr:colOff>457200</xdr:colOff>
          <xdr:row>117</xdr:row>
          <xdr:rowOff>205740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3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117</xdr:row>
          <xdr:rowOff>38100</xdr:rowOff>
        </xdr:from>
        <xdr:to>
          <xdr:col>14</xdr:col>
          <xdr:colOff>480060</xdr:colOff>
          <xdr:row>117</xdr:row>
          <xdr:rowOff>205740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3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117</xdr:row>
          <xdr:rowOff>38100</xdr:rowOff>
        </xdr:from>
        <xdr:to>
          <xdr:col>17</xdr:col>
          <xdr:colOff>457200</xdr:colOff>
          <xdr:row>117</xdr:row>
          <xdr:rowOff>205740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3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108</xdr:row>
          <xdr:rowOff>106680</xdr:rowOff>
        </xdr:from>
        <xdr:to>
          <xdr:col>6</xdr:col>
          <xdr:colOff>0</xdr:colOff>
          <xdr:row>108</xdr:row>
          <xdr:rowOff>381000</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3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108</xdr:row>
          <xdr:rowOff>99060</xdr:rowOff>
        </xdr:from>
        <xdr:to>
          <xdr:col>14</xdr:col>
          <xdr:colOff>640080</xdr:colOff>
          <xdr:row>108</xdr:row>
          <xdr:rowOff>373380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3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142</xdr:row>
          <xdr:rowOff>38100</xdr:rowOff>
        </xdr:from>
        <xdr:to>
          <xdr:col>5</xdr:col>
          <xdr:colOff>457200</xdr:colOff>
          <xdr:row>142</xdr:row>
          <xdr:rowOff>205740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3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142</xdr:row>
          <xdr:rowOff>38100</xdr:rowOff>
        </xdr:from>
        <xdr:to>
          <xdr:col>8</xdr:col>
          <xdr:colOff>457200</xdr:colOff>
          <xdr:row>142</xdr:row>
          <xdr:rowOff>205740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3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142</xdr:row>
          <xdr:rowOff>38100</xdr:rowOff>
        </xdr:from>
        <xdr:to>
          <xdr:col>11</xdr:col>
          <xdr:colOff>457200</xdr:colOff>
          <xdr:row>142</xdr:row>
          <xdr:rowOff>205740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3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142</xdr:row>
          <xdr:rowOff>38100</xdr:rowOff>
        </xdr:from>
        <xdr:to>
          <xdr:col>14</xdr:col>
          <xdr:colOff>457200</xdr:colOff>
          <xdr:row>142</xdr:row>
          <xdr:rowOff>205740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3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142</xdr:row>
          <xdr:rowOff>38100</xdr:rowOff>
        </xdr:from>
        <xdr:to>
          <xdr:col>17</xdr:col>
          <xdr:colOff>457200</xdr:colOff>
          <xdr:row>142</xdr:row>
          <xdr:rowOff>205740</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3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145</xdr:row>
          <xdr:rowOff>53340</xdr:rowOff>
        </xdr:from>
        <xdr:to>
          <xdr:col>17</xdr:col>
          <xdr:colOff>457200</xdr:colOff>
          <xdr:row>145</xdr:row>
          <xdr:rowOff>213360</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3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145</xdr:row>
          <xdr:rowOff>53340</xdr:rowOff>
        </xdr:from>
        <xdr:to>
          <xdr:col>14</xdr:col>
          <xdr:colOff>457200</xdr:colOff>
          <xdr:row>145</xdr:row>
          <xdr:rowOff>213360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3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145</xdr:row>
          <xdr:rowOff>53340</xdr:rowOff>
        </xdr:from>
        <xdr:to>
          <xdr:col>11</xdr:col>
          <xdr:colOff>457200</xdr:colOff>
          <xdr:row>145</xdr:row>
          <xdr:rowOff>213360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3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145</xdr:row>
          <xdr:rowOff>53340</xdr:rowOff>
        </xdr:from>
        <xdr:to>
          <xdr:col>8</xdr:col>
          <xdr:colOff>457200</xdr:colOff>
          <xdr:row>145</xdr:row>
          <xdr:rowOff>213360</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3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145</xdr:row>
          <xdr:rowOff>53340</xdr:rowOff>
        </xdr:from>
        <xdr:to>
          <xdr:col>5</xdr:col>
          <xdr:colOff>457200</xdr:colOff>
          <xdr:row>145</xdr:row>
          <xdr:rowOff>213360</xdr:rowOff>
        </xdr:to>
        <xdr:sp macro="" textlink="">
          <xdr:nvSpPr>
            <xdr:cNvPr id="6228" name="Check Box 84" hidden="1">
              <a:extLst>
                <a:ext uri="{63B3BB69-23CF-44E3-9099-C40C66FF867C}">
                  <a14:compatExt spid="_x0000_s6228"/>
                </a:ext>
                <a:ext uri="{FF2B5EF4-FFF2-40B4-BE49-F238E27FC236}">
                  <a16:creationId xmlns:a16="http://schemas.microsoft.com/office/drawing/2014/main" id="{00000000-0008-0000-03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148</xdr:row>
          <xdr:rowOff>68580</xdr:rowOff>
        </xdr:from>
        <xdr:to>
          <xdr:col>5</xdr:col>
          <xdr:colOff>457200</xdr:colOff>
          <xdr:row>148</xdr:row>
          <xdr:rowOff>228600</xdr:rowOff>
        </xdr:to>
        <xdr:sp macro="" textlink="">
          <xdr:nvSpPr>
            <xdr:cNvPr id="6229" name="Check Box 85" hidden="1">
              <a:extLst>
                <a:ext uri="{63B3BB69-23CF-44E3-9099-C40C66FF867C}">
                  <a14:compatExt spid="_x0000_s6229"/>
                </a:ext>
                <a:ext uri="{FF2B5EF4-FFF2-40B4-BE49-F238E27FC236}">
                  <a16:creationId xmlns:a16="http://schemas.microsoft.com/office/drawing/2014/main" id="{00000000-0008-0000-0300-00005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148</xdr:row>
          <xdr:rowOff>68580</xdr:rowOff>
        </xdr:from>
        <xdr:to>
          <xdr:col>8</xdr:col>
          <xdr:colOff>457200</xdr:colOff>
          <xdr:row>148</xdr:row>
          <xdr:rowOff>228600</xdr:rowOff>
        </xdr:to>
        <xdr:sp macro="" textlink="">
          <xdr:nvSpPr>
            <xdr:cNvPr id="6230" name="Check Box 86" hidden="1">
              <a:extLst>
                <a:ext uri="{63B3BB69-23CF-44E3-9099-C40C66FF867C}">
                  <a14:compatExt spid="_x0000_s6230"/>
                </a:ext>
                <a:ext uri="{FF2B5EF4-FFF2-40B4-BE49-F238E27FC236}">
                  <a16:creationId xmlns:a16="http://schemas.microsoft.com/office/drawing/2014/main" id="{00000000-0008-0000-0300-00005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148</xdr:row>
          <xdr:rowOff>68580</xdr:rowOff>
        </xdr:from>
        <xdr:to>
          <xdr:col>11</xdr:col>
          <xdr:colOff>457200</xdr:colOff>
          <xdr:row>148</xdr:row>
          <xdr:rowOff>228600</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3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148</xdr:row>
          <xdr:rowOff>68580</xdr:rowOff>
        </xdr:from>
        <xdr:to>
          <xdr:col>14</xdr:col>
          <xdr:colOff>457200</xdr:colOff>
          <xdr:row>148</xdr:row>
          <xdr:rowOff>228600</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3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148</xdr:row>
          <xdr:rowOff>68580</xdr:rowOff>
        </xdr:from>
        <xdr:to>
          <xdr:col>17</xdr:col>
          <xdr:colOff>457200</xdr:colOff>
          <xdr:row>148</xdr:row>
          <xdr:rowOff>228600</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3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N001-035-2012F%20Financial%20proposal%20Qunu\N001-035-2012-1F%20%20Pricing%20Schedu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chedule"/>
      <sheetName val="Workings"/>
      <sheetName val="Break down"/>
    </sheetNames>
    <sheetDataSet>
      <sheetData sheetId="0" refreshError="1"/>
      <sheetData sheetId="1" refreshError="1"/>
      <sheetData sheetId="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79" Type="http://schemas.openxmlformats.org/officeDocument/2006/relationships/ctrlProp" Target="../ctrlProps/ctrlProp476.xml"/><Relationship Id="rId686" Type="http://schemas.openxmlformats.org/officeDocument/2006/relationships/ctrlProp" Target="../ctrlProps/ctrlProp683.xml"/><Relationship Id="rId36" Type="http://schemas.openxmlformats.org/officeDocument/2006/relationships/ctrlProp" Target="../ctrlProps/ctrlProp33.xml"/><Relationship Id="rId339" Type="http://schemas.openxmlformats.org/officeDocument/2006/relationships/ctrlProp" Target="../ctrlProps/ctrlProp336.xml"/><Relationship Id="rId546" Type="http://schemas.openxmlformats.org/officeDocument/2006/relationships/ctrlProp" Target="../ctrlProps/ctrlProp543.xml"/><Relationship Id="rId753" Type="http://schemas.openxmlformats.org/officeDocument/2006/relationships/ctrlProp" Target="../ctrlProps/ctrlProp750.xml"/><Relationship Id="rId101" Type="http://schemas.openxmlformats.org/officeDocument/2006/relationships/ctrlProp" Target="../ctrlProps/ctrlProp98.xml"/><Relationship Id="rId185" Type="http://schemas.openxmlformats.org/officeDocument/2006/relationships/ctrlProp" Target="../ctrlProps/ctrlProp182.xml"/><Relationship Id="rId406" Type="http://schemas.openxmlformats.org/officeDocument/2006/relationships/ctrlProp" Target="../ctrlProps/ctrlProp403.xml"/><Relationship Id="rId392" Type="http://schemas.openxmlformats.org/officeDocument/2006/relationships/ctrlProp" Target="../ctrlProps/ctrlProp389.xml"/><Relationship Id="rId613" Type="http://schemas.openxmlformats.org/officeDocument/2006/relationships/ctrlProp" Target="../ctrlProps/ctrlProp610.xml"/><Relationship Id="rId697" Type="http://schemas.openxmlformats.org/officeDocument/2006/relationships/ctrlProp" Target="../ctrlProps/ctrlProp694.xml"/><Relationship Id="rId820" Type="http://schemas.openxmlformats.org/officeDocument/2006/relationships/ctrlProp" Target="../ctrlProps/ctrlProp817.xml"/><Relationship Id="rId252" Type="http://schemas.openxmlformats.org/officeDocument/2006/relationships/ctrlProp" Target="../ctrlProps/ctrlProp249.xml"/><Relationship Id="rId47" Type="http://schemas.openxmlformats.org/officeDocument/2006/relationships/ctrlProp" Target="../ctrlProps/ctrlProp44.xml"/><Relationship Id="rId112" Type="http://schemas.openxmlformats.org/officeDocument/2006/relationships/ctrlProp" Target="../ctrlProps/ctrlProp109.xml"/><Relationship Id="rId557" Type="http://schemas.openxmlformats.org/officeDocument/2006/relationships/ctrlProp" Target="../ctrlProps/ctrlProp554.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624" Type="http://schemas.openxmlformats.org/officeDocument/2006/relationships/ctrlProp" Target="../ctrlProps/ctrlProp621.xml"/><Relationship Id="rId831" Type="http://schemas.openxmlformats.org/officeDocument/2006/relationships/ctrlProp" Target="../ctrlProps/ctrlProp828.xml"/><Relationship Id="rId263" Type="http://schemas.openxmlformats.org/officeDocument/2006/relationships/ctrlProp" Target="../ctrlProps/ctrlProp260.xml"/><Relationship Id="rId470" Type="http://schemas.openxmlformats.org/officeDocument/2006/relationships/ctrlProp" Target="../ctrlProps/ctrlProp467.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75" Type="http://schemas.openxmlformats.org/officeDocument/2006/relationships/ctrlProp" Target="../ctrlProps/ctrlProp772.xml"/><Relationship Id="rId428" Type="http://schemas.openxmlformats.org/officeDocument/2006/relationships/ctrlProp" Target="../ctrlProps/ctrlProp425.xml"/><Relationship Id="rId635" Type="http://schemas.openxmlformats.org/officeDocument/2006/relationships/ctrlProp" Target="../ctrlProps/ctrlProp632.xml"/><Relationship Id="rId842" Type="http://schemas.openxmlformats.org/officeDocument/2006/relationships/ctrlProp" Target="../ctrlProps/ctrlProp83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69" Type="http://schemas.openxmlformats.org/officeDocument/2006/relationships/ctrlProp" Target="../ctrlProps/ctrlProp66.xml"/><Relationship Id="rId134" Type="http://schemas.openxmlformats.org/officeDocument/2006/relationships/ctrlProp" Target="../ctrlProps/ctrlProp131.xml"/><Relationship Id="rId579" Type="http://schemas.openxmlformats.org/officeDocument/2006/relationships/ctrlProp" Target="../ctrlProps/ctrlProp576.xml"/><Relationship Id="rId786" Type="http://schemas.openxmlformats.org/officeDocument/2006/relationships/ctrlProp" Target="../ctrlProps/ctrlProp783.xml"/><Relationship Id="rId341" Type="http://schemas.openxmlformats.org/officeDocument/2006/relationships/ctrlProp" Target="../ctrlProps/ctrlProp338.xml"/><Relationship Id="rId439" Type="http://schemas.openxmlformats.org/officeDocument/2006/relationships/ctrlProp" Target="../ctrlProps/ctrlProp436.xml"/><Relationship Id="rId646" Type="http://schemas.openxmlformats.org/officeDocument/2006/relationships/ctrlProp" Target="../ctrlProps/ctrlProp643.xml"/><Relationship Id="rId201" Type="http://schemas.openxmlformats.org/officeDocument/2006/relationships/ctrlProp" Target="../ctrlProps/ctrlProp198.xml"/><Relationship Id="rId285" Type="http://schemas.openxmlformats.org/officeDocument/2006/relationships/ctrlProp" Target="../ctrlProps/ctrlProp282.xml"/><Relationship Id="rId506" Type="http://schemas.openxmlformats.org/officeDocument/2006/relationships/ctrlProp" Target="../ctrlProps/ctrlProp503.xml"/><Relationship Id="rId853" Type="http://schemas.openxmlformats.org/officeDocument/2006/relationships/ctrlProp" Target="../ctrlProps/ctrlProp850.xml"/><Relationship Id="rId492" Type="http://schemas.openxmlformats.org/officeDocument/2006/relationships/ctrlProp" Target="../ctrlProps/ctrlProp489.xml"/><Relationship Id="rId713" Type="http://schemas.openxmlformats.org/officeDocument/2006/relationships/ctrlProp" Target="../ctrlProps/ctrlProp710.xml"/><Relationship Id="rId797" Type="http://schemas.openxmlformats.org/officeDocument/2006/relationships/ctrlProp" Target="../ctrlProps/ctrlProp794.xml"/><Relationship Id="rId145" Type="http://schemas.openxmlformats.org/officeDocument/2006/relationships/ctrlProp" Target="../ctrlProps/ctrlProp142.xml"/><Relationship Id="rId352" Type="http://schemas.openxmlformats.org/officeDocument/2006/relationships/ctrlProp" Target="../ctrlProps/ctrlProp349.xml"/><Relationship Id="rId212" Type="http://schemas.openxmlformats.org/officeDocument/2006/relationships/ctrlProp" Target="../ctrlProps/ctrlProp209.xml"/><Relationship Id="rId657" Type="http://schemas.openxmlformats.org/officeDocument/2006/relationships/ctrlProp" Target="../ctrlProps/ctrlProp654.xml"/><Relationship Id="rId864" Type="http://schemas.openxmlformats.org/officeDocument/2006/relationships/ctrlProp" Target="../ctrlProps/ctrlProp861.xml"/><Relationship Id="rId296" Type="http://schemas.openxmlformats.org/officeDocument/2006/relationships/ctrlProp" Target="../ctrlProps/ctrlProp293.xml"/><Relationship Id="rId517" Type="http://schemas.openxmlformats.org/officeDocument/2006/relationships/ctrlProp" Target="../ctrlProps/ctrlProp514.xml"/><Relationship Id="rId724" Type="http://schemas.openxmlformats.org/officeDocument/2006/relationships/ctrlProp" Target="../ctrlProps/ctrlProp721.xml"/><Relationship Id="rId60" Type="http://schemas.openxmlformats.org/officeDocument/2006/relationships/ctrlProp" Target="../ctrlProps/ctrlProp57.xml"/><Relationship Id="rId156" Type="http://schemas.openxmlformats.org/officeDocument/2006/relationships/ctrlProp" Target="../ctrlProps/ctrlProp153.xml"/><Relationship Id="rId363" Type="http://schemas.openxmlformats.org/officeDocument/2006/relationships/ctrlProp" Target="../ctrlProps/ctrlProp360.xml"/><Relationship Id="rId570" Type="http://schemas.openxmlformats.org/officeDocument/2006/relationships/ctrlProp" Target="../ctrlProps/ctrlProp567.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75" Type="http://schemas.openxmlformats.org/officeDocument/2006/relationships/ctrlProp" Target="../ctrlProps/ctrlProp872.xml"/><Relationship Id="rId18" Type="http://schemas.openxmlformats.org/officeDocument/2006/relationships/ctrlProp" Target="../ctrlProps/ctrlProp15.xml"/><Relationship Id="rId528" Type="http://schemas.openxmlformats.org/officeDocument/2006/relationships/ctrlProp" Target="../ctrlProps/ctrlProp525.xml"/><Relationship Id="rId735" Type="http://schemas.openxmlformats.org/officeDocument/2006/relationships/ctrlProp" Target="../ctrlProps/ctrlProp732.xml"/><Relationship Id="rId167" Type="http://schemas.openxmlformats.org/officeDocument/2006/relationships/ctrlProp" Target="../ctrlProps/ctrlProp164.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79" Type="http://schemas.openxmlformats.org/officeDocument/2006/relationships/ctrlProp" Target="../ctrlProps/ctrlProp676.xml"/><Relationship Id="rId802" Type="http://schemas.openxmlformats.org/officeDocument/2006/relationships/ctrlProp" Target="../ctrlProps/ctrlProp799.xml"/><Relationship Id="rId2" Type="http://schemas.openxmlformats.org/officeDocument/2006/relationships/drawing" Target="../drawings/drawing1.xml"/><Relationship Id="rId29" Type="http://schemas.openxmlformats.org/officeDocument/2006/relationships/ctrlProp" Target="../ctrlProps/ctrlProp26.xml"/><Relationship Id="rId441" Type="http://schemas.openxmlformats.org/officeDocument/2006/relationships/ctrlProp" Target="../ctrlProps/ctrlProp438.xml"/><Relationship Id="rId539" Type="http://schemas.openxmlformats.org/officeDocument/2006/relationships/ctrlProp" Target="../ctrlProps/ctrlProp536.xml"/><Relationship Id="rId746" Type="http://schemas.openxmlformats.org/officeDocument/2006/relationships/ctrlProp" Target="../ctrlProps/ctrlProp743.xml"/><Relationship Id="rId178" Type="http://schemas.openxmlformats.org/officeDocument/2006/relationships/ctrlProp" Target="../ctrlProps/ctrlProp175.xml"/><Relationship Id="rId301" Type="http://schemas.openxmlformats.org/officeDocument/2006/relationships/ctrlProp" Target="../ctrlProps/ctrlProp298.xml"/><Relationship Id="rId82" Type="http://schemas.openxmlformats.org/officeDocument/2006/relationships/ctrlProp" Target="../ctrlProps/ctrlProp79.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813" Type="http://schemas.openxmlformats.org/officeDocument/2006/relationships/ctrlProp" Target="../ctrlProps/ctrlProp810.xml"/><Relationship Id="rId245" Type="http://schemas.openxmlformats.org/officeDocument/2006/relationships/ctrlProp" Target="../ctrlProps/ctrlProp242.xml"/><Relationship Id="rId452" Type="http://schemas.openxmlformats.org/officeDocument/2006/relationships/ctrlProp" Target="../ctrlProps/ctrlProp449.xml"/><Relationship Id="rId105" Type="http://schemas.openxmlformats.org/officeDocument/2006/relationships/ctrlProp" Target="../ctrlProps/ctrlProp102.xml"/><Relationship Id="rId312" Type="http://schemas.openxmlformats.org/officeDocument/2006/relationships/ctrlProp" Target="../ctrlProps/ctrlProp309.xml"/><Relationship Id="rId757" Type="http://schemas.openxmlformats.org/officeDocument/2006/relationships/ctrlProp" Target="../ctrlProps/ctrlProp754.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617" Type="http://schemas.openxmlformats.org/officeDocument/2006/relationships/ctrlProp" Target="../ctrlProps/ctrlProp614.xml"/><Relationship Id="rId824" Type="http://schemas.openxmlformats.org/officeDocument/2006/relationships/ctrlProp" Target="../ctrlProps/ctrlProp821.xml"/><Relationship Id="rId256" Type="http://schemas.openxmlformats.org/officeDocument/2006/relationships/ctrlProp" Target="../ctrlProps/ctrlProp253.xml"/><Relationship Id="rId463" Type="http://schemas.openxmlformats.org/officeDocument/2006/relationships/ctrlProp" Target="../ctrlProps/ctrlProp460.xml"/><Relationship Id="rId670" Type="http://schemas.openxmlformats.org/officeDocument/2006/relationships/ctrlProp" Target="../ctrlProps/ctrlProp667.xml"/><Relationship Id="rId116" Type="http://schemas.openxmlformats.org/officeDocument/2006/relationships/ctrlProp" Target="../ctrlProps/ctrlProp113.xml"/><Relationship Id="rId323" Type="http://schemas.openxmlformats.org/officeDocument/2006/relationships/ctrlProp" Target="../ctrlProps/ctrlProp320.xml"/><Relationship Id="rId530" Type="http://schemas.openxmlformats.org/officeDocument/2006/relationships/ctrlProp" Target="../ctrlProps/ctrlProp527.xml"/><Relationship Id="rId768" Type="http://schemas.openxmlformats.org/officeDocument/2006/relationships/ctrlProp" Target="../ctrlProps/ctrlProp765.xml"/><Relationship Id="rId20" Type="http://schemas.openxmlformats.org/officeDocument/2006/relationships/ctrlProp" Target="../ctrlProps/ctrlProp17.xml"/><Relationship Id="rId628" Type="http://schemas.openxmlformats.org/officeDocument/2006/relationships/ctrlProp" Target="../ctrlProps/ctrlProp625.xml"/><Relationship Id="rId835" Type="http://schemas.openxmlformats.org/officeDocument/2006/relationships/ctrlProp" Target="../ctrlProps/ctrlProp832.xml"/><Relationship Id="rId267" Type="http://schemas.openxmlformats.org/officeDocument/2006/relationships/ctrlProp" Target="../ctrlProps/ctrlProp264.xml"/><Relationship Id="rId474" Type="http://schemas.openxmlformats.org/officeDocument/2006/relationships/ctrlProp" Target="../ctrlProps/ctrlProp471.xml"/><Relationship Id="rId127" Type="http://schemas.openxmlformats.org/officeDocument/2006/relationships/ctrlProp" Target="../ctrlProps/ctrlProp124.xml"/><Relationship Id="rId681" Type="http://schemas.openxmlformats.org/officeDocument/2006/relationships/ctrlProp" Target="../ctrlProps/ctrlProp678.xml"/><Relationship Id="rId779" Type="http://schemas.openxmlformats.org/officeDocument/2006/relationships/ctrlProp" Target="../ctrlProps/ctrlProp776.xml"/><Relationship Id="rId31" Type="http://schemas.openxmlformats.org/officeDocument/2006/relationships/ctrlProp" Target="../ctrlProps/ctrlProp28.xml"/><Relationship Id="rId334" Type="http://schemas.openxmlformats.org/officeDocument/2006/relationships/ctrlProp" Target="../ctrlProps/ctrlProp331.xml"/><Relationship Id="rId541" Type="http://schemas.openxmlformats.org/officeDocument/2006/relationships/ctrlProp" Target="../ctrlProps/ctrlProp538.xml"/><Relationship Id="rId639" Type="http://schemas.openxmlformats.org/officeDocument/2006/relationships/ctrlProp" Target="../ctrlProps/ctrlProp636.xml"/><Relationship Id="rId180" Type="http://schemas.openxmlformats.org/officeDocument/2006/relationships/ctrlProp" Target="../ctrlProps/ctrlProp177.xml"/><Relationship Id="rId278" Type="http://schemas.openxmlformats.org/officeDocument/2006/relationships/ctrlProp" Target="../ctrlProps/ctrlProp275.xml"/><Relationship Id="rId401" Type="http://schemas.openxmlformats.org/officeDocument/2006/relationships/ctrlProp" Target="../ctrlProps/ctrlProp398.xml"/><Relationship Id="rId846" Type="http://schemas.openxmlformats.org/officeDocument/2006/relationships/ctrlProp" Target="../ctrlProps/ctrlProp843.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42" Type="http://schemas.openxmlformats.org/officeDocument/2006/relationships/ctrlProp" Target="../ctrlProps/ctrlProp39.xml"/><Relationship Id="rId138" Type="http://schemas.openxmlformats.org/officeDocument/2006/relationships/ctrlProp" Target="../ctrlProps/ctrlProp135.xml"/><Relationship Id="rId345" Type="http://schemas.openxmlformats.org/officeDocument/2006/relationships/ctrlProp" Target="../ctrlProps/ctrlProp342.xml"/><Relationship Id="rId552" Type="http://schemas.openxmlformats.org/officeDocument/2006/relationships/ctrlProp" Target="../ctrlProps/ctrlProp549.xml"/><Relationship Id="rId191" Type="http://schemas.openxmlformats.org/officeDocument/2006/relationships/ctrlProp" Target="../ctrlProps/ctrlProp188.xml"/><Relationship Id="rId205" Type="http://schemas.openxmlformats.org/officeDocument/2006/relationships/ctrlProp" Target="../ctrlProps/ctrlProp202.xml"/><Relationship Id="rId412" Type="http://schemas.openxmlformats.org/officeDocument/2006/relationships/ctrlProp" Target="../ctrlProps/ctrlProp409.xml"/><Relationship Id="rId857" Type="http://schemas.openxmlformats.org/officeDocument/2006/relationships/ctrlProp" Target="../ctrlProps/ctrlProp854.xml"/><Relationship Id="rId289" Type="http://schemas.openxmlformats.org/officeDocument/2006/relationships/ctrlProp" Target="../ctrlProps/ctrlProp286.xml"/><Relationship Id="rId496" Type="http://schemas.openxmlformats.org/officeDocument/2006/relationships/ctrlProp" Target="../ctrlProps/ctrlProp493.xml"/><Relationship Id="rId717" Type="http://schemas.openxmlformats.org/officeDocument/2006/relationships/ctrlProp" Target="../ctrlProps/ctrlProp714.xml"/><Relationship Id="rId53" Type="http://schemas.openxmlformats.org/officeDocument/2006/relationships/ctrlProp" Target="../ctrlProps/ctrlProp50.xml"/><Relationship Id="rId149" Type="http://schemas.openxmlformats.org/officeDocument/2006/relationships/ctrlProp" Target="../ctrlProps/ctrlProp146.xml"/><Relationship Id="rId356" Type="http://schemas.openxmlformats.org/officeDocument/2006/relationships/ctrlProp" Target="../ctrlProps/ctrlProp353.xml"/><Relationship Id="rId563" Type="http://schemas.openxmlformats.org/officeDocument/2006/relationships/ctrlProp" Target="../ctrlProps/ctrlProp560.xml"/><Relationship Id="rId770" Type="http://schemas.openxmlformats.org/officeDocument/2006/relationships/ctrlProp" Target="../ctrlProps/ctrlProp767.xml"/><Relationship Id="rId216" Type="http://schemas.openxmlformats.org/officeDocument/2006/relationships/ctrlProp" Target="../ctrlProps/ctrlProp213.xml"/><Relationship Id="rId423" Type="http://schemas.openxmlformats.org/officeDocument/2006/relationships/ctrlProp" Target="../ctrlProps/ctrlProp420.xml"/><Relationship Id="rId868" Type="http://schemas.openxmlformats.org/officeDocument/2006/relationships/ctrlProp" Target="../ctrlProps/ctrlProp865.xml"/><Relationship Id="rId630" Type="http://schemas.openxmlformats.org/officeDocument/2006/relationships/ctrlProp" Target="../ctrlProps/ctrlProp627.xml"/><Relationship Id="rId728" Type="http://schemas.openxmlformats.org/officeDocument/2006/relationships/ctrlProp" Target="../ctrlProps/ctrlProp725.xml"/><Relationship Id="rId64" Type="http://schemas.openxmlformats.org/officeDocument/2006/relationships/ctrlProp" Target="../ctrlProps/ctrlProp61.xml"/><Relationship Id="rId367" Type="http://schemas.openxmlformats.org/officeDocument/2006/relationships/ctrlProp" Target="../ctrlProps/ctrlProp364.xml"/><Relationship Id="rId574" Type="http://schemas.openxmlformats.org/officeDocument/2006/relationships/ctrlProp" Target="../ctrlProps/ctrlProp571.xml"/><Relationship Id="rId227" Type="http://schemas.openxmlformats.org/officeDocument/2006/relationships/ctrlProp" Target="../ctrlProps/ctrlProp224.xml"/><Relationship Id="rId781" Type="http://schemas.openxmlformats.org/officeDocument/2006/relationships/ctrlProp" Target="../ctrlProps/ctrlProp778.xml"/><Relationship Id="rId879" Type="http://schemas.openxmlformats.org/officeDocument/2006/relationships/ctrlProp" Target="../ctrlProps/ctrlProp876.xml"/><Relationship Id="rId434" Type="http://schemas.openxmlformats.org/officeDocument/2006/relationships/ctrlProp" Target="../ctrlProps/ctrlProp431.xml"/><Relationship Id="rId641" Type="http://schemas.openxmlformats.org/officeDocument/2006/relationships/ctrlProp" Target="../ctrlProps/ctrlProp638.xml"/><Relationship Id="rId739" Type="http://schemas.openxmlformats.org/officeDocument/2006/relationships/ctrlProp" Target="../ctrlProps/ctrlProp736.xml"/><Relationship Id="rId280" Type="http://schemas.openxmlformats.org/officeDocument/2006/relationships/ctrlProp" Target="../ctrlProps/ctrlProp277.xml"/><Relationship Id="rId501" Type="http://schemas.openxmlformats.org/officeDocument/2006/relationships/ctrlProp" Target="../ctrlProps/ctrlProp498.xml"/><Relationship Id="rId75" Type="http://schemas.openxmlformats.org/officeDocument/2006/relationships/ctrlProp" Target="../ctrlProps/ctrlProp72.xml"/><Relationship Id="rId140" Type="http://schemas.openxmlformats.org/officeDocument/2006/relationships/ctrlProp" Target="../ctrlProps/ctrlProp137.xml"/><Relationship Id="rId378" Type="http://schemas.openxmlformats.org/officeDocument/2006/relationships/ctrlProp" Target="../ctrlProps/ctrlProp375.xml"/><Relationship Id="rId585" Type="http://schemas.openxmlformats.org/officeDocument/2006/relationships/ctrlProp" Target="../ctrlProps/ctrlProp582.xml"/><Relationship Id="rId792" Type="http://schemas.openxmlformats.org/officeDocument/2006/relationships/ctrlProp" Target="../ctrlProps/ctrlProp789.xml"/><Relationship Id="rId806" Type="http://schemas.openxmlformats.org/officeDocument/2006/relationships/ctrlProp" Target="../ctrlProps/ctrlProp803.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652" Type="http://schemas.openxmlformats.org/officeDocument/2006/relationships/ctrlProp" Target="../ctrlProps/ctrlProp649.xml"/><Relationship Id="rId291" Type="http://schemas.openxmlformats.org/officeDocument/2006/relationships/ctrlProp" Target="../ctrlProps/ctrlProp288.xml"/><Relationship Id="rId305" Type="http://schemas.openxmlformats.org/officeDocument/2006/relationships/ctrlProp" Target="../ctrlProps/ctrlProp302.xml"/><Relationship Id="rId512" Type="http://schemas.openxmlformats.org/officeDocument/2006/relationships/ctrlProp" Target="../ctrlProps/ctrlProp509.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96" Type="http://schemas.openxmlformats.org/officeDocument/2006/relationships/ctrlProp" Target="../ctrlProps/ctrlProp593.xml"/><Relationship Id="rId817" Type="http://schemas.openxmlformats.org/officeDocument/2006/relationships/ctrlProp" Target="../ctrlProps/ctrlProp814.xml"/><Relationship Id="rId249" Type="http://schemas.openxmlformats.org/officeDocument/2006/relationships/ctrlProp" Target="../ctrlProps/ctrlProp246.xml"/><Relationship Id="rId456" Type="http://schemas.openxmlformats.org/officeDocument/2006/relationships/ctrlProp" Target="../ctrlProps/ctrlProp453.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316" Type="http://schemas.openxmlformats.org/officeDocument/2006/relationships/ctrlProp" Target="../ctrlProps/ctrlProp313.xml"/><Relationship Id="rId523" Type="http://schemas.openxmlformats.org/officeDocument/2006/relationships/ctrlProp" Target="../ctrlProps/ctrlProp520.xml"/><Relationship Id="rId97" Type="http://schemas.openxmlformats.org/officeDocument/2006/relationships/ctrlProp" Target="../ctrlProps/ctrlProp94.xml"/><Relationship Id="rId730" Type="http://schemas.openxmlformats.org/officeDocument/2006/relationships/ctrlProp" Target="../ctrlProps/ctrlProp727.xml"/><Relationship Id="rId828" Type="http://schemas.openxmlformats.org/officeDocument/2006/relationships/ctrlProp" Target="../ctrlProps/ctrlProp825.xml"/><Relationship Id="rId162" Type="http://schemas.openxmlformats.org/officeDocument/2006/relationships/ctrlProp" Target="../ctrlProps/ctrlProp159.xml"/><Relationship Id="rId467" Type="http://schemas.openxmlformats.org/officeDocument/2006/relationships/ctrlProp" Target="../ctrlProps/ctrlProp464.xml"/><Relationship Id="rId674" Type="http://schemas.openxmlformats.org/officeDocument/2006/relationships/ctrlProp" Target="../ctrlProps/ctrlProp671.xml"/><Relationship Id="rId881" Type="http://schemas.openxmlformats.org/officeDocument/2006/relationships/comments" Target="../comments1.xml"/><Relationship Id="rId24" Type="http://schemas.openxmlformats.org/officeDocument/2006/relationships/ctrlProp" Target="../ctrlProps/ctrlProp21.xml"/><Relationship Id="rId327" Type="http://schemas.openxmlformats.org/officeDocument/2006/relationships/ctrlProp" Target="../ctrlProps/ctrlProp324.xml"/><Relationship Id="rId534" Type="http://schemas.openxmlformats.org/officeDocument/2006/relationships/ctrlProp" Target="../ctrlProps/ctrlProp531.xml"/><Relationship Id="rId741" Type="http://schemas.openxmlformats.org/officeDocument/2006/relationships/ctrlProp" Target="../ctrlProps/ctrlProp738.xml"/><Relationship Id="rId839" Type="http://schemas.openxmlformats.org/officeDocument/2006/relationships/ctrlProp" Target="../ctrlProps/ctrlProp836.xml"/><Relationship Id="rId173" Type="http://schemas.openxmlformats.org/officeDocument/2006/relationships/ctrlProp" Target="../ctrlProps/ctrlProp170.xml"/><Relationship Id="rId380" Type="http://schemas.openxmlformats.org/officeDocument/2006/relationships/ctrlProp" Target="../ctrlProps/ctrlProp377.xml"/><Relationship Id="rId601" Type="http://schemas.openxmlformats.org/officeDocument/2006/relationships/ctrlProp" Target="../ctrlProps/ctrlProp598.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100" Type="http://schemas.openxmlformats.org/officeDocument/2006/relationships/ctrlProp" Target="../ctrlProps/ctrlProp97.xml"/><Relationship Id="rId338" Type="http://schemas.openxmlformats.org/officeDocument/2006/relationships/ctrlProp" Target="../ctrlProps/ctrlProp335.xml"/><Relationship Id="rId545" Type="http://schemas.openxmlformats.org/officeDocument/2006/relationships/ctrlProp" Target="../ctrlProps/ctrlProp542.xml"/><Relationship Id="rId752" Type="http://schemas.openxmlformats.org/officeDocument/2006/relationships/ctrlProp" Target="../ctrlProps/ctrlProp74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96" Type="http://schemas.openxmlformats.org/officeDocument/2006/relationships/ctrlProp" Target="../ctrlProps/ctrlProp693.xml"/><Relationship Id="rId46" Type="http://schemas.openxmlformats.org/officeDocument/2006/relationships/ctrlProp" Target="../ctrlProps/ctrlProp43.xml"/><Relationship Id="rId349" Type="http://schemas.openxmlformats.org/officeDocument/2006/relationships/ctrlProp" Target="../ctrlProps/ctrlProp346.xml"/><Relationship Id="rId556" Type="http://schemas.openxmlformats.org/officeDocument/2006/relationships/ctrlProp" Target="../ctrlProps/ctrlProp553.xml"/><Relationship Id="rId763" Type="http://schemas.openxmlformats.org/officeDocument/2006/relationships/ctrlProp" Target="../ctrlProps/ctrlProp760.xml"/><Relationship Id="rId111" Type="http://schemas.openxmlformats.org/officeDocument/2006/relationships/ctrlProp" Target="../ctrlProps/ctrlProp108.xml"/><Relationship Id="rId195" Type="http://schemas.openxmlformats.org/officeDocument/2006/relationships/ctrlProp" Target="../ctrlProps/ctrlProp192.xml"/><Relationship Id="rId209" Type="http://schemas.openxmlformats.org/officeDocument/2006/relationships/ctrlProp" Target="../ctrlProps/ctrlProp206.xml"/><Relationship Id="rId416" Type="http://schemas.openxmlformats.org/officeDocument/2006/relationships/ctrlProp" Target="../ctrlProps/ctrlProp413.xml"/><Relationship Id="rId623" Type="http://schemas.openxmlformats.org/officeDocument/2006/relationships/ctrlProp" Target="../ctrlProps/ctrlProp620.xml"/><Relationship Id="rId830" Type="http://schemas.openxmlformats.org/officeDocument/2006/relationships/ctrlProp" Target="../ctrlProps/ctrlProp827.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 Id="rId437" Type="http://schemas.openxmlformats.org/officeDocument/2006/relationships/ctrlProp" Target="../ctrlProps/ctrlProp434.xml"/><Relationship Id="rId644" Type="http://schemas.openxmlformats.org/officeDocument/2006/relationships/ctrlProp" Target="../ctrlProps/ctrlProp641.xml"/><Relationship Id="rId851" Type="http://schemas.openxmlformats.org/officeDocument/2006/relationships/ctrlProp" Target="../ctrlProps/ctrlProp848.xml"/><Relationship Id="rId283" Type="http://schemas.openxmlformats.org/officeDocument/2006/relationships/ctrlProp" Target="../ctrlProps/ctrlProp280.xml"/><Relationship Id="rId490" Type="http://schemas.openxmlformats.org/officeDocument/2006/relationships/ctrlProp" Target="../ctrlProps/ctrlProp487.xml"/><Relationship Id="rId504" Type="http://schemas.openxmlformats.org/officeDocument/2006/relationships/ctrlProp" Target="../ctrlProps/ctrlProp501.xml"/><Relationship Id="rId711" Type="http://schemas.openxmlformats.org/officeDocument/2006/relationships/ctrlProp" Target="../ctrlProps/ctrlProp708.xml"/><Relationship Id="rId78" Type="http://schemas.openxmlformats.org/officeDocument/2006/relationships/ctrlProp" Target="../ctrlProps/ctrlProp75.xml"/><Relationship Id="rId143" Type="http://schemas.openxmlformats.org/officeDocument/2006/relationships/ctrlProp" Target="../ctrlProps/ctrlProp140.xml"/><Relationship Id="rId350" Type="http://schemas.openxmlformats.org/officeDocument/2006/relationships/ctrlProp" Target="../ctrlProps/ctrlProp347.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448" Type="http://schemas.openxmlformats.org/officeDocument/2006/relationships/ctrlProp" Target="../ctrlProps/ctrlProp445.xml"/><Relationship Id="rId655" Type="http://schemas.openxmlformats.org/officeDocument/2006/relationships/ctrlProp" Target="../ctrlProps/ctrlProp652.xml"/><Relationship Id="rId862" Type="http://schemas.openxmlformats.org/officeDocument/2006/relationships/ctrlProp" Target="../ctrlProps/ctrlProp85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89" Type="http://schemas.openxmlformats.org/officeDocument/2006/relationships/ctrlProp" Target="../ctrlProps/ctrlProp86.xml"/><Relationship Id="rId154" Type="http://schemas.openxmlformats.org/officeDocument/2006/relationships/ctrlProp" Target="../ctrlProps/ctrlProp151.xml"/><Relationship Id="rId361" Type="http://schemas.openxmlformats.org/officeDocument/2006/relationships/ctrlProp" Target="../ctrlProps/ctrlProp358.xml"/><Relationship Id="rId599" Type="http://schemas.openxmlformats.org/officeDocument/2006/relationships/ctrlProp" Target="../ctrlProps/ctrlProp596.xml"/><Relationship Id="rId459" Type="http://schemas.openxmlformats.org/officeDocument/2006/relationships/ctrlProp" Target="../ctrlProps/ctrlProp456.xml"/><Relationship Id="rId666" Type="http://schemas.openxmlformats.org/officeDocument/2006/relationships/ctrlProp" Target="../ctrlProps/ctrlProp663.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319" Type="http://schemas.openxmlformats.org/officeDocument/2006/relationships/ctrlProp" Target="../ctrlProps/ctrlProp316.xml"/><Relationship Id="rId526" Type="http://schemas.openxmlformats.org/officeDocument/2006/relationships/ctrlProp" Target="../ctrlProps/ctrlProp523.xml"/><Relationship Id="rId733" Type="http://schemas.openxmlformats.org/officeDocument/2006/relationships/ctrlProp" Target="../ctrlProps/ctrlProp730.xml"/><Relationship Id="rId165" Type="http://schemas.openxmlformats.org/officeDocument/2006/relationships/ctrlProp" Target="../ctrlProps/ctrlProp162.xml"/><Relationship Id="rId372" Type="http://schemas.openxmlformats.org/officeDocument/2006/relationships/ctrlProp" Target="../ctrlProps/ctrlProp369.xml"/><Relationship Id="rId677" Type="http://schemas.openxmlformats.org/officeDocument/2006/relationships/ctrlProp" Target="../ctrlProps/ctrlProp674.xml"/><Relationship Id="rId800" Type="http://schemas.openxmlformats.org/officeDocument/2006/relationships/ctrlProp" Target="../ctrlProps/ctrlProp797.xml"/><Relationship Id="rId232" Type="http://schemas.openxmlformats.org/officeDocument/2006/relationships/ctrlProp" Target="../ctrlProps/ctrlProp229.xml"/><Relationship Id="rId27" Type="http://schemas.openxmlformats.org/officeDocument/2006/relationships/ctrlProp" Target="../ctrlProps/ctrlProp24.xml"/><Relationship Id="rId537" Type="http://schemas.openxmlformats.org/officeDocument/2006/relationships/ctrlProp" Target="../ctrlProps/ctrlProp534.xml"/><Relationship Id="rId744" Type="http://schemas.openxmlformats.org/officeDocument/2006/relationships/ctrlProp" Target="../ctrlProps/ctrlProp741.xml"/><Relationship Id="rId80" Type="http://schemas.openxmlformats.org/officeDocument/2006/relationships/ctrlProp" Target="../ctrlProps/ctrlProp77.xml"/><Relationship Id="rId176" Type="http://schemas.openxmlformats.org/officeDocument/2006/relationships/ctrlProp" Target="../ctrlProps/ctrlProp173.xml"/><Relationship Id="rId383" Type="http://schemas.openxmlformats.org/officeDocument/2006/relationships/ctrlProp" Target="../ctrlProps/ctrlProp380.xml"/><Relationship Id="rId590" Type="http://schemas.openxmlformats.org/officeDocument/2006/relationships/ctrlProp" Target="../ctrlProps/ctrlProp587.xml"/><Relationship Id="rId604" Type="http://schemas.openxmlformats.org/officeDocument/2006/relationships/ctrlProp" Target="../ctrlProps/ctrlProp601.xml"/><Relationship Id="rId811" Type="http://schemas.openxmlformats.org/officeDocument/2006/relationships/ctrlProp" Target="../ctrlProps/ctrlProp808.xml"/><Relationship Id="rId243" Type="http://schemas.openxmlformats.org/officeDocument/2006/relationships/ctrlProp" Target="../ctrlProps/ctrlProp240.xml"/><Relationship Id="rId450" Type="http://schemas.openxmlformats.org/officeDocument/2006/relationships/ctrlProp" Target="../ctrlProps/ctrlProp447.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548" Type="http://schemas.openxmlformats.org/officeDocument/2006/relationships/ctrlProp" Target="../ctrlProps/ctrlProp545.xml"/><Relationship Id="rId755" Type="http://schemas.openxmlformats.org/officeDocument/2006/relationships/ctrlProp" Target="../ctrlProps/ctrlProp752.xml"/><Relationship Id="rId91" Type="http://schemas.openxmlformats.org/officeDocument/2006/relationships/ctrlProp" Target="../ctrlProps/ctrlProp88.xml"/><Relationship Id="rId187" Type="http://schemas.openxmlformats.org/officeDocument/2006/relationships/ctrlProp" Target="../ctrlProps/ctrlProp184.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54" Type="http://schemas.openxmlformats.org/officeDocument/2006/relationships/ctrlProp" Target="../ctrlProps/ctrlProp251.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461" Type="http://schemas.openxmlformats.org/officeDocument/2006/relationships/ctrlProp" Target="../ctrlProps/ctrlProp458.xml"/><Relationship Id="rId559" Type="http://schemas.openxmlformats.org/officeDocument/2006/relationships/ctrlProp" Target="../ctrlProps/ctrlProp556.xml"/><Relationship Id="rId766" Type="http://schemas.openxmlformats.org/officeDocument/2006/relationships/ctrlProp" Target="../ctrlProps/ctrlProp763.xml"/><Relationship Id="rId198" Type="http://schemas.openxmlformats.org/officeDocument/2006/relationships/ctrlProp" Target="../ctrlProps/ctrlProp195.xml"/><Relationship Id="rId321" Type="http://schemas.openxmlformats.org/officeDocument/2006/relationships/ctrlProp" Target="../ctrlProps/ctrlProp318.xml"/><Relationship Id="rId419" Type="http://schemas.openxmlformats.org/officeDocument/2006/relationships/ctrlProp" Target="../ctrlProps/ctrlProp416.xml"/><Relationship Id="rId626" Type="http://schemas.openxmlformats.org/officeDocument/2006/relationships/ctrlProp" Target="../ctrlProps/ctrlProp623.xml"/><Relationship Id="rId833" Type="http://schemas.openxmlformats.org/officeDocument/2006/relationships/ctrlProp" Target="../ctrlProps/ctrlProp830.xml"/><Relationship Id="rId265" Type="http://schemas.openxmlformats.org/officeDocument/2006/relationships/ctrlProp" Target="../ctrlProps/ctrlProp262.xml"/><Relationship Id="rId472" Type="http://schemas.openxmlformats.org/officeDocument/2006/relationships/ctrlProp" Target="../ctrlProps/ctrlProp469.xml"/><Relationship Id="rId125" Type="http://schemas.openxmlformats.org/officeDocument/2006/relationships/ctrlProp" Target="../ctrlProps/ctrlProp122.xml"/><Relationship Id="rId332" Type="http://schemas.openxmlformats.org/officeDocument/2006/relationships/ctrlProp" Target="../ctrlProps/ctrlProp329.xml"/><Relationship Id="rId777" Type="http://schemas.openxmlformats.org/officeDocument/2006/relationships/ctrlProp" Target="../ctrlProps/ctrlProp774.xml"/><Relationship Id="rId637" Type="http://schemas.openxmlformats.org/officeDocument/2006/relationships/ctrlProp" Target="../ctrlProps/ctrlProp634.xml"/><Relationship Id="rId844" Type="http://schemas.openxmlformats.org/officeDocument/2006/relationships/ctrlProp" Target="../ctrlProps/ctrlProp841.xml"/><Relationship Id="rId276" Type="http://schemas.openxmlformats.org/officeDocument/2006/relationships/ctrlProp" Target="../ctrlProps/ctrlProp273.xml"/><Relationship Id="rId483" Type="http://schemas.openxmlformats.org/officeDocument/2006/relationships/ctrlProp" Target="../ctrlProps/ctrlProp480.xml"/><Relationship Id="rId690" Type="http://schemas.openxmlformats.org/officeDocument/2006/relationships/ctrlProp" Target="../ctrlProps/ctrlProp687.xml"/><Relationship Id="rId704" Type="http://schemas.openxmlformats.org/officeDocument/2006/relationships/ctrlProp" Target="../ctrlProps/ctrlProp701.xml"/><Relationship Id="rId40" Type="http://schemas.openxmlformats.org/officeDocument/2006/relationships/ctrlProp" Target="../ctrlProps/ctrlProp37.xml"/><Relationship Id="rId136" Type="http://schemas.openxmlformats.org/officeDocument/2006/relationships/ctrlProp" Target="../ctrlProps/ctrlProp133.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203" Type="http://schemas.openxmlformats.org/officeDocument/2006/relationships/ctrlProp" Target="../ctrlProps/ctrlProp200.xml"/><Relationship Id="rId648" Type="http://schemas.openxmlformats.org/officeDocument/2006/relationships/ctrlProp" Target="../ctrlProps/ctrlProp645.xml"/><Relationship Id="rId855" Type="http://schemas.openxmlformats.org/officeDocument/2006/relationships/ctrlProp" Target="../ctrlProps/ctrlProp852.xml"/><Relationship Id="rId287" Type="http://schemas.openxmlformats.org/officeDocument/2006/relationships/ctrlProp" Target="../ctrlProps/ctrlProp284.xml"/><Relationship Id="rId410" Type="http://schemas.openxmlformats.org/officeDocument/2006/relationships/ctrlProp" Target="../ctrlProps/ctrlProp407.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147" Type="http://schemas.openxmlformats.org/officeDocument/2006/relationships/ctrlProp" Target="../ctrlProps/ctrlProp144.xml"/><Relationship Id="rId354" Type="http://schemas.openxmlformats.org/officeDocument/2006/relationships/ctrlProp" Target="../ctrlProps/ctrlProp351.xml"/><Relationship Id="rId799" Type="http://schemas.openxmlformats.org/officeDocument/2006/relationships/ctrlProp" Target="../ctrlProps/ctrlProp796.xml"/><Relationship Id="rId51" Type="http://schemas.openxmlformats.org/officeDocument/2006/relationships/ctrlProp" Target="../ctrlProps/ctrlProp48.xml"/><Relationship Id="rId561" Type="http://schemas.openxmlformats.org/officeDocument/2006/relationships/ctrlProp" Target="../ctrlProps/ctrlProp558.xml"/><Relationship Id="rId659" Type="http://schemas.openxmlformats.org/officeDocument/2006/relationships/ctrlProp" Target="../ctrlProps/ctrlProp656.xml"/><Relationship Id="rId866" Type="http://schemas.openxmlformats.org/officeDocument/2006/relationships/ctrlProp" Target="../ctrlProps/ctrlProp863.xml"/><Relationship Id="rId214" Type="http://schemas.openxmlformats.org/officeDocument/2006/relationships/ctrlProp" Target="../ctrlProps/ctrlProp211.xml"/><Relationship Id="rId298" Type="http://schemas.openxmlformats.org/officeDocument/2006/relationships/ctrlProp" Target="../ctrlProps/ctrlProp295.xml"/><Relationship Id="rId421" Type="http://schemas.openxmlformats.org/officeDocument/2006/relationships/ctrlProp" Target="../ctrlProps/ctrlProp418.xml"/><Relationship Id="rId519" Type="http://schemas.openxmlformats.org/officeDocument/2006/relationships/ctrlProp" Target="../ctrlProps/ctrlProp516.xml"/><Relationship Id="rId158" Type="http://schemas.openxmlformats.org/officeDocument/2006/relationships/ctrlProp" Target="../ctrlProps/ctrlProp155.xml"/><Relationship Id="rId726" Type="http://schemas.openxmlformats.org/officeDocument/2006/relationships/ctrlProp" Target="../ctrlProps/ctrlProp723.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225" Type="http://schemas.openxmlformats.org/officeDocument/2006/relationships/ctrlProp" Target="../ctrlProps/ctrlProp222.xml"/><Relationship Id="rId432" Type="http://schemas.openxmlformats.org/officeDocument/2006/relationships/ctrlProp" Target="../ctrlProps/ctrlProp429.xml"/><Relationship Id="rId877" Type="http://schemas.openxmlformats.org/officeDocument/2006/relationships/ctrlProp" Target="../ctrlProps/ctrlProp874.xml"/><Relationship Id="rId737" Type="http://schemas.openxmlformats.org/officeDocument/2006/relationships/ctrlProp" Target="../ctrlProps/ctrlProp734.xml"/><Relationship Id="rId73" Type="http://schemas.openxmlformats.org/officeDocument/2006/relationships/ctrlProp" Target="../ctrlProps/ctrlProp70.xml"/><Relationship Id="rId169" Type="http://schemas.openxmlformats.org/officeDocument/2006/relationships/ctrlProp" Target="../ctrlProps/ctrlProp166.xml"/><Relationship Id="rId376" Type="http://schemas.openxmlformats.org/officeDocument/2006/relationships/ctrlProp" Target="../ctrlProps/ctrlProp373.xml"/><Relationship Id="rId583" Type="http://schemas.openxmlformats.org/officeDocument/2006/relationships/ctrlProp" Target="../ctrlProps/ctrlProp580.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236" Type="http://schemas.openxmlformats.org/officeDocument/2006/relationships/ctrlProp" Target="../ctrlProps/ctrlProp233.xml"/><Relationship Id="rId443" Type="http://schemas.openxmlformats.org/officeDocument/2006/relationships/ctrlProp" Target="../ctrlProps/ctrlProp440.xml"/><Relationship Id="rId650" Type="http://schemas.openxmlformats.org/officeDocument/2006/relationships/ctrlProp" Target="../ctrlProps/ctrlProp647.xml"/><Relationship Id="rId303" Type="http://schemas.openxmlformats.org/officeDocument/2006/relationships/ctrlProp" Target="../ctrlProps/ctrlProp300.xml"/><Relationship Id="rId748" Type="http://schemas.openxmlformats.org/officeDocument/2006/relationships/ctrlProp" Target="../ctrlProps/ctrlProp745.xml"/><Relationship Id="rId84" Type="http://schemas.openxmlformats.org/officeDocument/2006/relationships/ctrlProp" Target="../ctrlProps/ctrlProp81.xml"/><Relationship Id="rId387" Type="http://schemas.openxmlformats.org/officeDocument/2006/relationships/ctrlProp" Target="../ctrlProps/ctrlProp384.xml"/><Relationship Id="rId510" Type="http://schemas.openxmlformats.org/officeDocument/2006/relationships/ctrlProp" Target="../ctrlProps/ctrlProp507.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247" Type="http://schemas.openxmlformats.org/officeDocument/2006/relationships/ctrlProp" Target="../ctrlProps/ctrlProp244.xml"/><Relationship Id="rId107" Type="http://schemas.openxmlformats.org/officeDocument/2006/relationships/ctrlProp" Target="../ctrlProps/ctrlProp104.xml"/><Relationship Id="rId454" Type="http://schemas.openxmlformats.org/officeDocument/2006/relationships/ctrlProp" Target="../ctrlProps/ctrlProp451.xml"/><Relationship Id="rId661" Type="http://schemas.openxmlformats.org/officeDocument/2006/relationships/ctrlProp" Target="../ctrlProps/ctrlProp658.xml"/><Relationship Id="rId759" Type="http://schemas.openxmlformats.org/officeDocument/2006/relationships/ctrlProp" Target="../ctrlProps/ctrlProp756.xml"/><Relationship Id="rId11" Type="http://schemas.openxmlformats.org/officeDocument/2006/relationships/ctrlProp" Target="../ctrlProps/ctrlProp8.xml"/><Relationship Id="rId314" Type="http://schemas.openxmlformats.org/officeDocument/2006/relationships/ctrlProp" Target="../ctrlProps/ctrlProp311.xml"/><Relationship Id="rId398" Type="http://schemas.openxmlformats.org/officeDocument/2006/relationships/ctrlProp" Target="../ctrlProps/ctrlProp395.xml"/><Relationship Id="rId521" Type="http://schemas.openxmlformats.org/officeDocument/2006/relationships/ctrlProp" Target="../ctrlProps/ctrlProp518.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826" Type="http://schemas.openxmlformats.org/officeDocument/2006/relationships/ctrlProp" Target="../ctrlProps/ctrlProp823.xml"/><Relationship Id="rId258" Type="http://schemas.openxmlformats.org/officeDocument/2006/relationships/ctrlProp" Target="../ctrlProps/ctrlProp255.xml"/><Relationship Id="rId465" Type="http://schemas.openxmlformats.org/officeDocument/2006/relationships/ctrlProp" Target="../ctrlProps/ctrlProp462.xml"/><Relationship Id="rId672" Type="http://schemas.openxmlformats.org/officeDocument/2006/relationships/ctrlProp" Target="../ctrlProps/ctrlProp669.xml"/><Relationship Id="rId22" Type="http://schemas.openxmlformats.org/officeDocument/2006/relationships/ctrlProp" Target="../ctrlProps/ctrlProp19.xml"/><Relationship Id="rId118" Type="http://schemas.openxmlformats.org/officeDocument/2006/relationships/ctrlProp" Target="../ctrlProps/ctrlProp115.xml"/><Relationship Id="rId325" Type="http://schemas.openxmlformats.org/officeDocument/2006/relationships/ctrlProp" Target="../ctrlProps/ctrlProp322.xml"/><Relationship Id="rId532" Type="http://schemas.openxmlformats.org/officeDocument/2006/relationships/ctrlProp" Target="../ctrlProps/ctrlProp529.xml"/><Relationship Id="rId171" Type="http://schemas.openxmlformats.org/officeDocument/2006/relationships/ctrlProp" Target="../ctrlProps/ctrlProp168.xml"/><Relationship Id="rId837" Type="http://schemas.openxmlformats.org/officeDocument/2006/relationships/ctrlProp" Target="../ctrlProps/ctrlProp834.xml"/><Relationship Id="rId269" Type="http://schemas.openxmlformats.org/officeDocument/2006/relationships/ctrlProp" Target="../ctrlProps/ctrlProp266.xml"/><Relationship Id="rId476" Type="http://schemas.openxmlformats.org/officeDocument/2006/relationships/ctrlProp" Target="../ctrlProps/ctrlProp473.xml"/><Relationship Id="rId683" Type="http://schemas.openxmlformats.org/officeDocument/2006/relationships/ctrlProp" Target="../ctrlProps/ctrlProp680.xml"/><Relationship Id="rId33" Type="http://schemas.openxmlformats.org/officeDocument/2006/relationships/ctrlProp" Target="../ctrlProps/ctrlProp30.xml"/><Relationship Id="rId129" Type="http://schemas.openxmlformats.org/officeDocument/2006/relationships/ctrlProp" Target="../ctrlProps/ctrlProp126.xml"/><Relationship Id="rId336" Type="http://schemas.openxmlformats.org/officeDocument/2006/relationships/ctrlProp" Target="../ctrlProps/ctrlProp333.xml"/><Relationship Id="rId543" Type="http://schemas.openxmlformats.org/officeDocument/2006/relationships/ctrlProp" Target="../ctrlProps/ctrlProp540.xml"/><Relationship Id="rId182" Type="http://schemas.openxmlformats.org/officeDocument/2006/relationships/ctrlProp" Target="../ctrlProps/ctrlProp179.xml"/><Relationship Id="rId403" Type="http://schemas.openxmlformats.org/officeDocument/2006/relationships/ctrlProp" Target="../ctrlProps/ctrlProp400.xml"/><Relationship Id="rId750" Type="http://schemas.openxmlformats.org/officeDocument/2006/relationships/ctrlProp" Target="../ctrlProps/ctrlProp747.xml"/><Relationship Id="rId848" Type="http://schemas.openxmlformats.org/officeDocument/2006/relationships/ctrlProp" Target="../ctrlProps/ctrlProp845.xml"/><Relationship Id="rId487" Type="http://schemas.openxmlformats.org/officeDocument/2006/relationships/ctrlProp" Target="../ctrlProps/ctrlProp484.xml"/><Relationship Id="rId610" Type="http://schemas.openxmlformats.org/officeDocument/2006/relationships/ctrlProp" Target="../ctrlProps/ctrlProp607.xml"/><Relationship Id="rId694" Type="http://schemas.openxmlformats.org/officeDocument/2006/relationships/ctrlProp" Target="../ctrlProps/ctrlProp691.xml"/><Relationship Id="rId708" Type="http://schemas.openxmlformats.org/officeDocument/2006/relationships/ctrlProp" Target="../ctrlProps/ctrlProp705.xml"/><Relationship Id="rId347" Type="http://schemas.openxmlformats.org/officeDocument/2006/relationships/ctrlProp" Target="../ctrlProps/ctrlProp344.xml"/><Relationship Id="rId44" Type="http://schemas.openxmlformats.org/officeDocument/2006/relationships/ctrlProp" Target="../ctrlProps/ctrlProp41.xml"/><Relationship Id="rId554" Type="http://schemas.openxmlformats.org/officeDocument/2006/relationships/ctrlProp" Target="../ctrlProps/ctrlProp551.xml"/><Relationship Id="rId761" Type="http://schemas.openxmlformats.org/officeDocument/2006/relationships/ctrlProp" Target="../ctrlProps/ctrlProp758.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414" Type="http://schemas.openxmlformats.org/officeDocument/2006/relationships/ctrlProp" Target="../ctrlProps/ctrlProp411.xml"/><Relationship Id="rId498" Type="http://schemas.openxmlformats.org/officeDocument/2006/relationships/ctrlProp" Target="../ctrlProps/ctrlProp495.xml"/><Relationship Id="rId621" Type="http://schemas.openxmlformats.org/officeDocument/2006/relationships/ctrlProp" Target="../ctrlProps/ctrlProp618.xml"/><Relationship Id="rId260" Type="http://schemas.openxmlformats.org/officeDocument/2006/relationships/ctrlProp" Target="../ctrlProps/ctrlProp257.xml"/><Relationship Id="rId719" Type="http://schemas.openxmlformats.org/officeDocument/2006/relationships/ctrlProp" Target="../ctrlProps/ctrlProp716.xml"/><Relationship Id="rId55" Type="http://schemas.openxmlformats.org/officeDocument/2006/relationships/ctrlProp" Target="../ctrlProps/ctrlProp52.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72" Type="http://schemas.openxmlformats.org/officeDocument/2006/relationships/ctrlProp" Target="../ctrlProps/ctrlProp769.xml"/><Relationship Id="rId218" Type="http://schemas.openxmlformats.org/officeDocument/2006/relationships/ctrlProp" Target="../ctrlProps/ctrlProp215.xml"/><Relationship Id="rId425" Type="http://schemas.openxmlformats.org/officeDocument/2006/relationships/ctrlProp" Target="../ctrlProps/ctrlProp422.xml"/><Relationship Id="rId632" Type="http://schemas.openxmlformats.org/officeDocument/2006/relationships/ctrlProp" Target="../ctrlProps/ctrlProp629.xml"/><Relationship Id="rId271" Type="http://schemas.openxmlformats.org/officeDocument/2006/relationships/ctrlProp" Target="../ctrlProps/ctrlProp268.xml"/><Relationship Id="rId66" Type="http://schemas.openxmlformats.org/officeDocument/2006/relationships/ctrlProp" Target="../ctrlProps/ctrlProp63.xml"/><Relationship Id="rId131" Type="http://schemas.openxmlformats.org/officeDocument/2006/relationships/ctrlProp" Target="../ctrlProps/ctrlProp128.xml"/><Relationship Id="rId369" Type="http://schemas.openxmlformats.org/officeDocument/2006/relationships/ctrlProp" Target="../ctrlProps/ctrlProp366.xml"/><Relationship Id="rId576" Type="http://schemas.openxmlformats.org/officeDocument/2006/relationships/ctrlProp" Target="../ctrlProps/ctrlProp573.xml"/><Relationship Id="rId783" Type="http://schemas.openxmlformats.org/officeDocument/2006/relationships/ctrlProp" Target="../ctrlProps/ctrlProp780.xml"/><Relationship Id="rId229" Type="http://schemas.openxmlformats.org/officeDocument/2006/relationships/ctrlProp" Target="../ctrlProps/ctrlProp226.xml"/><Relationship Id="rId436" Type="http://schemas.openxmlformats.org/officeDocument/2006/relationships/ctrlProp" Target="../ctrlProps/ctrlProp433.xml"/><Relationship Id="rId643" Type="http://schemas.openxmlformats.org/officeDocument/2006/relationships/ctrlProp" Target="../ctrlProps/ctrlProp640.xml"/><Relationship Id="rId850" Type="http://schemas.openxmlformats.org/officeDocument/2006/relationships/ctrlProp" Target="../ctrlProps/ctrlProp847.xml"/><Relationship Id="rId77" Type="http://schemas.openxmlformats.org/officeDocument/2006/relationships/ctrlProp" Target="../ctrlProps/ctrlProp74.xml"/><Relationship Id="rId282" Type="http://schemas.openxmlformats.org/officeDocument/2006/relationships/ctrlProp" Target="../ctrlProps/ctrlProp279.xml"/><Relationship Id="rId503" Type="http://schemas.openxmlformats.org/officeDocument/2006/relationships/ctrlProp" Target="../ctrlProps/ctrlProp500.xml"/><Relationship Id="rId587" Type="http://schemas.openxmlformats.org/officeDocument/2006/relationships/ctrlProp" Target="../ctrlProps/ctrlProp584.xml"/><Relationship Id="rId710" Type="http://schemas.openxmlformats.org/officeDocument/2006/relationships/ctrlProp" Target="../ctrlProps/ctrlProp707.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447" Type="http://schemas.openxmlformats.org/officeDocument/2006/relationships/ctrlProp" Target="../ctrlProps/ctrlProp444.xml"/><Relationship Id="rId794" Type="http://schemas.openxmlformats.org/officeDocument/2006/relationships/ctrlProp" Target="../ctrlProps/ctrlProp791.xml"/><Relationship Id="rId654" Type="http://schemas.openxmlformats.org/officeDocument/2006/relationships/ctrlProp" Target="../ctrlProps/ctrlProp651.xml"/><Relationship Id="rId861" Type="http://schemas.openxmlformats.org/officeDocument/2006/relationships/ctrlProp" Target="../ctrlProps/ctrlProp858.xml"/><Relationship Id="rId293" Type="http://schemas.openxmlformats.org/officeDocument/2006/relationships/ctrlProp" Target="../ctrlProps/ctrlProp290.xml"/><Relationship Id="rId307" Type="http://schemas.openxmlformats.org/officeDocument/2006/relationships/ctrlProp" Target="../ctrlProps/ctrlProp304.xml"/><Relationship Id="rId514" Type="http://schemas.openxmlformats.org/officeDocument/2006/relationships/ctrlProp" Target="../ctrlProps/ctrlProp511.xml"/><Relationship Id="rId721" Type="http://schemas.openxmlformats.org/officeDocument/2006/relationships/ctrlProp" Target="../ctrlProps/ctrlProp718.xml"/><Relationship Id="rId88" Type="http://schemas.openxmlformats.org/officeDocument/2006/relationships/ctrlProp" Target="../ctrlProps/ctrlProp85.xml"/><Relationship Id="rId153" Type="http://schemas.openxmlformats.org/officeDocument/2006/relationships/ctrlProp" Target="../ctrlProps/ctrlProp150.xml"/><Relationship Id="rId360" Type="http://schemas.openxmlformats.org/officeDocument/2006/relationships/ctrlProp" Target="../ctrlProps/ctrlProp357.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65" Type="http://schemas.openxmlformats.org/officeDocument/2006/relationships/ctrlProp" Target="../ctrlProps/ctrlProp662.xml"/><Relationship Id="rId872" Type="http://schemas.openxmlformats.org/officeDocument/2006/relationships/ctrlProp" Target="../ctrlProps/ctrlProp86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900.xml"/><Relationship Id="rId21" Type="http://schemas.openxmlformats.org/officeDocument/2006/relationships/ctrlProp" Target="../ctrlProps/ctrlProp895.xml"/><Relationship Id="rId42" Type="http://schemas.openxmlformats.org/officeDocument/2006/relationships/ctrlProp" Target="../ctrlProps/ctrlProp916.xml"/><Relationship Id="rId47" Type="http://schemas.openxmlformats.org/officeDocument/2006/relationships/ctrlProp" Target="../ctrlProps/ctrlProp921.xml"/><Relationship Id="rId63" Type="http://schemas.openxmlformats.org/officeDocument/2006/relationships/ctrlProp" Target="../ctrlProps/ctrlProp937.xml"/><Relationship Id="rId68" Type="http://schemas.openxmlformats.org/officeDocument/2006/relationships/ctrlProp" Target="../ctrlProps/ctrlProp942.xml"/><Relationship Id="rId84" Type="http://schemas.openxmlformats.org/officeDocument/2006/relationships/ctrlProp" Target="../ctrlProps/ctrlProp958.xml"/><Relationship Id="rId89" Type="http://schemas.openxmlformats.org/officeDocument/2006/relationships/ctrlProp" Target="../ctrlProps/ctrlProp963.xml"/><Relationship Id="rId16" Type="http://schemas.openxmlformats.org/officeDocument/2006/relationships/ctrlProp" Target="../ctrlProps/ctrlProp890.xml"/><Relationship Id="rId11" Type="http://schemas.openxmlformats.org/officeDocument/2006/relationships/ctrlProp" Target="../ctrlProps/ctrlProp885.xml"/><Relationship Id="rId32" Type="http://schemas.openxmlformats.org/officeDocument/2006/relationships/ctrlProp" Target="../ctrlProps/ctrlProp906.xml"/><Relationship Id="rId37" Type="http://schemas.openxmlformats.org/officeDocument/2006/relationships/ctrlProp" Target="../ctrlProps/ctrlProp911.xml"/><Relationship Id="rId53" Type="http://schemas.openxmlformats.org/officeDocument/2006/relationships/ctrlProp" Target="../ctrlProps/ctrlProp927.xml"/><Relationship Id="rId58" Type="http://schemas.openxmlformats.org/officeDocument/2006/relationships/ctrlProp" Target="../ctrlProps/ctrlProp932.xml"/><Relationship Id="rId74" Type="http://schemas.openxmlformats.org/officeDocument/2006/relationships/ctrlProp" Target="../ctrlProps/ctrlProp948.xml"/><Relationship Id="rId79" Type="http://schemas.openxmlformats.org/officeDocument/2006/relationships/ctrlProp" Target="../ctrlProps/ctrlProp953.xml"/><Relationship Id="rId5" Type="http://schemas.openxmlformats.org/officeDocument/2006/relationships/ctrlProp" Target="../ctrlProps/ctrlProp879.xml"/><Relationship Id="rId90" Type="http://schemas.openxmlformats.org/officeDocument/2006/relationships/ctrlProp" Target="../ctrlProps/ctrlProp964.xml"/><Relationship Id="rId14" Type="http://schemas.openxmlformats.org/officeDocument/2006/relationships/ctrlProp" Target="../ctrlProps/ctrlProp888.xml"/><Relationship Id="rId22" Type="http://schemas.openxmlformats.org/officeDocument/2006/relationships/ctrlProp" Target="../ctrlProps/ctrlProp896.xml"/><Relationship Id="rId27" Type="http://schemas.openxmlformats.org/officeDocument/2006/relationships/ctrlProp" Target="../ctrlProps/ctrlProp901.xml"/><Relationship Id="rId30" Type="http://schemas.openxmlformats.org/officeDocument/2006/relationships/ctrlProp" Target="../ctrlProps/ctrlProp904.xml"/><Relationship Id="rId35" Type="http://schemas.openxmlformats.org/officeDocument/2006/relationships/ctrlProp" Target="../ctrlProps/ctrlProp909.xml"/><Relationship Id="rId43" Type="http://schemas.openxmlformats.org/officeDocument/2006/relationships/ctrlProp" Target="../ctrlProps/ctrlProp917.xml"/><Relationship Id="rId48" Type="http://schemas.openxmlformats.org/officeDocument/2006/relationships/ctrlProp" Target="../ctrlProps/ctrlProp922.xml"/><Relationship Id="rId56" Type="http://schemas.openxmlformats.org/officeDocument/2006/relationships/ctrlProp" Target="../ctrlProps/ctrlProp930.xml"/><Relationship Id="rId64" Type="http://schemas.openxmlformats.org/officeDocument/2006/relationships/ctrlProp" Target="../ctrlProps/ctrlProp938.xml"/><Relationship Id="rId69" Type="http://schemas.openxmlformats.org/officeDocument/2006/relationships/ctrlProp" Target="../ctrlProps/ctrlProp943.xml"/><Relationship Id="rId77" Type="http://schemas.openxmlformats.org/officeDocument/2006/relationships/ctrlProp" Target="../ctrlProps/ctrlProp951.xml"/><Relationship Id="rId8" Type="http://schemas.openxmlformats.org/officeDocument/2006/relationships/ctrlProp" Target="../ctrlProps/ctrlProp882.xml"/><Relationship Id="rId51" Type="http://schemas.openxmlformats.org/officeDocument/2006/relationships/ctrlProp" Target="../ctrlProps/ctrlProp925.xml"/><Relationship Id="rId72" Type="http://schemas.openxmlformats.org/officeDocument/2006/relationships/ctrlProp" Target="../ctrlProps/ctrlProp946.xml"/><Relationship Id="rId80" Type="http://schemas.openxmlformats.org/officeDocument/2006/relationships/ctrlProp" Target="../ctrlProps/ctrlProp954.xml"/><Relationship Id="rId85" Type="http://schemas.openxmlformats.org/officeDocument/2006/relationships/ctrlProp" Target="../ctrlProps/ctrlProp959.xml"/><Relationship Id="rId3" Type="http://schemas.openxmlformats.org/officeDocument/2006/relationships/vmlDrawing" Target="../drawings/vmlDrawing2.vml"/><Relationship Id="rId12" Type="http://schemas.openxmlformats.org/officeDocument/2006/relationships/ctrlProp" Target="../ctrlProps/ctrlProp886.xml"/><Relationship Id="rId17" Type="http://schemas.openxmlformats.org/officeDocument/2006/relationships/ctrlProp" Target="../ctrlProps/ctrlProp891.xml"/><Relationship Id="rId25" Type="http://schemas.openxmlformats.org/officeDocument/2006/relationships/ctrlProp" Target="../ctrlProps/ctrlProp899.xml"/><Relationship Id="rId33" Type="http://schemas.openxmlformats.org/officeDocument/2006/relationships/ctrlProp" Target="../ctrlProps/ctrlProp907.xml"/><Relationship Id="rId38" Type="http://schemas.openxmlformats.org/officeDocument/2006/relationships/ctrlProp" Target="../ctrlProps/ctrlProp912.xml"/><Relationship Id="rId46" Type="http://schemas.openxmlformats.org/officeDocument/2006/relationships/ctrlProp" Target="../ctrlProps/ctrlProp920.xml"/><Relationship Id="rId59" Type="http://schemas.openxmlformats.org/officeDocument/2006/relationships/ctrlProp" Target="../ctrlProps/ctrlProp933.xml"/><Relationship Id="rId67" Type="http://schemas.openxmlformats.org/officeDocument/2006/relationships/ctrlProp" Target="../ctrlProps/ctrlProp941.xml"/><Relationship Id="rId20" Type="http://schemas.openxmlformats.org/officeDocument/2006/relationships/ctrlProp" Target="../ctrlProps/ctrlProp894.xml"/><Relationship Id="rId41" Type="http://schemas.openxmlformats.org/officeDocument/2006/relationships/ctrlProp" Target="../ctrlProps/ctrlProp915.xml"/><Relationship Id="rId54" Type="http://schemas.openxmlformats.org/officeDocument/2006/relationships/ctrlProp" Target="../ctrlProps/ctrlProp928.xml"/><Relationship Id="rId62" Type="http://schemas.openxmlformats.org/officeDocument/2006/relationships/ctrlProp" Target="../ctrlProps/ctrlProp936.xml"/><Relationship Id="rId70" Type="http://schemas.openxmlformats.org/officeDocument/2006/relationships/ctrlProp" Target="../ctrlProps/ctrlProp944.xml"/><Relationship Id="rId75" Type="http://schemas.openxmlformats.org/officeDocument/2006/relationships/ctrlProp" Target="../ctrlProps/ctrlProp949.xml"/><Relationship Id="rId83" Type="http://schemas.openxmlformats.org/officeDocument/2006/relationships/ctrlProp" Target="../ctrlProps/ctrlProp957.xml"/><Relationship Id="rId88" Type="http://schemas.openxmlformats.org/officeDocument/2006/relationships/ctrlProp" Target="../ctrlProps/ctrlProp962.xml"/><Relationship Id="rId91" Type="http://schemas.openxmlformats.org/officeDocument/2006/relationships/ctrlProp" Target="../ctrlProps/ctrlProp965.xml"/><Relationship Id="rId1" Type="http://schemas.openxmlformats.org/officeDocument/2006/relationships/printerSettings" Target="../printerSettings/printerSettings4.bin"/><Relationship Id="rId6" Type="http://schemas.openxmlformats.org/officeDocument/2006/relationships/ctrlProp" Target="../ctrlProps/ctrlProp880.xml"/><Relationship Id="rId15" Type="http://schemas.openxmlformats.org/officeDocument/2006/relationships/ctrlProp" Target="../ctrlProps/ctrlProp889.xml"/><Relationship Id="rId23" Type="http://schemas.openxmlformats.org/officeDocument/2006/relationships/ctrlProp" Target="../ctrlProps/ctrlProp897.xml"/><Relationship Id="rId28" Type="http://schemas.openxmlformats.org/officeDocument/2006/relationships/ctrlProp" Target="../ctrlProps/ctrlProp902.xml"/><Relationship Id="rId36" Type="http://schemas.openxmlformats.org/officeDocument/2006/relationships/ctrlProp" Target="../ctrlProps/ctrlProp910.xml"/><Relationship Id="rId49" Type="http://schemas.openxmlformats.org/officeDocument/2006/relationships/ctrlProp" Target="../ctrlProps/ctrlProp923.xml"/><Relationship Id="rId57" Type="http://schemas.openxmlformats.org/officeDocument/2006/relationships/ctrlProp" Target="../ctrlProps/ctrlProp931.xml"/><Relationship Id="rId10" Type="http://schemas.openxmlformats.org/officeDocument/2006/relationships/ctrlProp" Target="../ctrlProps/ctrlProp884.xml"/><Relationship Id="rId31" Type="http://schemas.openxmlformats.org/officeDocument/2006/relationships/ctrlProp" Target="../ctrlProps/ctrlProp905.xml"/><Relationship Id="rId44" Type="http://schemas.openxmlformats.org/officeDocument/2006/relationships/ctrlProp" Target="../ctrlProps/ctrlProp918.xml"/><Relationship Id="rId52" Type="http://schemas.openxmlformats.org/officeDocument/2006/relationships/ctrlProp" Target="../ctrlProps/ctrlProp926.xml"/><Relationship Id="rId60" Type="http://schemas.openxmlformats.org/officeDocument/2006/relationships/ctrlProp" Target="../ctrlProps/ctrlProp934.xml"/><Relationship Id="rId65" Type="http://schemas.openxmlformats.org/officeDocument/2006/relationships/ctrlProp" Target="../ctrlProps/ctrlProp939.xml"/><Relationship Id="rId73" Type="http://schemas.openxmlformats.org/officeDocument/2006/relationships/ctrlProp" Target="../ctrlProps/ctrlProp947.xml"/><Relationship Id="rId78" Type="http://schemas.openxmlformats.org/officeDocument/2006/relationships/ctrlProp" Target="../ctrlProps/ctrlProp952.xml"/><Relationship Id="rId81" Type="http://schemas.openxmlformats.org/officeDocument/2006/relationships/ctrlProp" Target="../ctrlProps/ctrlProp955.xml"/><Relationship Id="rId86" Type="http://schemas.openxmlformats.org/officeDocument/2006/relationships/ctrlProp" Target="../ctrlProps/ctrlProp960.xml"/><Relationship Id="rId4" Type="http://schemas.openxmlformats.org/officeDocument/2006/relationships/ctrlProp" Target="../ctrlProps/ctrlProp878.xml"/><Relationship Id="rId9" Type="http://schemas.openxmlformats.org/officeDocument/2006/relationships/ctrlProp" Target="../ctrlProps/ctrlProp883.xml"/><Relationship Id="rId13" Type="http://schemas.openxmlformats.org/officeDocument/2006/relationships/ctrlProp" Target="../ctrlProps/ctrlProp887.xml"/><Relationship Id="rId18" Type="http://schemas.openxmlformats.org/officeDocument/2006/relationships/ctrlProp" Target="../ctrlProps/ctrlProp892.xml"/><Relationship Id="rId39" Type="http://schemas.openxmlformats.org/officeDocument/2006/relationships/ctrlProp" Target="../ctrlProps/ctrlProp913.xml"/><Relationship Id="rId34" Type="http://schemas.openxmlformats.org/officeDocument/2006/relationships/ctrlProp" Target="../ctrlProps/ctrlProp908.xml"/><Relationship Id="rId50" Type="http://schemas.openxmlformats.org/officeDocument/2006/relationships/ctrlProp" Target="../ctrlProps/ctrlProp924.xml"/><Relationship Id="rId55" Type="http://schemas.openxmlformats.org/officeDocument/2006/relationships/ctrlProp" Target="../ctrlProps/ctrlProp929.xml"/><Relationship Id="rId76" Type="http://schemas.openxmlformats.org/officeDocument/2006/relationships/ctrlProp" Target="../ctrlProps/ctrlProp950.xml"/><Relationship Id="rId7" Type="http://schemas.openxmlformats.org/officeDocument/2006/relationships/ctrlProp" Target="../ctrlProps/ctrlProp881.xml"/><Relationship Id="rId71" Type="http://schemas.openxmlformats.org/officeDocument/2006/relationships/ctrlProp" Target="../ctrlProps/ctrlProp945.xml"/><Relationship Id="rId92" Type="http://schemas.openxmlformats.org/officeDocument/2006/relationships/ctrlProp" Target="../ctrlProps/ctrlProp966.xml"/><Relationship Id="rId2" Type="http://schemas.openxmlformats.org/officeDocument/2006/relationships/drawing" Target="../drawings/drawing2.xml"/><Relationship Id="rId29" Type="http://schemas.openxmlformats.org/officeDocument/2006/relationships/ctrlProp" Target="../ctrlProps/ctrlProp903.xml"/><Relationship Id="rId24" Type="http://schemas.openxmlformats.org/officeDocument/2006/relationships/ctrlProp" Target="../ctrlProps/ctrlProp898.xml"/><Relationship Id="rId40" Type="http://schemas.openxmlformats.org/officeDocument/2006/relationships/ctrlProp" Target="../ctrlProps/ctrlProp914.xml"/><Relationship Id="rId45" Type="http://schemas.openxmlformats.org/officeDocument/2006/relationships/ctrlProp" Target="../ctrlProps/ctrlProp919.xml"/><Relationship Id="rId66" Type="http://schemas.openxmlformats.org/officeDocument/2006/relationships/ctrlProp" Target="../ctrlProps/ctrlProp940.xml"/><Relationship Id="rId87" Type="http://schemas.openxmlformats.org/officeDocument/2006/relationships/ctrlProp" Target="../ctrlProps/ctrlProp961.xml"/><Relationship Id="rId61" Type="http://schemas.openxmlformats.org/officeDocument/2006/relationships/ctrlProp" Target="../ctrlProps/ctrlProp935.xml"/><Relationship Id="rId82" Type="http://schemas.openxmlformats.org/officeDocument/2006/relationships/ctrlProp" Target="../ctrlProps/ctrlProp956.xml"/><Relationship Id="rId19" Type="http://schemas.openxmlformats.org/officeDocument/2006/relationships/ctrlProp" Target="../ctrlProps/ctrlProp89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5">
    <pageSetUpPr fitToPage="1"/>
  </sheetPr>
  <dimension ref="A1:FD4413"/>
  <sheetViews>
    <sheetView tabSelected="1" zoomScale="70" zoomScaleNormal="70" workbookViewId="0">
      <selection activeCell="G33" sqref="G33"/>
    </sheetView>
  </sheetViews>
  <sheetFormatPr defaultRowHeight="13.2" x14ac:dyDescent="0.25"/>
  <cols>
    <col min="1" max="1" width="2.33203125" customWidth="1"/>
    <col min="2" max="2" width="24.5546875" customWidth="1"/>
    <col min="3" max="3" width="10.6640625" customWidth="1"/>
    <col min="4" max="4" width="12.88671875" customWidth="1"/>
    <col min="5" max="5" width="25.6640625" customWidth="1"/>
    <col min="6" max="6" width="12.44140625" customWidth="1"/>
    <col min="7" max="8" width="27.109375" customWidth="1"/>
    <col min="9" max="9" width="14.6640625" customWidth="1"/>
    <col min="10" max="10" width="15.6640625" customWidth="1"/>
    <col min="11" max="11" width="27.44140625" customWidth="1"/>
    <col min="12" max="12" width="20.33203125" customWidth="1"/>
    <col min="13" max="13" width="27.6640625" customWidth="1"/>
    <col min="14" max="20" width="3.6640625" customWidth="1"/>
    <col min="21" max="21" width="6.44140625" customWidth="1"/>
    <col min="22" max="22" width="6.109375" customWidth="1"/>
    <col min="23" max="25" width="5.6640625" customWidth="1"/>
    <col min="26" max="26" width="6.109375" customWidth="1"/>
    <col min="27" max="27" width="6.33203125" customWidth="1"/>
    <col min="28" max="32" width="5.6640625" customWidth="1"/>
    <col min="33" max="34" width="6" customWidth="1"/>
    <col min="35" max="35" width="5.6640625" customWidth="1"/>
    <col min="36" max="36" width="6.33203125" customWidth="1"/>
    <col min="37" max="37" width="6.5546875" customWidth="1"/>
    <col min="38" max="38" width="5.6640625" customWidth="1"/>
    <col min="39" max="40" width="6" customWidth="1"/>
    <col min="41" max="41" width="5.6640625" customWidth="1"/>
    <col min="42" max="43" width="6.109375" customWidth="1"/>
    <col min="44" max="44" width="5.6640625" customWidth="1"/>
    <col min="45" max="45" width="6.6640625" customWidth="1"/>
    <col min="46" max="46" width="7.44140625" customWidth="1"/>
    <col min="47" max="47" width="5.6640625" customWidth="1"/>
    <col min="48" max="48" width="6.33203125" customWidth="1"/>
    <col min="49" max="50" width="5.6640625" customWidth="1"/>
    <col min="51" max="51" width="7.33203125" bestFit="1" customWidth="1"/>
    <col min="53" max="53" width="0.6640625" customWidth="1"/>
    <col min="55" max="55" width="30.33203125" customWidth="1"/>
    <col min="56" max="56" width="51.109375" customWidth="1"/>
    <col min="57" max="57" width="21.5546875" customWidth="1"/>
    <col min="58" max="58" width="21" customWidth="1"/>
    <col min="59" max="59" width="21.33203125" customWidth="1"/>
    <col min="60" max="60" width="21.109375" customWidth="1"/>
    <col min="79" max="79" width="0.6640625" customWidth="1"/>
    <col min="81" max="81" width="30.33203125" customWidth="1"/>
    <col min="82" max="82" width="51.33203125" customWidth="1"/>
    <col min="83" max="83" width="21.5546875" customWidth="1"/>
    <col min="84" max="84" width="20.88671875" customWidth="1"/>
    <col min="85" max="85" width="21.33203125" customWidth="1"/>
    <col min="86" max="86" width="21.109375" customWidth="1"/>
    <col min="133" max="133" width="9.5546875" customWidth="1"/>
    <col min="134" max="134" width="9.88671875" customWidth="1"/>
    <col min="135" max="135" width="9.5546875" customWidth="1"/>
    <col min="136" max="136" width="9.88671875" customWidth="1"/>
    <col min="139" max="139" width="10.109375" bestFit="1" customWidth="1"/>
    <col min="153" max="153" width="22" customWidth="1"/>
    <col min="156" max="156" width="29.44140625" customWidth="1"/>
    <col min="157" max="157" width="12" customWidth="1"/>
    <col min="158" max="158" width="33" customWidth="1"/>
    <col min="159" max="159" width="28.109375" customWidth="1"/>
  </cols>
  <sheetData>
    <row r="1" spans="2:160" ht="36.75" customHeight="1" x14ac:dyDescent="0.25">
      <c r="B1" s="1" t="s">
        <v>0</v>
      </c>
      <c r="C1" s="2"/>
      <c r="D1" s="191"/>
      <c r="E1" s="192"/>
      <c r="F1" s="192"/>
      <c r="G1" s="192"/>
      <c r="H1" s="193"/>
      <c r="I1" s="193"/>
      <c r="CR1" s="131" t="s">
        <v>1</v>
      </c>
      <c r="CY1" s="132" t="s">
        <v>2</v>
      </c>
      <c r="CZ1" s="132"/>
      <c r="DA1" s="132"/>
      <c r="DB1" s="132"/>
      <c r="DC1" s="132"/>
      <c r="DV1" s="96">
        <v>26</v>
      </c>
      <c r="EB1" s="414"/>
      <c r="EI1" s="415"/>
      <c r="EJ1" s="132"/>
      <c r="EK1" s="132"/>
      <c r="EL1" s="132"/>
      <c r="EM1" s="132"/>
      <c r="EV1" s="190" t="s">
        <v>3</v>
      </c>
      <c r="EW1" s="158"/>
      <c r="EX1" s="158"/>
      <c r="EY1" s="158"/>
      <c r="EZ1" s="158"/>
      <c r="FA1" s="158"/>
      <c r="FB1" s="158"/>
      <c r="FC1" s="158"/>
      <c r="FD1" s="158"/>
    </row>
    <row r="2" spans="2:160" ht="12.75" customHeight="1" x14ac:dyDescent="0.35">
      <c r="B2" s="4"/>
      <c r="C2" s="4"/>
      <c r="D2" s="5"/>
      <c r="E2" s="5"/>
      <c r="F2" s="5"/>
      <c r="G2" s="5"/>
      <c r="X2" s="15"/>
      <c r="Y2" s="15"/>
      <c r="Z2" s="15"/>
      <c r="AA2" s="15"/>
      <c r="AB2" s="15"/>
      <c r="AC2" s="158" t="s">
        <v>4</v>
      </c>
      <c r="AD2" s="158" t="s">
        <v>5</v>
      </c>
      <c r="AE2" s="158"/>
      <c r="AF2" s="15"/>
      <c r="AG2" s="15"/>
      <c r="AH2" s="15"/>
      <c r="AI2" s="15"/>
      <c r="CQ2" s="130"/>
      <c r="CR2" s="130"/>
      <c r="CS2" s="476" t="s">
        <v>6</v>
      </c>
      <c r="CT2" s="476"/>
      <c r="CU2" s="476"/>
      <c r="CV2" s="476"/>
      <c r="CW2" s="476"/>
      <c r="CX2" s="476"/>
      <c r="CY2" s="476"/>
      <c r="CZ2" s="476"/>
      <c r="DA2" s="476"/>
      <c r="DB2" s="476"/>
      <c r="DC2" s="476"/>
      <c r="DD2" s="476"/>
      <c r="DE2" s="476"/>
      <c r="DF2" s="476"/>
      <c r="DG2" s="476"/>
      <c r="DH2" s="476"/>
      <c r="DI2" s="130"/>
      <c r="DJ2" s="130"/>
      <c r="DK2" s="130"/>
      <c r="DL2" s="130"/>
      <c r="DM2" s="130"/>
      <c r="EB2" s="416"/>
      <c r="EC2" s="417"/>
      <c r="ED2" s="417"/>
      <c r="EE2" s="417"/>
      <c r="EF2" s="417"/>
      <c r="EG2" s="417"/>
      <c r="EH2" s="417"/>
      <c r="EI2" s="417"/>
      <c r="EJ2" s="417"/>
      <c r="EK2" s="417"/>
      <c r="EL2" s="417"/>
      <c r="EM2" s="417"/>
      <c r="EN2" s="417"/>
      <c r="EO2" s="417"/>
      <c r="EP2" s="417"/>
      <c r="EQ2" s="417"/>
      <c r="ER2" s="417"/>
      <c r="EV2" s="158"/>
      <c r="EW2" s="158" t="s">
        <v>7</v>
      </c>
      <c r="EX2" s="158"/>
      <c r="EY2" s="158"/>
      <c r="EZ2" s="158"/>
      <c r="FA2" s="158" t="s">
        <v>8</v>
      </c>
      <c r="FB2" s="158"/>
      <c r="FC2" s="158"/>
      <c r="FD2" s="158"/>
    </row>
    <row r="3" spans="2:160" ht="12.75" customHeight="1" x14ac:dyDescent="0.25">
      <c r="B3" s="6"/>
      <c r="D3" s="7"/>
      <c r="E3" s="156" t="s">
        <v>9</v>
      </c>
      <c r="F3" s="7"/>
      <c r="G3" s="7"/>
      <c r="H3" s="16"/>
      <c r="K3" s="465" t="str">
        <f>L39</f>
        <v>X.002-218-2024(NT)&amp;N.004-116-2024(T)</v>
      </c>
      <c r="L3" s="465"/>
      <c r="X3" s="15"/>
      <c r="Y3" s="15"/>
      <c r="Z3" s="15"/>
      <c r="AA3" s="15"/>
      <c r="AB3" s="15"/>
      <c r="AC3" s="158"/>
      <c r="AD3" s="158"/>
      <c r="AE3" s="158"/>
      <c r="AF3" s="15"/>
      <c r="AG3" s="15"/>
      <c r="AH3" s="15"/>
      <c r="AI3" s="15"/>
      <c r="CB3" s="8"/>
      <c r="CP3" s="130"/>
      <c r="CQ3" s="130"/>
      <c r="CR3" s="130"/>
      <c r="CS3" s="476"/>
      <c r="CT3" s="476"/>
      <c r="CU3" s="476"/>
      <c r="CV3" s="476"/>
      <c r="CW3" s="476"/>
      <c r="CX3" s="476"/>
      <c r="CY3" s="476"/>
      <c r="CZ3" s="476"/>
      <c r="DA3" s="476"/>
      <c r="DB3" s="476"/>
      <c r="DC3" s="476"/>
      <c r="DD3" s="476"/>
      <c r="DE3" s="476"/>
      <c r="DF3" s="476"/>
      <c r="DG3" s="476"/>
      <c r="DH3" s="476"/>
      <c r="DI3" s="130"/>
      <c r="DJ3" s="130"/>
      <c r="DK3" s="130"/>
      <c r="DL3" s="130"/>
      <c r="DM3" s="130"/>
      <c r="EB3" s="416"/>
      <c r="EC3" s="417"/>
      <c r="ED3" s="417"/>
      <c r="EE3" s="417"/>
      <c r="EF3" s="417"/>
      <c r="EG3" s="417"/>
      <c r="EH3" s="417"/>
      <c r="EI3" s="417"/>
      <c r="EJ3" s="417"/>
      <c r="EK3" s="417"/>
      <c r="EL3" s="417"/>
      <c r="EM3" s="417"/>
      <c r="EN3" s="417"/>
      <c r="EO3" s="417"/>
      <c r="EP3" s="417"/>
      <c r="EQ3" s="417"/>
      <c r="ER3" s="417"/>
      <c r="EV3" s="158">
        <v>1</v>
      </c>
      <c r="EW3" s="165" t="s">
        <v>10</v>
      </c>
      <c r="EX3" s="158"/>
      <c r="EY3" s="158"/>
      <c r="EZ3" s="158">
        <v>1</v>
      </c>
      <c r="FA3" s="158" t="s">
        <v>11</v>
      </c>
      <c r="FB3" s="158" t="s">
        <v>12</v>
      </c>
      <c r="FC3" s="158" t="s">
        <v>13</v>
      </c>
      <c r="FD3" s="158" t="s">
        <v>14</v>
      </c>
    </row>
    <row r="4" spans="2:160" ht="12.75" customHeight="1" thickBot="1" x14ac:dyDescent="0.3">
      <c r="B4" s="6"/>
      <c r="D4" s="9"/>
      <c r="E4" s="9"/>
      <c r="F4" s="9"/>
      <c r="G4" s="9"/>
      <c r="H4" s="16"/>
      <c r="K4" s="465"/>
      <c r="L4" s="465"/>
      <c r="X4" s="15"/>
      <c r="Y4" s="15"/>
      <c r="Z4" s="15"/>
      <c r="AA4" s="15"/>
      <c r="AB4" s="15"/>
      <c r="AC4" s="158">
        <v>3</v>
      </c>
      <c r="AD4" s="158">
        <v>1</v>
      </c>
      <c r="AE4" s="158">
        <f>IF('TEND 1X'!$C$33=1,IF('TEND 1X'!$F$3333=1,1,0),0)</f>
        <v>1</v>
      </c>
      <c r="AF4" s="15"/>
      <c r="AG4" s="15"/>
      <c r="AH4" s="15"/>
      <c r="AI4" s="15"/>
      <c r="CB4" s="8"/>
      <c r="CP4" s="130"/>
      <c r="CQ4" s="130"/>
      <c r="CR4" s="130"/>
      <c r="CS4" s="476"/>
      <c r="CT4" s="476"/>
      <c r="CU4" s="476"/>
      <c r="CV4" s="476"/>
      <c r="CW4" s="476"/>
      <c r="CX4" s="476"/>
      <c r="CY4" s="476"/>
      <c r="CZ4" s="476"/>
      <c r="DA4" s="476"/>
      <c r="DB4" s="476"/>
      <c r="DC4" s="476"/>
      <c r="DD4" s="476"/>
      <c r="DE4" s="476"/>
      <c r="DF4" s="476"/>
      <c r="DG4" s="476"/>
      <c r="DH4" s="476"/>
      <c r="DI4" s="130"/>
      <c r="DJ4" s="130"/>
      <c r="DK4" s="130"/>
      <c r="DL4" s="130"/>
      <c r="DM4" s="130"/>
      <c r="EB4" s="416"/>
      <c r="EC4" s="417"/>
      <c r="ED4" s="417"/>
      <c r="EE4" s="417"/>
      <c r="EF4" s="417"/>
      <c r="EG4" s="417"/>
      <c r="EH4" s="417"/>
      <c r="EI4" s="417"/>
      <c r="EJ4" s="417"/>
      <c r="EK4" s="417"/>
      <c r="EL4" s="417"/>
      <c r="EM4" s="417"/>
      <c r="EN4" s="417"/>
      <c r="EO4" s="417"/>
      <c r="EP4" s="417"/>
      <c r="EQ4" s="417"/>
      <c r="ER4" s="417"/>
      <c r="EV4" s="158">
        <v>2</v>
      </c>
      <c r="EW4" s="165" t="s">
        <v>15</v>
      </c>
      <c r="EX4" s="158"/>
      <c r="EY4" s="158"/>
      <c r="EZ4" s="158">
        <v>2</v>
      </c>
      <c r="FA4" s="158" t="s">
        <v>16</v>
      </c>
      <c r="FB4" s="158" t="s">
        <v>12</v>
      </c>
      <c r="FC4" s="158" t="s">
        <v>13</v>
      </c>
      <c r="FD4" s="158" t="s">
        <v>14</v>
      </c>
    </row>
    <row r="5" spans="2:160" ht="12.75" customHeight="1" x14ac:dyDescent="0.25">
      <c r="B5" s="135" t="s">
        <v>17</v>
      </c>
      <c r="C5" s="135"/>
      <c r="D5" s="135"/>
      <c r="E5" s="136" t="s">
        <v>18</v>
      </c>
      <c r="F5" s="136"/>
      <c r="G5" s="136" t="s">
        <v>19</v>
      </c>
      <c r="H5" s="136"/>
      <c r="I5" s="136"/>
      <c r="J5" s="8"/>
      <c r="K5" s="8"/>
      <c r="L5" s="8"/>
      <c r="M5" s="218" t="s">
        <v>20</v>
      </c>
      <c r="N5" s="11"/>
      <c r="O5" s="11"/>
      <c r="X5" s="15"/>
      <c r="Y5" s="15"/>
      <c r="Z5" s="15"/>
      <c r="AA5" s="15"/>
      <c r="AB5" s="15"/>
      <c r="AC5" s="158">
        <v>3</v>
      </c>
      <c r="AD5" s="158">
        <v>2</v>
      </c>
      <c r="AE5" s="158">
        <f>IF('TEND 1X'!$C$33=1,IF('TEND 1X'!$F$3333&gt;1,1,0),0)</f>
        <v>0</v>
      </c>
      <c r="AF5" s="15"/>
      <c r="AG5" s="15"/>
      <c r="AH5" s="15"/>
      <c r="AI5" s="15"/>
      <c r="CB5" s="8"/>
      <c r="CP5" s="130"/>
      <c r="CQ5" s="130"/>
      <c r="CR5" s="130"/>
      <c r="CS5" s="476"/>
      <c r="CT5" s="476"/>
      <c r="CU5" s="476"/>
      <c r="CV5" s="476"/>
      <c r="CW5" s="476"/>
      <c r="CX5" s="476"/>
      <c r="CY5" s="476"/>
      <c r="CZ5" s="476"/>
      <c r="DA5" s="476"/>
      <c r="DB5" s="476"/>
      <c r="DC5" s="476"/>
      <c r="DD5" s="476"/>
      <c r="DE5" s="476"/>
      <c r="DF5" s="476"/>
      <c r="DG5" s="476"/>
      <c r="DH5" s="476"/>
      <c r="DI5" s="130"/>
      <c r="DJ5" s="130"/>
      <c r="DK5" s="130"/>
      <c r="DL5" s="130"/>
      <c r="DM5" s="130"/>
      <c r="EB5" s="416"/>
      <c r="EC5" s="417"/>
      <c r="ED5" s="417"/>
      <c r="EE5" s="417"/>
      <c r="EF5" s="417"/>
      <c r="EG5" s="417"/>
      <c r="EH5" s="417"/>
      <c r="EI5" s="417"/>
      <c r="EJ5" s="417"/>
      <c r="EK5" s="417"/>
      <c r="EL5" s="417"/>
      <c r="EM5" s="417"/>
      <c r="EN5" s="417"/>
      <c r="EO5" s="417"/>
      <c r="EP5" s="417"/>
      <c r="EQ5" s="417"/>
      <c r="ER5" s="417"/>
      <c r="EV5" s="158">
        <v>3</v>
      </c>
      <c r="EW5" s="165" t="s">
        <v>21</v>
      </c>
      <c r="EX5" s="158"/>
      <c r="EY5" s="158"/>
      <c r="EZ5" s="158">
        <v>3</v>
      </c>
      <c r="FA5" s="158" t="s">
        <v>22</v>
      </c>
      <c r="FB5" s="158" t="s">
        <v>23</v>
      </c>
      <c r="FC5" s="158" t="s">
        <v>13</v>
      </c>
      <c r="FD5" s="158" t="s">
        <v>22</v>
      </c>
    </row>
    <row r="6" spans="2:160" ht="12.75" customHeight="1" x14ac:dyDescent="0.25">
      <c r="B6" s="95">
        <f>IF(M3341&gt;20,3,IF(M3341&gt;10,2,1))</f>
        <v>1</v>
      </c>
      <c r="C6" s="96"/>
      <c r="D6" s="133"/>
      <c r="E6" s="134">
        <v>3</v>
      </c>
      <c r="F6" s="95"/>
      <c r="G6" s="134">
        <v>1</v>
      </c>
      <c r="H6" s="96"/>
      <c r="I6" s="96"/>
      <c r="J6" s="12"/>
      <c r="K6" s="215"/>
      <c r="L6" s="215"/>
      <c r="M6" s="219" t="s">
        <v>24</v>
      </c>
      <c r="X6" s="15"/>
      <c r="Y6" s="15"/>
      <c r="Z6" s="15"/>
      <c r="AA6" s="15"/>
      <c r="AB6" s="15"/>
      <c r="AC6" s="158">
        <v>3</v>
      </c>
      <c r="AD6" s="158">
        <v>3</v>
      </c>
      <c r="AE6" s="158">
        <f>IF('TEND 1X'!$C$33=1,IF('TEND 1X'!$F$3333=3,1,0),0)</f>
        <v>0</v>
      </c>
      <c r="AF6" s="15"/>
      <c r="AG6" s="15"/>
      <c r="AH6" s="15"/>
      <c r="AI6" s="15"/>
      <c r="CB6" s="8"/>
      <c r="CP6" s="130"/>
      <c r="CQ6" s="130"/>
      <c r="CR6" s="130"/>
      <c r="CS6" s="476"/>
      <c r="CT6" s="476"/>
      <c r="CU6" s="476"/>
      <c r="CV6" s="476"/>
      <c r="CW6" s="476"/>
      <c r="CX6" s="476"/>
      <c r="CY6" s="476"/>
      <c r="CZ6" s="476"/>
      <c r="DA6" s="476"/>
      <c r="DB6" s="476"/>
      <c r="DC6" s="476"/>
      <c r="DD6" s="476"/>
      <c r="DE6" s="476"/>
      <c r="DF6" s="476"/>
      <c r="DG6" s="476"/>
      <c r="DH6" s="476"/>
      <c r="DI6" s="130"/>
      <c r="DJ6" s="130"/>
      <c r="DK6" s="130"/>
      <c r="DL6" s="130"/>
      <c r="DM6" s="130"/>
      <c r="EB6" s="416"/>
      <c r="EC6" s="417"/>
      <c r="ED6" s="417"/>
      <c r="EE6" s="417"/>
      <c r="EF6" s="417"/>
      <c r="EG6" s="417"/>
      <c r="EH6" s="417"/>
      <c r="EI6" s="417"/>
      <c r="EJ6" s="417"/>
      <c r="EK6" s="417"/>
      <c r="EL6" s="417"/>
      <c r="EM6" s="417"/>
      <c r="EN6" s="417"/>
      <c r="EO6" s="417"/>
      <c r="EP6" s="417"/>
      <c r="EQ6" s="417"/>
      <c r="ER6" s="417"/>
      <c r="EV6" s="158">
        <v>4</v>
      </c>
      <c r="EW6" s="165" t="s">
        <v>25</v>
      </c>
      <c r="EX6" s="158"/>
      <c r="EY6" s="158"/>
      <c r="EZ6" s="158">
        <v>4</v>
      </c>
      <c r="FA6" s="158" t="s">
        <v>26</v>
      </c>
      <c r="FB6" s="158" t="s">
        <v>27</v>
      </c>
      <c r="FC6" s="158" t="s">
        <v>28</v>
      </c>
      <c r="FD6" s="158" t="s">
        <v>29</v>
      </c>
    </row>
    <row r="7" spans="2:160" ht="12.75" customHeight="1" thickBot="1" x14ac:dyDescent="0.3">
      <c r="D7" s="9"/>
      <c r="K7" s="215"/>
      <c r="L7" s="215"/>
      <c r="M7" s="220" t="s">
        <v>30</v>
      </c>
      <c r="X7" s="15"/>
      <c r="Y7" s="15"/>
      <c r="Z7" s="15"/>
      <c r="AA7" s="15"/>
      <c r="AB7" s="15"/>
      <c r="AC7" s="15"/>
      <c r="AD7" s="8"/>
      <c r="AE7" s="15"/>
      <c r="AF7" s="15"/>
      <c r="AG7" s="15"/>
      <c r="AH7" s="15"/>
      <c r="AI7" s="15"/>
      <c r="CB7" s="8"/>
      <c r="CP7" s="130"/>
      <c r="CQ7" s="130"/>
      <c r="CR7" s="130"/>
      <c r="CS7" s="476"/>
      <c r="CT7" s="476"/>
      <c r="CU7" s="476"/>
      <c r="CV7" s="476"/>
      <c r="CW7" s="476"/>
      <c r="CX7" s="476"/>
      <c r="CY7" s="476"/>
      <c r="CZ7" s="476"/>
      <c r="DA7" s="476"/>
      <c r="DB7" s="476"/>
      <c r="DC7" s="476"/>
      <c r="DD7" s="476"/>
      <c r="DE7" s="476"/>
      <c r="DF7" s="476"/>
      <c r="DG7" s="476"/>
      <c r="DH7" s="476"/>
      <c r="DI7" s="130"/>
      <c r="DJ7" s="130"/>
      <c r="DK7" s="130"/>
      <c r="DL7" s="130"/>
      <c r="DM7" s="130"/>
      <c r="EB7" s="416"/>
      <c r="EC7" s="417"/>
      <c r="ED7" s="417"/>
      <c r="EE7" s="417"/>
      <c r="EF7" s="417"/>
      <c r="EG7" s="417"/>
      <c r="EH7" s="417"/>
      <c r="EI7" s="417"/>
      <c r="EJ7" s="417"/>
      <c r="EK7" s="417"/>
      <c r="EL7" s="417"/>
      <c r="EM7" s="417"/>
      <c r="EN7" s="417"/>
      <c r="EO7" s="417"/>
      <c r="EP7" s="417"/>
      <c r="EQ7" s="417"/>
      <c r="ER7" s="417"/>
      <c r="EV7" s="158">
        <v>5</v>
      </c>
      <c r="EW7" s="165" t="s">
        <v>31</v>
      </c>
      <c r="EX7" s="158"/>
      <c r="EY7" s="158"/>
      <c r="EZ7" s="158">
        <v>5</v>
      </c>
      <c r="FA7" s="158" t="s">
        <v>32</v>
      </c>
      <c r="FB7" s="158" t="s">
        <v>27</v>
      </c>
      <c r="FC7" s="158" t="s">
        <v>28</v>
      </c>
      <c r="FD7" s="158" t="s">
        <v>29</v>
      </c>
    </row>
    <row r="8" spans="2:160" ht="12.75" customHeight="1" x14ac:dyDescent="0.25">
      <c r="B8" s="6"/>
      <c r="C8" s="137"/>
      <c r="D8" s="138"/>
      <c r="E8" s="138"/>
      <c r="F8" s="138"/>
      <c r="G8" s="138"/>
      <c r="H8" s="378"/>
      <c r="J8" s="3"/>
      <c r="K8" s="3"/>
      <c r="L8" s="14"/>
      <c r="M8" s="10"/>
      <c r="X8" s="15"/>
      <c r="Y8" s="15"/>
      <c r="Z8" s="15"/>
      <c r="AA8" s="15"/>
      <c r="AB8" s="15"/>
      <c r="AC8" s="15"/>
      <c r="AD8" s="8"/>
      <c r="AE8" s="15"/>
      <c r="AF8" s="15"/>
      <c r="AG8" s="15"/>
      <c r="AH8" s="15"/>
      <c r="AI8" s="15"/>
      <c r="CB8" s="8"/>
      <c r="CP8" s="130"/>
      <c r="CQ8" s="130"/>
      <c r="CR8" s="130"/>
      <c r="CS8" s="476"/>
      <c r="CT8" s="476"/>
      <c r="CU8" s="476"/>
      <c r="CV8" s="476"/>
      <c r="CW8" s="476"/>
      <c r="CX8" s="476"/>
      <c r="CY8" s="476"/>
      <c r="CZ8" s="476"/>
      <c r="DA8" s="476"/>
      <c r="DB8" s="476"/>
      <c r="DC8" s="476"/>
      <c r="DD8" s="476"/>
      <c r="DE8" s="476"/>
      <c r="DF8" s="476"/>
      <c r="DG8" s="476"/>
      <c r="DH8" s="476"/>
      <c r="DI8" s="130"/>
      <c r="DJ8" s="130"/>
      <c r="DK8" s="130"/>
      <c r="DL8" s="130"/>
      <c r="DM8" s="130"/>
      <c r="EB8" s="416"/>
      <c r="EC8" s="417"/>
      <c r="ED8" s="417"/>
      <c r="EE8" s="417"/>
      <c r="EF8" s="417"/>
      <c r="EG8" s="417"/>
      <c r="EH8" s="417"/>
      <c r="EI8" s="417"/>
      <c r="EJ8" s="417"/>
      <c r="EK8" s="417"/>
      <c r="EL8" s="417"/>
      <c r="EM8" s="417"/>
      <c r="EN8" s="417"/>
      <c r="EO8" s="417"/>
      <c r="EP8" s="417"/>
      <c r="EQ8" s="417"/>
      <c r="ER8" s="417"/>
      <c r="EV8" s="158">
        <v>6</v>
      </c>
      <c r="EW8" s="165" t="s">
        <v>33</v>
      </c>
      <c r="EX8" s="158"/>
      <c r="EY8" s="158"/>
      <c r="EZ8" s="158">
        <v>6</v>
      </c>
      <c r="FA8" s="158" t="s">
        <v>34</v>
      </c>
      <c r="FB8" s="158" t="s">
        <v>35</v>
      </c>
      <c r="FC8" s="158" t="s">
        <v>28</v>
      </c>
      <c r="FD8" s="158" t="s">
        <v>34</v>
      </c>
    </row>
    <row r="9" spans="2:160" ht="12.75" customHeight="1" x14ac:dyDescent="0.25">
      <c r="B9" s="6"/>
      <c r="C9" s="480" t="s">
        <v>36</v>
      </c>
      <c r="D9" s="478"/>
      <c r="E9" s="478"/>
      <c r="F9" s="478"/>
      <c r="G9" s="478"/>
      <c r="H9" s="481"/>
      <c r="I9" s="15"/>
      <c r="J9" s="477" t="s">
        <v>37</v>
      </c>
      <c r="K9" s="478"/>
      <c r="L9" s="478"/>
      <c r="M9" s="479"/>
      <c r="N9" s="379"/>
      <c r="O9" s="380"/>
      <c r="P9" s="380"/>
      <c r="Q9" s="380"/>
      <c r="R9" s="380"/>
      <c r="S9" s="380"/>
      <c r="T9" s="380"/>
      <c r="U9" s="380"/>
      <c r="X9" s="15"/>
      <c r="Y9" s="15"/>
      <c r="Z9" s="15"/>
      <c r="AA9" s="15"/>
      <c r="AB9" s="15"/>
      <c r="AC9" s="15"/>
      <c r="AD9" s="8"/>
      <c r="AE9" s="15"/>
      <c r="AF9" s="15"/>
      <c r="AG9" s="15"/>
      <c r="AH9" s="15"/>
      <c r="AI9" s="15"/>
      <c r="CB9" s="8"/>
      <c r="CP9" s="130"/>
      <c r="CQ9" s="130"/>
      <c r="CR9" s="130"/>
      <c r="CS9" s="476"/>
      <c r="CT9" s="476"/>
      <c r="CU9" s="476"/>
      <c r="CV9" s="476"/>
      <c r="CW9" s="476"/>
      <c r="CX9" s="476"/>
      <c r="CY9" s="476"/>
      <c r="CZ9" s="476"/>
      <c r="DA9" s="476"/>
      <c r="DB9" s="476"/>
      <c r="DC9" s="476"/>
      <c r="DD9" s="476"/>
      <c r="DE9" s="476"/>
      <c r="DF9" s="476"/>
      <c r="DG9" s="476"/>
      <c r="DH9" s="476"/>
      <c r="DI9" s="130"/>
      <c r="DJ9" s="130"/>
      <c r="DK9" s="130"/>
      <c r="DL9" s="130"/>
      <c r="DM9" s="130"/>
      <c r="EA9" s="3"/>
      <c r="EB9" s="416"/>
      <c r="EC9" s="417"/>
      <c r="ED9" s="417"/>
      <c r="EE9" s="417"/>
      <c r="EF9" s="417"/>
      <c r="EG9" s="417"/>
      <c r="EH9" s="417"/>
      <c r="EI9" s="417"/>
      <c r="EJ9" s="417"/>
      <c r="EK9" s="417"/>
      <c r="EL9" s="417"/>
      <c r="EM9" s="417"/>
      <c r="EN9" s="417"/>
      <c r="EO9" s="417"/>
      <c r="EP9" s="417"/>
      <c r="EQ9" s="417"/>
      <c r="ER9" s="417"/>
      <c r="ES9" s="3"/>
      <c r="EV9" s="158">
        <v>7</v>
      </c>
      <c r="EW9" s="165" t="s">
        <v>38</v>
      </c>
      <c r="EX9" s="158"/>
      <c r="EY9" s="158"/>
      <c r="EZ9" s="158">
        <v>7</v>
      </c>
      <c r="FA9" s="158" t="s">
        <v>39</v>
      </c>
      <c r="FB9" s="158" t="s">
        <v>40</v>
      </c>
      <c r="FC9" s="158" t="s">
        <v>28</v>
      </c>
      <c r="FD9" s="158" t="s">
        <v>41</v>
      </c>
    </row>
    <row r="10" spans="2:160" ht="12.75" customHeight="1" x14ac:dyDescent="0.25">
      <c r="B10" s="9"/>
      <c r="C10" s="305" t="s">
        <v>42</v>
      </c>
      <c r="D10" s="95"/>
      <c r="F10" s="309" t="s">
        <v>43</v>
      </c>
      <c r="G10" s="95"/>
      <c r="H10" s="139"/>
      <c r="I10" s="15"/>
      <c r="J10" s="3"/>
      <c r="K10" s="3"/>
      <c r="L10" s="14"/>
      <c r="M10" s="10"/>
      <c r="X10" s="15"/>
      <c r="Y10" s="15"/>
      <c r="Z10" s="15"/>
      <c r="AA10" s="15"/>
      <c r="AB10" s="15"/>
      <c r="AC10" s="15"/>
      <c r="AD10" s="15"/>
      <c r="AE10" s="15"/>
      <c r="AF10" s="15"/>
      <c r="AG10" s="15"/>
      <c r="AH10" s="15"/>
      <c r="AI10" s="15"/>
      <c r="CP10" s="130"/>
      <c r="CQ10" s="130"/>
      <c r="CR10" s="130"/>
      <c r="CS10" s="476"/>
      <c r="CT10" s="476"/>
      <c r="CU10" s="476"/>
      <c r="CV10" s="476"/>
      <c r="CW10" s="476"/>
      <c r="CX10" s="476"/>
      <c r="CY10" s="476"/>
      <c r="CZ10" s="476"/>
      <c r="DA10" s="476"/>
      <c r="DB10" s="476"/>
      <c r="DC10" s="476"/>
      <c r="DD10" s="476"/>
      <c r="DE10" s="476"/>
      <c r="DF10" s="476"/>
      <c r="DG10" s="476"/>
      <c r="DH10" s="476"/>
      <c r="DI10" s="130"/>
      <c r="DJ10" s="130"/>
      <c r="DK10" s="130"/>
      <c r="DL10" s="130"/>
      <c r="DM10" s="130"/>
      <c r="EA10" s="10"/>
      <c r="EB10" s="416"/>
      <c r="EC10" s="417"/>
      <c r="ED10" s="417"/>
      <c r="EE10" s="417"/>
      <c r="EF10" s="417"/>
      <c r="EG10" s="417"/>
      <c r="EH10" s="417"/>
      <c r="EI10" s="417"/>
      <c r="EJ10" s="417"/>
      <c r="EK10" s="417"/>
      <c r="EL10" s="417"/>
      <c r="EM10" s="417"/>
      <c r="EN10" s="417"/>
      <c r="EO10" s="417"/>
      <c r="EP10" s="417"/>
      <c r="EQ10" s="417"/>
      <c r="ER10" s="417"/>
      <c r="ES10" s="10"/>
      <c r="EV10" s="158">
        <v>8</v>
      </c>
      <c r="EW10" s="165" t="s">
        <v>44</v>
      </c>
      <c r="EX10" s="158"/>
      <c r="EY10" s="158"/>
      <c r="EZ10" s="158">
        <v>8</v>
      </c>
      <c r="FA10" s="158" t="s">
        <v>45</v>
      </c>
      <c r="FB10" s="158" t="s">
        <v>40</v>
      </c>
      <c r="FC10" s="158" t="s">
        <v>28</v>
      </c>
      <c r="FD10" s="158" t="s">
        <v>41</v>
      </c>
    </row>
    <row r="11" spans="2:160" ht="12.75" customHeight="1" x14ac:dyDescent="0.25">
      <c r="B11" s="16"/>
      <c r="C11" s="141" t="str">
        <f>IF(J110=0,"",J110)</f>
        <v>PL (RIMS)</v>
      </c>
      <c r="D11" s="16"/>
      <c r="F11" s="307" t="str">
        <f>IF(J120=0,"",J120)</f>
        <v>PL (RIMS)</v>
      </c>
      <c r="H11" s="139"/>
      <c r="I11" s="15"/>
      <c r="J11" s="3"/>
      <c r="K11" s="474" t="s">
        <v>46</v>
      </c>
      <c r="L11" s="474"/>
      <c r="M11" s="10"/>
      <c r="X11" s="15"/>
      <c r="Y11" s="15"/>
      <c r="Z11" s="15"/>
      <c r="AA11" s="15"/>
      <c r="AB11" s="15"/>
      <c r="AC11" s="15"/>
      <c r="AD11" s="15"/>
      <c r="AE11" s="15"/>
      <c r="AF11" s="15"/>
      <c r="AG11" s="15"/>
      <c r="AH11" s="15"/>
      <c r="AI11" s="15"/>
      <c r="CP11" s="130"/>
      <c r="CQ11" s="130"/>
      <c r="CR11" s="130"/>
      <c r="CS11" s="476"/>
      <c r="CT11" s="476"/>
      <c r="CU11" s="476"/>
      <c r="CV11" s="476"/>
      <c r="CW11" s="476"/>
      <c r="CX11" s="476"/>
      <c r="CY11" s="476"/>
      <c r="CZ11" s="476"/>
      <c r="DA11" s="476"/>
      <c r="DB11" s="476"/>
      <c r="DC11" s="476"/>
      <c r="DD11" s="476"/>
      <c r="DE11" s="476"/>
      <c r="DF11" s="476"/>
      <c r="DG11" s="476"/>
      <c r="DH11" s="476"/>
      <c r="DI11" s="130"/>
      <c r="DJ11" s="130"/>
      <c r="DK11" s="130"/>
      <c r="DL11" s="130"/>
      <c r="DM11" s="130"/>
      <c r="EA11" s="10"/>
      <c r="EB11" s="416"/>
      <c r="EC11" s="417"/>
      <c r="ED11" s="417"/>
      <c r="EE11" s="417"/>
      <c r="EF11" s="417"/>
      <c r="EG11" s="417"/>
      <c r="EH11" s="417"/>
      <c r="EI11" s="417"/>
      <c r="EJ11" s="417"/>
      <c r="EK11" s="417"/>
      <c r="EL11" s="417"/>
      <c r="EM11" s="417"/>
      <c r="EN11" s="417"/>
      <c r="EO11" s="417"/>
      <c r="EP11" s="417"/>
      <c r="EQ11" s="417"/>
      <c r="ER11" s="417"/>
      <c r="ES11" s="10"/>
      <c r="EV11" s="158">
        <v>9</v>
      </c>
      <c r="EW11" s="165" t="s">
        <v>47</v>
      </c>
      <c r="EX11" s="158"/>
      <c r="EY11" s="158"/>
      <c r="EZ11" s="158">
        <v>9</v>
      </c>
      <c r="FA11" s="158" t="s">
        <v>48</v>
      </c>
      <c r="FB11" s="158" t="s">
        <v>40</v>
      </c>
      <c r="FC11" s="158" t="s">
        <v>28</v>
      </c>
      <c r="FD11" s="158" t="s">
        <v>41</v>
      </c>
    </row>
    <row r="12" spans="2:160" ht="12.75" customHeight="1" x14ac:dyDescent="0.25">
      <c r="B12" s="18"/>
      <c r="C12" s="381"/>
      <c r="D12" s="16"/>
      <c r="F12" s="16"/>
      <c r="G12" s="16"/>
      <c r="H12" s="139"/>
      <c r="I12" s="16"/>
      <c r="J12" s="3"/>
      <c r="K12" s="474"/>
      <c r="L12" s="474"/>
      <c r="M12" s="10"/>
      <c r="X12" s="15"/>
      <c r="Y12" s="15"/>
      <c r="Z12" s="15"/>
      <c r="AA12" s="15"/>
      <c r="AB12" s="15"/>
      <c r="AC12" s="15"/>
      <c r="AD12" s="15"/>
      <c r="AE12" s="15"/>
      <c r="AF12" s="15"/>
      <c r="AG12" s="15"/>
      <c r="AH12" s="15"/>
      <c r="AI12" s="15"/>
      <c r="CP12" s="130"/>
      <c r="CQ12" s="130"/>
      <c r="CR12" s="130"/>
      <c r="CS12" s="476"/>
      <c r="CT12" s="476"/>
      <c r="CU12" s="476"/>
      <c r="CV12" s="476"/>
      <c r="CW12" s="476"/>
      <c r="CX12" s="476"/>
      <c r="CY12" s="476"/>
      <c r="CZ12" s="476"/>
      <c r="DA12" s="476"/>
      <c r="DB12" s="476"/>
      <c r="DC12" s="476"/>
      <c r="DD12" s="476"/>
      <c r="DE12" s="476"/>
      <c r="DF12" s="476"/>
      <c r="DG12" s="476"/>
      <c r="DH12" s="476"/>
      <c r="DI12" s="130"/>
      <c r="DJ12" s="130"/>
      <c r="DK12" s="130"/>
      <c r="DL12" s="130"/>
      <c r="DM12" s="130"/>
      <c r="EA12" s="10"/>
      <c r="EB12" s="416"/>
      <c r="EC12" s="417"/>
      <c r="ED12" s="417"/>
      <c r="EE12" s="417"/>
      <c r="EF12" s="417"/>
      <c r="EG12" s="417"/>
      <c r="EH12" s="417"/>
      <c r="EI12" s="417"/>
      <c r="EJ12" s="417"/>
      <c r="EK12" s="417"/>
      <c r="EL12" s="417"/>
      <c r="EM12" s="417"/>
      <c r="EN12" s="417"/>
      <c r="EO12" s="417"/>
      <c r="EP12" s="417"/>
      <c r="EQ12" s="417"/>
      <c r="ER12" s="417"/>
      <c r="ES12" s="10"/>
      <c r="EV12" s="158">
        <v>10</v>
      </c>
      <c r="EW12" s="165" t="s">
        <v>49</v>
      </c>
      <c r="EX12" s="158"/>
      <c r="EY12" s="158"/>
      <c r="EZ12" s="158">
        <v>10</v>
      </c>
      <c r="FA12" s="158" t="s">
        <v>50</v>
      </c>
      <c r="FB12" s="158" t="s">
        <v>51</v>
      </c>
      <c r="FC12" s="158" t="s">
        <v>28</v>
      </c>
      <c r="FD12" s="158" t="s">
        <v>52</v>
      </c>
    </row>
    <row r="13" spans="2:160" ht="12.75" customHeight="1" x14ac:dyDescent="0.25">
      <c r="C13" s="141" t="str">
        <f>IF(J111=0,"",J111)</f>
        <v>DS RSE</v>
      </c>
      <c r="D13" s="17"/>
      <c r="F13" s="307" t="str">
        <f>IF(J121=0,"",J121)</f>
        <v>DS RSE</v>
      </c>
      <c r="H13" s="306"/>
      <c r="I13" s="16"/>
      <c r="J13" s="3"/>
      <c r="M13" s="10"/>
      <c r="CP13" s="130"/>
      <c r="CQ13" s="130"/>
      <c r="CR13" s="130"/>
      <c r="CS13" s="476"/>
      <c r="CT13" s="476"/>
      <c r="CU13" s="476"/>
      <c r="CV13" s="476"/>
      <c r="CW13" s="476"/>
      <c r="CX13" s="476"/>
      <c r="CY13" s="476"/>
      <c r="CZ13" s="476"/>
      <c r="DA13" s="476"/>
      <c r="DB13" s="476"/>
      <c r="DC13" s="476"/>
      <c r="DD13" s="476"/>
      <c r="DE13" s="476"/>
      <c r="DF13" s="476"/>
      <c r="DG13" s="476"/>
      <c r="DH13" s="476"/>
      <c r="DI13" s="130"/>
      <c r="DJ13" s="130"/>
      <c r="DK13" s="130"/>
      <c r="DL13" s="130"/>
      <c r="DM13" s="130"/>
      <c r="EA13" s="10"/>
      <c r="EB13" s="416"/>
      <c r="EC13" s="417"/>
      <c r="ED13" s="417"/>
      <c r="EE13" s="417"/>
      <c r="EF13" s="417"/>
      <c r="EG13" s="417"/>
      <c r="EH13" s="417"/>
      <c r="EI13" s="417"/>
      <c r="EJ13" s="417"/>
      <c r="EK13" s="417"/>
      <c r="EL13" s="417"/>
      <c r="EM13" s="417"/>
      <c r="EN13" s="417"/>
      <c r="EO13" s="417"/>
      <c r="EP13" s="417"/>
      <c r="EQ13" s="417"/>
      <c r="ER13" s="417"/>
      <c r="ES13" s="10"/>
      <c r="EV13" s="158">
        <v>11</v>
      </c>
      <c r="EW13" s="165" t="s">
        <v>53</v>
      </c>
      <c r="EX13" s="158"/>
      <c r="EY13" s="158"/>
      <c r="EZ13" s="158">
        <v>11</v>
      </c>
      <c r="FA13" s="158" t="s">
        <v>54</v>
      </c>
      <c r="FB13" s="158" t="s">
        <v>55</v>
      </c>
      <c r="FC13" s="158" t="s">
        <v>28</v>
      </c>
      <c r="FD13" s="158" t="s">
        <v>52</v>
      </c>
    </row>
    <row r="14" spans="2:160" ht="12.75" customHeight="1" x14ac:dyDescent="0.25">
      <c r="B14" s="151"/>
      <c r="C14" s="382"/>
      <c r="D14" s="16"/>
      <c r="F14" s="16"/>
      <c r="G14" s="16"/>
      <c r="H14" s="482" t="s">
        <v>56</v>
      </c>
      <c r="I14" s="16"/>
      <c r="J14" s="3"/>
      <c r="K14" s="3"/>
      <c r="L14" s="14"/>
      <c r="M14" s="10"/>
      <c r="CP14" s="130"/>
      <c r="CQ14" s="130"/>
      <c r="CR14" s="130"/>
      <c r="CS14" s="476"/>
      <c r="CT14" s="476"/>
      <c r="CU14" s="476"/>
      <c r="CV14" s="476"/>
      <c r="CW14" s="476"/>
      <c r="CX14" s="476"/>
      <c r="CY14" s="476"/>
      <c r="CZ14" s="476"/>
      <c r="DA14" s="476"/>
      <c r="DB14" s="476"/>
      <c r="DC14" s="476"/>
      <c r="DD14" s="476"/>
      <c r="DE14" s="476"/>
      <c r="DF14" s="476"/>
      <c r="DG14" s="476"/>
      <c r="DH14" s="476"/>
      <c r="DI14" s="130"/>
      <c r="DJ14" s="130"/>
      <c r="DK14" s="130"/>
      <c r="DL14" s="130"/>
      <c r="DM14" s="130"/>
      <c r="EA14" s="10"/>
      <c r="EB14" s="416"/>
      <c r="EC14" s="417"/>
      <c r="ED14" s="417"/>
      <c r="EE14" s="417"/>
      <c r="EF14" s="417"/>
      <c r="EG14" s="417"/>
      <c r="EH14" s="417"/>
      <c r="EI14" s="417"/>
      <c r="EJ14" s="417"/>
      <c r="EK14" s="417"/>
      <c r="EL14" s="417"/>
      <c r="EM14" s="417"/>
      <c r="EN14" s="417"/>
      <c r="EO14" s="417"/>
      <c r="EP14" s="417"/>
      <c r="EQ14" s="417"/>
      <c r="ER14" s="417"/>
      <c r="ES14" s="10"/>
      <c r="EV14" s="158">
        <v>12</v>
      </c>
      <c r="EW14" s="165" t="s">
        <v>57</v>
      </c>
      <c r="EX14" s="158"/>
      <c r="EY14" s="158"/>
      <c r="EZ14" s="158">
        <v>12</v>
      </c>
      <c r="FA14" s="158" t="s">
        <v>58</v>
      </c>
      <c r="FB14" s="158" t="s">
        <v>59</v>
      </c>
      <c r="FC14" s="158" t="s">
        <v>28</v>
      </c>
      <c r="FD14" s="158" t="s">
        <v>52</v>
      </c>
    </row>
    <row r="15" spans="2:160" ht="12.75" customHeight="1" x14ac:dyDescent="0.25">
      <c r="C15" s="141" t="str">
        <f>IF(J112=0,"",J112)</f>
        <v/>
      </c>
      <c r="D15" s="17"/>
      <c r="F15" s="307" t="str">
        <f>IF(J122=0,"",J122)</f>
        <v/>
      </c>
      <c r="H15" s="482"/>
      <c r="I15" s="16"/>
      <c r="J15" s="3"/>
      <c r="K15" s="474" t="s">
        <v>60</v>
      </c>
      <c r="L15" s="474"/>
      <c r="M15" s="10"/>
      <c r="CP15" s="130"/>
      <c r="CQ15" s="130"/>
      <c r="CR15" s="130"/>
      <c r="CS15" s="476"/>
      <c r="CT15" s="476"/>
      <c r="CU15" s="476"/>
      <c r="CV15" s="476"/>
      <c r="CW15" s="476"/>
      <c r="CX15" s="476"/>
      <c r="CY15" s="476"/>
      <c r="CZ15" s="476"/>
      <c r="DA15" s="476"/>
      <c r="DB15" s="476"/>
      <c r="DC15" s="476"/>
      <c r="DD15" s="476"/>
      <c r="DE15" s="476"/>
      <c r="DF15" s="476"/>
      <c r="DG15" s="476"/>
      <c r="DH15" s="476"/>
      <c r="DI15" s="130"/>
      <c r="DJ15" s="130"/>
      <c r="DK15" s="130"/>
      <c r="DL15" s="130"/>
      <c r="DM15" s="130"/>
      <c r="EB15" s="416"/>
      <c r="EC15" s="417"/>
      <c r="ED15" s="417"/>
      <c r="EE15" s="417"/>
      <c r="EF15" s="417"/>
      <c r="EG15" s="417"/>
      <c r="EH15" s="417"/>
      <c r="EI15" s="417"/>
      <c r="EJ15" s="417"/>
      <c r="EK15" s="417"/>
      <c r="EL15" s="417"/>
      <c r="EM15" s="417"/>
      <c r="EN15" s="417"/>
      <c r="EO15" s="417"/>
      <c r="EP15" s="417"/>
      <c r="EQ15" s="417"/>
      <c r="ER15" s="417"/>
      <c r="EV15" s="158">
        <v>13</v>
      </c>
      <c r="EW15" s="165" t="s">
        <v>61</v>
      </c>
      <c r="EX15" s="158"/>
      <c r="EY15" s="158"/>
      <c r="EZ15" s="158">
        <v>13</v>
      </c>
      <c r="FA15" s="158" t="s">
        <v>62</v>
      </c>
      <c r="FB15" s="158" t="s">
        <v>63</v>
      </c>
      <c r="FC15" s="158" t="s">
        <v>28</v>
      </c>
      <c r="FD15" s="158" t="s">
        <v>52</v>
      </c>
    </row>
    <row r="16" spans="2:160" ht="12.75" customHeight="1" x14ac:dyDescent="0.25">
      <c r="B16" s="383"/>
      <c r="C16" s="382"/>
      <c r="D16" s="16"/>
      <c r="F16" s="16"/>
      <c r="G16" s="16"/>
      <c r="H16" s="482"/>
      <c r="I16" s="16"/>
      <c r="K16" s="474"/>
      <c r="L16" s="474"/>
      <c r="M16" s="10"/>
      <c r="N16" s="176"/>
      <c r="O16" s="176"/>
      <c r="P16" s="176"/>
      <c r="Q16" s="176"/>
      <c r="R16" s="176"/>
      <c r="S16" s="176"/>
      <c r="CP16" s="130"/>
      <c r="CQ16" s="130"/>
      <c r="CR16" s="130"/>
      <c r="CS16" s="476"/>
      <c r="CT16" s="476"/>
      <c r="CU16" s="476"/>
      <c r="CV16" s="476"/>
      <c r="CW16" s="476"/>
      <c r="CX16" s="476"/>
      <c r="CY16" s="476"/>
      <c r="CZ16" s="476"/>
      <c r="DA16" s="476"/>
      <c r="DB16" s="476"/>
      <c r="DC16" s="476"/>
      <c r="DD16" s="476"/>
      <c r="DE16" s="476"/>
      <c r="DF16" s="476"/>
      <c r="DG16" s="476"/>
      <c r="DH16" s="476"/>
      <c r="DI16" s="130"/>
      <c r="DJ16" s="130"/>
      <c r="DK16" s="130"/>
      <c r="DL16" s="130"/>
      <c r="DM16" s="130"/>
      <c r="EB16" s="416"/>
      <c r="EC16" s="417"/>
      <c r="ED16" s="417"/>
      <c r="EE16" s="417"/>
      <c r="EF16" s="417"/>
      <c r="EG16" s="417"/>
      <c r="EH16" s="417"/>
      <c r="EI16" s="417"/>
      <c r="EJ16" s="417"/>
      <c r="EK16" s="417"/>
      <c r="EL16" s="417"/>
      <c r="EM16" s="417"/>
      <c r="EN16" s="417"/>
      <c r="EO16" s="417"/>
      <c r="EP16" s="417"/>
      <c r="EQ16" s="417"/>
      <c r="ER16" s="417"/>
      <c r="EV16" s="158">
        <v>14</v>
      </c>
      <c r="EW16" s="165" t="s">
        <v>64</v>
      </c>
      <c r="EX16" s="158"/>
      <c r="EY16" s="158"/>
      <c r="EZ16" s="158">
        <v>14</v>
      </c>
      <c r="FA16" s="158" t="s">
        <v>65</v>
      </c>
      <c r="FB16" s="158" t="s">
        <v>66</v>
      </c>
      <c r="FC16" s="158" t="s">
        <v>28</v>
      </c>
      <c r="FD16" s="158" t="s">
        <v>52</v>
      </c>
    </row>
    <row r="17" spans="3:160" ht="12.75" customHeight="1" x14ac:dyDescent="0.25">
      <c r="C17" s="141" t="str">
        <f>IF(J113=0,"",J113)</f>
        <v/>
      </c>
      <c r="D17" s="17"/>
      <c r="F17" s="307" t="str">
        <f>IF(J123=0,"",J123)</f>
        <v/>
      </c>
      <c r="H17" s="482"/>
      <c r="I17" s="16"/>
      <c r="N17" s="176"/>
      <c r="O17" s="176"/>
      <c r="P17" s="176"/>
      <c r="Q17" s="176"/>
      <c r="R17" s="176"/>
      <c r="S17" s="176"/>
      <c r="CP17" s="130"/>
      <c r="CQ17" s="130"/>
      <c r="CR17" s="130"/>
      <c r="CS17" s="476"/>
      <c r="CT17" s="476"/>
      <c r="CU17" s="476"/>
      <c r="CV17" s="476"/>
      <c r="CW17" s="476"/>
      <c r="CX17" s="476"/>
      <c r="CY17" s="476"/>
      <c r="CZ17" s="476"/>
      <c r="DA17" s="476"/>
      <c r="DB17" s="476"/>
      <c r="DC17" s="476"/>
      <c r="DD17" s="476"/>
      <c r="DE17" s="476"/>
      <c r="DF17" s="476"/>
      <c r="DG17" s="476"/>
      <c r="DH17" s="476"/>
      <c r="DI17" s="130"/>
      <c r="DJ17" s="130"/>
      <c r="DK17" s="130"/>
      <c r="DL17" s="130"/>
      <c r="DM17" s="130"/>
      <c r="EB17" s="416"/>
      <c r="EC17" s="417"/>
      <c r="ED17" s="417"/>
      <c r="EE17" s="417"/>
      <c r="EF17" s="417"/>
      <c r="EG17" s="417"/>
      <c r="EH17" s="417"/>
      <c r="EI17" s="417"/>
      <c r="EJ17" s="417"/>
      <c r="EK17" s="417"/>
      <c r="EL17" s="417"/>
      <c r="EM17" s="417"/>
      <c r="EN17" s="417"/>
      <c r="EO17" s="417"/>
      <c r="EP17" s="417"/>
      <c r="EQ17" s="417"/>
      <c r="ER17" s="417"/>
      <c r="EV17" s="158">
        <v>15</v>
      </c>
      <c r="EW17" s="165" t="s">
        <v>67</v>
      </c>
      <c r="EX17" s="158"/>
      <c r="EY17" s="158"/>
      <c r="EZ17" s="158">
        <v>15</v>
      </c>
      <c r="FA17" s="158" t="s">
        <v>68</v>
      </c>
      <c r="FB17" s="158" t="s">
        <v>69</v>
      </c>
      <c r="FC17" s="158" t="s">
        <v>28</v>
      </c>
      <c r="FD17" s="158" t="s">
        <v>68</v>
      </c>
    </row>
    <row r="18" spans="3:160" ht="12.75" customHeight="1" x14ac:dyDescent="0.25">
      <c r="C18" s="382"/>
      <c r="D18" s="16"/>
      <c r="F18" s="16"/>
      <c r="G18" s="16"/>
      <c r="H18" s="482"/>
      <c r="I18" s="16"/>
      <c r="N18" s="176"/>
      <c r="O18" s="176"/>
      <c r="P18" s="176"/>
      <c r="Q18" s="176"/>
      <c r="R18" s="176"/>
      <c r="S18" s="176"/>
      <c r="CP18" s="130"/>
      <c r="CQ18" s="130"/>
      <c r="CR18" s="130"/>
      <c r="CS18" s="476"/>
      <c r="CT18" s="476"/>
      <c r="CU18" s="476"/>
      <c r="CV18" s="476"/>
      <c r="CW18" s="476"/>
      <c r="CX18" s="476"/>
      <c r="CY18" s="476"/>
      <c r="CZ18" s="476"/>
      <c r="DA18" s="476"/>
      <c r="DB18" s="476"/>
      <c r="DC18" s="476"/>
      <c r="DD18" s="476"/>
      <c r="DE18" s="476"/>
      <c r="DF18" s="476"/>
      <c r="DG18" s="476"/>
      <c r="DH18" s="476"/>
      <c r="DI18" s="130"/>
      <c r="DJ18" s="130"/>
      <c r="DK18" s="130"/>
      <c r="DL18" s="130"/>
      <c r="DM18" s="130"/>
      <c r="EB18" s="416"/>
      <c r="EC18" s="417"/>
      <c r="ED18" s="417"/>
      <c r="EE18" s="417"/>
      <c r="EF18" s="417"/>
      <c r="EG18" s="417"/>
      <c r="EH18" s="417"/>
      <c r="EI18" s="417"/>
      <c r="EJ18" s="417"/>
      <c r="EK18" s="417"/>
      <c r="EL18" s="417"/>
      <c r="EM18" s="417"/>
      <c r="EN18" s="417"/>
      <c r="EO18" s="417"/>
      <c r="EP18" s="417"/>
      <c r="EQ18" s="417"/>
      <c r="ER18" s="417"/>
      <c r="EV18" s="158">
        <v>16</v>
      </c>
      <c r="EW18" s="165" t="s">
        <v>70</v>
      </c>
      <c r="EX18" s="158"/>
      <c r="EY18" s="158"/>
      <c r="EZ18" s="158">
        <v>16</v>
      </c>
      <c r="FA18" s="158" t="s">
        <v>71</v>
      </c>
      <c r="FB18" s="158" t="s">
        <v>72</v>
      </c>
      <c r="FC18" s="158" t="s">
        <v>13</v>
      </c>
      <c r="FD18" s="158" t="s">
        <v>73</v>
      </c>
    </row>
    <row r="19" spans="3:160" ht="12.75" customHeight="1" x14ac:dyDescent="0.25">
      <c r="C19" s="141" t="str">
        <f>IF(J114=0,"",J114)</f>
        <v/>
      </c>
      <c r="D19" s="17"/>
      <c r="F19" s="307" t="str">
        <f>IF(J124=0,"",J124)</f>
        <v/>
      </c>
      <c r="H19" s="482"/>
      <c r="I19" s="16"/>
      <c r="K19" s="474" t="s">
        <v>74</v>
      </c>
      <c r="L19" s="474"/>
      <c r="CP19" s="130"/>
      <c r="CQ19" s="130"/>
      <c r="CR19" s="130"/>
      <c r="CS19" s="476"/>
      <c r="CT19" s="476"/>
      <c r="CU19" s="476"/>
      <c r="CV19" s="476"/>
      <c r="CW19" s="476"/>
      <c r="CX19" s="476"/>
      <c r="CY19" s="476"/>
      <c r="CZ19" s="476"/>
      <c r="DA19" s="476"/>
      <c r="DB19" s="476"/>
      <c r="DC19" s="476"/>
      <c r="DD19" s="476"/>
      <c r="DE19" s="476"/>
      <c r="DF19" s="476"/>
      <c r="DG19" s="476"/>
      <c r="DH19" s="476"/>
      <c r="DI19" s="130"/>
      <c r="DJ19" s="130"/>
      <c r="DK19" s="130"/>
      <c r="DL19" s="130"/>
      <c r="DM19" s="130"/>
      <c r="EB19" s="416"/>
      <c r="EC19" s="417"/>
      <c r="ED19" s="417"/>
      <c r="EE19" s="417"/>
      <c r="EF19" s="417"/>
      <c r="EG19" s="417"/>
      <c r="EH19" s="417"/>
      <c r="EI19" s="417"/>
      <c r="EJ19" s="417"/>
      <c r="EK19" s="417"/>
      <c r="EL19" s="417"/>
      <c r="EM19" s="417"/>
      <c r="EN19" s="417"/>
      <c r="EO19" s="417"/>
      <c r="EP19" s="417"/>
      <c r="EQ19" s="417"/>
      <c r="ER19" s="417"/>
      <c r="EV19" s="158">
        <v>17</v>
      </c>
      <c r="EW19" s="165" t="s">
        <v>75</v>
      </c>
      <c r="EX19" s="158"/>
      <c r="EY19" s="158"/>
      <c r="EZ19" s="158">
        <v>17</v>
      </c>
      <c r="FA19" s="158" t="s">
        <v>76</v>
      </c>
      <c r="FB19" s="158" t="s">
        <v>72</v>
      </c>
      <c r="FC19" s="158" t="s">
        <v>13</v>
      </c>
      <c r="FD19" s="158" t="s">
        <v>73</v>
      </c>
    </row>
    <row r="20" spans="3:160" ht="12.75" customHeight="1" x14ac:dyDescent="0.25">
      <c r="C20" s="382"/>
      <c r="D20" s="16"/>
      <c r="F20" s="16"/>
      <c r="G20" s="16"/>
      <c r="H20" s="482"/>
      <c r="I20" s="16"/>
      <c r="K20" s="474"/>
      <c r="L20" s="474"/>
      <c r="CP20" s="130"/>
      <c r="CQ20" s="130"/>
      <c r="CR20" s="130"/>
      <c r="CS20" s="476"/>
      <c r="CT20" s="476"/>
      <c r="CU20" s="476"/>
      <c r="CV20" s="476"/>
      <c r="CW20" s="476"/>
      <c r="CX20" s="476"/>
      <c r="CY20" s="476"/>
      <c r="CZ20" s="476"/>
      <c r="DA20" s="476"/>
      <c r="DB20" s="476"/>
      <c r="DC20" s="476"/>
      <c r="DD20" s="476"/>
      <c r="DE20" s="476"/>
      <c r="DF20" s="476"/>
      <c r="DG20" s="476"/>
      <c r="DH20" s="476"/>
      <c r="DI20" s="130"/>
      <c r="DJ20" s="130"/>
      <c r="DK20" s="130"/>
      <c r="DL20" s="130"/>
      <c r="DM20" s="130"/>
      <c r="EB20" s="416"/>
      <c r="EC20" s="417"/>
      <c r="ED20" s="417"/>
      <c r="EE20" s="417"/>
      <c r="EF20" s="417"/>
      <c r="EG20" s="417"/>
      <c r="EH20" s="417"/>
      <c r="EI20" s="417"/>
      <c r="EJ20" s="417"/>
      <c r="EK20" s="417"/>
      <c r="EL20" s="417"/>
      <c r="EM20" s="417"/>
      <c r="EN20" s="417"/>
      <c r="EO20" s="417"/>
      <c r="EP20" s="417"/>
      <c r="EQ20" s="417"/>
      <c r="ER20" s="417"/>
      <c r="EV20" s="158">
        <v>18</v>
      </c>
      <c r="EW20" s="165" t="s">
        <v>77</v>
      </c>
      <c r="EX20" s="158"/>
      <c r="EY20" s="158"/>
      <c r="EZ20" s="158">
        <v>18</v>
      </c>
      <c r="FA20" s="158" t="s">
        <v>78</v>
      </c>
      <c r="FB20" s="158" t="s">
        <v>79</v>
      </c>
      <c r="FC20" s="158" t="s">
        <v>13</v>
      </c>
      <c r="FD20" s="158" t="s">
        <v>78</v>
      </c>
    </row>
    <row r="21" spans="3:160" ht="12.75" customHeight="1" x14ac:dyDescent="0.25">
      <c r="C21" s="301" t="str">
        <f>IF(J115=0,"",J115)</f>
        <v/>
      </c>
      <c r="D21" s="17"/>
      <c r="F21" s="222" t="str">
        <f>IF(J125=0,"",J125)</f>
        <v/>
      </c>
      <c r="H21" s="482"/>
      <c r="I21" s="16"/>
      <c r="CP21" s="130"/>
      <c r="CQ21" s="130"/>
      <c r="CR21" s="130"/>
      <c r="CS21" s="476"/>
      <c r="CT21" s="476"/>
      <c r="CU21" s="476"/>
      <c r="CV21" s="476"/>
      <c r="CW21" s="476"/>
      <c r="CX21" s="476"/>
      <c r="CY21" s="476"/>
      <c r="CZ21" s="476"/>
      <c r="DA21" s="476"/>
      <c r="DB21" s="476"/>
      <c r="DC21" s="476"/>
      <c r="DD21" s="476"/>
      <c r="DE21" s="476"/>
      <c r="DF21" s="476"/>
      <c r="DG21" s="476"/>
      <c r="DH21" s="476"/>
      <c r="DI21" s="130"/>
      <c r="DJ21" s="130"/>
      <c r="DK21" s="130"/>
      <c r="DL21" s="130"/>
      <c r="DM21" s="130"/>
      <c r="EB21" s="416"/>
      <c r="EC21" s="417"/>
      <c r="ED21" s="417"/>
      <c r="EE21" s="417"/>
      <c r="EF21" s="417"/>
      <c r="EG21" s="417"/>
      <c r="EH21" s="417"/>
      <c r="EI21" s="417"/>
      <c r="EJ21" s="417"/>
      <c r="EK21" s="417"/>
      <c r="EL21" s="417"/>
      <c r="EM21" s="417"/>
      <c r="EN21" s="417"/>
      <c r="EO21" s="417"/>
      <c r="EP21" s="417"/>
      <c r="EQ21" s="417"/>
      <c r="ER21" s="417"/>
      <c r="EV21" s="158">
        <v>19</v>
      </c>
      <c r="EW21" s="165" t="s">
        <v>80</v>
      </c>
      <c r="EX21" s="158"/>
      <c r="EY21" s="158"/>
      <c r="EZ21" s="158">
        <v>19</v>
      </c>
      <c r="FA21" s="158" t="s">
        <v>81</v>
      </c>
      <c r="FB21" s="158" t="s">
        <v>82</v>
      </c>
      <c r="FC21" s="158" t="s">
        <v>13</v>
      </c>
      <c r="FD21" s="158" t="s">
        <v>83</v>
      </c>
    </row>
    <row r="22" spans="3:160" ht="12.75" customHeight="1" x14ac:dyDescent="0.25">
      <c r="C22" s="382"/>
      <c r="D22" s="16"/>
      <c r="F22" s="16"/>
      <c r="G22" s="16"/>
      <c r="H22" s="482"/>
      <c r="I22" s="16"/>
      <c r="CP22" s="130"/>
      <c r="CQ22" s="130"/>
      <c r="CR22" s="130"/>
      <c r="CS22" s="476"/>
      <c r="CT22" s="476"/>
      <c r="CU22" s="476"/>
      <c r="CV22" s="476"/>
      <c r="CW22" s="476"/>
      <c r="CX22" s="476"/>
      <c r="CY22" s="476"/>
      <c r="CZ22" s="476"/>
      <c r="DA22" s="476"/>
      <c r="DB22" s="476"/>
      <c r="DC22" s="476"/>
      <c r="DD22" s="476"/>
      <c r="DE22" s="476"/>
      <c r="DF22" s="476"/>
      <c r="DG22" s="476"/>
      <c r="DH22" s="476"/>
      <c r="DI22" s="130"/>
      <c r="DJ22" s="130"/>
      <c r="DK22" s="130"/>
      <c r="DL22" s="130"/>
      <c r="DM22" s="130"/>
      <c r="EB22" s="416"/>
      <c r="EC22" s="417"/>
      <c r="ED22" s="417"/>
      <c r="EE22" s="417"/>
      <c r="EF22" s="417"/>
      <c r="EG22" s="417"/>
      <c r="EH22" s="417"/>
      <c r="EI22" s="417"/>
      <c r="EJ22" s="417"/>
      <c r="EK22" s="417"/>
      <c r="EL22" s="417"/>
      <c r="EM22" s="417"/>
      <c r="EN22" s="417"/>
      <c r="EO22" s="417"/>
      <c r="EP22" s="417"/>
      <c r="EQ22" s="417"/>
      <c r="ER22" s="417"/>
      <c r="EV22" s="158">
        <v>20</v>
      </c>
      <c r="EW22" s="165" t="s">
        <v>84</v>
      </c>
      <c r="EX22" s="158"/>
      <c r="EY22" s="158"/>
      <c r="EZ22" s="158">
        <v>20</v>
      </c>
      <c r="FA22" s="158" t="s">
        <v>85</v>
      </c>
      <c r="FB22" s="158" t="s">
        <v>82</v>
      </c>
      <c r="FC22" s="158" t="s">
        <v>13</v>
      </c>
      <c r="FD22" s="158" t="s">
        <v>83</v>
      </c>
    </row>
    <row r="23" spans="3:160" ht="12.75" customHeight="1" x14ac:dyDescent="0.25">
      <c r="C23" s="301" t="str">
        <f>IF(J116=0,"",J116)</f>
        <v/>
      </c>
      <c r="D23" s="17"/>
      <c r="F23" s="222" t="str">
        <f>IF(J126=0,"",J126)</f>
        <v/>
      </c>
      <c r="G23" s="222"/>
      <c r="H23" s="482"/>
      <c r="I23" s="19"/>
      <c r="K23" s="483" t="s">
        <v>86</v>
      </c>
      <c r="L23" s="483"/>
      <c r="CP23" s="130"/>
      <c r="CQ23" s="130"/>
      <c r="CR23" s="130"/>
      <c r="CS23" s="476"/>
      <c r="CT23" s="476"/>
      <c r="CU23" s="476"/>
      <c r="CV23" s="476"/>
      <c r="CW23" s="476"/>
      <c r="CX23" s="476"/>
      <c r="CY23" s="476"/>
      <c r="CZ23" s="476"/>
      <c r="DA23" s="476"/>
      <c r="DB23" s="476"/>
      <c r="DC23" s="476"/>
      <c r="DD23" s="476"/>
      <c r="DE23" s="476"/>
      <c r="DF23" s="476"/>
      <c r="DG23" s="476"/>
      <c r="DH23" s="476"/>
      <c r="DI23" s="130"/>
      <c r="DJ23" s="130"/>
      <c r="DK23" s="130"/>
      <c r="DL23" s="130"/>
      <c r="DM23" s="130"/>
      <c r="EB23" s="416"/>
      <c r="EC23" s="416"/>
      <c r="ED23" s="416"/>
      <c r="EE23" s="416"/>
      <c r="EF23" s="416"/>
      <c r="EG23" s="416"/>
      <c r="EH23" s="416"/>
      <c r="EI23" s="416"/>
      <c r="EJ23" s="416"/>
      <c r="EK23" s="416"/>
      <c r="EL23" s="416"/>
      <c r="EM23" s="416"/>
      <c r="EN23" s="416"/>
      <c r="EO23" s="416"/>
      <c r="EP23" s="416"/>
      <c r="EQ23" s="416"/>
      <c r="ER23" s="416"/>
      <c r="EV23" s="158">
        <v>21</v>
      </c>
      <c r="EW23" s="165" t="s">
        <v>87</v>
      </c>
      <c r="EX23" s="158"/>
      <c r="EY23" s="158"/>
      <c r="EZ23" s="158">
        <v>21</v>
      </c>
      <c r="FA23" s="158" t="s">
        <v>88</v>
      </c>
      <c r="FB23" s="158" t="s">
        <v>89</v>
      </c>
      <c r="FC23" s="158" t="s">
        <v>13</v>
      </c>
      <c r="FD23" s="158" t="s">
        <v>88</v>
      </c>
    </row>
    <row r="24" spans="3:160" ht="12.75" customHeight="1" x14ac:dyDescent="0.25">
      <c r="C24" s="382"/>
      <c r="D24" s="16"/>
      <c r="F24" s="16"/>
      <c r="H24" s="139"/>
      <c r="I24" s="19"/>
      <c r="K24" s="483"/>
      <c r="L24" s="483"/>
      <c r="CP24" s="130"/>
      <c r="CQ24" s="130"/>
      <c r="CR24" s="130"/>
      <c r="CS24" s="476"/>
      <c r="CT24" s="476"/>
      <c r="CU24" s="476"/>
      <c r="CV24" s="476"/>
      <c r="CW24" s="476"/>
      <c r="CX24" s="476"/>
      <c r="CY24" s="476"/>
      <c r="CZ24" s="476"/>
      <c r="DA24" s="476"/>
      <c r="DB24" s="476"/>
      <c r="DC24" s="476"/>
      <c r="DD24" s="476"/>
      <c r="DE24" s="476"/>
      <c r="DF24" s="476"/>
      <c r="DG24" s="476"/>
      <c r="DH24" s="476"/>
      <c r="DI24" s="130"/>
      <c r="DJ24" s="130"/>
      <c r="DK24" s="130"/>
      <c r="DL24" s="130"/>
      <c r="DM24" s="130"/>
      <c r="EB24" s="416"/>
      <c r="EC24" s="418"/>
      <c r="ED24" s="418"/>
      <c r="EE24" s="418"/>
      <c r="EF24" s="418"/>
      <c r="EG24" s="416"/>
      <c r="EH24" s="416"/>
      <c r="EI24" s="418"/>
      <c r="EJ24" s="418"/>
      <c r="EK24" s="418"/>
      <c r="EL24" s="418"/>
      <c r="EM24" s="416"/>
      <c r="EN24" s="416"/>
      <c r="EO24" s="418"/>
      <c r="EP24" s="418"/>
      <c r="EQ24" s="418"/>
      <c r="ER24" s="418"/>
      <c r="EV24" s="158">
        <v>22</v>
      </c>
      <c r="EW24" s="165" t="s">
        <v>90</v>
      </c>
      <c r="EX24" s="158"/>
      <c r="EY24" s="158"/>
      <c r="EZ24" s="158">
        <v>22</v>
      </c>
      <c r="FA24" s="158" t="s">
        <v>91</v>
      </c>
      <c r="FB24" s="158" t="s">
        <v>92</v>
      </c>
      <c r="FC24" s="158" t="s">
        <v>28</v>
      </c>
      <c r="FD24" s="158" t="s">
        <v>93</v>
      </c>
    </row>
    <row r="25" spans="3:160" ht="12.75" customHeight="1" x14ac:dyDescent="0.25">
      <c r="C25" s="301" t="str">
        <f>IF(J117=0,"",J117)</f>
        <v/>
      </c>
      <c r="D25" s="17"/>
      <c r="F25" s="222" t="str">
        <f>IF(J127=0,"",J127)</f>
        <v/>
      </c>
      <c r="G25" s="222"/>
      <c r="H25" s="139"/>
      <c r="I25" s="19"/>
      <c r="K25" s="359"/>
      <c r="L25" s="359"/>
      <c r="CP25" s="130"/>
      <c r="CQ25" s="130"/>
      <c r="CR25" s="130"/>
      <c r="CS25" s="130"/>
      <c r="CT25" s="130"/>
      <c r="CU25" s="130"/>
      <c r="CV25" s="130"/>
      <c r="CW25" s="130"/>
      <c r="CX25" s="130"/>
      <c r="CY25" s="130"/>
      <c r="CZ25" s="130"/>
      <c r="DA25" s="130"/>
      <c r="DB25" s="130"/>
      <c r="DC25" s="130"/>
      <c r="DD25" s="130"/>
      <c r="DE25" s="130"/>
      <c r="DF25" s="130"/>
      <c r="DG25" s="130"/>
      <c r="DH25" s="130"/>
      <c r="DI25" s="130"/>
      <c r="DJ25" s="130"/>
      <c r="DK25" s="130"/>
      <c r="DL25" s="130"/>
      <c r="DM25" s="130"/>
      <c r="EC25" s="413"/>
      <c r="ED25" s="413"/>
      <c r="EE25" s="12"/>
      <c r="EF25" s="12"/>
      <c r="EI25" s="413"/>
      <c r="EJ25" s="12"/>
      <c r="EK25" s="12"/>
      <c r="EL25" s="12"/>
      <c r="EO25" s="419"/>
      <c r="EP25" s="12"/>
      <c r="EQ25" s="12"/>
      <c r="ER25" s="12"/>
      <c r="EV25" s="158">
        <v>23</v>
      </c>
      <c r="EW25" s="165" t="s">
        <v>94</v>
      </c>
      <c r="EX25" s="158"/>
      <c r="EY25" s="158"/>
      <c r="EZ25" s="158">
        <v>23</v>
      </c>
      <c r="FA25" s="158" t="s">
        <v>95</v>
      </c>
      <c r="FB25" s="158" t="s">
        <v>92</v>
      </c>
      <c r="FC25" s="158" t="s">
        <v>28</v>
      </c>
      <c r="FD25" s="158" t="s">
        <v>93</v>
      </c>
    </row>
    <row r="26" spans="3:160" ht="12.75" customHeight="1" x14ac:dyDescent="0.25">
      <c r="C26" s="382"/>
      <c r="D26" s="16"/>
      <c r="F26" s="16"/>
      <c r="G26" s="16"/>
      <c r="H26" s="139"/>
      <c r="I26" s="19"/>
      <c r="K26" s="359"/>
      <c r="L26" s="359"/>
      <c r="CP26" s="130"/>
      <c r="CQ26" s="130"/>
      <c r="CR26" s="130"/>
      <c r="CS26" s="130"/>
      <c r="CT26" s="130"/>
      <c r="CU26" s="130"/>
      <c r="CV26" s="130"/>
      <c r="CW26" s="130"/>
      <c r="CX26" s="130"/>
      <c r="CY26" s="130"/>
      <c r="CZ26" s="130"/>
      <c r="DA26" s="130"/>
      <c r="DB26" s="130"/>
      <c r="DC26" s="130"/>
      <c r="DD26" s="130"/>
      <c r="DE26" s="130"/>
      <c r="DF26" s="130"/>
      <c r="DG26" s="130"/>
      <c r="DH26" s="130"/>
      <c r="DI26" s="130"/>
      <c r="DJ26" s="130"/>
      <c r="DK26" s="130"/>
      <c r="DL26" s="130"/>
      <c r="DM26" s="130"/>
      <c r="EC26" s="413"/>
      <c r="ED26" s="413"/>
      <c r="EE26" s="12"/>
      <c r="EF26" s="12"/>
      <c r="EI26" s="12"/>
      <c r="EJ26" s="12"/>
      <c r="EK26" s="12"/>
      <c r="EL26" s="12"/>
      <c r="EO26" s="12"/>
      <c r="EP26" s="12"/>
      <c r="EQ26" s="12"/>
      <c r="ER26" s="12"/>
      <c r="EV26" s="158">
        <v>24</v>
      </c>
      <c r="EW26" s="165" t="s">
        <v>96</v>
      </c>
      <c r="EX26" s="158"/>
      <c r="EY26" s="158"/>
      <c r="EZ26" s="158">
        <v>24</v>
      </c>
      <c r="FA26" s="158" t="s">
        <v>97</v>
      </c>
      <c r="FB26" s="158" t="s">
        <v>92</v>
      </c>
      <c r="FC26" s="158" t="s">
        <v>28</v>
      </c>
      <c r="FD26" s="158" t="s">
        <v>93</v>
      </c>
    </row>
    <row r="27" spans="3:160" ht="12.75" customHeight="1" x14ac:dyDescent="0.25">
      <c r="C27" s="301" t="str">
        <f>IF(J118=0,"",J118)</f>
        <v/>
      </c>
      <c r="D27" s="17"/>
      <c r="F27" s="222" t="str">
        <f>IF(J128=0,"",J128)</f>
        <v/>
      </c>
      <c r="G27" s="222"/>
      <c r="H27" s="139"/>
      <c r="I27" s="16"/>
      <c r="J27" s="208"/>
      <c r="K27" s="208"/>
      <c r="L27" s="209"/>
      <c r="CP27" s="130"/>
      <c r="CQ27" s="130"/>
      <c r="CR27" s="130"/>
      <c r="CS27" s="130"/>
      <c r="CT27" s="130"/>
      <c r="CU27" s="130"/>
      <c r="CV27" s="130"/>
      <c r="CW27" s="130"/>
      <c r="CX27" s="130"/>
      <c r="CY27" s="130"/>
      <c r="CZ27" s="130"/>
      <c r="DA27" s="130"/>
      <c r="DB27" s="130"/>
      <c r="DC27" s="130"/>
      <c r="DD27" s="130"/>
      <c r="DE27" s="130"/>
      <c r="DF27" s="130"/>
      <c r="DG27" s="130"/>
      <c r="DH27" s="130"/>
      <c r="DI27" s="130"/>
      <c r="DJ27" s="130"/>
      <c r="DK27" s="130"/>
      <c r="DL27" s="130"/>
      <c r="DM27" s="130"/>
      <c r="EV27" s="158">
        <v>25</v>
      </c>
      <c r="EW27" s="165" t="s">
        <v>98</v>
      </c>
      <c r="EX27" s="158"/>
      <c r="EY27" s="158"/>
      <c r="EZ27" s="158">
        <v>25</v>
      </c>
      <c r="FA27" s="158" t="s">
        <v>99</v>
      </c>
      <c r="FB27" s="158" t="s">
        <v>100</v>
      </c>
      <c r="FC27" s="158" t="s">
        <v>28</v>
      </c>
      <c r="FD27" s="158" t="s">
        <v>101</v>
      </c>
    </row>
    <row r="28" spans="3:160" ht="12.75" customHeight="1" x14ac:dyDescent="0.25">
      <c r="C28" s="223"/>
      <c r="D28" s="17"/>
      <c r="F28" s="17"/>
      <c r="H28" s="139"/>
      <c r="I28" s="20"/>
      <c r="J28" s="208"/>
      <c r="K28" s="474" t="s">
        <v>102</v>
      </c>
      <c r="L28" s="474"/>
      <c r="CP28" s="130"/>
      <c r="CQ28" s="130"/>
      <c r="CR28" s="130"/>
      <c r="CS28" s="130"/>
      <c r="CT28" s="130"/>
      <c r="CU28" s="130"/>
      <c r="CV28" s="130"/>
      <c r="CW28" s="130"/>
      <c r="CX28" s="130"/>
      <c r="CY28" s="130"/>
      <c r="CZ28" s="130"/>
      <c r="DA28" s="130"/>
      <c r="DB28" s="130"/>
      <c r="DC28" s="130"/>
      <c r="DD28" s="130"/>
      <c r="DE28" s="130"/>
      <c r="DF28" s="130"/>
      <c r="DG28" s="130"/>
      <c r="DH28" s="130"/>
      <c r="DI28" s="130"/>
      <c r="DJ28" s="130"/>
      <c r="DK28" s="130"/>
      <c r="DL28" s="130"/>
      <c r="DM28" s="130"/>
      <c r="EC28" s="420"/>
      <c r="ED28" s="420"/>
      <c r="EE28" s="420"/>
      <c r="EF28" s="420"/>
      <c r="EI28" s="420"/>
      <c r="EJ28" s="420"/>
      <c r="EK28" s="420"/>
      <c r="EL28" s="420"/>
      <c r="EM28" s="15"/>
      <c r="EO28" s="420"/>
      <c r="EP28" s="420"/>
      <c r="EQ28" s="420"/>
      <c r="ER28" s="420"/>
      <c r="ES28" s="15"/>
      <c r="EV28" s="158">
        <v>26</v>
      </c>
      <c r="EW28" s="165" t="s">
        <v>103</v>
      </c>
      <c r="EX28" s="158"/>
      <c r="EY28" s="158"/>
      <c r="EZ28" s="158">
        <v>26</v>
      </c>
      <c r="FA28" s="158" t="s">
        <v>104</v>
      </c>
      <c r="FB28" s="158" t="s">
        <v>100</v>
      </c>
      <c r="FC28" s="158" t="s">
        <v>28</v>
      </c>
      <c r="FD28" s="158" t="s">
        <v>101</v>
      </c>
    </row>
    <row r="29" spans="3:160" ht="12.75" customHeight="1" x14ac:dyDescent="0.25">
      <c r="C29" s="301" t="str">
        <f>IF(J119=0,"",J119)</f>
        <v/>
      </c>
      <c r="D29" s="17"/>
      <c r="F29" s="222" t="str">
        <f>IF(J129=0,"",J129)</f>
        <v/>
      </c>
      <c r="G29" s="222"/>
      <c r="H29" s="139"/>
      <c r="I29" s="20"/>
      <c r="J29" s="208"/>
      <c r="K29" s="474"/>
      <c r="L29" s="474"/>
      <c r="CP29" s="130"/>
      <c r="CQ29" s="130"/>
      <c r="CR29" s="130"/>
      <c r="CS29" s="130"/>
      <c r="CT29" s="130"/>
      <c r="CU29" s="130"/>
      <c r="CV29" s="130"/>
      <c r="CW29" s="130"/>
      <c r="CX29" s="130"/>
      <c r="CY29" s="130"/>
      <c r="CZ29" s="130"/>
      <c r="DA29" s="130"/>
      <c r="DB29" s="130"/>
      <c r="DC29" s="130"/>
      <c r="DD29" s="130"/>
      <c r="DE29" s="130"/>
      <c r="DF29" s="130"/>
      <c r="DG29" s="130"/>
      <c r="DH29" s="130"/>
      <c r="DI29" s="130"/>
      <c r="DJ29" s="130"/>
      <c r="DK29" s="130"/>
      <c r="DL29" s="130"/>
      <c r="DM29" s="130"/>
      <c r="EC29" s="243"/>
      <c r="ED29" s="244"/>
      <c r="EE29" s="244"/>
      <c r="EF29" s="244"/>
      <c r="EI29" s="16"/>
      <c r="EJ29" s="160"/>
      <c r="EK29" s="12"/>
      <c r="EL29" s="12"/>
      <c r="EO29" s="16"/>
      <c r="EP29" s="160"/>
      <c r="EQ29" s="12"/>
      <c r="ER29" s="12"/>
      <c r="EV29" s="158">
        <v>27</v>
      </c>
      <c r="EW29" s="165" t="s">
        <v>105</v>
      </c>
      <c r="EX29" s="158"/>
      <c r="EY29" s="158"/>
      <c r="EZ29" s="158">
        <v>27</v>
      </c>
      <c r="FA29" s="158" t="s">
        <v>106</v>
      </c>
      <c r="FB29" s="158" t="s">
        <v>107</v>
      </c>
      <c r="FC29" s="158" t="s">
        <v>28</v>
      </c>
      <c r="FD29" s="158" t="s">
        <v>106</v>
      </c>
    </row>
    <row r="30" spans="3:160" ht="12.75" customHeight="1" x14ac:dyDescent="0.25">
      <c r="C30" s="223"/>
      <c r="D30" s="17"/>
      <c r="F30" s="17"/>
      <c r="G30" s="17"/>
      <c r="H30" s="139"/>
      <c r="I30" s="20"/>
      <c r="K30" s="473" t="str">
        <f>IF(F3333&gt;1,"BEE JV LEVEL CONTRIBUTOR SCORE =","BEE LEVEL CONTRIBUTOR SCORE =")</f>
        <v>BEE LEVEL CONTRIBUTOR SCORE =</v>
      </c>
      <c r="L30" s="473" t="str">
        <f>IF(F3333&gt;1,"Economic interest of black people in the JV (%)","Economic interest of black people in the Enterprise (%)")</f>
        <v>Economic interest of black people in the Enterprise (%)</v>
      </c>
      <c r="N30" s="104"/>
      <c r="O30" s="104"/>
      <c r="P30" s="104"/>
      <c r="Q30" s="104"/>
      <c r="R30" s="104"/>
      <c r="S30" s="104"/>
      <c r="T30" s="104"/>
      <c r="U30" s="104"/>
      <c r="CP30" s="130"/>
      <c r="CQ30" s="130"/>
      <c r="CR30" s="130"/>
      <c r="CS30" s="130"/>
      <c r="CT30" s="130"/>
      <c r="CU30" s="130"/>
      <c r="CV30" s="130"/>
      <c r="CW30" s="130"/>
      <c r="CX30" s="130"/>
      <c r="CY30" s="130"/>
      <c r="CZ30" s="130"/>
      <c r="DA30" s="130"/>
      <c r="DB30" s="130"/>
      <c r="DC30" s="130"/>
      <c r="DD30" s="130"/>
      <c r="DE30" s="130"/>
      <c r="DF30" s="130"/>
      <c r="DG30" s="130"/>
      <c r="DH30" s="130"/>
      <c r="DI30" s="130"/>
      <c r="DJ30" s="130"/>
      <c r="DK30" s="130"/>
      <c r="DL30" s="130"/>
      <c r="DM30" s="130"/>
      <c r="EC30" s="244"/>
      <c r="ED30" s="244"/>
      <c r="EE30" s="244"/>
      <c r="EF30" s="244"/>
      <c r="EI30" s="16"/>
      <c r="EJ30" s="160"/>
      <c r="EK30" s="12"/>
      <c r="EL30" s="12"/>
      <c r="EO30" s="16"/>
      <c r="EP30" s="160"/>
      <c r="EQ30" s="12"/>
      <c r="ER30" s="12"/>
      <c r="EV30" s="158">
        <v>28</v>
      </c>
      <c r="EW30" s="165" t="s">
        <v>108</v>
      </c>
      <c r="EX30" s="158"/>
      <c r="EY30" s="158"/>
      <c r="EZ30" s="158">
        <v>28</v>
      </c>
      <c r="FA30" s="158" t="s">
        <v>109</v>
      </c>
      <c r="FB30" s="158" t="s">
        <v>110</v>
      </c>
      <c r="FC30" s="158" t="s">
        <v>13</v>
      </c>
      <c r="FD30" s="158" t="s">
        <v>111</v>
      </c>
    </row>
    <row r="31" spans="3:160" ht="12.75" customHeight="1" thickBot="1" x14ac:dyDescent="0.3">
      <c r="C31" s="224"/>
      <c r="D31" s="140"/>
      <c r="E31" s="225"/>
      <c r="F31" s="140"/>
      <c r="G31" s="225"/>
      <c r="H31" s="384"/>
      <c r="I31" s="20"/>
      <c r="K31" s="473"/>
      <c r="L31" s="473"/>
      <c r="N31" s="104"/>
      <c r="O31" s="104"/>
      <c r="P31" s="104"/>
      <c r="Q31" s="104"/>
      <c r="R31" s="104"/>
      <c r="S31" s="104"/>
      <c r="T31" s="104"/>
      <c r="U31" s="104"/>
      <c r="EI31" s="16"/>
      <c r="EJ31" s="160"/>
      <c r="EK31" s="12"/>
      <c r="EL31" s="12"/>
      <c r="EO31" s="15"/>
      <c r="EV31" s="158">
        <v>29</v>
      </c>
      <c r="EW31" s="165" t="s">
        <v>112</v>
      </c>
      <c r="EX31" s="158"/>
      <c r="EY31" s="158"/>
      <c r="EZ31" s="158">
        <v>29</v>
      </c>
      <c r="FA31" s="158" t="s">
        <v>113</v>
      </c>
      <c r="FB31" s="158" t="s">
        <v>110</v>
      </c>
      <c r="FC31" s="158" t="s">
        <v>13</v>
      </c>
      <c r="FD31" s="158" t="s">
        <v>111</v>
      </c>
    </row>
    <row r="32" spans="3:160" ht="12" customHeight="1" x14ac:dyDescent="0.25">
      <c r="C32" s="15"/>
      <c r="D32" s="15"/>
      <c r="E32" s="15"/>
      <c r="F32" s="15"/>
      <c r="G32" s="15"/>
      <c r="H32" s="15"/>
      <c r="K32" s="473"/>
      <c r="L32" s="473"/>
      <c r="N32" s="104"/>
      <c r="O32" s="104"/>
      <c r="P32" s="104"/>
      <c r="Q32" s="104"/>
      <c r="R32" s="104"/>
      <c r="S32" s="104"/>
      <c r="T32" s="104"/>
      <c r="U32" s="104"/>
      <c r="EV32" s="158">
        <v>30</v>
      </c>
      <c r="EW32" s="165" t="s">
        <v>114</v>
      </c>
      <c r="EX32" s="158"/>
      <c r="EY32" s="158"/>
      <c r="EZ32" s="158">
        <v>30</v>
      </c>
      <c r="FA32" s="158" t="s">
        <v>115</v>
      </c>
      <c r="FB32" s="158" t="s">
        <v>116</v>
      </c>
      <c r="FC32" s="158" t="s">
        <v>28</v>
      </c>
      <c r="FD32" s="158" t="s">
        <v>115</v>
      </c>
    </row>
    <row r="33" spans="2:160" s="21" customFormat="1" ht="56.25" customHeight="1" x14ac:dyDescent="0.25">
      <c r="B33" s="22" t="s">
        <v>117</v>
      </c>
      <c r="C33" s="127">
        <v>1</v>
      </c>
      <c r="D33" s="127"/>
      <c r="E33"/>
      <c r="F33" s="178" t="s">
        <v>118</v>
      </c>
      <c r="G33" s="179">
        <f>IF(C33=2,0,K33)</f>
        <v>9</v>
      </c>
      <c r="H33"/>
      <c r="I33" s="472" t="s">
        <v>119</v>
      </c>
      <c r="J33" s="472"/>
      <c r="K33" s="245">
        <v>9</v>
      </c>
      <c r="L33" s="23"/>
      <c r="M33" s="246" t="str">
        <f>IF(C33=2,"",IF(F3333&gt;1,"IF A JV - A CONSOLIDATED PROJECT SPECIFIC ","INCLUDE A CERTIFIED ORIGINAL CERTIFICATE IN THE FINANCIAL PROPOSAL"))</f>
        <v>INCLUDE A CERTIFIED ORIGINAL CERTIFICATE IN THE FINANCIAL PROPOSAL</v>
      </c>
      <c r="N33" s="176"/>
      <c r="O33" s="176"/>
      <c r="P33" s="176"/>
      <c r="Q33" s="176"/>
      <c r="R33" s="176"/>
      <c r="S33" s="176"/>
      <c r="EA33"/>
      <c r="ED33"/>
      <c r="EE33"/>
      <c r="ES33"/>
      <c r="EV33" s="173">
        <v>31</v>
      </c>
      <c r="EW33" s="165" t="s">
        <v>34</v>
      </c>
      <c r="EX33" s="165"/>
      <c r="EY33" s="165"/>
      <c r="EZ33" s="173">
        <v>31</v>
      </c>
      <c r="FA33" s="173" t="s">
        <v>120</v>
      </c>
      <c r="FB33" s="173" t="s">
        <v>121</v>
      </c>
      <c r="FC33" s="173" t="s">
        <v>28</v>
      </c>
      <c r="FD33" s="173" t="s">
        <v>122</v>
      </c>
    </row>
    <row r="34" spans="2:160" ht="54.75" customHeight="1" x14ac:dyDescent="0.25">
      <c r="C34" s="475" t="s">
        <v>123</v>
      </c>
      <c r="D34" s="475"/>
      <c r="E34" s="475"/>
      <c r="F34" s="180" t="s">
        <v>124</v>
      </c>
      <c r="G34" s="181">
        <f>IF(C33=2,0,L33)</f>
        <v>0</v>
      </c>
      <c r="I34" s="472"/>
      <c r="J34" s="472"/>
      <c r="K34" s="23"/>
      <c r="L34" s="23"/>
      <c r="M34" s="246" t="str">
        <f>IF(C33=2,"",IF(F3333&gt;1,"VERIFICATION CERTIFICATE IS REQUIRED",""))</f>
        <v/>
      </c>
      <c r="N34" s="177"/>
      <c r="O34" s="177"/>
      <c r="P34" s="177"/>
      <c r="Q34" s="177"/>
      <c r="R34" s="177"/>
      <c r="S34" s="177"/>
      <c r="T34" s="177"/>
      <c r="U34" s="177"/>
      <c r="EV34" s="158">
        <v>32</v>
      </c>
      <c r="EW34" s="165" t="s">
        <v>115</v>
      </c>
      <c r="EX34" s="158">
        <v>32</v>
      </c>
      <c r="EY34" s="158" t="s">
        <v>125</v>
      </c>
      <c r="EZ34" s="158" t="s">
        <v>121</v>
      </c>
      <c r="FA34" s="158" t="s">
        <v>28</v>
      </c>
      <c r="FB34" s="158" t="s">
        <v>122</v>
      </c>
      <c r="FC34" s="158"/>
      <c r="FD34" s="158"/>
    </row>
    <row r="35" spans="2:160" ht="57.75" customHeight="1" x14ac:dyDescent="0.25">
      <c r="I35" s="472"/>
      <c r="J35" s="472"/>
      <c r="K35" s="23"/>
      <c r="L35" s="23"/>
      <c r="M35" s="246" t="str">
        <f>IF(C33=2,"",IF(F3333&gt;1,"AS WELL AS EACH INDIVIDUAL COMPANIES BEE CERTIFICATE",""))</f>
        <v/>
      </c>
      <c r="EV35" s="158">
        <v>33</v>
      </c>
      <c r="EW35" s="165" t="s">
        <v>126</v>
      </c>
      <c r="EX35" s="158">
        <v>33</v>
      </c>
      <c r="EY35" s="158" t="s">
        <v>126</v>
      </c>
      <c r="EZ35" s="158" t="s">
        <v>127</v>
      </c>
      <c r="FA35" s="158" t="s">
        <v>28</v>
      </c>
      <c r="FB35" s="158" t="s">
        <v>126</v>
      </c>
      <c r="FC35" s="158"/>
      <c r="FD35" s="158"/>
    </row>
    <row r="36" spans="2:160" ht="27" thickBot="1" x14ac:dyDescent="0.3">
      <c r="B36">
        <f>$D$1</f>
        <v>0</v>
      </c>
      <c r="C36" s="24" t="s">
        <v>128</v>
      </c>
      <c r="D36" s="25" t="s">
        <v>129</v>
      </c>
      <c r="EV36" s="158">
        <v>34</v>
      </c>
      <c r="EW36" s="165" t="s">
        <v>130</v>
      </c>
      <c r="EX36" s="158"/>
      <c r="EY36" s="158"/>
      <c r="EZ36" s="158"/>
      <c r="FA36" s="158"/>
      <c r="FB36" s="158"/>
      <c r="FC36" s="158"/>
      <c r="FD36" s="158"/>
    </row>
    <row r="37" spans="2:160" ht="13.8" thickTop="1" x14ac:dyDescent="0.25">
      <c r="B37" s="27" t="s">
        <v>131</v>
      </c>
      <c r="C37" s="28"/>
      <c r="D37" s="29" t="s">
        <v>132</v>
      </c>
      <c r="E37" s="27" t="str">
        <f>J110</f>
        <v>PL (RIMS)</v>
      </c>
      <c r="F37" s="30" t="str">
        <f>IF(L110=0,"NOT REQUIRED", IF(L110="MAN","MANAGERIAL POSITION","NON-MANAGERIAL POSITION"))</f>
        <v>MANAGERIAL POSITION</v>
      </c>
      <c r="G37" s="28"/>
      <c r="H37" s="28"/>
      <c r="I37" s="31"/>
      <c r="J37" s="27"/>
      <c r="K37" s="28"/>
      <c r="L37" s="31" t="s">
        <v>133</v>
      </c>
      <c r="M37" s="28"/>
      <c r="N37" s="32"/>
    </row>
    <row r="38" spans="2:160" x14ac:dyDescent="0.25">
      <c r="E38" s="34"/>
      <c r="F38" s="35"/>
      <c r="G38" s="36"/>
      <c r="I38" s="10"/>
      <c r="J38" s="37"/>
      <c r="N38" s="38"/>
    </row>
    <row r="39" spans="2:160" ht="12.75" customHeight="1" x14ac:dyDescent="0.25">
      <c r="B39" t="s">
        <v>134</v>
      </c>
      <c r="L39" s="465" t="s">
        <v>848</v>
      </c>
      <c r="M39" s="465"/>
      <c r="N39" s="38"/>
    </row>
    <row r="40" spans="2:160" ht="24.75" customHeight="1" x14ac:dyDescent="0.25">
      <c r="B40" s="39" t="s">
        <v>135</v>
      </c>
      <c r="C40" s="40"/>
      <c r="D40" s="41"/>
      <c r="E40" s="427" t="s">
        <v>136</v>
      </c>
      <c r="F40" s="428"/>
      <c r="G40" s="39" t="s">
        <v>137</v>
      </c>
      <c r="H40" s="41"/>
      <c r="I40" s="39" t="s">
        <v>138</v>
      </c>
      <c r="J40" s="41"/>
      <c r="K40" s="42"/>
      <c r="L40" s="465"/>
      <c r="M40" s="465"/>
      <c r="N40" s="38"/>
    </row>
    <row r="41" spans="2:160" ht="18" customHeight="1" x14ac:dyDescent="0.25">
      <c r="B41" s="194"/>
      <c r="C41" s="195"/>
      <c r="D41" s="196"/>
      <c r="E41" s="425"/>
      <c r="F41" s="426"/>
      <c r="G41" s="43" t="str">
        <f>K110</f>
        <v>Project Leader (RIMS)</v>
      </c>
      <c r="H41" s="44"/>
      <c r="I41" s="197"/>
      <c r="J41" s="198"/>
      <c r="K41" s="45"/>
      <c r="N41" s="38"/>
      <c r="P41" s="144">
        <v>1</v>
      </c>
      <c r="Q41" s="144">
        <v>1</v>
      </c>
      <c r="R41" s="144">
        <v>1</v>
      </c>
      <c r="S41" s="144" t="str">
        <f>VLOOKUP(P41,'WORKINGS MATRIX'!$H$200:$I$351,2,FALSE)</f>
        <v>Year</v>
      </c>
      <c r="T41" s="144">
        <f>Q41-1</f>
        <v>0</v>
      </c>
      <c r="U41" s="144">
        <f>R41-1</f>
        <v>0</v>
      </c>
      <c r="V41" s="144" t="str">
        <f>IF(S41="year","",S41)</f>
        <v/>
      </c>
      <c r="W41" s="144" t="str">
        <f>IF(T41=0,"",T41)</f>
        <v/>
      </c>
      <c r="X41" s="144" t="str">
        <f>IF(U41=0,"",U41)</f>
        <v/>
      </c>
      <c r="Y41" s="144" t="str">
        <f>IF(V41="","",IF(W41="",(V41&amp;"/"&amp;"1"&amp;"/"&amp;"1"),IF(X41="",(V41&amp;"/"&amp;W41&amp;"/"&amp;"1"),(V41&amp;"/"&amp;W41&amp;"/"&amp;X41))))</f>
        <v/>
      </c>
      <c r="Z41" s="144" t="str">
        <f>IF(Y41="//","",Y41)</f>
        <v/>
      </c>
    </row>
    <row r="42" spans="2:160" x14ac:dyDescent="0.25">
      <c r="E42" t="str">
        <f>IF(E41="","",IF(LEN(E41)=13,"","ID NUMBER SHOULD BE 13 DIGITS"))</f>
        <v/>
      </c>
      <c r="N42" s="38"/>
      <c r="P42" s="144"/>
      <c r="Q42" s="144"/>
      <c r="R42" s="144"/>
      <c r="S42" s="144"/>
      <c r="T42" s="144"/>
      <c r="U42" s="144"/>
      <c r="V42" s="144"/>
      <c r="W42" s="144"/>
      <c r="X42" s="144"/>
      <c r="Y42" s="144"/>
      <c r="Z42" s="144"/>
    </row>
    <row r="43" spans="2:160" x14ac:dyDescent="0.25">
      <c r="G43" s="170" t="str">
        <f>IF(AG46=0,"","DATES BEYOND TENDER CLOSING DATE - PLEASE CHECK")</f>
        <v/>
      </c>
      <c r="N43" s="38"/>
      <c r="P43" s="144"/>
      <c r="Q43" s="144"/>
      <c r="R43" s="144"/>
      <c r="S43" s="144"/>
      <c r="T43" s="144"/>
      <c r="U43" s="144"/>
      <c r="V43" s="144"/>
      <c r="W43" s="144"/>
      <c r="X43" s="144"/>
      <c r="Y43" s="144"/>
      <c r="Z43" s="144"/>
    </row>
    <row r="44" spans="2:160" x14ac:dyDescent="0.25">
      <c r="B44" t="s">
        <v>139</v>
      </c>
      <c r="G44" s="170" t="str">
        <f>IF(AE46=0,"","DATES INCORRECT OR INCOMPLETE - PLEASE CHECK")</f>
        <v/>
      </c>
      <c r="N44" s="38"/>
      <c r="P44" s="144"/>
      <c r="Q44" s="144"/>
      <c r="R44" s="144"/>
      <c r="S44" s="144"/>
      <c r="T44" s="144"/>
      <c r="U44" s="144"/>
      <c r="V44" s="144"/>
      <c r="W44" s="144"/>
      <c r="X44" s="144"/>
      <c r="Y44" s="144"/>
      <c r="Z44" s="144"/>
    </row>
    <row r="45" spans="2:160" x14ac:dyDescent="0.25">
      <c r="B45" s="15" t="s">
        <v>140</v>
      </c>
      <c r="N45" s="38"/>
      <c r="P45" s="144"/>
      <c r="Q45" s="144"/>
      <c r="R45" s="144"/>
      <c r="S45" s="144"/>
      <c r="T45" s="144"/>
      <c r="U45" s="144"/>
      <c r="V45" s="144"/>
      <c r="W45" s="144"/>
      <c r="X45" s="144"/>
      <c r="Y45" s="144"/>
      <c r="Z45" s="144"/>
    </row>
    <row r="46" spans="2:160" s="21" customFormat="1" ht="66" x14ac:dyDescent="0.25">
      <c r="B46" s="47" t="s">
        <v>141</v>
      </c>
      <c r="C46" s="48" t="s">
        <v>142</v>
      </c>
      <c r="D46" s="44"/>
      <c r="E46" s="470" t="s">
        <v>143</v>
      </c>
      <c r="F46" s="471"/>
      <c r="G46" s="157" t="s">
        <v>144</v>
      </c>
      <c r="H46" s="157" t="s">
        <v>145</v>
      </c>
      <c r="I46" s="385" t="s">
        <v>146</v>
      </c>
      <c r="J46" s="49" t="s">
        <v>147</v>
      </c>
      <c r="K46" s="50" t="s">
        <v>148</v>
      </c>
      <c r="L46" s="385" t="s">
        <v>149</v>
      </c>
      <c r="M46" s="49" t="s">
        <v>150</v>
      </c>
      <c r="N46" s="51"/>
      <c r="O46" s="386"/>
      <c r="P46" s="174"/>
      <c r="Q46" s="145"/>
      <c r="R46" s="145"/>
      <c r="S46" s="145"/>
      <c r="T46" s="145"/>
      <c r="U46" s="145"/>
      <c r="V46" s="145"/>
      <c r="W46" s="145"/>
      <c r="X46" s="145"/>
      <c r="Y46" s="145"/>
      <c r="Z46" s="145"/>
      <c r="AC46" s="165"/>
      <c r="AD46" s="165"/>
      <c r="AE46" s="165">
        <f>SUM(AE47:AE51)</f>
        <v>0</v>
      </c>
      <c r="AF46" s="165"/>
      <c r="AG46" s="165">
        <f>SUM(AG47:AG51)</f>
        <v>0</v>
      </c>
      <c r="EC46" s="412"/>
      <c r="ED46" s="412"/>
      <c r="EE46" s="412"/>
      <c r="EF46" s="412"/>
      <c r="EG46" s="412"/>
      <c r="EH46" s="412"/>
      <c r="EI46" s="412"/>
      <c r="EJ46" s="412"/>
      <c r="EK46" s="412"/>
      <c r="EL46" s="412"/>
      <c r="EM46" s="412"/>
      <c r="EN46" s="412"/>
    </row>
    <row r="47" spans="2:160" s="11" customFormat="1" ht="25.5" customHeight="1" x14ac:dyDescent="0.25">
      <c r="B47" s="199"/>
      <c r="C47" s="53">
        <v>8</v>
      </c>
      <c r="D47" s="54"/>
      <c r="E47" s="55"/>
      <c r="F47" s="55">
        <v>1</v>
      </c>
      <c r="G47" s="143" t="str">
        <f>Z47</f>
        <v/>
      </c>
      <c r="H47" s="143" t="str">
        <f>Z52</f>
        <v/>
      </c>
      <c r="I47" s="202"/>
      <c r="J47" s="203"/>
      <c r="K47" s="56">
        <v>23</v>
      </c>
      <c r="L47" s="204"/>
      <c r="M47" s="205"/>
      <c r="N47" s="164">
        <f>IF(G47="",0,IF(H47="",0,(ROUND(((H47-G47)/30),0))))</f>
        <v>0</v>
      </c>
      <c r="O47" s="21"/>
      <c r="P47" s="175">
        <v>1</v>
      </c>
      <c r="Q47" s="175">
        <v>1</v>
      </c>
      <c r="R47" s="175">
        <v>1</v>
      </c>
      <c r="S47" s="166" t="str">
        <f>VLOOKUP(P47,'WORKINGS MATRIX'!$B$200:$C$351,2,FALSE)</f>
        <v>Year</v>
      </c>
      <c r="T47" s="166">
        <f t="shared" ref="T47:U51" si="0">Q47-1</f>
        <v>0</v>
      </c>
      <c r="U47" s="166">
        <f t="shared" si="0"/>
        <v>0</v>
      </c>
      <c r="V47" s="166" t="str">
        <f t="shared" ref="V47:V56" si="1">IF(S47="year","",S47)</f>
        <v/>
      </c>
      <c r="W47" s="166" t="str">
        <f t="shared" ref="W47:X51" si="2">IF(T47=0,"",T47)</f>
        <v/>
      </c>
      <c r="X47" s="166" t="str">
        <f t="shared" si="2"/>
        <v/>
      </c>
      <c r="Y47" s="166" t="str">
        <f t="shared" ref="Y47:Y56" si="3">IF(V47="","",IF(W47="",(V47&amp;"/"&amp;"1"&amp;"/"&amp;"1"),IF(X47="",(V47&amp;"/"&amp;W47&amp;"/"&amp;"1"),(V47&amp;"/"&amp;W47&amp;"/"&amp;X47))))</f>
        <v/>
      </c>
      <c r="Z47" s="166" t="str">
        <f t="shared" ref="Z47:Z56" si="4">IF(Y47="//","",Y47)</f>
        <v/>
      </c>
      <c r="AC47" s="172">
        <f>IF(B47="",0,1)</f>
        <v>0</v>
      </c>
      <c r="AD47" s="172">
        <f>IF(B47="",0,IF(N47&gt;0,1,IF(N47&lt;0,2,0)))</f>
        <v>0</v>
      </c>
      <c r="AE47" s="172">
        <f>IF(AC47=AD47,0,IF(AC47&gt;AD47,2,1))</f>
        <v>0</v>
      </c>
      <c r="AF47" s="172">
        <f>IF(B47="",0,IF(N47=0,0,H47-$F$125))</f>
        <v>0</v>
      </c>
      <c r="AG47" s="172">
        <f>IF(AF47&gt;0,1,0)</f>
        <v>0</v>
      </c>
      <c r="AJ47" s="171"/>
      <c r="EC47" s="10"/>
      <c r="ED47" s="10"/>
      <c r="EE47" s="10"/>
      <c r="EF47" s="10"/>
      <c r="EG47" s="10"/>
      <c r="EH47" s="10"/>
      <c r="EI47" s="10"/>
      <c r="EJ47" s="10"/>
      <c r="EK47" s="10"/>
      <c r="EL47" s="10"/>
      <c r="EM47" s="10"/>
      <c r="EN47" s="10"/>
    </row>
    <row r="48" spans="2:160" s="11" customFormat="1" ht="25.5" customHeight="1" x14ac:dyDescent="0.25">
      <c r="B48" s="199"/>
      <c r="C48" s="53">
        <v>8</v>
      </c>
      <c r="D48" s="54"/>
      <c r="E48" s="55"/>
      <c r="F48" s="55">
        <v>1</v>
      </c>
      <c r="G48" s="143" t="str">
        <f>Z48</f>
        <v/>
      </c>
      <c r="H48" s="143" t="str">
        <f>Z53</f>
        <v/>
      </c>
      <c r="I48" s="202"/>
      <c r="J48" s="203"/>
      <c r="K48" s="56">
        <v>23</v>
      </c>
      <c r="L48" s="204"/>
      <c r="M48" s="205"/>
      <c r="N48" s="164">
        <f>IF(G48="",0,IF(H48="",0,(ROUND(((H48-G48)/30),0))))</f>
        <v>0</v>
      </c>
      <c r="O48" s="21"/>
      <c r="P48" s="175">
        <v>1</v>
      </c>
      <c r="Q48" s="175">
        <v>1</v>
      </c>
      <c r="R48" s="175">
        <v>1</v>
      </c>
      <c r="S48" s="166" t="str">
        <f>VLOOKUP(P48,'WORKINGS MATRIX'!$B$200:$C$351,2,FALSE)</f>
        <v>Year</v>
      </c>
      <c r="T48" s="166">
        <f t="shared" si="0"/>
        <v>0</v>
      </c>
      <c r="U48" s="166">
        <f t="shared" si="0"/>
        <v>0</v>
      </c>
      <c r="V48" s="166" t="str">
        <f t="shared" si="1"/>
        <v/>
      </c>
      <c r="W48" s="166" t="str">
        <f t="shared" si="2"/>
        <v/>
      </c>
      <c r="X48" s="166" t="str">
        <f t="shared" si="2"/>
        <v/>
      </c>
      <c r="Y48" s="166" t="str">
        <f t="shared" si="3"/>
        <v/>
      </c>
      <c r="Z48" s="166" t="str">
        <f t="shared" si="4"/>
        <v/>
      </c>
      <c r="AC48" s="172">
        <f>IF(B48="",0,1)</f>
        <v>0</v>
      </c>
      <c r="AD48" s="172">
        <f>IF(B48="",0,IF(N48&gt;0,1,IF(N48&lt;0,2,0)))</f>
        <v>0</v>
      </c>
      <c r="AE48" s="172">
        <f>IF(AC48=AD48,0,IF(AC48&gt;AD48,2,1))</f>
        <v>0</v>
      </c>
      <c r="AF48" s="172">
        <f>IF(B48="",0,IF(N48=0,0,H48-$F$125))</f>
        <v>0</v>
      </c>
      <c r="AG48" s="172">
        <f>IF(AF48&gt;0,1,0)</f>
        <v>0</v>
      </c>
      <c r="EC48" s="77"/>
      <c r="ED48" s="77"/>
      <c r="EE48" s="77"/>
      <c r="EF48" s="77"/>
      <c r="EG48" s="77"/>
      <c r="EH48" s="77"/>
      <c r="EI48" s="77"/>
      <c r="EJ48" s="77"/>
      <c r="EK48" s="77"/>
      <c r="EL48" s="77"/>
      <c r="EM48" s="77"/>
      <c r="EN48" s="77"/>
    </row>
    <row r="49" spans="2:144" s="11" customFormat="1" ht="25.5" customHeight="1" x14ac:dyDescent="0.25">
      <c r="B49" s="199"/>
      <c r="C49" s="53">
        <v>8</v>
      </c>
      <c r="D49" s="54"/>
      <c r="E49" s="55"/>
      <c r="F49" s="55">
        <v>1</v>
      </c>
      <c r="G49" s="143" t="str">
        <f>Z49</f>
        <v/>
      </c>
      <c r="H49" s="143" t="str">
        <f>Z54</f>
        <v/>
      </c>
      <c r="I49" s="202"/>
      <c r="J49" s="203"/>
      <c r="K49" s="56">
        <v>23</v>
      </c>
      <c r="L49" s="204"/>
      <c r="M49" s="205"/>
      <c r="N49" s="164">
        <f>IF(G49="",0,IF(H49="",0,(ROUND(((H49-G49)/30),0))))</f>
        <v>0</v>
      </c>
      <c r="O49" s="21"/>
      <c r="P49" s="175">
        <v>1</v>
      </c>
      <c r="Q49" s="175">
        <v>1</v>
      </c>
      <c r="R49" s="175">
        <v>1</v>
      </c>
      <c r="S49" s="166" t="str">
        <f>VLOOKUP(P49,'WORKINGS MATRIX'!$B$200:$C$351,2,FALSE)</f>
        <v>Year</v>
      </c>
      <c r="T49" s="166">
        <f t="shared" si="0"/>
        <v>0</v>
      </c>
      <c r="U49" s="166">
        <f t="shared" si="0"/>
        <v>0</v>
      </c>
      <c r="V49" s="166" t="str">
        <f t="shared" si="1"/>
        <v/>
      </c>
      <c r="W49" s="166" t="str">
        <f t="shared" si="2"/>
        <v/>
      </c>
      <c r="X49" s="166" t="str">
        <f t="shared" si="2"/>
        <v/>
      </c>
      <c r="Y49" s="166" t="str">
        <f t="shared" si="3"/>
        <v/>
      </c>
      <c r="Z49" s="166" t="str">
        <f t="shared" si="4"/>
        <v/>
      </c>
      <c r="AC49" s="172">
        <f>IF(B49="",0,1)</f>
        <v>0</v>
      </c>
      <c r="AD49" s="172">
        <f>IF(B49="",0,IF(N49&gt;0,1,IF(N49&lt;0,2,0)))</f>
        <v>0</v>
      </c>
      <c r="AE49" s="172">
        <f>IF(AC49=AD49,0,IF(AC49&gt;AD49,2,1))</f>
        <v>0</v>
      </c>
      <c r="AF49" s="172">
        <f>IF(B49="",0,IF(N49=0,0,H49-$F$125))</f>
        <v>0</v>
      </c>
      <c r="AG49" s="172">
        <f>IF(AF49&gt;0,1,0)</f>
        <v>0</v>
      </c>
      <c r="EC49" s="10"/>
      <c r="ED49" s="10"/>
      <c r="EE49" s="10"/>
      <c r="EF49" s="10"/>
      <c r="EG49" s="10"/>
      <c r="EH49" s="10"/>
      <c r="EI49" s="10"/>
      <c r="EJ49" s="10"/>
      <c r="EK49" s="10"/>
      <c r="EL49" s="10"/>
      <c r="EM49" s="10"/>
      <c r="EN49" s="10"/>
    </row>
    <row r="50" spans="2:144" s="11" customFormat="1" ht="25.5" customHeight="1" x14ac:dyDescent="0.25">
      <c r="B50" s="257"/>
      <c r="C50" s="257"/>
      <c r="D50" s="257"/>
      <c r="E50" s="257"/>
      <c r="F50" s="257"/>
      <c r="G50" s="257"/>
      <c r="H50" s="257"/>
      <c r="I50" s="257"/>
      <c r="J50" s="257"/>
      <c r="K50" s="257"/>
      <c r="L50" s="257"/>
      <c r="M50" s="257"/>
      <c r="N50" s="164">
        <f>IF(G50="",0,IF(H50="",0,(ROUND(((H50-G50)/30),0))))</f>
        <v>0</v>
      </c>
      <c r="O50" s="21"/>
      <c r="P50" s="175">
        <v>1</v>
      </c>
      <c r="Q50" s="175">
        <v>1</v>
      </c>
      <c r="R50" s="175">
        <v>1</v>
      </c>
      <c r="S50" s="166" t="str">
        <f>VLOOKUP(P50,'WORKINGS MATRIX'!$B$200:$C$351,2,FALSE)</f>
        <v>Year</v>
      </c>
      <c r="T50" s="166">
        <f t="shared" si="0"/>
        <v>0</v>
      </c>
      <c r="U50" s="166">
        <f t="shared" si="0"/>
        <v>0</v>
      </c>
      <c r="V50" s="166" t="str">
        <f t="shared" si="1"/>
        <v/>
      </c>
      <c r="W50" s="166" t="str">
        <f t="shared" si="2"/>
        <v/>
      </c>
      <c r="X50" s="166" t="str">
        <f t="shared" si="2"/>
        <v/>
      </c>
      <c r="Y50" s="166" t="str">
        <f t="shared" si="3"/>
        <v/>
      </c>
      <c r="Z50" s="166" t="str">
        <f t="shared" si="4"/>
        <v/>
      </c>
      <c r="AC50" s="172">
        <f>IF(B50="",0,1)</f>
        <v>0</v>
      </c>
      <c r="AD50" s="172">
        <f>IF(B50="",0,IF(N50&gt;0,1,IF(N50&lt;0,2,0)))</f>
        <v>0</v>
      </c>
      <c r="AE50" s="172">
        <f>IF(AC50=AD50,0,IF(AC50&gt;AD50,2,1))</f>
        <v>0</v>
      </c>
      <c r="AF50" s="172">
        <f>IF(B50="",0,IF(N50=0,0,H50-$F$125))</f>
        <v>0</v>
      </c>
      <c r="AG50" s="172">
        <f>IF(AF50&gt;0,1,0)</f>
        <v>0</v>
      </c>
      <c r="EC50" s="10"/>
      <c r="ED50" s="10"/>
      <c r="EE50" s="10"/>
      <c r="EF50" s="10"/>
      <c r="EG50" s="10"/>
      <c r="EH50" s="10"/>
      <c r="EI50" s="10"/>
      <c r="EJ50" s="10"/>
      <c r="EK50" s="10"/>
      <c r="EL50" s="10"/>
      <c r="EM50" s="10"/>
      <c r="EN50" s="10"/>
    </row>
    <row r="51" spans="2:144" s="11" customFormat="1" ht="25.5" customHeight="1" x14ac:dyDescent="0.25">
      <c r="B51" s="242"/>
      <c r="C51" s="242"/>
      <c r="D51" s="242"/>
      <c r="E51" s="242"/>
      <c r="F51" s="242"/>
      <c r="G51" s="242"/>
      <c r="H51" s="242"/>
      <c r="I51" s="242"/>
      <c r="J51" s="242"/>
      <c r="K51" s="242"/>
      <c r="L51" s="242"/>
      <c r="M51" s="242"/>
      <c r="N51" s="164">
        <f>IF(G51="",0,IF(H51="",0,(ROUND(((H51-G51)/30),0))))</f>
        <v>0</v>
      </c>
      <c r="O51" s="21"/>
      <c r="P51" s="175">
        <v>1</v>
      </c>
      <c r="Q51" s="175">
        <v>1</v>
      </c>
      <c r="R51" s="175">
        <v>1</v>
      </c>
      <c r="S51" s="166" t="str">
        <f>VLOOKUP(P51,'WORKINGS MATRIX'!$B$200:$C$351,2,FALSE)</f>
        <v>Year</v>
      </c>
      <c r="T51" s="166">
        <f t="shared" si="0"/>
        <v>0</v>
      </c>
      <c r="U51" s="166">
        <f t="shared" si="0"/>
        <v>0</v>
      </c>
      <c r="V51" s="166" t="str">
        <f t="shared" si="1"/>
        <v/>
      </c>
      <c r="W51" s="166" t="str">
        <f t="shared" si="2"/>
        <v/>
      </c>
      <c r="X51" s="166" t="str">
        <f t="shared" si="2"/>
        <v/>
      </c>
      <c r="Y51" s="166" t="str">
        <f t="shared" si="3"/>
        <v/>
      </c>
      <c r="Z51" s="166" t="str">
        <f t="shared" si="4"/>
        <v/>
      </c>
      <c r="AC51" s="172">
        <f>IF(B51="",0,1)</f>
        <v>0</v>
      </c>
      <c r="AD51" s="172">
        <f>IF(B51="",0,IF(N51&gt;0,1,IF(N51&lt;0,2,0)))</f>
        <v>0</v>
      </c>
      <c r="AE51" s="172">
        <f>IF(AC51=AD51,0,IF(AC51&gt;AD51,2,1))</f>
        <v>0</v>
      </c>
      <c r="AF51" s="172">
        <f>IF(B51="",0,IF(N51=0,0,H51-$F$125))</f>
        <v>0</v>
      </c>
      <c r="AG51" s="172">
        <f>IF(AF51&gt;0,1,0)</f>
        <v>0</v>
      </c>
    </row>
    <row r="52" spans="2:144" x14ac:dyDescent="0.25">
      <c r="D52" s="57"/>
      <c r="H52" s="58"/>
      <c r="K52" s="21"/>
      <c r="N52" s="38"/>
      <c r="O52" s="58"/>
      <c r="P52" s="166">
        <v>1</v>
      </c>
      <c r="Q52" s="166">
        <v>1</v>
      </c>
      <c r="R52" s="166">
        <v>1</v>
      </c>
      <c r="S52" s="166" t="str">
        <f>VLOOKUP(P52,'WORKINGS MATRIX'!$B$200:$C$351,2,FALSE)</f>
        <v>Year</v>
      </c>
      <c r="T52" s="166">
        <f t="shared" ref="T52:U56" si="5">Q52-1</f>
        <v>0</v>
      </c>
      <c r="U52" s="166">
        <f t="shared" si="5"/>
        <v>0</v>
      </c>
      <c r="V52" s="166" t="str">
        <f t="shared" si="1"/>
        <v/>
      </c>
      <c r="W52" s="166" t="str">
        <f t="shared" ref="W52:X56" si="6">IF(T52=0,"",T52)</f>
        <v/>
      </c>
      <c r="X52" s="166" t="str">
        <f t="shared" si="6"/>
        <v/>
      </c>
      <c r="Y52" s="166" t="str">
        <f t="shared" si="3"/>
        <v/>
      </c>
      <c r="Z52" s="166" t="str">
        <f t="shared" si="4"/>
        <v/>
      </c>
      <c r="AC52" s="158"/>
      <c r="AD52" s="158"/>
      <c r="AE52" s="158"/>
      <c r="AF52" s="158"/>
      <c r="AG52" s="158"/>
    </row>
    <row r="53" spans="2:144" x14ac:dyDescent="0.25">
      <c r="B53" t="s">
        <v>152</v>
      </c>
      <c r="D53" s="57"/>
      <c r="H53" s="58"/>
      <c r="K53" s="21"/>
      <c r="N53" s="38"/>
      <c r="O53" s="58"/>
      <c r="P53" s="166">
        <v>1</v>
      </c>
      <c r="Q53" s="166">
        <v>1</v>
      </c>
      <c r="R53" s="166">
        <v>1</v>
      </c>
      <c r="S53" s="166" t="str">
        <f>VLOOKUP(P53,'WORKINGS MATRIX'!$B$200:$C$351,2,FALSE)</f>
        <v>Year</v>
      </c>
      <c r="T53" s="166">
        <f t="shared" si="5"/>
        <v>0</v>
      </c>
      <c r="U53" s="166">
        <f t="shared" si="5"/>
        <v>0</v>
      </c>
      <c r="V53" s="166" t="str">
        <f t="shared" si="1"/>
        <v/>
      </c>
      <c r="W53" s="166" t="str">
        <f t="shared" si="6"/>
        <v/>
      </c>
      <c r="X53" s="166" t="str">
        <f t="shared" si="6"/>
        <v/>
      </c>
      <c r="Y53" s="166" t="str">
        <f t="shared" si="3"/>
        <v/>
      </c>
      <c r="Z53" s="166" t="str">
        <f t="shared" si="4"/>
        <v/>
      </c>
      <c r="AC53" s="158"/>
      <c r="AD53" s="158"/>
      <c r="AE53" s="158"/>
      <c r="AF53" s="158"/>
      <c r="AG53" s="158"/>
    </row>
    <row r="54" spans="2:144" x14ac:dyDescent="0.25">
      <c r="B54" s="429"/>
      <c r="C54" s="430"/>
      <c r="D54" s="430"/>
      <c r="E54" s="430"/>
      <c r="F54" s="430"/>
      <c r="G54" s="430"/>
      <c r="H54" s="430"/>
      <c r="I54" s="430"/>
      <c r="J54" s="430"/>
      <c r="K54" s="430"/>
      <c r="L54" s="430"/>
      <c r="M54" s="431"/>
      <c r="N54" s="38"/>
      <c r="O54" s="58"/>
      <c r="P54" s="166">
        <v>1</v>
      </c>
      <c r="Q54" s="166">
        <v>1</v>
      </c>
      <c r="R54" s="166">
        <v>1</v>
      </c>
      <c r="S54" s="166" t="str">
        <f>VLOOKUP(P54,'WORKINGS MATRIX'!$B$200:$C$351,2,FALSE)</f>
        <v>Year</v>
      </c>
      <c r="T54" s="166">
        <f t="shared" si="5"/>
        <v>0</v>
      </c>
      <c r="U54" s="166">
        <f t="shared" si="5"/>
        <v>0</v>
      </c>
      <c r="V54" s="166" t="str">
        <f t="shared" si="1"/>
        <v/>
      </c>
      <c r="W54" s="166" t="str">
        <f t="shared" si="6"/>
        <v/>
      </c>
      <c r="X54" s="166" t="str">
        <f t="shared" si="6"/>
        <v/>
      </c>
      <c r="Y54" s="166" t="str">
        <f t="shared" si="3"/>
        <v/>
      </c>
      <c r="Z54" s="166" t="str">
        <f t="shared" si="4"/>
        <v/>
      </c>
      <c r="AC54" s="158"/>
      <c r="AD54" s="158"/>
      <c r="AE54" s="158"/>
      <c r="AF54" s="158"/>
      <c r="AG54" s="158"/>
    </row>
    <row r="55" spans="2:144" x14ac:dyDescent="0.25">
      <c r="B55" s="432"/>
      <c r="C55" s="433"/>
      <c r="D55" s="433"/>
      <c r="E55" s="433"/>
      <c r="F55" s="433"/>
      <c r="G55" s="433"/>
      <c r="H55" s="433"/>
      <c r="I55" s="433"/>
      <c r="J55" s="433"/>
      <c r="K55" s="433"/>
      <c r="L55" s="433"/>
      <c r="M55" s="434"/>
      <c r="N55" s="38"/>
      <c r="O55" s="58"/>
      <c r="P55" s="166">
        <v>1</v>
      </c>
      <c r="Q55" s="166">
        <v>1</v>
      </c>
      <c r="R55" s="166">
        <v>1</v>
      </c>
      <c r="S55" s="166" t="str">
        <f>VLOOKUP(P55,'WORKINGS MATRIX'!$B$200:$C$351,2,FALSE)</f>
        <v>Year</v>
      </c>
      <c r="T55" s="166">
        <f t="shared" si="5"/>
        <v>0</v>
      </c>
      <c r="U55" s="166">
        <f t="shared" si="5"/>
        <v>0</v>
      </c>
      <c r="V55" s="166" t="str">
        <f t="shared" si="1"/>
        <v/>
      </c>
      <c r="W55" s="166" t="str">
        <f t="shared" si="6"/>
        <v/>
      </c>
      <c r="X55" s="166" t="str">
        <f t="shared" si="6"/>
        <v/>
      </c>
      <c r="Y55" s="166" t="str">
        <f t="shared" si="3"/>
        <v/>
      </c>
      <c r="Z55" s="166" t="str">
        <f t="shared" si="4"/>
        <v/>
      </c>
      <c r="AC55" s="158"/>
      <c r="AD55" s="158"/>
      <c r="AE55" s="158"/>
      <c r="AF55" s="158"/>
      <c r="AG55" s="158"/>
    </row>
    <row r="56" spans="2:144" x14ac:dyDescent="0.25">
      <c r="B56" s="432"/>
      <c r="C56" s="433"/>
      <c r="D56" s="433"/>
      <c r="E56" s="433"/>
      <c r="F56" s="433"/>
      <c r="G56" s="433"/>
      <c r="H56" s="433"/>
      <c r="I56" s="433"/>
      <c r="J56" s="433"/>
      <c r="K56" s="433"/>
      <c r="L56" s="433"/>
      <c r="M56" s="434"/>
      <c r="N56" s="38"/>
      <c r="O56" s="58"/>
      <c r="P56" s="166">
        <v>1</v>
      </c>
      <c r="Q56" s="166">
        <v>1</v>
      </c>
      <c r="R56" s="166">
        <v>1</v>
      </c>
      <c r="S56" s="166" t="str">
        <f>VLOOKUP(P56,'WORKINGS MATRIX'!$B$200:$C$351,2,FALSE)</f>
        <v>Year</v>
      </c>
      <c r="T56" s="166">
        <f t="shared" si="5"/>
        <v>0</v>
      </c>
      <c r="U56" s="166">
        <f t="shared" si="5"/>
        <v>0</v>
      </c>
      <c r="V56" s="166" t="str">
        <f t="shared" si="1"/>
        <v/>
      </c>
      <c r="W56" s="166" t="str">
        <f t="shared" si="6"/>
        <v/>
      </c>
      <c r="X56" s="166" t="str">
        <f t="shared" si="6"/>
        <v/>
      </c>
      <c r="Y56" s="166" t="str">
        <f t="shared" si="3"/>
        <v/>
      </c>
      <c r="Z56" s="166" t="str">
        <f t="shared" si="4"/>
        <v/>
      </c>
      <c r="AC56" s="158"/>
      <c r="AD56" s="158"/>
      <c r="AE56" s="158"/>
      <c r="AF56" s="158"/>
      <c r="AG56" s="158"/>
    </row>
    <row r="57" spans="2:144" x14ac:dyDescent="0.25">
      <c r="B57" s="435"/>
      <c r="C57" s="436"/>
      <c r="D57" s="436"/>
      <c r="E57" s="436"/>
      <c r="F57" s="436"/>
      <c r="G57" s="436"/>
      <c r="H57" s="436"/>
      <c r="I57" s="436"/>
      <c r="J57" s="436"/>
      <c r="K57" s="436"/>
      <c r="L57" s="436"/>
      <c r="M57" s="437"/>
      <c r="N57" s="38"/>
      <c r="O57" s="58"/>
      <c r="P57" s="134"/>
      <c r="Q57" s="144"/>
      <c r="R57" s="144"/>
      <c r="S57" s="144"/>
      <c r="T57" s="144"/>
      <c r="U57" s="144"/>
      <c r="V57" s="144"/>
      <c r="W57" s="144"/>
      <c r="X57" s="144"/>
      <c r="Y57" s="144"/>
      <c r="Z57" s="144"/>
      <c r="AC57" s="158"/>
      <c r="AD57" s="158"/>
      <c r="AE57" s="158"/>
      <c r="AF57" s="158"/>
      <c r="AG57" s="158"/>
    </row>
    <row r="58" spans="2:144" x14ac:dyDescent="0.25">
      <c r="B58" s="15" t="s">
        <v>153</v>
      </c>
      <c r="D58" s="57"/>
      <c r="H58" s="58"/>
      <c r="K58" s="21"/>
      <c r="N58" s="38"/>
      <c r="O58" s="58"/>
      <c r="P58" s="134"/>
      <c r="Q58" s="144"/>
      <c r="R58" s="144"/>
      <c r="S58" s="144"/>
      <c r="T58" s="144"/>
      <c r="U58" s="144"/>
      <c r="V58" s="144"/>
      <c r="W58" s="144"/>
      <c r="X58" s="144"/>
      <c r="Y58" s="144"/>
      <c r="Z58" s="144"/>
      <c r="AC58" s="158"/>
      <c r="AD58" s="158"/>
      <c r="AE58" s="158"/>
      <c r="AF58" s="158"/>
      <c r="AG58" s="158"/>
    </row>
    <row r="59" spans="2:144" x14ac:dyDescent="0.25">
      <c r="B59" s="15" t="s">
        <v>154</v>
      </c>
      <c r="D59" s="57"/>
      <c r="H59" s="58"/>
      <c r="K59" s="21"/>
      <c r="N59" s="38"/>
      <c r="O59" s="58"/>
      <c r="P59" s="134"/>
      <c r="Q59" s="144"/>
      <c r="R59" s="144"/>
      <c r="S59" s="144"/>
      <c r="T59" s="144"/>
      <c r="U59" s="144"/>
      <c r="V59" s="144"/>
      <c r="W59" s="144"/>
      <c r="X59" s="144"/>
      <c r="Y59" s="144"/>
      <c r="Z59" s="144"/>
      <c r="AC59" s="158"/>
      <c r="AD59" s="158"/>
      <c r="AE59" s="158"/>
      <c r="AF59" s="158"/>
      <c r="AG59" s="158"/>
    </row>
    <row r="60" spans="2:144" x14ac:dyDescent="0.25">
      <c r="D60" s="57"/>
      <c r="H60" s="58"/>
      <c r="K60" s="21"/>
      <c r="N60" s="38"/>
      <c r="O60" s="58"/>
      <c r="P60" s="134"/>
      <c r="Q60" s="144"/>
      <c r="R60" s="144"/>
      <c r="S60" s="144"/>
      <c r="T60" s="144"/>
      <c r="U60" s="144"/>
      <c r="V60" s="144"/>
      <c r="W60" s="144"/>
      <c r="X60" s="144"/>
      <c r="Y60" s="144"/>
      <c r="Z60" s="144"/>
      <c r="AC60" s="158"/>
      <c r="AD60" s="158"/>
      <c r="AE60" s="158"/>
      <c r="AF60" s="158"/>
      <c r="AG60" s="158"/>
    </row>
    <row r="61" spans="2:144" x14ac:dyDescent="0.25">
      <c r="D61" s="57"/>
      <c r="E61" s="149"/>
      <c r="F61" s="149"/>
      <c r="G61" s="149"/>
      <c r="H61" s="149"/>
      <c r="I61" s="149"/>
      <c r="K61" s="21"/>
      <c r="N61" s="38"/>
      <c r="O61" s="58"/>
      <c r="P61" s="134"/>
      <c r="Q61" s="144"/>
      <c r="R61" s="144"/>
      <c r="S61" s="144"/>
      <c r="T61" s="144"/>
      <c r="U61" s="144"/>
      <c r="V61" s="144"/>
      <c r="W61" s="144"/>
      <c r="X61" s="144"/>
      <c r="Y61" s="144"/>
      <c r="Z61" s="144"/>
      <c r="AC61" s="158"/>
      <c r="AD61" s="158"/>
      <c r="AE61" s="158"/>
      <c r="AF61" s="158"/>
      <c r="AG61" s="158"/>
    </row>
    <row r="62" spans="2:144" ht="12.75" customHeight="1" x14ac:dyDescent="0.25">
      <c r="D62" s="57"/>
      <c r="E62" s="149"/>
      <c r="F62" s="149"/>
      <c r="G62" s="149"/>
      <c r="H62" s="149"/>
      <c r="I62" s="149"/>
      <c r="K62" s="438" t="s">
        <v>155</v>
      </c>
      <c r="L62" s="438"/>
      <c r="M62" s="438"/>
      <c r="N62" s="38"/>
      <c r="O62" s="58"/>
      <c r="P62" s="134"/>
      <c r="Q62" s="144"/>
      <c r="R62" s="144"/>
      <c r="S62" s="144"/>
      <c r="T62" s="144"/>
      <c r="U62" s="144"/>
      <c r="V62" s="144"/>
      <c r="W62" s="144"/>
      <c r="X62" s="144"/>
      <c r="Y62" s="144"/>
      <c r="Z62" s="144"/>
      <c r="AC62" s="158"/>
      <c r="AD62" s="158"/>
      <c r="AE62" s="158"/>
      <c r="AF62" s="158"/>
      <c r="AG62" s="158"/>
    </row>
    <row r="63" spans="2:144" x14ac:dyDescent="0.25">
      <c r="D63" s="57"/>
      <c r="H63" s="58"/>
      <c r="K63" s="438"/>
      <c r="L63" s="438"/>
      <c r="M63" s="438"/>
      <c r="N63" s="38"/>
      <c r="O63" s="58"/>
      <c r="P63" s="134"/>
      <c r="Q63" s="144"/>
      <c r="R63" s="144"/>
      <c r="S63" s="144"/>
      <c r="T63" s="144"/>
      <c r="U63" s="144"/>
      <c r="V63" s="144"/>
      <c r="W63" s="144"/>
      <c r="X63" s="144"/>
      <c r="Y63" s="144"/>
      <c r="Z63" s="144"/>
      <c r="AC63" s="158"/>
      <c r="AD63" s="158"/>
      <c r="AE63" s="158"/>
      <c r="AF63" s="158"/>
      <c r="AG63" s="158"/>
    </row>
    <row r="64" spans="2:144" x14ac:dyDescent="0.25">
      <c r="D64" s="57"/>
      <c r="E64" s="149"/>
      <c r="F64" s="149"/>
      <c r="G64" s="149"/>
      <c r="H64" s="149"/>
      <c r="I64" s="149"/>
      <c r="K64" s="438"/>
      <c r="L64" s="438"/>
      <c r="M64" s="438"/>
      <c r="N64" s="38"/>
      <c r="O64" s="58"/>
      <c r="P64" s="134"/>
      <c r="Q64" s="144"/>
      <c r="R64" s="144"/>
      <c r="S64" s="144"/>
      <c r="T64" s="144"/>
      <c r="U64" s="144"/>
      <c r="V64" s="144"/>
      <c r="W64" s="144"/>
      <c r="X64" s="144"/>
      <c r="Y64" s="144"/>
      <c r="Z64" s="144"/>
      <c r="AC64" s="158"/>
      <c r="AD64" s="158"/>
      <c r="AE64" s="158"/>
      <c r="AF64" s="158"/>
      <c r="AG64" s="158"/>
    </row>
    <row r="65" spans="2:26" x14ac:dyDescent="0.25">
      <c r="D65" s="57"/>
      <c r="E65" s="149"/>
      <c r="F65" s="149"/>
      <c r="G65" s="149"/>
      <c r="H65" s="149"/>
      <c r="I65" s="149"/>
      <c r="K65" s="438"/>
      <c r="L65" s="438"/>
      <c r="M65" s="438"/>
      <c r="N65" s="38"/>
      <c r="O65" s="58"/>
      <c r="P65" s="134"/>
      <c r="Q65" s="144"/>
      <c r="R65" s="144"/>
      <c r="S65" s="144"/>
      <c r="T65" s="144"/>
      <c r="U65" s="144"/>
      <c r="V65" s="144"/>
      <c r="W65" s="144"/>
      <c r="X65" s="144"/>
      <c r="Y65" s="144"/>
      <c r="Z65" s="144"/>
    </row>
    <row r="66" spans="2:26" ht="13.8" thickBot="1" x14ac:dyDescent="0.3">
      <c r="B66" s="60"/>
      <c r="C66" s="60"/>
      <c r="D66" s="61"/>
      <c r="E66" s="60"/>
      <c r="F66" s="60"/>
      <c r="G66" s="60"/>
      <c r="H66" s="62"/>
      <c r="I66" s="60"/>
      <c r="J66" s="60"/>
      <c r="K66" s="63"/>
      <c r="L66" s="60"/>
      <c r="M66" s="60"/>
      <c r="N66" s="64"/>
      <c r="O66" s="58"/>
      <c r="P66" s="134"/>
      <c r="Q66" s="144"/>
      <c r="R66" s="144"/>
      <c r="S66" s="144"/>
      <c r="T66" s="144"/>
      <c r="U66" s="144"/>
      <c r="V66" s="144"/>
      <c r="W66" s="144"/>
      <c r="X66" s="144"/>
      <c r="Y66" s="144"/>
      <c r="Z66" s="144"/>
    </row>
    <row r="67" spans="2:26" ht="14.4" thickTop="1" thickBot="1" x14ac:dyDescent="0.3">
      <c r="D67" s="57"/>
      <c r="H67" s="58"/>
      <c r="K67" s="21"/>
      <c r="O67" s="58"/>
      <c r="P67" s="134"/>
      <c r="Q67" s="144"/>
      <c r="R67" s="144"/>
      <c r="S67" s="144"/>
      <c r="T67" s="144"/>
      <c r="U67" s="144"/>
      <c r="V67" s="144"/>
      <c r="W67" s="144"/>
      <c r="X67" s="144"/>
      <c r="Y67" s="144"/>
      <c r="Z67" s="144"/>
    </row>
    <row r="68" spans="2:26" ht="12.75" customHeight="1" thickTop="1" x14ac:dyDescent="0.25">
      <c r="B68" s="27" t="s">
        <v>156</v>
      </c>
      <c r="C68" s="29"/>
      <c r="D68" s="28"/>
      <c r="E68" s="65"/>
      <c r="F68" s="65"/>
      <c r="G68" s="65"/>
      <c r="H68" s="28"/>
      <c r="I68" s="28"/>
      <c r="J68" s="28"/>
      <c r="K68" s="28"/>
      <c r="L68" s="31" t="s">
        <v>157</v>
      </c>
      <c r="M68" s="28"/>
      <c r="N68" s="32"/>
      <c r="P68" s="144"/>
      <c r="Q68" s="144"/>
      <c r="R68" s="144"/>
      <c r="S68" s="144"/>
      <c r="T68" s="144"/>
      <c r="U68" s="144"/>
      <c r="V68" s="144"/>
      <c r="W68" s="144"/>
      <c r="X68" s="144"/>
      <c r="Y68" s="144"/>
      <c r="Z68" s="144"/>
    </row>
    <row r="69" spans="2:26" x14ac:dyDescent="0.25">
      <c r="E69" s="134">
        <v>5</v>
      </c>
      <c r="F69" s="12"/>
      <c r="N69" s="38"/>
      <c r="P69" s="144"/>
      <c r="Q69" s="144"/>
      <c r="R69" s="144"/>
      <c r="S69" s="144"/>
      <c r="T69" s="144"/>
      <c r="U69" s="144"/>
      <c r="V69" s="144"/>
      <c r="W69" s="144"/>
      <c r="X69" s="144"/>
      <c r="Y69" s="144"/>
      <c r="Z69" s="144"/>
    </row>
    <row r="70" spans="2:26" x14ac:dyDescent="0.25">
      <c r="B70" t="s">
        <v>134</v>
      </c>
      <c r="L70" s="465" t="str">
        <f>$L$39</f>
        <v>X.002-218-2024(NT)&amp;N.004-116-2024(T)</v>
      </c>
      <c r="M70" s="465"/>
      <c r="N70" s="38"/>
      <c r="P70" s="144"/>
      <c r="Q70" s="144"/>
      <c r="R70" s="144"/>
      <c r="S70" s="144"/>
      <c r="T70" s="144"/>
      <c r="U70" s="144"/>
      <c r="V70" s="144"/>
      <c r="W70" s="144"/>
      <c r="X70" s="144"/>
      <c r="Y70" s="144"/>
      <c r="Z70" s="144"/>
    </row>
    <row r="71" spans="2:26" x14ac:dyDescent="0.25">
      <c r="B71" s="39" t="s">
        <v>135</v>
      </c>
      <c r="C71" s="40"/>
      <c r="D71" s="41"/>
      <c r="E71" s="448" t="s">
        <v>158</v>
      </c>
      <c r="F71" s="449"/>
      <c r="G71" s="466" t="s">
        <v>159</v>
      </c>
      <c r="H71" s="449"/>
      <c r="L71" s="465"/>
      <c r="M71" s="465"/>
      <c r="N71" s="38"/>
      <c r="P71" s="144"/>
      <c r="Q71" s="144"/>
      <c r="R71" s="144"/>
      <c r="S71" s="144"/>
      <c r="T71" s="144"/>
      <c r="U71" s="144"/>
      <c r="V71" s="144"/>
      <c r="W71" s="144"/>
      <c r="X71" s="144"/>
      <c r="Y71" s="144"/>
      <c r="Z71" s="144"/>
    </row>
    <row r="72" spans="2:26" ht="18" customHeight="1" x14ac:dyDescent="0.25">
      <c r="B72" s="221">
        <f>B41</f>
        <v>0</v>
      </c>
      <c r="C72" s="67"/>
      <c r="D72" s="68"/>
      <c r="E72" s="441" t="str">
        <f>G41</f>
        <v>Project Leader (RIMS)</v>
      </c>
      <c r="F72" s="441"/>
      <c r="G72" s="42"/>
      <c r="H72" s="12">
        <v>1</v>
      </c>
      <c r="I72" s="377" t="s">
        <v>160</v>
      </c>
      <c r="J72" s="377"/>
      <c r="K72" s="377"/>
      <c r="L72" s="377"/>
      <c r="N72" s="38"/>
      <c r="P72" s="144"/>
      <c r="Q72" s="144"/>
      <c r="R72" s="144"/>
      <c r="S72" s="144"/>
      <c r="T72" s="144"/>
      <c r="U72" s="144"/>
      <c r="V72" s="144"/>
      <c r="W72" s="144"/>
      <c r="X72" s="144"/>
      <c r="Y72" s="144"/>
      <c r="Z72" s="144"/>
    </row>
    <row r="73" spans="2:26" x14ac:dyDescent="0.25">
      <c r="N73" s="38"/>
      <c r="P73" s="144"/>
      <c r="Q73" s="144"/>
      <c r="R73" s="144"/>
      <c r="S73" s="144"/>
      <c r="T73" s="144"/>
      <c r="U73" s="144"/>
      <c r="V73" s="144"/>
      <c r="W73" s="144"/>
      <c r="X73" s="144"/>
      <c r="Y73" s="144"/>
      <c r="Z73" s="144"/>
    </row>
    <row r="74" spans="2:26" x14ac:dyDescent="0.25">
      <c r="B74" t="s">
        <v>161</v>
      </c>
      <c r="N74" s="38"/>
      <c r="P74" s="144"/>
      <c r="Q74" s="144"/>
      <c r="R74" s="144"/>
      <c r="S74" s="144"/>
      <c r="T74" s="144"/>
      <c r="U74" s="144"/>
      <c r="V74" s="144"/>
      <c r="W74" s="144"/>
      <c r="X74" s="144"/>
      <c r="Y74" s="144"/>
      <c r="Z74" s="144"/>
    </row>
    <row r="75" spans="2:26" ht="18" customHeight="1" x14ac:dyDescent="0.25">
      <c r="B75" s="468" t="s">
        <v>162</v>
      </c>
      <c r="C75" s="468"/>
      <c r="D75" s="469" t="s">
        <v>163</v>
      </c>
      <c r="E75" s="469"/>
      <c r="F75" s="461" t="s">
        <v>164</v>
      </c>
      <c r="G75" s="462"/>
      <c r="H75" s="467" t="s">
        <v>165</v>
      </c>
      <c r="I75" s="462"/>
      <c r="J75" s="467" t="s">
        <v>165</v>
      </c>
      <c r="K75" s="462"/>
      <c r="L75" s="125" t="s">
        <v>166</v>
      </c>
      <c r="M75" s="125" t="s">
        <v>167</v>
      </c>
      <c r="N75" s="38"/>
      <c r="P75" s="144">
        <v>1</v>
      </c>
      <c r="Q75" s="144">
        <v>1</v>
      </c>
      <c r="R75" s="144">
        <v>1</v>
      </c>
      <c r="S75" s="144" t="str">
        <f>VLOOKUP(P75,'WORKINGS MATRIX'!$B$200:$C$351,2,FALSE)</f>
        <v>Year</v>
      </c>
      <c r="T75" s="144">
        <f t="shared" ref="T75:U79" si="7">Q75-1</f>
        <v>0</v>
      </c>
      <c r="U75" s="144">
        <f t="shared" si="7"/>
        <v>0</v>
      </c>
      <c r="V75" s="144" t="str">
        <f>IF(S75="year","",S75)</f>
        <v/>
      </c>
      <c r="W75" s="144" t="str">
        <f t="shared" ref="W75:X79" si="8">IF(T75=0,"",T75)</f>
        <v/>
      </c>
      <c r="X75" s="144" t="str">
        <f t="shared" si="8"/>
        <v/>
      </c>
      <c r="Y75" s="144" t="str">
        <f>IF(V75="","",IF(W75="",(V75&amp;"/"&amp;"12"&amp;"/"&amp;"1"),IF(X75="",(V75&amp;"/"&amp;W75&amp;"/"&amp;"1"),(V75&amp;"/"&amp;W75&amp;"/"&amp;X75))))</f>
        <v/>
      </c>
      <c r="Z75" s="144" t="str">
        <f>IF(Y75="//","",Y75)</f>
        <v/>
      </c>
    </row>
    <row r="76" spans="2:26" ht="18" customHeight="1" x14ac:dyDescent="0.25">
      <c r="B76" s="441" t="s">
        <v>168</v>
      </c>
      <c r="C76" s="441"/>
      <c r="D76" s="439">
        <v>10</v>
      </c>
      <c r="E76" s="440"/>
      <c r="F76" s="442"/>
      <c r="G76" s="443"/>
      <c r="H76" s="463">
        <v>1</v>
      </c>
      <c r="I76" s="464"/>
      <c r="J76" s="450"/>
      <c r="K76" s="443"/>
      <c r="L76" s="206"/>
      <c r="M76" s="143" t="str">
        <f>Z75</f>
        <v/>
      </c>
      <c r="N76" s="38"/>
      <c r="P76" s="144">
        <v>1</v>
      </c>
      <c r="Q76" s="144">
        <v>1</v>
      </c>
      <c r="R76" s="144">
        <v>1</v>
      </c>
      <c r="S76" s="144" t="str">
        <f>VLOOKUP(P76,'WORKINGS MATRIX'!$B$200:$C$351,2,FALSE)</f>
        <v>Year</v>
      </c>
      <c r="T76" s="144">
        <f t="shared" si="7"/>
        <v>0</v>
      </c>
      <c r="U76" s="144">
        <f t="shared" si="7"/>
        <v>0</v>
      </c>
      <c r="V76" s="144" t="str">
        <f>IF(S76="year","",S76)</f>
        <v/>
      </c>
      <c r="W76" s="144" t="str">
        <f t="shared" si="8"/>
        <v/>
      </c>
      <c r="X76" s="144" t="str">
        <f t="shared" si="8"/>
        <v/>
      </c>
      <c r="Y76" s="144" t="str">
        <f>IF(V76="","",IF(W76="",(V76&amp;"/"&amp;"12"&amp;"/"&amp;"1"),IF(X76="",(V76&amp;"/"&amp;W76&amp;"/"&amp;"1"),(V76&amp;"/"&amp;W76&amp;"/"&amp;X76))))</f>
        <v/>
      </c>
      <c r="Z76" s="144" t="str">
        <f>IF(Y76="//","",Y76)</f>
        <v/>
      </c>
    </row>
    <row r="77" spans="2:26" ht="18" customHeight="1" x14ac:dyDescent="0.25">
      <c r="B77" s="441" t="s">
        <v>169</v>
      </c>
      <c r="C77" s="441"/>
      <c r="D77" s="442"/>
      <c r="E77" s="443"/>
      <c r="F77" s="442"/>
      <c r="G77" s="443"/>
      <c r="H77" s="451" t="s">
        <v>170</v>
      </c>
      <c r="I77" s="452"/>
      <c r="J77" s="451" t="s">
        <v>171</v>
      </c>
      <c r="K77" s="452"/>
      <c r="L77" s="125" t="s">
        <v>166</v>
      </c>
      <c r="M77" s="125" t="s">
        <v>167</v>
      </c>
      <c r="N77" s="38"/>
      <c r="P77" s="144">
        <v>1</v>
      </c>
      <c r="Q77" s="144">
        <v>1</v>
      </c>
      <c r="R77" s="144">
        <v>1</v>
      </c>
      <c r="S77" s="144" t="str">
        <f>VLOOKUP(P77,'WORKINGS MATRIX'!$B$200:$C$351,2,FALSE)</f>
        <v>Year</v>
      </c>
      <c r="T77" s="144">
        <f t="shared" si="7"/>
        <v>0</v>
      </c>
      <c r="U77" s="144">
        <f t="shared" si="7"/>
        <v>0</v>
      </c>
      <c r="V77" s="144" t="str">
        <f>IF(S77="year","",S77)</f>
        <v/>
      </c>
      <c r="W77" s="144" t="str">
        <f t="shared" si="8"/>
        <v/>
      </c>
      <c r="X77" s="144" t="str">
        <f t="shared" si="8"/>
        <v/>
      </c>
      <c r="Y77" s="144" t="str">
        <f>IF(V77="","",IF(W77="",(V77&amp;"/"&amp;"1"&amp;"/"&amp;"1"),IF(X77="",(V77&amp;"/"&amp;W77&amp;"/"&amp;"1"),(V77&amp;"/"&amp;W77&amp;"/"&amp;X77))))</f>
        <v/>
      </c>
      <c r="Z77" s="144" t="str">
        <f>IF(Y77="//","",Y77)</f>
        <v/>
      </c>
    </row>
    <row r="78" spans="2:26" ht="18" customHeight="1" x14ac:dyDescent="0.25">
      <c r="B78" s="441" t="s">
        <v>172</v>
      </c>
      <c r="C78" s="441"/>
      <c r="D78" s="444" t="str">
        <f>Z77</f>
        <v/>
      </c>
      <c r="E78" s="445"/>
      <c r="F78" s="444" t="str">
        <f>Z78</f>
        <v/>
      </c>
      <c r="G78" s="445"/>
      <c r="H78" s="446">
        <v>1</v>
      </c>
      <c r="I78" s="447"/>
      <c r="J78" s="450"/>
      <c r="K78" s="443"/>
      <c r="L78" s="206"/>
      <c r="M78" s="143" t="str">
        <f>Z76</f>
        <v/>
      </c>
      <c r="N78" s="38"/>
      <c r="P78" s="144">
        <v>1</v>
      </c>
      <c r="Q78" s="144">
        <v>1</v>
      </c>
      <c r="R78" s="144">
        <v>1</v>
      </c>
      <c r="S78" s="144" t="str">
        <f>VLOOKUP(P78,'WORKINGS MATRIX'!$B$200:$C$351,2,FALSE)</f>
        <v>Year</v>
      </c>
      <c r="T78" s="144">
        <f t="shared" si="7"/>
        <v>0</v>
      </c>
      <c r="U78" s="144">
        <f t="shared" si="7"/>
        <v>0</v>
      </c>
      <c r="V78" s="144" t="str">
        <f>IF(S78="year","",S78)</f>
        <v/>
      </c>
      <c r="W78" s="144" t="str">
        <f t="shared" si="8"/>
        <v/>
      </c>
      <c r="X78" s="144" t="str">
        <f t="shared" si="8"/>
        <v/>
      </c>
      <c r="Y78" s="144" t="str">
        <f>IF(V78="","",IF(W78="",(V78&amp;"/"&amp;"1"&amp;"/"&amp;"1"),IF(X78="",(V78&amp;"/"&amp;W78&amp;"/"&amp;"1"),(V78&amp;"/"&amp;W78&amp;"/"&amp;X78))))</f>
        <v/>
      </c>
      <c r="Z78" s="144" t="str">
        <f>IF(Y78="//","",Y78)</f>
        <v/>
      </c>
    </row>
    <row r="79" spans="2:26" x14ac:dyDescent="0.25">
      <c r="N79" s="38"/>
      <c r="P79" s="144">
        <v>1</v>
      </c>
      <c r="Q79" s="144">
        <v>1</v>
      </c>
      <c r="R79" s="144">
        <v>1</v>
      </c>
      <c r="S79" s="144" t="str">
        <f>VLOOKUP(P79,'WORKINGS MATRIX'!$B$200:$C$351,2,FALSE)</f>
        <v>Year</v>
      </c>
      <c r="T79" s="144">
        <f t="shared" si="7"/>
        <v>0</v>
      </c>
      <c r="U79" s="144">
        <f t="shared" si="7"/>
        <v>0</v>
      </c>
      <c r="V79" s="144" t="str">
        <f>IF(S79="year","",S79)</f>
        <v/>
      </c>
      <c r="W79" s="144" t="str">
        <f t="shared" si="8"/>
        <v/>
      </c>
      <c r="X79" s="144" t="str">
        <f t="shared" si="8"/>
        <v/>
      </c>
      <c r="Y79" s="144" t="str">
        <f>IF(V79="","",IF(W79="",(V79&amp;"/"&amp;"1"&amp;"/"&amp;"1"),IF(X79="",(V79&amp;"/"&amp;W79&amp;"/"&amp;"1"),(V79&amp;"/"&amp;W79&amp;"/"&amp;X79))))</f>
        <v/>
      </c>
      <c r="Z79" s="144" t="str">
        <f>IF(Y79="//","",Y79)</f>
        <v/>
      </c>
    </row>
    <row r="80" spans="2:26" x14ac:dyDescent="0.25">
      <c r="M80" s="303" t="str">
        <f>IF(B41="","",IF(P76=1,"DATES INCORRECT OR INCOMPLETE - PLEASE CHECK",""))</f>
        <v/>
      </c>
      <c r="N80" s="38"/>
      <c r="P80" s="144"/>
      <c r="Q80" s="144"/>
      <c r="R80" s="144"/>
      <c r="S80" s="144"/>
      <c r="T80" s="144"/>
      <c r="U80" s="144"/>
      <c r="V80" s="144"/>
      <c r="W80" s="144"/>
      <c r="X80" s="144"/>
      <c r="Y80" s="144"/>
      <c r="Z80" s="144"/>
    </row>
    <row r="88" spans="2:13" x14ac:dyDescent="0.25">
      <c r="B88" t="s">
        <v>152</v>
      </c>
      <c r="D88" s="57"/>
      <c r="H88" s="58"/>
      <c r="K88" s="21"/>
    </row>
    <row r="89" spans="2:13" x14ac:dyDescent="0.25">
      <c r="B89" s="429"/>
      <c r="C89" s="430"/>
      <c r="D89" s="430"/>
      <c r="E89" s="430"/>
      <c r="F89" s="430"/>
      <c r="G89" s="430"/>
      <c r="H89" s="430"/>
      <c r="I89" s="430"/>
      <c r="J89" s="430"/>
      <c r="K89" s="430"/>
      <c r="L89" s="430"/>
      <c r="M89" s="431"/>
    </row>
    <row r="90" spans="2:13" x14ac:dyDescent="0.25">
      <c r="B90" s="432"/>
      <c r="C90" s="433"/>
      <c r="D90" s="433"/>
      <c r="E90" s="433"/>
      <c r="F90" s="433"/>
      <c r="G90" s="433"/>
      <c r="H90" s="433"/>
      <c r="I90" s="433"/>
      <c r="J90" s="433"/>
      <c r="K90" s="433"/>
      <c r="L90" s="433"/>
      <c r="M90" s="434"/>
    </row>
    <row r="91" spans="2:13" x14ac:dyDescent="0.25">
      <c r="B91" s="432"/>
      <c r="C91" s="433"/>
      <c r="D91" s="433"/>
      <c r="E91" s="433"/>
      <c r="F91" s="433"/>
      <c r="G91" s="433"/>
      <c r="H91" s="433"/>
      <c r="I91" s="433"/>
      <c r="J91" s="433"/>
      <c r="K91" s="433"/>
      <c r="L91" s="433"/>
      <c r="M91" s="434"/>
    </row>
    <row r="92" spans="2:13" x14ac:dyDescent="0.25">
      <c r="B92" s="435"/>
      <c r="C92" s="436"/>
      <c r="D92" s="436"/>
      <c r="E92" s="436"/>
      <c r="F92" s="436"/>
      <c r="G92" s="436"/>
      <c r="H92" s="436"/>
      <c r="I92" s="436"/>
      <c r="J92" s="436"/>
      <c r="K92" s="436"/>
      <c r="L92" s="436"/>
      <c r="M92" s="437"/>
    </row>
    <row r="97" spans="2:13" x14ac:dyDescent="0.25">
      <c r="D97" s="57"/>
      <c r="E97" s="149"/>
      <c r="F97" s="149"/>
      <c r="G97" s="149"/>
      <c r="H97" s="149"/>
      <c r="I97" s="149"/>
      <c r="K97" s="438" t="s">
        <v>155</v>
      </c>
      <c r="L97" s="438"/>
      <c r="M97" s="438"/>
    </row>
    <row r="98" spans="2:13" x14ac:dyDescent="0.25">
      <c r="D98" s="57"/>
      <c r="H98" s="58"/>
      <c r="K98" s="438"/>
      <c r="L98" s="438"/>
      <c r="M98" s="438"/>
    </row>
    <row r="99" spans="2:13" x14ac:dyDescent="0.25">
      <c r="D99" s="57"/>
      <c r="E99" s="149"/>
      <c r="F99" s="149"/>
      <c r="G99" s="149"/>
      <c r="H99" s="149"/>
      <c r="I99" s="149"/>
      <c r="K99" s="438"/>
      <c r="L99" s="438"/>
      <c r="M99" s="438"/>
    </row>
    <row r="100" spans="2:13" x14ac:dyDescent="0.25">
      <c r="D100" s="57"/>
      <c r="E100" s="149"/>
      <c r="F100" s="149"/>
      <c r="G100" s="149"/>
      <c r="H100" s="149"/>
      <c r="I100" s="149"/>
      <c r="K100" s="438"/>
      <c r="L100" s="438"/>
      <c r="M100" s="438"/>
    </row>
    <row r="101" spans="2:13" ht="13.8" thickBot="1" x14ac:dyDescent="0.3">
      <c r="B101" s="60"/>
      <c r="C101" s="60"/>
      <c r="D101" s="60"/>
      <c r="E101" s="60"/>
      <c r="F101" s="60"/>
      <c r="G101" s="60"/>
      <c r="H101" s="60"/>
      <c r="I101" s="60"/>
      <c r="J101" s="60"/>
      <c r="K101" s="60"/>
      <c r="L101" s="60"/>
      <c r="M101" s="60"/>
    </row>
    <row r="102" spans="2:13" ht="13.8" thickTop="1" x14ac:dyDescent="0.25"/>
    <row r="103" spans="2:13" x14ac:dyDescent="0.25">
      <c r="B103" s="24" t="s">
        <v>128</v>
      </c>
    </row>
    <row r="104" spans="2:13" x14ac:dyDescent="0.25">
      <c r="B104" s="158"/>
      <c r="C104" s="158"/>
      <c r="D104" s="158"/>
      <c r="E104" s="158"/>
      <c r="F104" s="158"/>
      <c r="G104" s="158"/>
      <c r="H104" s="158"/>
      <c r="I104" s="158"/>
      <c r="J104" s="158"/>
      <c r="K104" s="158"/>
      <c r="L104" s="158"/>
      <c r="M104" s="158"/>
    </row>
    <row r="105" spans="2:13" ht="15" customHeight="1" x14ac:dyDescent="0.25">
      <c r="B105" s="158"/>
      <c r="C105" s="158"/>
      <c r="D105" s="158"/>
      <c r="E105" s="158">
        <f>D1</f>
        <v>0</v>
      </c>
      <c r="F105" s="158"/>
      <c r="G105" s="158"/>
      <c r="H105" s="158"/>
      <c r="I105" s="158"/>
      <c r="J105" s="158"/>
      <c r="K105" s="158"/>
      <c r="L105" s="158"/>
      <c r="M105" s="158"/>
    </row>
    <row r="106" spans="2:13" ht="15" customHeight="1" x14ac:dyDescent="0.25">
      <c r="B106" s="158"/>
      <c r="C106" s="158"/>
      <c r="D106" s="158" t="s">
        <v>173</v>
      </c>
      <c r="E106" s="340">
        <f>M3341</f>
        <v>0</v>
      </c>
      <c r="F106" s="158"/>
      <c r="G106" s="158"/>
      <c r="H106" s="158"/>
      <c r="I106" s="158"/>
      <c r="J106" s="158"/>
      <c r="K106" s="158"/>
      <c r="L106" s="158"/>
      <c r="M106" s="158"/>
    </row>
    <row r="107" spans="2:13" ht="15" customHeight="1" x14ac:dyDescent="0.25">
      <c r="B107" s="158"/>
      <c r="C107" s="158"/>
      <c r="D107" s="158" t="s">
        <v>174</v>
      </c>
      <c r="E107" s="340">
        <f>E6</f>
        <v>3</v>
      </c>
      <c r="F107" s="158"/>
      <c r="G107" s="158"/>
      <c r="H107" s="158"/>
      <c r="I107" s="158"/>
      <c r="J107" s="158"/>
      <c r="K107" s="158"/>
      <c r="L107" s="158"/>
      <c r="M107" s="158"/>
    </row>
    <row r="108" spans="2:13" ht="15" customHeight="1" x14ac:dyDescent="0.25">
      <c r="B108" s="158"/>
      <c r="C108" s="158"/>
      <c r="D108" s="158" t="s">
        <v>175</v>
      </c>
      <c r="E108" s="341">
        <f>K33</f>
        <v>9</v>
      </c>
      <c r="F108" s="158"/>
      <c r="G108" s="158"/>
      <c r="H108" s="158"/>
      <c r="I108" s="158"/>
      <c r="J108" s="158"/>
      <c r="K108" s="158"/>
      <c r="L108" s="158"/>
      <c r="M108" s="158"/>
    </row>
    <row r="109" spans="2:13" ht="15" customHeight="1" x14ac:dyDescent="0.25">
      <c r="B109" s="158"/>
      <c r="C109" s="158"/>
      <c r="D109" s="158" t="s">
        <v>176</v>
      </c>
      <c r="E109" s="342">
        <f>L33</f>
        <v>0</v>
      </c>
      <c r="F109" s="158"/>
      <c r="G109" s="158"/>
      <c r="H109" s="158"/>
      <c r="I109" s="158"/>
      <c r="J109" s="158"/>
      <c r="K109" s="158"/>
      <c r="L109" s="158"/>
      <c r="M109" s="158"/>
    </row>
    <row r="110" spans="2:13" ht="15" customHeight="1" x14ac:dyDescent="0.25">
      <c r="B110" s="158"/>
      <c r="C110" s="158"/>
      <c r="D110" s="158"/>
      <c r="E110" s="158" t="s">
        <v>177</v>
      </c>
      <c r="F110" s="158">
        <f>$F$3333</f>
        <v>1</v>
      </c>
      <c r="G110" s="158"/>
      <c r="H110" s="158"/>
      <c r="I110" s="158"/>
      <c r="J110" s="168" t="str">
        <f>SETUP!B6</f>
        <v>PL (RIMS)</v>
      </c>
      <c r="K110" s="158" t="str">
        <f>SETUP!B7</f>
        <v>Project Leader (RIMS)</v>
      </c>
      <c r="L110" s="168" t="str">
        <f>SETUP!B8</f>
        <v>Man</v>
      </c>
      <c r="M110" s="158"/>
    </row>
    <row r="111" spans="2:13" ht="15" customHeight="1" x14ac:dyDescent="0.25">
      <c r="B111" s="158"/>
      <c r="C111" s="158"/>
      <c r="D111" s="158"/>
      <c r="E111" s="158" t="s">
        <v>177</v>
      </c>
      <c r="F111" s="158" t="s">
        <v>178</v>
      </c>
      <c r="G111" s="158"/>
      <c r="H111" s="158"/>
      <c r="I111" s="158"/>
      <c r="J111" s="168" t="str">
        <f>SETUP!C6</f>
        <v>DS RSE</v>
      </c>
      <c r="K111" s="158" t="str">
        <f>SETUP!C7</f>
        <v>Design Specialist: Road Safety Engineer/ Auditor</v>
      </c>
      <c r="L111" s="168" t="str">
        <f>SETUP!C8</f>
        <v>Non-Man</v>
      </c>
      <c r="M111" s="158"/>
    </row>
    <row r="112" spans="2:13" x14ac:dyDescent="0.25">
      <c r="B112" s="158"/>
      <c r="C112" s="158"/>
      <c r="D112" s="158"/>
      <c r="E112" s="158">
        <f>$E$3337</f>
        <v>0</v>
      </c>
      <c r="F112" s="158">
        <f>IF(F110=1,100,$F$3345)</f>
        <v>100</v>
      </c>
      <c r="G112" s="158"/>
      <c r="H112" s="158"/>
      <c r="I112" s="158"/>
      <c r="J112" s="168" t="str">
        <f>SETUP!D6</f>
        <v/>
      </c>
      <c r="K112" s="158" t="str">
        <f>SETUP!D7</f>
        <v/>
      </c>
      <c r="L112" s="168" t="str">
        <f>SETUP!D8</f>
        <v/>
      </c>
      <c r="M112" s="158"/>
    </row>
    <row r="113" spans="2:12" x14ac:dyDescent="0.25">
      <c r="B113" s="158"/>
      <c r="C113" s="158"/>
      <c r="D113" s="158"/>
      <c r="E113" s="158">
        <f>$E$3350</f>
        <v>0</v>
      </c>
      <c r="F113" s="158">
        <f>$F$3358</f>
        <v>0</v>
      </c>
      <c r="G113" s="158"/>
      <c r="H113" s="158"/>
      <c r="I113" s="158"/>
      <c r="J113" s="168" t="str">
        <f>SETUP!E6</f>
        <v/>
      </c>
      <c r="K113" s="158" t="str">
        <f>SETUP!E7</f>
        <v/>
      </c>
      <c r="L113" s="168" t="str">
        <f>SETUP!E8</f>
        <v/>
      </c>
    </row>
    <row r="114" spans="2:12" x14ac:dyDescent="0.25">
      <c r="B114" s="158"/>
      <c r="C114" s="158"/>
      <c r="D114" s="158"/>
      <c r="E114" s="158">
        <f>$E$3363</f>
        <v>0</v>
      </c>
      <c r="F114" s="158">
        <f>$F$3371</f>
        <v>0</v>
      </c>
      <c r="G114" s="158"/>
      <c r="H114" s="158"/>
      <c r="I114" s="158"/>
      <c r="J114" s="168" t="str">
        <f>SETUP!F6</f>
        <v/>
      </c>
      <c r="K114" s="158" t="str">
        <f>SETUP!F7</f>
        <v/>
      </c>
      <c r="L114" s="168" t="str">
        <f>SETUP!F8</f>
        <v/>
      </c>
    </row>
    <row r="115" spans="2:12" x14ac:dyDescent="0.25">
      <c r="B115" s="158"/>
      <c r="C115" s="158"/>
      <c r="D115" s="158"/>
      <c r="E115" s="158">
        <f>$E$3376</f>
        <v>0</v>
      </c>
      <c r="F115" s="158">
        <f>$F$3384</f>
        <v>0</v>
      </c>
      <c r="G115" s="158"/>
      <c r="H115" s="158"/>
      <c r="I115" s="158"/>
      <c r="J115" s="168" t="str">
        <f>SETUP!G6</f>
        <v/>
      </c>
      <c r="K115" s="158" t="str">
        <f>SETUP!G7</f>
        <v/>
      </c>
      <c r="L115" s="168" t="str">
        <f>SETUP!G8</f>
        <v/>
      </c>
    </row>
    <row r="116" spans="2:12" x14ac:dyDescent="0.25">
      <c r="B116" s="158"/>
      <c r="C116" s="158"/>
      <c r="D116" s="158"/>
      <c r="E116" s="158">
        <f>$E$3389</f>
        <v>0</v>
      </c>
      <c r="F116" s="158">
        <f>$F$3397</f>
        <v>0</v>
      </c>
      <c r="G116" s="158"/>
      <c r="H116" s="158"/>
      <c r="I116" s="158"/>
      <c r="J116" s="168" t="str">
        <f>SETUP!H6</f>
        <v/>
      </c>
      <c r="K116" s="158" t="str">
        <f>SETUP!H7</f>
        <v/>
      </c>
      <c r="L116" s="168" t="str">
        <f>SETUP!H8</f>
        <v/>
      </c>
    </row>
    <row r="117" spans="2:12" x14ac:dyDescent="0.25">
      <c r="B117" s="158"/>
      <c r="C117" s="158"/>
      <c r="D117" s="158"/>
      <c r="E117" s="158" t="s">
        <v>179</v>
      </c>
      <c r="F117" s="158">
        <f>$C$33</f>
        <v>1</v>
      </c>
      <c r="G117" s="158"/>
      <c r="H117" s="158"/>
      <c r="I117" s="158"/>
      <c r="J117" s="168" t="str">
        <f>SETUP!I6</f>
        <v/>
      </c>
      <c r="K117" s="158" t="str">
        <f>SETUP!I7</f>
        <v/>
      </c>
      <c r="L117" s="168" t="str">
        <f>SETUP!I8</f>
        <v/>
      </c>
    </row>
    <row r="118" spans="2:12" x14ac:dyDescent="0.25">
      <c r="B118" s="158"/>
      <c r="C118" s="158"/>
      <c r="D118" s="158"/>
      <c r="E118" s="158" t="s">
        <v>180</v>
      </c>
      <c r="F118" s="320">
        <f>$L$33</f>
        <v>0</v>
      </c>
      <c r="G118" s="158"/>
      <c r="H118" s="158"/>
      <c r="I118" s="158"/>
      <c r="J118" s="168" t="str">
        <f>SETUP!J6</f>
        <v/>
      </c>
      <c r="K118" s="158" t="str">
        <f>SETUP!J7</f>
        <v/>
      </c>
      <c r="L118" s="168" t="str">
        <f>SETUP!J8</f>
        <v/>
      </c>
    </row>
    <row r="119" spans="2:12" x14ac:dyDescent="0.25">
      <c r="B119" s="158"/>
      <c r="C119" s="158"/>
      <c r="D119" s="158"/>
      <c r="E119" s="158" t="s">
        <v>181</v>
      </c>
      <c r="F119" s="320">
        <f>$L$33</f>
        <v>0</v>
      </c>
      <c r="G119" s="158"/>
      <c r="H119" s="158"/>
      <c r="I119" s="158"/>
      <c r="J119" s="168" t="str">
        <f>SETUP!K6</f>
        <v/>
      </c>
      <c r="K119" s="158" t="str">
        <f>SETUP!K7</f>
        <v/>
      </c>
      <c r="L119" s="168" t="str">
        <f>SETUP!K8</f>
        <v/>
      </c>
    </row>
    <row r="120" spans="2:12" x14ac:dyDescent="0.25">
      <c r="B120" s="158"/>
      <c r="C120" s="158"/>
      <c r="D120" s="158"/>
      <c r="E120" s="158" t="s">
        <v>182</v>
      </c>
      <c r="F120" s="320">
        <f>$L$33</f>
        <v>0</v>
      </c>
      <c r="G120" s="158"/>
      <c r="H120" s="158"/>
      <c r="I120" s="158"/>
      <c r="J120" s="168" t="str">
        <f>SETUP!L6</f>
        <v>PL (RIMS)</v>
      </c>
      <c r="K120" s="158" t="str">
        <f>SETUP!L7</f>
        <v>Project Leader (RIMS)</v>
      </c>
      <c r="L120" s="168" t="str">
        <f>SETUP!L8</f>
        <v>Man</v>
      </c>
    </row>
    <row r="121" spans="2:12" x14ac:dyDescent="0.25">
      <c r="B121" s="158"/>
      <c r="C121" s="158"/>
      <c r="D121" s="158"/>
      <c r="E121" s="158" t="s">
        <v>183</v>
      </c>
      <c r="F121" s="320">
        <f>$L$33</f>
        <v>0</v>
      </c>
      <c r="G121" s="158"/>
      <c r="H121" s="158"/>
      <c r="I121" s="158"/>
      <c r="J121" s="168" t="str">
        <f>SETUP!M6</f>
        <v>DS RSE</v>
      </c>
      <c r="K121" s="158" t="str">
        <f>SETUP!M7</f>
        <v>Design Specialist: Road Safety Engineer/ Auditor</v>
      </c>
      <c r="L121" s="168" t="str">
        <f>SETUP!M8</f>
        <v>Non-Man</v>
      </c>
    </row>
    <row r="122" spans="2:12" x14ac:dyDescent="0.25">
      <c r="B122" s="158"/>
      <c r="C122" s="158"/>
      <c r="D122" s="158"/>
      <c r="E122" s="158" t="s">
        <v>184</v>
      </c>
      <c r="F122" s="320">
        <f>$L$33</f>
        <v>0</v>
      </c>
      <c r="G122" s="158"/>
      <c r="H122" s="158"/>
      <c r="I122" s="158"/>
      <c r="J122" s="168" t="str">
        <f>SETUP!N6</f>
        <v/>
      </c>
      <c r="K122" s="158" t="str">
        <f>SETUP!N7</f>
        <v/>
      </c>
      <c r="L122" s="168" t="str">
        <f>SETUP!N8</f>
        <v/>
      </c>
    </row>
    <row r="123" spans="2:12" x14ac:dyDescent="0.25">
      <c r="B123" s="158"/>
      <c r="C123" s="158"/>
      <c r="D123" s="158"/>
      <c r="E123" s="158" t="s">
        <v>185</v>
      </c>
      <c r="F123" s="320">
        <f>$G$34</f>
        <v>0</v>
      </c>
      <c r="G123" s="158"/>
      <c r="H123" s="158"/>
      <c r="I123" s="158"/>
      <c r="J123" s="168" t="str">
        <f>SETUP!O6</f>
        <v/>
      </c>
      <c r="K123" s="158" t="str">
        <f>SETUP!O7</f>
        <v/>
      </c>
      <c r="L123" s="168" t="str">
        <f>SETUP!O8</f>
        <v/>
      </c>
    </row>
    <row r="124" spans="2:12" ht="14.4" x14ac:dyDescent="0.3">
      <c r="B124" s="158"/>
      <c r="C124" s="158"/>
      <c r="D124" s="158"/>
      <c r="E124" s="158"/>
      <c r="F124" s="158"/>
      <c r="G124" s="158"/>
      <c r="H124" s="343"/>
      <c r="I124" s="343"/>
      <c r="J124" s="168" t="str">
        <f>SETUP!P6</f>
        <v/>
      </c>
      <c r="K124" s="158" t="str">
        <f>SETUP!P7</f>
        <v/>
      </c>
      <c r="L124" s="168" t="str">
        <f>SETUP!P8</f>
        <v/>
      </c>
    </row>
    <row r="125" spans="2:12" ht="14.4" x14ac:dyDescent="0.3">
      <c r="B125" s="158">
        <f>D3904-1</f>
        <v>1</v>
      </c>
      <c r="C125" s="344" t="s">
        <v>186</v>
      </c>
      <c r="D125" s="158"/>
      <c r="E125" s="158" t="s">
        <v>187</v>
      </c>
      <c r="F125" s="411">
        <v>45446</v>
      </c>
      <c r="G125" s="158"/>
      <c r="H125" s="343"/>
      <c r="I125" s="343"/>
      <c r="J125" s="168" t="str">
        <f>SETUP!Q6</f>
        <v/>
      </c>
      <c r="K125" s="158" t="str">
        <f>SETUP!Q7</f>
        <v/>
      </c>
      <c r="L125" s="168" t="str">
        <f>SETUP!Q8</f>
        <v/>
      </c>
    </row>
    <row r="126" spans="2:12" ht="14.4" x14ac:dyDescent="0.3">
      <c r="B126" s="158"/>
      <c r="C126" s="317" t="s">
        <v>188</v>
      </c>
      <c r="D126" s="317">
        <f>C3906</f>
        <v>0</v>
      </c>
      <c r="E126" s="317">
        <f>C3914</f>
        <v>0</v>
      </c>
      <c r="F126" s="317"/>
      <c r="G126" s="317"/>
      <c r="H126" s="343"/>
      <c r="I126" s="343"/>
      <c r="J126" s="168" t="str">
        <f>SETUP!R6</f>
        <v/>
      </c>
      <c r="K126" s="158" t="str">
        <f>SETUP!R7</f>
        <v/>
      </c>
      <c r="L126" s="168" t="str">
        <f>SETUP!R8</f>
        <v/>
      </c>
    </row>
    <row r="127" spans="2:12" x14ac:dyDescent="0.25">
      <c r="B127" s="158"/>
      <c r="C127" s="345" t="s">
        <v>189</v>
      </c>
      <c r="D127" s="345">
        <f>J3906</f>
        <v>0</v>
      </c>
      <c r="E127" s="345">
        <f>J3914</f>
        <v>0</v>
      </c>
      <c r="F127" s="345">
        <f>J3922</f>
        <v>0</v>
      </c>
      <c r="G127" s="345">
        <f>J3930</f>
        <v>0</v>
      </c>
      <c r="H127" s="158"/>
      <c r="I127" s="158"/>
      <c r="J127" s="168" t="str">
        <f>SETUP!S6</f>
        <v/>
      </c>
      <c r="K127" s="158" t="str">
        <f>SETUP!S7</f>
        <v/>
      </c>
      <c r="L127" s="168" t="str">
        <f>SETUP!S8</f>
        <v/>
      </c>
    </row>
    <row r="128" spans="2:12" x14ac:dyDescent="0.25">
      <c r="B128" s="158"/>
      <c r="C128" s="345" t="s">
        <v>190</v>
      </c>
      <c r="D128" s="346">
        <f>M3906</f>
        <v>0</v>
      </c>
      <c r="E128" s="346">
        <f>M3914</f>
        <v>0</v>
      </c>
      <c r="F128" s="346">
        <f>M3922</f>
        <v>0</v>
      </c>
      <c r="G128" s="346">
        <f>M3930</f>
        <v>0</v>
      </c>
      <c r="H128" s="158"/>
      <c r="I128" s="158"/>
      <c r="J128" s="168" t="str">
        <f>SETUP!T6</f>
        <v/>
      </c>
      <c r="K128" s="158" t="str">
        <f>SETUP!T7</f>
        <v/>
      </c>
      <c r="L128" s="168" t="str">
        <f>SETUP!T8</f>
        <v/>
      </c>
    </row>
    <row r="129" spans="2:26" x14ac:dyDescent="0.25">
      <c r="B129" s="158"/>
      <c r="C129" s="345" t="s">
        <v>191</v>
      </c>
      <c r="D129" s="346">
        <f>D3908</f>
        <v>0</v>
      </c>
      <c r="E129" s="346">
        <f>D3916</f>
        <v>0</v>
      </c>
      <c r="F129" s="346">
        <f>D3924</f>
        <v>0</v>
      </c>
      <c r="G129" s="346">
        <f>D3932</f>
        <v>0</v>
      </c>
      <c r="H129" s="158"/>
      <c r="I129" s="158"/>
      <c r="J129" s="168" t="str">
        <f>SETUP!U6</f>
        <v/>
      </c>
      <c r="K129" s="158" t="str">
        <f>SETUP!U7</f>
        <v/>
      </c>
      <c r="L129" s="168" t="str">
        <f>SETUP!U8</f>
        <v/>
      </c>
      <c r="M129" s="158"/>
      <c r="N129" s="15"/>
      <c r="O129" s="15"/>
      <c r="P129" s="160"/>
      <c r="Q129" s="160"/>
      <c r="R129" s="160"/>
      <c r="S129" s="144"/>
      <c r="T129" s="144"/>
      <c r="U129" s="144"/>
      <c r="V129" s="144"/>
      <c r="W129" s="144"/>
      <c r="X129" s="144"/>
      <c r="Y129" s="144"/>
      <c r="Z129" s="144"/>
    </row>
    <row r="130" spans="2:26" x14ac:dyDescent="0.25">
      <c r="B130" s="158"/>
      <c r="C130" s="345" t="s">
        <v>192</v>
      </c>
      <c r="D130" s="347">
        <f>H3908</f>
        <v>0</v>
      </c>
      <c r="E130" s="347">
        <f>H3916</f>
        <v>0</v>
      </c>
      <c r="F130" s="347">
        <f>H3924</f>
        <v>0</v>
      </c>
      <c r="G130" s="347">
        <f>H3932</f>
        <v>0</v>
      </c>
      <c r="H130" s="158"/>
      <c r="I130" s="158"/>
      <c r="J130" s="158"/>
      <c r="K130" s="158"/>
      <c r="L130" s="348"/>
      <c r="M130" s="158"/>
      <c r="N130" s="15"/>
      <c r="O130" s="15"/>
      <c r="P130" s="160"/>
      <c r="Q130" s="160"/>
      <c r="R130" s="160"/>
      <c r="S130" s="144"/>
      <c r="T130" s="144"/>
      <c r="U130" s="144"/>
      <c r="V130" s="144"/>
      <c r="W130" s="144"/>
      <c r="X130" s="144"/>
      <c r="Y130" s="144"/>
      <c r="Z130" s="144"/>
    </row>
    <row r="131" spans="2:26" x14ac:dyDescent="0.25">
      <c r="B131" s="158"/>
      <c r="C131" s="345" t="s">
        <v>193</v>
      </c>
      <c r="D131" s="346">
        <f>M3908</f>
        <v>0</v>
      </c>
      <c r="E131" s="346">
        <f>M3916</f>
        <v>0</v>
      </c>
      <c r="F131" s="346">
        <f>M3922</f>
        <v>0</v>
      </c>
      <c r="G131" s="346">
        <f>M3932</f>
        <v>0</v>
      </c>
      <c r="H131" s="158"/>
      <c r="I131" s="158"/>
      <c r="J131" s="158"/>
      <c r="K131" s="158"/>
      <c r="L131" s="348"/>
      <c r="M131" s="158"/>
      <c r="N131" s="15"/>
      <c r="O131" s="15"/>
      <c r="P131" s="160"/>
      <c r="Q131" s="160"/>
      <c r="R131" s="160"/>
      <c r="S131" s="144"/>
      <c r="T131" s="144"/>
      <c r="U131" s="144"/>
      <c r="V131" s="144"/>
      <c r="W131" s="144"/>
      <c r="X131" s="144"/>
      <c r="Y131" s="144"/>
      <c r="Z131" s="144"/>
    </row>
    <row r="132" spans="2:26" x14ac:dyDescent="0.25">
      <c r="B132" s="158"/>
      <c r="C132" s="345" t="s">
        <v>194</v>
      </c>
      <c r="D132" s="349">
        <f>E3910</f>
        <v>0</v>
      </c>
      <c r="E132" s="349">
        <f>E3918</f>
        <v>0</v>
      </c>
      <c r="F132" s="349">
        <f>E3926</f>
        <v>0</v>
      </c>
      <c r="G132" s="349">
        <f>E3934</f>
        <v>0</v>
      </c>
      <c r="H132" s="158"/>
      <c r="I132" s="158"/>
      <c r="J132" s="158"/>
      <c r="K132" s="158"/>
      <c r="L132" s="350"/>
      <c r="M132" s="158"/>
      <c r="N132" s="15"/>
      <c r="O132" s="15"/>
      <c r="P132" s="160"/>
      <c r="Q132" s="160"/>
      <c r="R132" s="160"/>
      <c r="S132" s="144"/>
      <c r="T132" s="144"/>
      <c r="U132" s="144"/>
      <c r="V132" s="144"/>
      <c r="W132" s="144"/>
      <c r="X132" s="144"/>
      <c r="Y132" s="144"/>
      <c r="Z132" s="144"/>
    </row>
    <row r="133" spans="2:26" x14ac:dyDescent="0.25">
      <c r="B133" s="158"/>
      <c r="C133" s="317" t="s">
        <v>195</v>
      </c>
      <c r="D133" s="317">
        <f>J3910</f>
        <v>0</v>
      </c>
      <c r="E133" s="317">
        <f>J3918</f>
        <v>0</v>
      </c>
      <c r="F133" s="317">
        <f>J3926</f>
        <v>0</v>
      </c>
      <c r="G133" s="317">
        <f>J3934</f>
        <v>0</v>
      </c>
      <c r="H133" s="158"/>
      <c r="I133" s="158"/>
      <c r="J133" s="158"/>
      <c r="K133" s="158"/>
      <c r="L133" s="158"/>
      <c r="M133" s="158"/>
      <c r="N133" s="15"/>
      <c r="O133" s="15"/>
      <c r="P133" s="160"/>
      <c r="Q133" s="160"/>
      <c r="R133" s="160"/>
      <c r="S133" s="144"/>
      <c r="T133" s="144"/>
      <c r="U133" s="144"/>
      <c r="V133" s="144"/>
      <c r="W133" s="144"/>
      <c r="X133" s="144"/>
      <c r="Y133" s="144"/>
      <c r="Z133" s="144"/>
    </row>
    <row r="134" spans="2:26" x14ac:dyDescent="0.25">
      <c r="B134" s="158"/>
      <c r="C134" s="317" t="s">
        <v>196</v>
      </c>
      <c r="D134" s="317">
        <f>M3910</f>
        <v>0</v>
      </c>
      <c r="E134" s="317">
        <f>M3918</f>
        <v>0</v>
      </c>
      <c r="F134" s="317">
        <f>M3926</f>
        <v>0</v>
      </c>
      <c r="G134" s="317">
        <f>M3934</f>
        <v>0</v>
      </c>
      <c r="H134" s="158"/>
      <c r="I134" s="158"/>
      <c r="J134" s="158"/>
      <c r="K134" s="158"/>
      <c r="L134" s="158"/>
      <c r="M134" s="158"/>
      <c r="N134" s="15"/>
      <c r="O134" s="15"/>
      <c r="P134" s="160"/>
      <c r="Q134" s="160"/>
      <c r="R134" s="160"/>
      <c r="S134" s="144"/>
      <c r="T134" s="144"/>
      <c r="U134" s="144"/>
      <c r="V134" s="144"/>
      <c r="W134" s="144"/>
      <c r="X134" s="144"/>
      <c r="Y134" s="144"/>
      <c r="Z134" s="144"/>
    </row>
    <row r="135" spans="2:26" x14ac:dyDescent="0.25">
      <c r="B135" s="158"/>
      <c r="C135" s="158" t="str">
        <f>K3910</f>
        <v>Provide SARS Tax Reference Number:
 (Attach scanned copy of current valid Tax Clearance Certificate as proof or refer to Form C1.1.5)</v>
      </c>
      <c r="D135" s="158"/>
      <c r="E135" s="158"/>
      <c r="F135" s="158"/>
      <c r="G135" s="158"/>
      <c r="H135" s="158"/>
      <c r="I135" s="158"/>
      <c r="J135" s="158"/>
      <c r="K135" s="158"/>
      <c r="L135" s="158"/>
      <c r="M135" s="158"/>
      <c r="N135" s="15"/>
      <c r="O135" s="15"/>
      <c r="P135" s="160"/>
      <c r="Q135" s="160"/>
      <c r="R135" s="160"/>
      <c r="S135" s="144"/>
      <c r="T135" s="144"/>
      <c r="U135" s="144"/>
      <c r="V135" s="144"/>
      <c r="W135" s="144"/>
      <c r="X135" s="144"/>
      <c r="Y135" s="144"/>
      <c r="Z135" s="144"/>
    </row>
    <row r="136" spans="2:26" ht="13.8" thickBot="1" x14ac:dyDescent="0.3">
      <c r="B136">
        <f>$D$1</f>
        <v>0</v>
      </c>
      <c r="C136" s="72" t="s">
        <v>128</v>
      </c>
      <c r="D136" s="25" t="s">
        <v>129</v>
      </c>
      <c r="P136" s="144"/>
      <c r="Q136" s="144"/>
      <c r="R136" s="144"/>
      <c r="S136" s="144"/>
      <c r="T136" s="144"/>
      <c r="U136" s="144"/>
      <c r="V136" s="144"/>
      <c r="W136" s="144"/>
      <c r="X136" s="144"/>
      <c r="Y136" s="144"/>
      <c r="Z136" s="144"/>
    </row>
    <row r="137" spans="2:26" ht="13.8" thickTop="1" x14ac:dyDescent="0.25">
      <c r="B137" s="27" t="s">
        <v>131</v>
      </c>
      <c r="C137" s="28"/>
      <c r="D137" s="29" t="s">
        <v>132</v>
      </c>
      <c r="E137" s="27" t="str">
        <f>J111</f>
        <v>DS RSE</v>
      </c>
      <c r="F137" s="30" t="str">
        <f>IF(L111=0,"NOT REQUIRED", IF(L111="Man","MANAGERIAL POSITION","NON-MANAGERIAL POSITION"))</f>
        <v>NON-MANAGERIAL POSITION</v>
      </c>
      <c r="G137" s="28"/>
      <c r="H137" s="28"/>
      <c r="I137" s="31"/>
      <c r="J137" s="27"/>
      <c r="K137" s="28"/>
      <c r="L137" s="31" t="s">
        <v>133</v>
      </c>
      <c r="M137" s="28"/>
      <c r="N137" s="32"/>
      <c r="P137" s="144"/>
      <c r="Q137" s="144"/>
      <c r="R137" s="144"/>
      <c r="S137" s="144"/>
      <c r="T137" s="144"/>
      <c r="U137" s="144"/>
      <c r="V137" s="144"/>
      <c r="W137" s="144"/>
      <c r="X137" s="144"/>
      <c r="Y137" s="144"/>
      <c r="Z137" s="144"/>
    </row>
    <row r="138" spans="2:26" x14ac:dyDescent="0.25">
      <c r="E138" s="34"/>
      <c r="F138" s="35"/>
      <c r="G138" s="36"/>
      <c r="I138" s="10"/>
      <c r="J138" s="37"/>
      <c r="N138" s="38"/>
      <c r="P138" s="144"/>
      <c r="Q138" s="144"/>
      <c r="R138" s="144"/>
      <c r="S138" s="144"/>
      <c r="T138" s="144"/>
      <c r="U138" s="144"/>
      <c r="V138" s="144"/>
      <c r="W138" s="144"/>
      <c r="X138" s="144"/>
      <c r="Y138" s="144"/>
      <c r="Z138" s="144"/>
    </row>
    <row r="139" spans="2:26" x14ac:dyDescent="0.25">
      <c r="B139" t="s">
        <v>134</v>
      </c>
      <c r="L139" s="465" t="str">
        <f>$L$39</f>
        <v>X.002-218-2024(NT)&amp;N.004-116-2024(T)</v>
      </c>
      <c r="M139" s="465"/>
      <c r="N139" s="38"/>
      <c r="P139" s="144"/>
      <c r="Q139" s="144"/>
      <c r="R139" s="144"/>
      <c r="S139" s="144"/>
      <c r="T139" s="144"/>
      <c r="U139" s="144"/>
      <c r="V139" s="144"/>
      <c r="W139" s="144"/>
      <c r="X139" s="144"/>
      <c r="Y139" s="144"/>
      <c r="Z139" s="144"/>
    </row>
    <row r="140" spans="2:26" ht="25.5" customHeight="1" x14ac:dyDescent="0.25">
      <c r="B140" s="39" t="s">
        <v>135</v>
      </c>
      <c r="C140" s="40"/>
      <c r="D140" s="41"/>
      <c r="E140" s="427" t="s">
        <v>136</v>
      </c>
      <c r="F140" s="428"/>
      <c r="G140" s="39" t="s">
        <v>137</v>
      </c>
      <c r="H140" s="41"/>
      <c r="I140" s="39" t="s">
        <v>138</v>
      </c>
      <c r="J140" s="41"/>
      <c r="K140" s="42"/>
      <c r="L140" s="465"/>
      <c r="M140" s="465"/>
      <c r="N140" s="38"/>
      <c r="P140" s="144"/>
      <c r="Q140" s="144"/>
      <c r="R140" s="144"/>
      <c r="S140" s="144"/>
      <c r="T140" s="144"/>
      <c r="U140" s="144"/>
      <c r="V140" s="144"/>
      <c r="W140" s="144"/>
      <c r="X140" s="144"/>
      <c r="Y140" s="144"/>
      <c r="Z140" s="144"/>
    </row>
    <row r="141" spans="2:26" ht="18" customHeight="1" x14ac:dyDescent="0.25">
      <c r="B141" s="194"/>
      <c r="C141" s="195"/>
      <c r="D141" s="196"/>
      <c r="E141" s="425"/>
      <c r="F141" s="426"/>
      <c r="G141" s="43" t="str">
        <f>K111</f>
        <v>Design Specialist: Road Safety Engineer/ Auditor</v>
      </c>
      <c r="H141" s="44"/>
      <c r="I141" s="197"/>
      <c r="J141" s="198"/>
      <c r="K141" s="45"/>
      <c r="N141" s="38"/>
      <c r="P141" s="144">
        <v>1</v>
      </c>
      <c r="Q141" s="144">
        <v>1</v>
      </c>
      <c r="R141" s="144">
        <v>1</v>
      </c>
      <c r="S141" s="144" t="str">
        <f>VLOOKUP(P141,'WORKINGS MATRIX'!$H$200:$I$351,2,FALSE)</f>
        <v>Year</v>
      </c>
      <c r="T141" s="144">
        <f>Q141-1</f>
        <v>0</v>
      </c>
      <c r="U141" s="144">
        <f>R141-1</f>
        <v>0</v>
      </c>
      <c r="V141" s="144" t="str">
        <f>IF(S141="year","",S141)</f>
        <v/>
      </c>
      <c r="W141" s="144" t="str">
        <f>IF(T141=0,"",T141)</f>
        <v/>
      </c>
      <c r="X141" s="144" t="str">
        <f>IF(U141=0,"",U141)</f>
        <v/>
      </c>
      <c r="Y141" s="144" t="str">
        <f>IF(V141="","",IF(W141="",(V141&amp;"/"&amp;"1"&amp;"/"&amp;"1"),IF(X141="",(V141&amp;"/"&amp;W141&amp;"/"&amp;"1"),(V141&amp;"/"&amp;W141&amp;"/"&amp;X141))))</f>
        <v/>
      </c>
      <c r="Z141" s="144" t="str">
        <f>IF(Y141="//","",Y141)</f>
        <v/>
      </c>
    </row>
    <row r="142" spans="2:26" x14ac:dyDescent="0.25">
      <c r="E142" t="str">
        <f>IF(E141="","",IF(LEN(E141)=13,"","ID NUMBER SHOULD BE 13 DIGITS"))</f>
        <v/>
      </c>
      <c r="N142" s="38"/>
      <c r="P142" s="144"/>
      <c r="Q142" s="144"/>
      <c r="R142" s="144"/>
      <c r="S142" s="144"/>
      <c r="T142" s="144"/>
      <c r="U142" s="144"/>
      <c r="V142" s="144"/>
      <c r="W142" s="144"/>
      <c r="X142" s="144"/>
      <c r="Y142" s="144"/>
      <c r="Z142" s="144"/>
    </row>
    <row r="143" spans="2:26" x14ac:dyDescent="0.25">
      <c r="G143" s="170" t="str">
        <f>IF(AG146=0,"","DATES BEYOND TENDER CLOSING DATE - PLEASE CHECK")</f>
        <v/>
      </c>
      <c r="N143" s="38"/>
      <c r="P143" s="144"/>
      <c r="Q143" s="144"/>
      <c r="R143" s="144"/>
      <c r="S143" s="144"/>
      <c r="T143" s="144"/>
      <c r="U143" s="144"/>
      <c r="V143" s="144"/>
      <c r="W143" s="144"/>
      <c r="X143" s="144"/>
      <c r="Y143" s="144"/>
      <c r="Z143" s="144"/>
    </row>
    <row r="144" spans="2:26" x14ac:dyDescent="0.25">
      <c r="B144" t="s">
        <v>139</v>
      </c>
      <c r="G144" s="170" t="str">
        <f>IF(AE146=0,"","DATES INCORRECT OR INCOMPLETE - PLEASE CHECK")</f>
        <v/>
      </c>
      <c r="N144" s="38"/>
      <c r="P144" s="144"/>
      <c r="Q144" s="144"/>
      <c r="R144" s="144"/>
      <c r="S144" s="144"/>
      <c r="T144" s="144"/>
      <c r="U144" s="144"/>
      <c r="V144" s="144"/>
      <c r="W144" s="144"/>
      <c r="X144" s="144"/>
      <c r="Y144" s="144"/>
      <c r="Z144" s="144"/>
    </row>
    <row r="145" spans="2:33" x14ac:dyDescent="0.25">
      <c r="B145" s="15" t="s">
        <v>140</v>
      </c>
      <c r="N145" s="38"/>
      <c r="P145" s="144"/>
      <c r="Q145" s="144"/>
      <c r="R145" s="144"/>
      <c r="S145" s="144"/>
      <c r="T145" s="144"/>
      <c r="U145" s="144"/>
      <c r="V145" s="144"/>
      <c r="W145" s="144"/>
      <c r="X145" s="144"/>
      <c r="Y145" s="144"/>
      <c r="Z145" s="144"/>
      <c r="AC145" s="158"/>
      <c r="AD145" s="158"/>
      <c r="AE145" s="158"/>
      <c r="AF145" s="158"/>
      <c r="AG145" s="158"/>
    </row>
    <row r="146" spans="2:33" ht="66" x14ac:dyDescent="0.25">
      <c r="B146" s="47" t="s">
        <v>141</v>
      </c>
      <c r="C146" s="48" t="s">
        <v>142</v>
      </c>
      <c r="D146" s="44"/>
      <c r="E146" s="470" t="s">
        <v>143</v>
      </c>
      <c r="F146" s="471"/>
      <c r="G146" s="157" t="s">
        <v>144</v>
      </c>
      <c r="H146" s="157" t="s">
        <v>145</v>
      </c>
      <c r="I146" s="385" t="s">
        <v>146</v>
      </c>
      <c r="J146" s="49" t="s">
        <v>147</v>
      </c>
      <c r="K146" s="50" t="s">
        <v>148</v>
      </c>
      <c r="L146" s="385" t="s">
        <v>149</v>
      </c>
      <c r="M146" s="49" t="s">
        <v>150</v>
      </c>
      <c r="N146" s="51"/>
      <c r="O146" s="386"/>
      <c r="P146" s="147"/>
      <c r="Q146" s="144"/>
      <c r="R146" s="144"/>
      <c r="S146" s="145"/>
      <c r="T146" s="145"/>
      <c r="U146" s="145"/>
      <c r="V146" s="145"/>
      <c r="W146" s="145"/>
      <c r="X146" s="145"/>
      <c r="Y146" s="145"/>
      <c r="Z146" s="145"/>
      <c r="AC146" s="165"/>
      <c r="AD146" s="165"/>
      <c r="AE146" s="165">
        <f>SUM(AE147:AE151)</f>
        <v>0</v>
      </c>
      <c r="AF146" s="165"/>
      <c r="AG146" s="165">
        <f>SUM(AG147:AG151)</f>
        <v>0</v>
      </c>
    </row>
    <row r="147" spans="2:33" ht="25.5" customHeight="1" x14ac:dyDescent="0.25">
      <c r="B147" s="200"/>
      <c r="C147" s="53">
        <v>8</v>
      </c>
      <c r="D147" s="54"/>
      <c r="E147" s="55"/>
      <c r="F147" s="55">
        <v>1</v>
      </c>
      <c r="G147" s="143" t="str">
        <f>Z147</f>
        <v/>
      </c>
      <c r="H147" s="143" t="str">
        <f>Z152</f>
        <v/>
      </c>
      <c r="I147" s="202"/>
      <c r="J147" s="203"/>
      <c r="K147" s="56">
        <v>23</v>
      </c>
      <c r="L147" s="204"/>
      <c r="M147" s="205"/>
      <c r="N147" s="164">
        <f>IF(G147="",0,IF(H147="",0,(ROUND(((H147-G147)/30),0))))</f>
        <v>0</v>
      </c>
      <c r="O147" s="21"/>
      <c r="P147" s="148">
        <v>1</v>
      </c>
      <c r="Q147" s="144">
        <v>1</v>
      </c>
      <c r="R147" s="144">
        <v>1</v>
      </c>
      <c r="S147" s="144" t="str">
        <f>VLOOKUP(P147,'WORKINGS MATRIX'!$B$200:$C$351,2,FALSE)</f>
        <v>Year</v>
      </c>
      <c r="T147" s="144">
        <f t="shared" ref="T147:U151" si="9">Q147-1</f>
        <v>0</v>
      </c>
      <c r="U147" s="144">
        <f t="shared" si="9"/>
        <v>0</v>
      </c>
      <c r="V147" s="144" t="str">
        <f t="shared" ref="V147:V156" si="10">IF(S147="year","",S147)</f>
        <v/>
      </c>
      <c r="W147" s="144" t="str">
        <f t="shared" ref="W147:X151" si="11">IF(T147=0,"",T147)</f>
        <v/>
      </c>
      <c r="X147" s="144" t="str">
        <f t="shared" si="11"/>
        <v/>
      </c>
      <c r="Y147" s="144" t="str">
        <f t="shared" ref="Y147:Y156" si="12">IF(V147="","",IF(W147="",(V147&amp;"/"&amp;"1"&amp;"/"&amp;"1"),IF(X147="",(V147&amp;"/"&amp;W147&amp;"/"&amp;"1"),(V147&amp;"/"&amp;W147&amp;"/"&amp;X147))))</f>
        <v/>
      </c>
      <c r="Z147" s="144" t="str">
        <f t="shared" ref="Z147:Z156" si="13">IF(Y147="//","",Y147)</f>
        <v/>
      </c>
      <c r="AC147" s="172">
        <f>IF(B147="",0,1)</f>
        <v>0</v>
      </c>
      <c r="AD147" s="172">
        <f>IF(B147="",0,IF(N147&gt;0,1,IF(N147&lt;0,2,0)))</f>
        <v>0</v>
      </c>
      <c r="AE147" s="172">
        <f>IF(AC147=AD147,0,IF(AC147&gt;AD147,2,1))</f>
        <v>0</v>
      </c>
      <c r="AF147" s="172">
        <f>IF(B147="",0,IF(N147=0,0,H147-$F$125))</f>
        <v>0</v>
      </c>
      <c r="AG147" s="172">
        <f>IF(AF147&gt;0,1,0)</f>
        <v>0</v>
      </c>
    </row>
    <row r="148" spans="2:33" ht="25.5" customHeight="1" x14ac:dyDescent="0.25">
      <c r="B148" s="200"/>
      <c r="C148" s="53">
        <v>8</v>
      </c>
      <c r="D148" s="54"/>
      <c r="E148" s="55"/>
      <c r="F148" s="55">
        <v>1</v>
      </c>
      <c r="G148" s="143" t="str">
        <f>Z148</f>
        <v/>
      </c>
      <c r="H148" s="143" t="str">
        <f>Z153</f>
        <v/>
      </c>
      <c r="I148" s="202"/>
      <c r="J148" s="203"/>
      <c r="K148" s="56">
        <v>23</v>
      </c>
      <c r="L148" s="204"/>
      <c r="M148" s="205"/>
      <c r="N148" s="164">
        <f>IF(G148="",0,IF(H148="",0,(ROUND(((H148-G148)/30),0))))</f>
        <v>0</v>
      </c>
      <c r="O148" s="21"/>
      <c r="P148" s="148">
        <v>1</v>
      </c>
      <c r="Q148" s="144">
        <v>1</v>
      </c>
      <c r="R148" s="144">
        <v>1</v>
      </c>
      <c r="S148" s="144" t="str">
        <f>VLOOKUP(P148,'WORKINGS MATRIX'!$B$200:$C$351,2,FALSE)</f>
        <v>Year</v>
      </c>
      <c r="T148" s="144">
        <f t="shared" si="9"/>
        <v>0</v>
      </c>
      <c r="U148" s="144">
        <f t="shared" si="9"/>
        <v>0</v>
      </c>
      <c r="V148" s="144" t="str">
        <f t="shared" si="10"/>
        <v/>
      </c>
      <c r="W148" s="144" t="str">
        <f t="shared" si="11"/>
        <v/>
      </c>
      <c r="X148" s="144" t="str">
        <f t="shared" si="11"/>
        <v/>
      </c>
      <c r="Y148" s="144" t="str">
        <f t="shared" si="12"/>
        <v/>
      </c>
      <c r="Z148" s="144" t="str">
        <f t="shared" si="13"/>
        <v/>
      </c>
      <c r="AC148" s="172">
        <f>IF(B148="",0,1)</f>
        <v>0</v>
      </c>
      <c r="AD148" s="172">
        <f>IF(B148="",0,IF(N148&gt;0,1,IF(N148&lt;0,2,0)))</f>
        <v>0</v>
      </c>
      <c r="AE148" s="172">
        <f>IF(AC148=AD148,0,IF(AC148&gt;AD148,2,1))</f>
        <v>0</v>
      </c>
      <c r="AF148" s="172">
        <f>IF(B148="",0,IF(N148=0,0,H148-$F$125))</f>
        <v>0</v>
      </c>
      <c r="AG148" s="172">
        <f>IF(AF148&gt;0,1,0)</f>
        <v>0</v>
      </c>
    </row>
    <row r="149" spans="2:33" ht="25.5" customHeight="1" x14ac:dyDescent="0.25">
      <c r="B149" s="200"/>
      <c r="C149" s="53">
        <v>8</v>
      </c>
      <c r="D149" s="54"/>
      <c r="E149" s="55"/>
      <c r="F149" s="55">
        <v>1</v>
      </c>
      <c r="G149" s="143" t="str">
        <f>Z149</f>
        <v/>
      </c>
      <c r="H149" s="143" t="str">
        <f>Z154</f>
        <v/>
      </c>
      <c r="I149" s="202"/>
      <c r="J149" s="203"/>
      <c r="K149" s="56">
        <v>23</v>
      </c>
      <c r="L149" s="204"/>
      <c r="M149" s="205"/>
      <c r="N149" s="164">
        <f>IF(G149="",0,IF(H149="",0,(ROUND(((H149-G149)/30),0))))</f>
        <v>0</v>
      </c>
      <c r="O149" s="21"/>
      <c r="P149" s="148">
        <v>1</v>
      </c>
      <c r="Q149" s="144">
        <v>1</v>
      </c>
      <c r="R149" s="144">
        <v>1</v>
      </c>
      <c r="S149" s="144" t="str">
        <f>VLOOKUP(P149,'WORKINGS MATRIX'!$B$200:$C$351,2,FALSE)</f>
        <v>Year</v>
      </c>
      <c r="T149" s="144">
        <f t="shared" si="9"/>
        <v>0</v>
      </c>
      <c r="U149" s="144">
        <f t="shared" si="9"/>
        <v>0</v>
      </c>
      <c r="V149" s="144" t="str">
        <f t="shared" si="10"/>
        <v/>
      </c>
      <c r="W149" s="144" t="str">
        <f t="shared" si="11"/>
        <v/>
      </c>
      <c r="X149" s="144" t="str">
        <f t="shared" si="11"/>
        <v/>
      </c>
      <c r="Y149" s="144" t="str">
        <f t="shared" si="12"/>
        <v/>
      </c>
      <c r="Z149" s="144" t="str">
        <f t="shared" si="13"/>
        <v/>
      </c>
      <c r="AC149" s="172">
        <f>IF(B149="",0,1)</f>
        <v>0</v>
      </c>
      <c r="AD149" s="172">
        <f>IF(B149="",0,IF(N149&gt;0,1,IF(N149&lt;0,2,0)))</f>
        <v>0</v>
      </c>
      <c r="AE149" s="172">
        <f>IF(AC149=AD149,0,IF(AC149&gt;AD149,2,1))</f>
        <v>0</v>
      </c>
      <c r="AF149" s="172">
        <f>IF(B149="",0,IF(N149=0,0,H149-$F$125))</f>
        <v>0</v>
      </c>
      <c r="AG149" s="172">
        <f>IF(AF149&gt;0,1,0)</f>
        <v>0</v>
      </c>
    </row>
    <row r="150" spans="2:33" ht="25.5" customHeight="1" x14ac:dyDescent="0.25">
      <c r="B150" s="258"/>
      <c r="C150" s="258"/>
      <c r="D150" s="258"/>
      <c r="E150" s="258"/>
      <c r="F150" s="258"/>
      <c r="G150" s="258"/>
      <c r="H150" s="258"/>
      <c r="I150" s="258"/>
      <c r="J150" s="258"/>
      <c r="K150" s="258"/>
      <c r="L150" s="258"/>
      <c r="M150" s="258"/>
      <c r="N150" s="164">
        <f>IF(G150="",0,IF(H150="",0,(ROUND(((H150-G150)/30),0))))</f>
        <v>0</v>
      </c>
      <c r="O150" s="21"/>
      <c r="P150" s="148">
        <v>1</v>
      </c>
      <c r="Q150" s="144">
        <v>1</v>
      </c>
      <c r="R150" s="144">
        <v>1</v>
      </c>
      <c r="S150" s="144" t="str">
        <f>VLOOKUP(P150,'WORKINGS MATRIX'!$B$200:$C$351,2,FALSE)</f>
        <v>Year</v>
      </c>
      <c r="T150" s="144">
        <f t="shared" si="9"/>
        <v>0</v>
      </c>
      <c r="U150" s="144">
        <f t="shared" si="9"/>
        <v>0</v>
      </c>
      <c r="V150" s="144" t="str">
        <f t="shared" si="10"/>
        <v/>
      </c>
      <c r="W150" s="144" t="str">
        <f t="shared" si="11"/>
        <v/>
      </c>
      <c r="X150" s="144" t="str">
        <f t="shared" si="11"/>
        <v/>
      </c>
      <c r="Y150" s="144" t="str">
        <f t="shared" si="12"/>
        <v/>
      </c>
      <c r="Z150" s="144" t="str">
        <f t="shared" si="13"/>
        <v/>
      </c>
      <c r="AC150" s="172">
        <f>IF(B150="",0,1)</f>
        <v>0</v>
      </c>
      <c r="AD150" s="172">
        <f>IF(B150="",0,IF(N150&gt;0,1,IF(N150&lt;0,2,0)))</f>
        <v>0</v>
      </c>
      <c r="AE150" s="172">
        <f>IF(AC150=AD150,0,IF(AC150&gt;AD150,2,1))</f>
        <v>0</v>
      </c>
      <c r="AF150" s="172">
        <f>IF(B150="",0,IF(N150=0,0,H150-$F$125))</f>
        <v>0</v>
      </c>
      <c r="AG150" s="172">
        <f>IF(AF150&gt;0,1,0)</f>
        <v>0</v>
      </c>
    </row>
    <row r="151" spans="2:33" ht="25.5" customHeight="1" x14ac:dyDescent="0.25">
      <c r="B151" s="213"/>
      <c r="C151" s="213"/>
      <c r="D151" s="213"/>
      <c r="E151" s="213"/>
      <c r="F151" s="213"/>
      <c r="G151" s="213"/>
      <c r="H151" s="213"/>
      <c r="I151" s="213"/>
      <c r="J151" s="213"/>
      <c r="K151" s="213"/>
      <c r="L151" s="213"/>
      <c r="M151" s="213"/>
      <c r="N151" s="164">
        <f>IF(G151="",0,IF(H151="",0,(ROUND(((H151-G151)/30),0))))</f>
        <v>0</v>
      </c>
      <c r="O151" s="21"/>
      <c r="P151" s="148">
        <v>1</v>
      </c>
      <c r="Q151" s="144">
        <v>1</v>
      </c>
      <c r="R151" s="144">
        <v>1</v>
      </c>
      <c r="S151" s="144" t="str">
        <f>VLOOKUP(P151,'WORKINGS MATRIX'!$B$200:$C$351,2,FALSE)</f>
        <v>Year</v>
      </c>
      <c r="T151" s="144">
        <f t="shared" si="9"/>
        <v>0</v>
      </c>
      <c r="U151" s="144">
        <f t="shared" si="9"/>
        <v>0</v>
      </c>
      <c r="V151" s="144" t="str">
        <f t="shared" si="10"/>
        <v/>
      </c>
      <c r="W151" s="144" t="str">
        <f t="shared" si="11"/>
        <v/>
      </c>
      <c r="X151" s="144" t="str">
        <f t="shared" si="11"/>
        <v/>
      </c>
      <c r="Y151" s="144" t="str">
        <f t="shared" si="12"/>
        <v/>
      </c>
      <c r="Z151" s="144" t="str">
        <f t="shared" si="13"/>
        <v/>
      </c>
      <c r="AC151" s="172">
        <f>IF(B151="",0,1)</f>
        <v>0</v>
      </c>
      <c r="AD151" s="172">
        <f>IF(B151="",0,IF(N151&gt;0,1,IF(N151&lt;0,2,0)))</f>
        <v>0</v>
      </c>
      <c r="AE151" s="172">
        <f>IF(AC151=AD151,0,IF(AC151&gt;AD151,2,1))</f>
        <v>0</v>
      </c>
      <c r="AF151" s="172">
        <f>IF(B151="",0,IF(N151=0,0,H151-$F$125))</f>
        <v>0</v>
      </c>
      <c r="AG151" s="172">
        <f>IF(AF151&gt;0,1,0)</f>
        <v>0</v>
      </c>
    </row>
    <row r="152" spans="2:33" x14ac:dyDescent="0.25">
      <c r="D152" s="57"/>
      <c r="H152" s="58"/>
      <c r="K152" s="21"/>
      <c r="N152" s="38"/>
      <c r="O152" s="58"/>
      <c r="P152" s="134">
        <v>1</v>
      </c>
      <c r="Q152" s="144">
        <v>1</v>
      </c>
      <c r="R152" s="144">
        <v>1</v>
      </c>
      <c r="S152" s="144" t="str">
        <f>VLOOKUP(P152,'WORKINGS MATRIX'!$B$200:$C$351,2,FALSE)</f>
        <v>Year</v>
      </c>
      <c r="T152" s="144">
        <f t="shared" ref="T152:U156" si="14">Q152-1</f>
        <v>0</v>
      </c>
      <c r="U152" s="144">
        <f t="shared" si="14"/>
        <v>0</v>
      </c>
      <c r="V152" s="144" t="str">
        <f t="shared" si="10"/>
        <v/>
      </c>
      <c r="W152" s="144" t="str">
        <f t="shared" ref="W152:X156" si="15">IF(T152=0,"",T152)</f>
        <v/>
      </c>
      <c r="X152" s="144" t="str">
        <f t="shared" si="15"/>
        <v/>
      </c>
      <c r="Y152" s="144" t="str">
        <f t="shared" si="12"/>
        <v/>
      </c>
      <c r="Z152" s="144" t="str">
        <f t="shared" si="13"/>
        <v/>
      </c>
      <c r="AC152" s="158"/>
      <c r="AD152" s="158"/>
      <c r="AE152" s="158"/>
      <c r="AF152" s="158"/>
      <c r="AG152" s="158"/>
    </row>
    <row r="153" spans="2:33" ht="12.75" customHeight="1" x14ac:dyDescent="0.25">
      <c r="B153" t="s">
        <v>152</v>
      </c>
      <c r="D153" s="57"/>
      <c r="H153" s="58"/>
      <c r="K153" s="21"/>
      <c r="N153" s="38"/>
      <c r="O153" s="58"/>
      <c r="P153" s="144">
        <v>1</v>
      </c>
      <c r="Q153" s="144">
        <v>1</v>
      </c>
      <c r="R153" s="144">
        <v>1</v>
      </c>
      <c r="S153" s="144" t="str">
        <f>VLOOKUP(P153,'WORKINGS MATRIX'!$B$200:$C$351,2,FALSE)</f>
        <v>Year</v>
      </c>
      <c r="T153" s="144">
        <f t="shared" si="14"/>
        <v>0</v>
      </c>
      <c r="U153" s="144">
        <f t="shared" si="14"/>
        <v>0</v>
      </c>
      <c r="V153" s="144" t="str">
        <f t="shared" si="10"/>
        <v/>
      </c>
      <c r="W153" s="144" t="str">
        <f t="shared" si="15"/>
        <v/>
      </c>
      <c r="X153" s="144" t="str">
        <f t="shared" si="15"/>
        <v/>
      </c>
      <c r="Y153" s="144" t="str">
        <f t="shared" si="12"/>
        <v/>
      </c>
      <c r="Z153" s="144" t="str">
        <f t="shared" si="13"/>
        <v/>
      </c>
      <c r="AC153" s="158"/>
      <c r="AD153" s="158"/>
      <c r="AE153" s="158"/>
      <c r="AF153" s="158"/>
      <c r="AG153" s="158"/>
    </row>
    <row r="154" spans="2:33" x14ac:dyDescent="0.25">
      <c r="B154" s="429"/>
      <c r="C154" s="430"/>
      <c r="D154" s="430"/>
      <c r="E154" s="430"/>
      <c r="F154" s="430"/>
      <c r="G154" s="430"/>
      <c r="H154" s="430"/>
      <c r="I154" s="430"/>
      <c r="J154" s="430"/>
      <c r="K154" s="430"/>
      <c r="L154" s="430"/>
      <c r="M154" s="431"/>
      <c r="N154" s="38"/>
      <c r="O154" s="58"/>
      <c r="P154" s="144">
        <v>1</v>
      </c>
      <c r="Q154" s="144">
        <v>1</v>
      </c>
      <c r="R154" s="144">
        <v>1</v>
      </c>
      <c r="S154" s="144" t="str">
        <f>VLOOKUP(P154,'WORKINGS MATRIX'!$B$200:$C$351,2,FALSE)</f>
        <v>Year</v>
      </c>
      <c r="T154" s="144">
        <f t="shared" si="14"/>
        <v>0</v>
      </c>
      <c r="U154" s="144">
        <f t="shared" si="14"/>
        <v>0</v>
      </c>
      <c r="V154" s="144" t="str">
        <f t="shared" si="10"/>
        <v/>
      </c>
      <c r="W154" s="144" t="str">
        <f t="shared" si="15"/>
        <v/>
      </c>
      <c r="X154" s="144" t="str">
        <f t="shared" si="15"/>
        <v/>
      </c>
      <c r="Y154" s="144" t="str">
        <f t="shared" si="12"/>
        <v/>
      </c>
      <c r="Z154" s="144" t="str">
        <f t="shared" si="13"/>
        <v/>
      </c>
      <c r="AC154" s="158"/>
      <c r="AD154" s="158"/>
      <c r="AE154" s="158"/>
      <c r="AF154" s="158"/>
      <c r="AG154" s="158"/>
    </row>
    <row r="155" spans="2:33" x14ac:dyDescent="0.25">
      <c r="B155" s="432"/>
      <c r="C155" s="433"/>
      <c r="D155" s="433"/>
      <c r="E155" s="433"/>
      <c r="F155" s="433"/>
      <c r="G155" s="433"/>
      <c r="H155" s="433"/>
      <c r="I155" s="433"/>
      <c r="J155" s="433"/>
      <c r="K155" s="433"/>
      <c r="L155" s="433"/>
      <c r="M155" s="434"/>
      <c r="N155" s="38"/>
      <c r="O155" s="58"/>
      <c r="P155" s="144">
        <v>1</v>
      </c>
      <c r="Q155" s="144">
        <v>1</v>
      </c>
      <c r="R155" s="144">
        <v>1</v>
      </c>
      <c r="S155" s="144" t="str">
        <f>VLOOKUP(P155,'WORKINGS MATRIX'!$B$200:$C$351,2,FALSE)</f>
        <v>Year</v>
      </c>
      <c r="T155" s="144">
        <f t="shared" si="14"/>
        <v>0</v>
      </c>
      <c r="U155" s="144">
        <f t="shared" si="14"/>
        <v>0</v>
      </c>
      <c r="V155" s="144" t="str">
        <f t="shared" si="10"/>
        <v/>
      </c>
      <c r="W155" s="144" t="str">
        <f t="shared" si="15"/>
        <v/>
      </c>
      <c r="X155" s="144" t="str">
        <f t="shared" si="15"/>
        <v/>
      </c>
      <c r="Y155" s="144" t="str">
        <f t="shared" si="12"/>
        <v/>
      </c>
      <c r="Z155" s="144" t="str">
        <f t="shared" si="13"/>
        <v/>
      </c>
      <c r="AC155" s="158"/>
      <c r="AD155" s="158"/>
      <c r="AE155" s="158"/>
      <c r="AF155" s="158"/>
      <c r="AG155" s="158"/>
    </row>
    <row r="156" spans="2:33" x14ac:dyDescent="0.25">
      <c r="B156" s="432"/>
      <c r="C156" s="433"/>
      <c r="D156" s="433"/>
      <c r="E156" s="433"/>
      <c r="F156" s="433"/>
      <c r="G156" s="433"/>
      <c r="H156" s="433"/>
      <c r="I156" s="433"/>
      <c r="J156" s="433"/>
      <c r="K156" s="433"/>
      <c r="L156" s="433"/>
      <c r="M156" s="434"/>
      <c r="N156" s="38"/>
      <c r="O156" s="58"/>
      <c r="P156" s="144">
        <v>1</v>
      </c>
      <c r="Q156" s="144">
        <v>1</v>
      </c>
      <c r="R156" s="144">
        <v>1</v>
      </c>
      <c r="S156" s="144" t="str">
        <f>VLOOKUP(P156,'WORKINGS MATRIX'!$B$200:$C$351,2,FALSE)</f>
        <v>Year</v>
      </c>
      <c r="T156" s="144">
        <f t="shared" si="14"/>
        <v>0</v>
      </c>
      <c r="U156" s="144">
        <f t="shared" si="14"/>
        <v>0</v>
      </c>
      <c r="V156" s="144" t="str">
        <f t="shared" si="10"/>
        <v/>
      </c>
      <c r="W156" s="144" t="str">
        <f t="shared" si="15"/>
        <v/>
      </c>
      <c r="X156" s="144" t="str">
        <f t="shared" si="15"/>
        <v/>
      </c>
      <c r="Y156" s="144" t="str">
        <f t="shared" si="12"/>
        <v/>
      </c>
      <c r="Z156" s="144" t="str">
        <f t="shared" si="13"/>
        <v/>
      </c>
      <c r="AC156" s="158"/>
      <c r="AD156" s="158"/>
      <c r="AE156" s="158"/>
      <c r="AF156" s="158"/>
      <c r="AG156" s="158"/>
    </row>
    <row r="157" spans="2:33" x14ac:dyDescent="0.25">
      <c r="B157" s="435"/>
      <c r="C157" s="436"/>
      <c r="D157" s="436"/>
      <c r="E157" s="436"/>
      <c r="F157" s="436"/>
      <c r="G157" s="436"/>
      <c r="H157" s="436"/>
      <c r="I157" s="436"/>
      <c r="J157" s="436"/>
      <c r="K157" s="436"/>
      <c r="L157" s="436"/>
      <c r="M157" s="437"/>
      <c r="N157" s="38"/>
      <c r="O157" s="58"/>
      <c r="P157" s="144"/>
      <c r="Q157" s="144"/>
      <c r="R157" s="144"/>
      <c r="S157" s="144"/>
      <c r="T157" s="144"/>
      <c r="U157" s="144"/>
      <c r="V157" s="144"/>
      <c r="W157" s="144"/>
      <c r="X157" s="144"/>
      <c r="Y157" s="144"/>
      <c r="Z157" s="144"/>
      <c r="AC157" s="158"/>
      <c r="AD157" s="158"/>
      <c r="AE157" s="158"/>
      <c r="AF157" s="158"/>
      <c r="AG157" s="158"/>
    </row>
    <row r="158" spans="2:33" x14ac:dyDescent="0.25">
      <c r="B158" s="15" t="s">
        <v>153</v>
      </c>
      <c r="D158" s="57"/>
      <c r="H158" s="58"/>
      <c r="K158" s="21"/>
      <c r="N158" s="38"/>
      <c r="O158" s="58"/>
      <c r="P158" s="144"/>
      <c r="Q158" s="144"/>
      <c r="R158" s="144"/>
      <c r="S158" s="144"/>
      <c r="T158" s="144"/>
      <c r="U158" s="144"/>
      <c r="V158" s="144"/>
      <c r="W158" s="144"/>
      <c r="X158" s="144"/>
      <c r="Y158" s="144"/>
      <c r="Z158" s="144"/>
      <c r="AC158" s="158"/>
      <c r="AD158" s="158"/>
      <c r="AE158" s="158"/>
      <c r="AF158" s="158"/>
      <c r="AG158" s="158"/>
    </row>
    <row r="159" spans="2:33" x14ac:dyDescent="0.25">
      <c r="B159" s="15" t="s">
        <v>154</v>
      </c>
      <c r="D159" s="57"/>
      <c r="H159" s="58"/>
      <c r="K159" s="21"/>
      <c r="N159" s="38"/>
      <c r="O159" s="58"/>
      <c r="P159" s="144"/>
      <c r="Q159" s="144"/>
      <c r="R159" s="144"/>
      <c r="S159" s="144"/>
      <c r="T159" s="144"/>
      <c r="U159" s="144"/>
      <c r="V159" s="144"/>
      <c r="W159" s="144"/>
      <c r="X159" s="144"/>
      <c r="Y159" s="144"/>
      <c r="Z159" s="144"/>
      <c r="AC159" s="158"/>
      <c r="AD159" s="158"/>
      <c r="AE159" s="158"/>
      <c r="AF159" s="158"/>
      <c r="AG159" s="158"/>
    </row>
    <row r="162" spans="2:26" x14ac:dyDescent="0.25">
      <c r="D162" s="57"/>
      <c r="E162" s="149"/>
      <c r="F162" s="149"/>
      <c r="G162" s="149"/>
      <c r="H162" s="149"/>
      <c r="I162" s="149"/>
      <c r="K162" s="438" t="s">
        <v>155</v>
      </c>
      <c r="L162" s="438"/>
      <c r="M162" s="438"/>
      <c r="N162" s="38"/>
      <c r="O162" s="58"/>
      <c r="P162" s="144"/>
      <c r="Q162" s="144"/>
      <c r="R162" s="144"/>
      <c r="S162" s="144"/>
      <c r="T162" s="144"/>
      <c r="U162" s="144"/>
      <c r="V162" s="144"/>
      <c r="W162" s="144"/>
      <c r="X162" s="144"/>
      <c r="Y162" s="144"/>
      <c r="Z162" s="144"/>
    </row>
    <row r="163" spans="2:26" x14ac:dyDescent="0.25">
      <c r="D163" s="57"/>
      <c r="H163" s="58"/>
      <c r="K163" s="438"/>
      <c r="L163" s="438"/>
      <c r="M163" s="438"/>
      <c r="N163" s="38"/>
      <c r="O163" s="58"/>
      <c r="P163" s="144"/>
      <c r="Q163" s="144"/>
      <c r="R163" s="144"/>
      <c r="S163" s="144"/>
      <c r="T163" s="144"/>
      <c r="U163" s="144"/>
      <c r="V163" s="144"/>
      <c r="W163" s="144"/>
      <c r="X163" s="144"/>
      <c r="Y163" s="144"/>
      <c r="Z163" s="144"/>
    </row>
    <row r="164" spans="2:26" x14ac:dyDescent="0.25">
      <c r="D164" s="57"/>
      <c r="E164" s="149"/>
      <c r="F164" s="149"/>
      <c r="G164" s="149"/>
      <c r="H164" s="149"/>
      <c r="I164" s="149"/>
      <c r="K164" s="438"/>
      <c r="L164" s="438"/>
      <c r="M164" s="438"/>
      <c r="N164" s="38"/>
      <c r="O164" s="58"/>
      <c r="P164" s="144"/>
      <c r="Q164" s="144"/>
      <c r="R164" s="144"/>
      <c r="S164" s="144"/>
      <c r="T164" s="144"/>
      <c r="U164" s="144"/>
      <c r="V164" s="144"/>
      <c r="W164" s="144"/>
      <c r="X164" s="144"/>
      <c r="Y164" s="144"/>
      <c r="Z164" s="144"/>
    </row>
    <row r="165" spans="2:26" x14ac:dyDescent="0.25">
      <c r="D165" s="57"/>
      <c r="E165" s="149"/>
      <c r="F165" s="149"/>
      <c r="G165" s="149"/>
      <c r="H165" s="149"/>
      <c r="I165" s="149"/>
      <c r="K165" s="438"/>
      <c r="L165" s="438"/>
      <c r="M165" s="438"/>
      <c r="N165" s="38"/>
      <c r="O165" s="58"/>
      <c r="P165" s="144"/>
      <c r="Q165" s="144"/>
      <c r="R165" s="144"/>
      <c r="S165" s="144"/>
      <c r="T165" s="144"/>
      <c r="U165" s="144"/>
      <c r="V165" s="144"/>
      <c r="W165" s="144"/>
      <c r="X165" s="144"/>
      <c r="Y165" s="144"/>
      <c r="Z165" s="144"/>
    </row>
    <row r="166" spans="2:26" ht="13.8" thickBot="1" x14ac:dyDescent="0.3">
      <c r="B166" s="60"/>
      <c r="C166" s="60"/>
      <c r="D166" s="61"/>
      <c r="E166" s="60"/>
      <c r="F166" s="60"/>
      <c r="G166" s="60"/>
      <c r="H166" s="62"/>
      <c r="I166" s="60"/>
      <c r="J166" s="60"/>
      <c r="K166" s="63"/>
      <c r="L166" s="60"/>
      <c r="M166" s="60"/>
      <c r="N166" s="64"/>
      <c r="O166" s="58"/>
      <c r="P166" s="144"/>
      <c r="Q166" s="144"/>
      <c r="R166" s="144"/>
      <c r="S166" s="144"/>
      <c r="T166" s="144"/>
      <c r="U166" s="144"/>
      <c r="V166" s="144"/>
      <c r="W166" s="144"/>
      <c r="X166" s="144"/>
      <c r="Y166" s="144"/>
      <c r="Z166" s="144"/>
    </row>
    <row r="167" spans="2:26" ht="14.4" thickTop="1" thickBot="1" x14ac:dyDescent="0.3">
      <c r="D167" s="57"/>
      <c r="H167" s="58"/>
      <c r="K167" s="21"/>
      <c r="O167" s="58"/>
      <c r="P167" s="144"/>
      <c r="Q167" s="144"/>
      <c r="R167" s="144"/>
      <c r="S167" s="144"/>
      <c r="T167" s="144"/>
      <c r="U167" s="144"/>
      <c r="V167" s="144"/>
      <c r="W167" s="144"/>
      <c r="X167" s="144"/>
      <c r="Y167" s="144"/>
      <c r="Z167" s="144"/>
    </row>
    <row r="168" spans="2:26" ht="13.8" thickTop="1" x14ac:dyDescent="0.25">
      <c r="B168" s="27" t="s">
        <v>156</v>
      </c>
      <c r="C168" s="29"/>
      <c r="D168" s="28"/>
      <c r="E168" s="65"/>
      <c r="F168" s="65"/>
      <c r="G168" s="65"/>
      <c r="H168" s="28"/>
      <c r="I168" s="28"/>
      <c r="J168" s="28"/>
      <c r="K168" s="28"/>
      <c r="L168" s="31" t="s">
        <v>157</v>
      </c>
      <c r="M168" s="28"/>
      <c r="N168" s="32"/>
      <c r="P168" s="144"/>
      <c r="Q168" s="144"/>
      <c r="R168" s="144"/>
      <c r="S168" s="144"/>
      <c r="T168" s="144"/>
      <c r="U168" s="144"/>
      <c r="V168" s="144"/>
      <c r="W168" s="144"/>
      <c r="X168" s="144"/>
      <c r="Y168" s="144"/>
      <c r="Z168" s="144"/>
    </row>
    <row r="169" spans="2:26" x14ac:dyDescent="0.25">
      <c r="E169" s="134">
        <v>5</v>
      </c>
      <c r="F169" s="12"/>
      <c r="N169" s="38"/>
      <c r="P169" s="144"/>
      <c r="Q169" s="144"/>
      <c r="R169" s="144"/>
      <c r="S169" s="144"/>
      <c r="T169" s="144"/>
      <c r="U169" s="144"/>
      <c r="V169" s="144"/>
      <c r="W169" s="144"/>
      <c r="X169" s="144"/>
      <c r="Y169" s="144"/>
      <c r="Z169" s="144"/>
    </row>
    <row r="170" spans="2:26" x14ac:dyDescent="0.25">
      <c r="B170" t="s">
        <v>134</v>
      </c>
      <c r="L170" s="465" t="str">
        <f>$L$39</f>
        <v>X.002-218-2024(NT)&amp;N.004-116-2024(T)</v>
      </c>
      <c r="M170" s="465"/>
      <c r="N170" s="38"/>
      <c r="P170" s="144"/>
      <c r="Q170" s="144"/>
      <c r="R170" s="144"/>
      <c r="S170" s="144"/>
      <c r="T170" s="144"/>
      <c r="U170" s="144"/>
      <c r="V170" s="144"/>
      <c r="W170" s="144"/>
      <c r="X170" s="144"/>
      <c r="Y170" s="144"/>
      <c r="Z170" s="144"/>
    </row>
    <row r="171" spans="2:26" x14ac:dyDescent="0.25">
      <c r="B171" s="39" t="s">
        <v>135</v>
      </c>
      <c r="C171" s="40"/>
      <c r="D171" s="41"/>
      <c r="E171" s="448" t="s">
        <v>158</v>
      </c>
      <c r="F171" s="449"/>
      <c r="G171" s="466" t="s">
        <v>159</v>
      </c>
      <c r="H171" s="449"/>
      <c r="L171" s="465"/>
      <c r="M171" s="465"/>
      <c r="N171" s="38"/>
      <c r="P171" s="144"/>
      <c r="Q171" s="144"/>
      <c r="R171" s="144"/>
      <c r="S171" s="144"/>
      <c r="T171" s="144"/>
      <c r="U171" s="144"/>
      <c r="V171" s="144"/>
      <c r="W171" s="144"/>
      <c r="X171" s="144"/>
      <c r="Y171" s="144"/>
      <c r="Z171" s="144"/>
    </row>
    <row r="172" spans="2:26" ht="18" customHeight="1" x14ac:dyDescent="0.25">
      <c r="B172" s="66">
        <f>B141</f>
        <v>0</v>
      </c>
      <c r="C172" s="67"/>
      <c r="D172" s="68"/>
      <c r="E172" s="441" t="str">
        <f>G141</f>
        <v>Design Specialist: Road Safety Engineer/ Auditor</v>
      </c>
      <c r="F172" s="441"/>
      <c r="G172" s="42"/>
      <c r="H172" s="12">
        <v>1</v>
      </c>
      <c r="I172" s="377" t="s">
        <v>160</v>
      </c>
      <c r="J172" s="377"/>
      <c r="K172" s="377"/>
      <c r="L172" s="377"/>
      <c r="N172" s="38"/>
      <c r="P172" s="144"/>
      <c r="Q172" s="144"/>
      <c r="R172" s="144"/>
      <c r="S172" s="144"/>
      <c r="T172" s="144"/>
      <c r="U172" s="144"/>
      <c r="V172" s="144"/>
      <c r="W172" s="144"/>
      <c r="X172" s="144"/>
      <c r="Y172" s="144"/>
      <c r="Z172" s="144"/>
    </row>
    <row r="173" spans="2:26" x14ac:dyDescent="0.25">
      <c r="N173" s="38"/>
      <c r="P173" s="144"/>
      <c r="Q173" s="144"/>
      <c r="R173" s="144"/>
      <c r="S173" s="144"/>
      <c r="T173" s="144"/>
      <c r="U173" s="144"/>
      <c r="V173" s="144"/>
      <c r="W173" s="144"/>
      <c r="X173" s="144"/>
      <c r="Y173" s="144"/>
      <c r="Z173" s="144"/>
    </row>
    <row r="174" spans="2:26" x14ac:dyDescent="0.25">
      <c r="B174" t="s">
        <v>161</v>
      </c>
      <c r="N174" s="38"/>
      <c r="P174" s="144"/>
      <c r="Q174" s="144"/>
      <c r="R174" s="144"/>
      <c r="S174" s="144"/>
      <c r="T174" s="144"/>
      <c r="U174" s="144"/>
      <c r="V174" s="144"/>
      <c r="W174" s="144"/>
      <c r="X174" s="144"/>
      <c r="Y174" s="144"/>
      <c r="Z174" s="144"/>
    </row>
    <row r="175" spans="2:26" ht="18" customHeight="1" x14ac:dyDescent="0.25">
      <c r="B175" s="468" t="s">
        <v>162</v>
      </c>
      <c r="C175" s="468"/>
      <c r="D175" s="469" t="s">
        <v>163</v>
      </c>
      <c r="E175" s="469"/>
      <c r="F175" s="461" t="s">
        <v>164</v>
      </c>
      <c r="G175" s="462"/>
      <c r="H175" s="467" t="s">
        <v>165</v>
      </c>
      <c r="I175" s="462"/>
      <c r="J175" s="467" t="s">
        <v>165</v>
      </c>
      <c r="K175" s="462"/>
      <c r="L175" s="125" t="s">
        <v>166</v>
      </c>
      <c r="M175" s="125" t="s">
        <v>167</v>
      </c>
      <c r="N175" s="38"/>
      <c r="P175" s="144">
        <v>1</v>
      </c>
      <c r="Q175" s="144">
        <v>1</v>
      </c>
      <c r="R175" s="144">
        <v>1</v>
      </c>
      <c r="S175" s="144" t="str">
        <f>VLOOKUP(P175,'WORKINGS MATRIX'!$B$200:$C$351,2,FALSE)</f>
        <v>Year</v>
      </c>
      <c r="T175" s="144">
        <f t="shared" ref="T175:U179" si="16">Q175-1</f>
        <v>0</v>
      </c>
      <c r="U175" s="144">
        <f t="shared" si="16"/>
        <v>0</v>
      </c>
      <c r="V175" s="144" t="str">
        <f>IF(S175="year","",S175)</f>
        <v/>
      </c>
      <c r="W175" s="144" t="str">
        <f t="shared" ref="W175:X179" si="17">IF(T175=0,"",T175)</f>
        <v/>
      </c>
      <c r="X175" s="144" t="str">
        <f t="shared" si="17"/>
        <v/>
      </c>
      <c r="Y175" s="144" t="str">
        <f>IF(V175="","",IF(W175="",(V175&amp;"/"&amp;"1"&amp;"/"&amp;"1"),IF(X175="",(V175&amp;"/"&amp;W175&amp;"/"&amp;"1"),(V175&amp;"/"&amp;W175&amp;"/"&amp;X175))))</f>
        <v/>
      </c>
      <c r="Z175" s="144" t="str">
        <f>IF(Y175="//","",Y175)</f>
        <v/>
      </c>
    </row>
    <row r="176" spans="2:26" ht="18" customHeight="1" x14ac:dyDescent="0.25">
      <c r="B176" s="441" t="s">
        <v>168</v>
      </c>
      <c r="C176" s="441"/>
      <c r="D176" s="439">
        <v>10</v>
      </c>
      <c r="E176" s="440"/>
      <c r="F176" s="442"/>
      <c r="G176" s="443"/>
      <c r="H176" s="463">
        <v>1</v>
      </c>
      <c r="I176" s="464"/>
      <c r="J176" s="450"/>
      <c r="K176" s="443"/>
      <c r="L176" s="206"/>
      <c r="M176" s="143" t="str">
        <f>Z175</f>
        <v/>
      </c>
      <c r="N176" s="38"/>
      <c r="P176" s="144">
        <v>1</v>
      </c>
      <c r="Q176" s="144">
        <v>1</v>
      </c>
      <c r="R176" s="144">
        <v>1</v>
      </c>
      <c r="S176" s="144" t="str">
        <f>VLOOKUP(P176,'WORKINGS MATRIX'!$B$200:$C$351,2,FALSE)</f>
        <v>Year</v>
      </c>
      <c r="T176" s="144">
        <f t="shared" si="16"/>
        <v>0</v>
      </c>
      <c r="U176" s="144">
        <f t="shared" si="16"/>
        <v>0</v>
      </c>
      <c r="V176" s="144" t="str">
        <f>IF(S176="year","",S176)</f>
        <v/>
      </c>
      <c r="W176" s="144" t="str">
        <f t="shared" si="17"/>
        <v/>
      </c>
      <c r="X176" s="144" t="str">
        <f t="shared" si="17"/>
        <v/>
      </c>
      <c r="Y176" s="144" t="str">
        <f>IF(V176="","",IF(W176="",(V176&amp;"/"&amp;"12"&amp;"/"&amp;"1"),IF(X176="",(V176&amp;"/"&amp;W176&amp;"/"&amp;"1"),(V176&amp;"/"&amp;W176&amp;"/"&amp;X176))))</f>
        <v/>
      </c>
      <c r="Z176" s="144" t="str">
        <f>IF(Y176="//","",Y176)</f>
        <v/>
      </c>
    </row>
    <row r="177" spans="2:26" ht="18" customHeight="1" x14ac:dyDescent="0.25">
      <c r="B177" s="441" t="s">
        <v>169</v>
      </c>
      <c r="C177" s="441"/>
      <c r="D177" s="442"/>
      <c r="E177" s="443"/>
      <c r="F177" s="442"/>
      <c r="G177" s="443"/>
      <c r="H177" s="451" t="s">
        <v>170</v>
      </c>
      <c r="I177" s="452"/>
      <c r="J177" s="451" t="s">
        <v>171</v>
      </c>
      <c r="K177" s="452"/>
      <c r="L177" s="125" t="s">
        <v>166</v>
      </c>
      <c r="M177" s="125" t="s">
        <v>167</v>
      </c>
      <c r="N177" s="38"/>
      <c r="P177" s="144">
        <v>1</v>
      </c>
      <c r="Q177" s="144">
        <v>1</v>
      </c>
      <c r="R177" s="144">
        <v>1</v>
      </c>
      <c r="S177" s="144" t="str">
        <f>VLOOKUP(P177,'WORKINGS MATRIX'!$B$200:$C$351,2,FALSE)</f>
        <v>Year</v>
      </c>
      <c r="T177" s="144">
        <f t="shared" si="16"/>
        <v>0</v>
      </c>
      <c r="U177" s="144">
        <f t="shared" si="16"/>
        <v>0</v>
      </c>
      <c r="V177" s="144" t="str">
        <f>IF(S177="year","",S177)</f>
        <v/>
      </c>
      <c r="W177" s="144" t="str">
        <f t="shared" si="17"/>
        <v/>
      </c>
      <c r="X177" s="144" t="str">
        <f t="shared" si="17"/>
        <v/>
      </c>
      <c r="Y177" s="144" t="str">
        <f>IF(V177="","",IF(W177="",(V177&amp;"/"&amp;"12"&amp;"/"&amp;"1"),IF(X177="",(V177&amp;"/"&amp;W177&amp;"/"&amp;"1"),(V177&amp;"/"&amp;W177&amp;"/"&amp;X177))))</f>
        <v/>
      </c>
      <c r="Z177" s="144" t="str">
        <f>IF(Y177="//","",Y177)</f>
        <v/>
      </c>
    </row>
    <row r="178" spans="2:26" ht="18" customHeight="1" x14ac:dyDescent="0.25">
      <c r="B178" s="441" t="s">
        <v>172</v>
      </c>
      <c r="C178" s="441"/>
      <c r="D178" s="444" t="str">
        <f>Z177</f>
        <v/>
      </c>
      <c r="E178" s="445"/>
      <c r="F178" s="444" t="str">
        <f>Z178</f>
        <v/>
      </c>
      <c r="G178" s="445"/>
      <c r="H178" s="446">
        <v>1</v>
      </c>
      <c r="I178" s="447"/>
      <c r="J178" s="450"/>
      <c r="K178" s="443"/>
      <c r="L178" s="206"/>
      <c r="M178" s="143" t="str">
        <f>Z176</f>
        <v/>
      </c>
      <c r="N178" s="38"/>
      <c r="P178" s="144">
        <v>1</v>
      </c>
      <c r="Q178" s="144">
        <v>1</v>
      </c>
      <c r="R178" s="144">
        <v>1</v>
      </c>
      <c r="S178" s="144" t="str">
        <f>VLOOKUP(P178,'WORKINGS MATRIX'!$B$200:$C$351,2,FALSE)</f>
        <v>Year</v>
      </c>
      <c r="T178" s="144">
        <f t="shared" si="16"/>
        <v>0</v>
      </c>
      <c r="U178" s="144">
        <f t="shared" si="16"/>
        <v>0</v>
      </c>
      <c r="V178" s="144" t="str">
        <f>IF(S178="year","",S178)</f>
        <v/>
      </c>
      <c r="W178" s="144" t="str">
        <f t="shared" si="17"/>
        <v/>
      </c>
      <c r="X178" s="144" t="str">
        <f t="shared" si="17"/>
        <v/>
      </c>
      <c r="Y178" s="144" t="str">
        <f>IF(V178="","",IF(W178="",(V178&amp;"/"&amp;"1"&amp;"/"&amp;"1"),IF(X178="",(V178&amp;"/"&amp;W178&amp;"/"&amp;"1"),(V178&amp;"/"&amp;W178&amp;"/"&amp;X178))))</f>
        <v/>
      </c>
      <c r="Z178" s="144" t="str">
        <f>IF(Y178="//","",Y178)</f>
        <v/>
      </c>
    </row>
    <row r="179" spans="2:26" x14ac:dyDescent="0.25">
      <c r="N179" s="38"/>
      <c r="P179" s="144">
        <v>1</v>
      </c>
      <c r="Q179" s="144">
        <v>1</v>
      </c>
      <c r="R179" s="144">
        <v>1</v>
      </c>
      <c r="S179" s="144" t="str">
        <f>VLOOKUP(P179,'WORKINGS MATRIX'!$B$200:$C$351,2,FALSE)</f>
        <v>Year</v>
      </c>
      <c r="T179" s="144">
        <f t="shared" si="16"/>
        <v>0</v>
      </c>
      <c r="U179" s="144">
        <f t="shared" si="16"/>
        <v>0</v>
      </c>
      <c r="V179" s="144" t="str">
        <f>IF(S179="year","",S179)</f>
        <v/>
      </c>
      <c r="W179" s="144" t="str">
        <f t="shared" si="17"/>
        <v/>
      </c>
      <c r="X179" s="144" t="str">
        <f t="shared" si="17"/>
        <v/>
      </c>
      <c r="Y179" s="144" t="str">
        <f>IF(V179="","",IF(W179="",(V179&amp;"/"&amp;"1"&amp;"/"&amp;"1"),IF(X179="",(V179&amp;"/"&amp;W179&amp;"/"&amp;"1"),(V179&amp;"/"&amp;W179&amp;"/"&amp;X179))))</f>
        <v/>
      </c>
      <c r="Z179" s="144" t="str">
        <f>IF(Y179="//","",Y179)</f>
        <v/>
      </c>
    </row>
    <row r="180" spans="2:26" x14ac:dyDescent="0.25">
      <c r="M180" s="303" t="str">
        <f>IF(B141="","",IF(P176=1,"DATES INCORRECT OR INCOMPLETE - PLEASE CHECK",""))</f>
        <v/>
      </c>
      <c r="N180" s="38"/>
      <c r="P180" s="144"/>
      <c r="Q180" s="144"/>
      <c r="R180" s="144"/>
      <c r="S180" s="144"/>
      <c r="T180" s="144"/>
      <c r="U180" s="144"/>
      <c r="V180" s="144"/>
      <c r="W180" s="144"/>
      <c r="X180" s="144"/>
      <c r="Y180" s="144"/>
      <c r="Z180" s="144"/>
    </row>
    <row r="181" spans="2:26" x14ac:dyDescent="0.25">
      <c r="B181" s="21"/>
      <c r="C181" s="77"/>
      <c r="D181" s="216"/>
      <c r="E181" s="21"/>
      <c r="F181" s="10"/>
      <c r="G181" s="10"/>
      <c r="H181" s="10"/>
      <c r="I181" s="10"/>
      <c r="J181" s="21"/>
      <c r="K181" s="21"/>
      <c r="L181" s="21"/>
      <c r="M181" s="217"/>
      <c r="N181" s="387"/>
      <c r="O181" s="21"/>
      <c r="P181" s="144"/>
      <c r="Q181" s="144"/>
      <c r="R181" s="144"/>
      <c r="S181" s="145"/>
      <c r="T181" s="145"/>
      <c r="U181" s="145"/>
      <c r="V181" s="145"/>
      <c r="W181" s="145"/>
      <c r="X181" s="145"/>
      <c r="Y181" s="145"/>
      <c r="Z181" s="145"/>
    </row>
    <row r="182" spans="2:26" ht="25.5" customHeight="1" x14ac:dyDescent="0.25">
      <c r="B182" s="149"/>
      <c r="C182" s="149"/>
      <c r="D182" s="3"/>
      <c r="E182" s="149"/>
      <c r="F182" s="149"/>
      <c r="G182" s="3"/>
      <c r="H182" s="149"/>
      <c r="I182" s="3"/>
      <c r="J182" s="213"/>
      <c r="K182" s="214"/>
      <c r="L182" s="149"/>
      <c r="M182" s="70"/>
      <c r="N182" s="71"/>
      <c r="O182" s="10"/>
      <c r="P182" s="144"/>
      <c r="Q182" s="144"/>
      <c r="R182" s="144"/>
      <c r="S182" s="144"/>
      <c r="T182" s="144"/>
      <c r="U182" s="144"/>
      <c r="V182" s="144"/>
      <c r="W182" s="144"/>
      <c r="X182" s="144"/>
      <c r="Y182" s="144"/>
      <c r="Z182" s="144"/>
    </row>
    <row r="183" spans="2:26" ht="25.5" customHeight="1" x14ac:dyDescent="0.25">
      <c r="B183" s="149"/>
      <c r="C183" s="149"/>
      <c r="D183" s="3"/>
      <c r="E183" s="149"/>
      <c r="F183" s="149"/>
      <c r="G183" s="3"/>
      <c r="H183" s="149"/>
      <c r="I183" s="3"/>
      <c r="J183" s="213"/>
      <c r="K183" s="214"/>
      <c r="L183" s="149"/>
      <c r="M183" s="70"/>
      <c r="N183" s="71"/>
      <c r="O183" s="10"/>
      <c r="P183" s="144"/>
      <c r="Q183" s="144"/>
      <c r="R183" s="144"/>
      <c r="S183" s="144"/>
      <c r="T183" s="144"/>
      <c r="U183" s="144"/>
      <c r="V183" s="144"/>
      <c r="W183" s="144"/>
      <c r="X183" s="144"/>
      <c r="Y183" s="144"/>
      <c r="Z183" s="144"/>
    </row>
    <row r="184" spans="2:26" ht="25.5" customHeight="1" x14ac:dyDescent="0.25">
      <c r="B184" s="149"/>
      <c r="C184" s="149"/>
      <c r="D184" s="3"/>
      <c r="E184" s="149"/>
      <c r="F184" s="149"/>
      <c r="G184" s="3"/>
      <c r="H184" s="149"/>
      <c r="I184" s="3"/>
      <c r="J184" s="213"/>
      <c r="K184" s="214"/>
      <c r="L184" s="149"/>
      <c r="M184" s="70"/>
      <c r="N184" s="71"/>
      <c r="O184" s="10"/>
      <c r="P184" s="144"/>
      <c r="Q184" s="144"/>
      <c r="R184" s="144"/>
      <c r="S184" s="144"/>
      <c r="T184" s="144"/>
      <c r="U184" s="144"/>
      <c r="V184" s="144"/>
      <c r="W184" s="144"/>
      <c r="X184" s="144"/>
      <c r="Y184" s="144"/>
      <c r="Z184" s="144"/>
    </row>
    <row r="185" spans="2:26" ht="25.5" customHeight="1" x14ac:dyDescent="0.25">
      <c r="B185" s="149"/>
      <c r="C185" s="149"/>
      <c r="D185" s="3"/>
      <c r="E185" s="149"/>
      <c r="F185" s="149"/>
      <c r="G185" s="3"/>
      <c r="H185" s="149"/>
      <c r="I185" s="3"/>
      <c r="J185" s="213"/>
      <c r="K185" s="214"/>
      <c r="L185" s="149"/>
      <c r="M185" s="70"/>
      <c r="N185" s="71"/>
      <c r="O185" s="10"/>
      <c r="P185" s="144"/>
      <c r="Q185" s="144"/>
      <c r="R185" s="144"/>
      <c r="S185" s="144"/>
      <c r="T185" s="144"/>
      <c r="U185" s="144"/>
      <c r="V185" s="144"/>
      <c r="W185" s="144"/>
      <c r="X185" s="144"/>
      <c r="Y185" s="144"/>
      <c r="Z185" s="144"/>
    </row>
    <row r="186" spans="2:26" ht="25.5" customHeight="1" x14ac:dyDescent="0.25">
      <c r="B186" s="149"/>
      <c r="C186" s="149"/>
      <c r="D186" s="3"/>
      <c r="E186" s="149"/>
      <c r="F186" s="149"/>
      <c r="G186" s="3"/>
      <c r="H186" s="149"/>
      <c r="I186" s="3"/>
      <c r="J186" s="213"/>
      <c r="K186" s="214"/>
      <c r="L186" s="149"/>
      <c r="M186" s="70"/>
      <c r="N186" s="71"/>
      <c r="O186" s="10"/>
      <c r="P186" s="144"/>
      <c r="Q186" s="144"/>
      <c r="R186" s="144"/>
      <c r="S186" s="144"/>
      <c r="T186" s="144"/>
      <c r="U186" s="144"/>
      <c r="V186" s="144"/>
      <c r="W186" s="144"/>
      <c r="X186" s="144"/>
      <c r="Y186" s="144"/>
      <c r="Z186" s="144"/>
    </row>
    <row r="187" spans="2:26" x14ac:dyDescent="0.25">
      <c r="D187" s="3"/>
      <c r="G187" s="3"/>
      <c r="I187" s="3"/>
      <c r="N187" s="71"/>
      <c r="P187" s="144"/>
      <c r="Q187" s="144"/>
      <c r="R187" s="144"/>
      <c r="S187" s="144"/>
      <c r="T187" s="144"/>
      <c r="U187" s="144"/>
      <c r="V187" s="144"/>
      <c r="W187" s="144"/>
      <c r="X187" s="144"/>
      <c r="Y187" s="144"/>
      <c r="Z187" s="144"/>
    </row>
    <row r="188" spans="2:26" x14ac:dyDescent="0.25">
      <c r="B188" t="s">
        <v>152</v>
      </c>
      <c r="D188" s="57"/>
      <c r="H188" s="58"/>
      <c r="K188" s="21"/>
      <c r="N188" s="38"/>
      <c r="P188" s="144"/>
      <c r="Q188" s="144"/>
      <c r="R188" s="144"/>
      <c r="S188" s="144"/>
      <c r="T188" s="144"/>
      <c r="U188" s="144"/>
      <c r="V188" s="144"/>
      <c r="W188" s="144"/>
      <c r="X188" s="144"/>
      <c r="Y188" s="144"/>
      <c r="Z188" s="144"/>
    </row>
    <row r="189" spans="2:26" x14ac:dyDescent="0.25">
      <c r="B189" s="429"/>
      <c r="C189" s="430"/>
      <c r="D189" s="430"/>
      <c r="E189" s="430"/>
      <c r="F189" s="430"/>
      <c r="G189" s="430"/>
      <c r="H189" s="430"/>
      <c r="I189" s="430"/>
      <c r="J189" s="430"/>
      <c r="K189" s="430"/>
      <c r="L189" s="430"/>
      <c r="M189" s="431"/>
      <c r="N189" s="38"/>
      <c r="P189" s="144"/>
      <c r="Q189" s="144"/>
      <c r="R189" s="144"/>
      <c r="S189" s="144"/>
      <c r="T189" s="144"/>
      <c r="U189" s="144"/>
      <c r="V189" s="144"/>
      <c r="W189" s="144"/>
      <c r="X189" s="144"/>
      <c r="Y189" s="144"/>
      <c r="Z189" s="144"/>
    </row>
    <row r="190" spans="2:26" x14ac:dyDescent="0.25">
      <c r="B190" s="432"/>
      <c r="C190" s="433"/>
      <c r="D190" s="433"/>
      <c r="E190" s="433"/>
      <c r="F190" s="433"/>
      <c r="G190" s="433"/>
      <c r="H190" s="433"/>
      <c r="I190" s="433"/>
      <c r="J190" s="433"/>
      <c r="K190" s="433"/>
      <c r="L190" s="433"/>
      <c r="M190" s="434"/>
      <c r="N190" s="38"/>
      <c r="P190" s="144"/>
      <c r="Q190" s="144"/>
      <c r="R190" s="144"/>
      <c r="S190" s="144"/>
      <c r="T190" s="144"/>
      <c r="U190" s="144"/>
      <c r="V190" s="144"/>
      <c r="W190" s="144"/>
      <c r="X190" s="144"/>
      <c r="Y190" s="144"/>
      <c r="Z190" s="144"/>
    </row>
    <row r="191" spans="2:26" x14ac:dyDescent="0.25">
      <c r="B191" s="432"/>
      <c r="C191" s="433"/>
      <c r="D191" s="433"/>
      <c r="E191" s="433"/>
      <c r="F191" s="433"/>
      <c r="G191" s="433"/>
      <c r="H191" s="433"/>
      <c r="I191" s="433"/>
      <c r="J191" s="433"/>
      <c r="K191" s="433"/>
      <c r="L191" s="433"/>
      <c r="M191" s="434"/>
      <c r="N191" s="38"/>
      <c r="P191" s="144"/>
      <c r="Q191" s="144"/>
      <c r="R191" s="144"/>
      <c r="S191" s="144"/>
      <c r="T191" s="144"/>
      <c r="U191" s="144"/>
      <c r="V191" s="144"/>
      <c r="W191" s="144"/>
      <c r="X191" s="144"/>
      <c r="Y191" s="144"/>
      <c r="Z191" s="144"/>
    </row>
    <row r="192" spans="2:26" x14ac:dyDescent="0.25">
      <c r="B192" s="435"/>
      <c r="C192" s="436"/>
      <c r="D192" s="436"/>
      <c r="E192" s="436"/>
      <c r="F192" s="436"/>
      <c r="G192" s="436"/>
      <c r="H192" s="436"/>
      <c r="I192" s="436"/>
      <c r="J192" s="436"/>
      <c r="K192" s="436"/>
      <c r="L192" s="436"/>
      <c r="M192" s="437"/>
      <c r="N192" s="38"/>
      <c r="P192" s="144"/>
      <c r="Q192" s="144"/>
      <c r="R192" s="144"/>
      <c r="S192" s="144"/>
      <c r="T192" s="144"/>
      <c r="U192" s="144"/>
      <c r="V192" s="144"/>
      <c r="W192" s="144"/>
      <c r="X192" s="144"/>
      <c r="Y192" s="144"/>
      <c r="Z192" s="144"/>
    </row>
    <row r="197" spans="2:13" x14ac:dyDescent="0.25">
      <c r="D197" s="57"/>
      <c r="E197" s="149"/>
      <c r="F197" s="149"/>
      <c r="G197" s="149"/>
      <c r="H197" s="149"/>
      <c r="I197" s="149"/>
      <c r="K197" s="438" t="s">
        <v>155</v>
      </c>
      <c r="L197" s="438"/>
      <c r="M197" s="438"/>
    </row>
    <row r="198" spans="2:13" x14ac:dyDescent="0.25">
      <c r="D198" s="57"/>
      <c r="H198" s="58"/>
      <c r="K198" s="438"/>
      <c r="L198" s="438"/>
      <c r="M198" s="438"/>
    </row>
    <row r="199" spans="2:13" x14ac:dyDescent="0.25">
      <c r="D199" s="57"/>
      <c r="E199" s="149"/>
      <c r="F199" s="149"/>
      <c r="G199" s="149"/>
      <c r="H199" s="149"/>
      <c r="I199" s="149"/>
      <c r="K199" s="438"/>
      <c r="L199" s="438"/>
      <c r="M199" s="438"/>
    </row>
    <row r="200" spans="2:13" x14ac:dyDescent="0.25">
      <c r="D200" s="57"/>
      <c r="E200" s="149"/>
      <c r="F200" s="149"/>
      <c r="G200" s="149"/>
      <c r="H200" s="149"/>
      <c r="I200" s="149"/>
      <c r="K200" s="438"/>
      <c r="L200" s="438"/>
      <c r="M200" s="438"/>
    </row>
    <row r="201" spans="2:13" ht="13.8" thickBot="1" x14ac:dyDescent="0.3">
      <c r="B201" s="60"/>
      <c r="C201" s="60"/>
      <c r="D201" s="60"/>
      <c r="E201" s="60"/>
      <c r="F201" s="60"/>
      <c r="G201" s="60"/>
      <c r="H201" s="60"/>
      <c r="I201" s="60"/>
      <c r="J201" s="60"/>
      <c r="K201" s="60"/>
      <c r="L201" s="60"/>
      <c r="M201" s="60"/>
    </row>
    <row r="202" spans="2:13" ht="13.8" thickTop="1" x14ac:dyDescent="0.25"/>
    <row r="203" spans="2:13" x14ac:dyDescent="0.25">
      <c r="B203" s="24" t="s">
        <v>128</v>
      </c>
    </row>
    <row r="204" spans="2:13" x14ac:dyDescent="0.25">
      <c r="B204" s="158"/>
      <c r="C204" s="158"/>
      <c r="D204" s="158"/>
      <c r="E204" s="158"/>
      <c r="F204" s="158"/>
      <c r="G204" s="158"/>
      <c r="H204" s="158"/>
      <c r="I204" s="158"/>
      <c r="J204" s="158"/>
      <c r="K204" s="158"/>
      <c r="L204" s="158"/>
      <c r="M204" s="158"/>
    </row>
    <row r="205" spans="2:13" x14ac:dyDescent="0.25">
      <c r="B205" s="158"/>
      <c r="C205" s="158"/>
      <c r="D205" s="158"/>
      <c r="E205" s="158"/>
      <c r="F205" s="158"/>
      <c r="G205" s="158"/>
      <c r="H205" s="158"/>
      <c r="I205" s="158"/>
      <c r="J205" s="158"/>
      <c r="K205" s="158"/>
      <c r="L205" s="158"/>
      <c r="M205" s="158"/>
    </row>
    <row r="206" spans="2:13" x14ac:dyDescent="0.25">
      <c r="B206" s="158"/>
      <c r="C206" s="158"/>
      <c r="D206" s="158"/>
      <c r="E206" s="158" t="s">
        <v>197</v>
      </c>
      <c r="F206" s="158"/>
      <c r="G206" s="158">
        <f>'B6 - Scoring - Past Performance'!G1</f>
        <v>0</v>
      </c>
      <c r="H206" s="158"/>
      <c r="I206" s="158"/>
      <c r="J206" s="158"/>
      <c r="K206" s="158"/>
      <c r="L206" s="158"/>
      <c r="M206" s="158"/>
    </row>
    <row r="207" spans="2:13" x14ac:dyDescent="0.25">
      <c r="B207" s="158"/>
      <c r="C207" s="158">
        <f>'B6 - Scoring - Past Performance'!B10</f>
        <v>0</v>
      </c>
      <c r="D207" s="158"/>
      <c r="E207" s="158"/>
      <c r="F207" s="158"/>
      <c r="G207" s="158">
        <f>'B6 - Scoring - Past Performance'!F10</f>
        <v>0</v>
      </c>
      <c r="H207" s="158"/>
      <c r="I207" s="158"/>
      <c r="J207" s="158"/>
      <c r="K207" s="158"/>
      <c r="L207" s="158"/>
      <c r="M207" s="158"/>
    </row>
    <row r="208" spans="2:13" x14ac:dyDescent="0.25">
      <c r="B208" s="158"/>
      <c r="C208" s="158" t="str">
        <f>'B6 - Scoring - Past Performance'!B11</f>
        <v>Project Experience</v>
      </c>
      <c r="D208" s="158">
        <f>'B6 - Scoring - Past Performance'!C11</f>
        <v>0</v>
      </c>
      <c r="E208" s="158">
        <f>'B6 - Scoring - Past Performance'!D11</f>
        <v>0</v>
      </c>
      <c r="F208" s="158">
        <f>'B6 - Scoring - Past Performance'!E11</f>
        <v>0</v>
      </c>
      <c r="G208" s="158">
        <f>'B6 - Scoring - Past Performance'!F11</f>
        <v>0</v>
      </c>
      <c r="H208" s="158" t="str">
        <f>'B6 - Scoring - Past Performance'!G11</f>
        <v>CIDB SCORE</v>
      </c>
      <c r="I208" s="158" t="str">
        <f>'B6 - Scoring - Past Performance'!H11</f>
        <v>Score Allocated</v>
      </c>
      <c r="J208" s="158" t="str">
        <f>'B6 - Scoring - Past Performance'!I11</f>
        <v>Method for Score</v>
      </c>
      <c r="K208" s="158"/>
      <c r="L208" s="158"/>
      <c r="M208" s="158"/>
    </row>
    <row r="209" spans="3:10" x14ac:dyDescent="0.25">
      <c r="C209" s="158">
        <f>'B6 - Scoring - Past Performance'!B12</f>
        <v>0</v>
      </c>
      <c r="D209" s="158">
        <f>'B6 - Scoring - Past Performance'!C12</f>
        <v>0</v>
      </c>
      <c r="E209" s="158">
        <f>'B6 - Scoring - Past Performance'!D12</f>
        <v>0</v>
      </c>
      <c r="F209" s="158">
        <f>'B6 - Scoring - Past Performance'!E12</f>
        <v>0</v>
      </c>
      <c r="G209" s="158">
        <f>'B6 - Scoring - Past Performance'!F12</f>
        <v>0</v>
      </c>
      <c r="H209" s="158">
        <f>'B6 - Scoring - Past Performance'!G12</f>
        <v>0</v>
      </c>
      <c r="I209" s="158" t="str">
        <f>'B6 - Scoring - Past Performance'!H12</f>
        <v/>
      </c>
      <c r="J209" s="158" t="str">
        <f>'B6 - Scoring - Past Performance'!I12</f>
        <v>NONE</v>
      </c>
    </row>
    <row r="210" spans="3:10" x14ac:dyDescent="0.25">
      <c r="C210" s="158">
        <f>'B6 - Scoring - Past Performance'!B13</f>
        <v>0</v>
      </c>
      <c r="D210" s="158">
        <f>'B6 - Scoring - Past Performance'!C13</f>
        <v>0</v>
      </c>
      <c r="E210" s="158">
        <f>'B6 - Scoring - Past Performance'!D13</f>
        <v>0</v>
      </c>
      <c r="F210" s="158">
        <f>'B6 - Scoring - Past Performance'!E13</f>
        <v>0</v>
      </c>
      <c r="G210" s="158">
        <f>'B6 - Scoring - Past Performance'!F13</f>
        <v>0</v>
      </c>
      <c r="H210" s="158">
        <f>'B6 - Scoring - Past Performance'!G13</f>
        <v>0</v>
      </c>
      <c r="I210" s="158" t="str">
        <f>'B6 - Scoring - Past Performance'!H13</f>
        <v/>
      </c>
      <c r="J210" s="158" t="str">
        <f>'B6 - Scoring - Past Performance'!I13</f>
        <v>NONE</v>
      </c>
    </row>
    <row r="211" spans="3:10" x14ac:dyDescent="0.25">
      <c r="C211" s="158">
        <f>'B6 - Scoring - Past Performance'!B14</f>
        <v>0</v>
      </c>
      <c r="D211" s="158">
        <f>'B6 - Scoring - Past Performance'!C14</f>
        <v>0</v>
      </c>
      <c r="E211" s="158">
        <f>'B6 - Scoring - Past Performance'!D14</f>
        <v>0</v>
      </c>
      <c r="F211" s="158">
        <f>'B6 - Scoring - Past Performance'!E14</f>
        <v>0</v>
      </c>
      <c r="G211" s="158">
        <f>'B6 - Scoring - Past Performance'!F14</f>
        <v>0</v>
      </c>
      <c r="H211" s="158">
        <f>'B6 - Scoring - Past Performance'!G14</f>
        <v>0</v>
      </c>
      <c r="I211" s="158" t="str">
        <f>'B6 - Scoring - Past Performance'!H14</f>
        <v/>
      </c>
      <c r="J211" s="158" t="str">
        <f>'B6 - Scoring - Past Performance'!I14</f>
        <v>NONE</v>
      </c>
    </row>
    <row r="212" spans="3:10" x14ac:dyDescent="0.25">
      <c r="C212" s="158"/>
      <c r="D212" s="158"/>
      <c r="E212" s="158"/>
      <c r="F212" s="158"/>
      <c r="G212" s="158"/>
      <c r="H212" s="158"/>
      <c r="I212" s="158">
        <f>'B6 - Scoring - Past Performance'!H15</f>
        <v>0</v>
      </c>
      <c r="J212" s="158"/>
    </row>
    <row r="235" spans="2:13" x14ac:dyDescent="0.25">
      <c r="B235" s="158"/>
      <c r="C235" s="158"/>
      <c r="D235" s="158"/>
      <c r="E235" s="158"/>
      <c r="F235" s="158"/>
      <c r="G235" s="158"/>
      <c r="H235" s="158"/>
      <c r="I235" s="158" t="e">
        <f>'B6 - Scoring - Past Performance'!#REF!</f>
        <v>#REF!</v>
      </c>
      <c r="J235" s="158"/>
      <c r="K235" s="158"/>
      <c r="L235" s="158"/>
      <c r="M235" s="158"/>
    </row>
    <row r="236" spans="2:13" ht="13.8" thickBot="1" x14ac:dyDescent="0.3">
      <c r="B236">
        <f>$D$1</f>
        <v>0</v>
      </c>
      <c r="C236" s="24" t="s">
        <v>128</v>
      </c>
      <c r="D236" s="25" t="s">
        <v>129</v>
      </c>
    </row>
    <row r="237" spans="2:13" ht="13.8" thickTop="1" x14ac:dyDescent="0.25">
      <c r="B237" s="27" t="s">
        <v>131</v>
      </c>
      <c r="C237" s="28"/>
      <c r="D237" s="29" t="s">
        <v>132</v>
      </c>
      <c r="E237" s="27" t="str">
        <f>J112</f>
        <v/>
      </c>
      <c r="F237" s="30" t="str">
        <f>IF(L112=0,"NOT REQUIRED", IF(L112="Man","MANAGERIAL POSITION","NON-MANAGERIAL POSITION"))</f>
        <v>NON-MANAGERIAL POSITION</v>
      </c>
      <c r="G237" s="28"/>
      <c r="H237" s="28"/>
      <c r="I237" s="31"/>
      <c r="J237" s="27"/>
      <c r="K237" s="28"/>
      <c r="L237" s="31" t="s">
        <v>133</v>
      </c>
      <c r="M237" s="28"/>
    </row>
    <row r="238" spans="2:13" x14ac:dyDescent="0.25">
      <c r="E238" s="34"/>
      <c r="F238" s="35"/>
      <c r="G238" s="36"/>
      <c r="I238" s="10"/>
      <c r="J238" s="37"/>
    </row>
    <row r="239" spans="2:13" x14ac:dyDescent="0.25">
      <c r="B239" t="s">
        <v>134</v>
      </c>
      <c r="L239" s="465" t="str">
        <f>$L$39</f>
        <v>X.002-218-2024(NT)&amp;N.004-116-2024(T)</v>
      </c>
      <c r="M239" s="465"/>
    </row>
    <row r="240" spans="2:13" ht="24.75" customHeight="1" x14ac:dyDescent="0.25">
      <c r="B240" s="39" t="s">
        <v>135</v>
      </c>
      <c r="C240" s="40"/>
      <c r="D240" s="41"/>
      <c r="E240" s="427" t="s">
        <v>136</v>
      </c>
      <c r="F240" s="428"/>
      <c r="G240" s="39" t="s">
        <v>137</v>
      </c>
      <c r="H240" s="41"/>
      <c r="I240" s="39" t="s">
        <v>138</v>
      </c>
      <c r="J240" s="41"/>
      <c r="K240" s="42"/>
      <c r="L240" s="465"/>
      <c r="M240" s="465"/>
    </row>
    <row r="241" spans="2:33" ht="18" customHeight="1" x14ac:dyDescent="0.25">
      <c r="B241" s="194"/>
      <c r="C241" s="195"/>
      <c r="D241" s="196"/>
      <c r="E241" s="425"/>
      <c r="F241" s="426"/>
      <c r="G241" s="159" t="str">
        <f>K112</f>
        <v/>
      </c>
      <c r="H241" s="44"/>
      <c r="I241" s="197"/>
      <c r="J241" s="198"/>
      <c r="K241" s="45"/>
      <c r="N241" s="38"/>
      <c r="P241" s="144">
        <v>1</v>
      </c>
      <c r="Q241" s="144">
        <v>1</v>
      </c>
      <c r="R241" s="144">
        <v>1</v>
      </c>
      <c r="S241" s="144" t="str">
        <f>VLOOKUP(P241,'WORKINGS MATRIX'!$H$200:$I$351,2,FALSE)</f>
        <v>Year</v>
      </c>
      <c r="T241" s="144">
        <f>Q241-1</f>
        <v>0</v>
      </c>
      <c r="U241" s="144">
        <f>R241-1</f>
        <v>0</v>
      </c>
      <c r="V241" s="144" t="str">
        <f>IF(S241="year","",S241)</f>
        <v/>
      </c>
      <c r="W241" s="144" t="str">
        <f>IF(T241=0,"",T241)</f>
        <v/>
      </c>
      <c r="X241" s="144" t="str">
        <f>IF(U241=0,"",U241)</f>
        <v/>
      </c>
      <c r="Y241" s="144" t="str">
        <f>IF(V241="","",IF(W241="",(V241&amp;"/"&amp;"1"&amp;"/"&amp;"1"),IF(X241="",(V241&amp;"/"&amp;W241&amp;"/"&amp;"1"),(V241&amp;"/"&amp;W241&amp;"/"&amp;X241))))</f>
        <v/>
      </c>
      <c r="Z241" s="144" t="str">
        <f>IF(Y241="//","",Y241)</f>
        <v/>
      </c>
      <c r="AC241" s="158"/>
      <c r="AD241" s="158"/>
      <c r="AE241" s="158"/>
      <c r="AF241" s="158"/>
      <c r="AG241" s="158"/>
    </row>
    <row r="242" spans="2:33" x14ac:dyDescent="0.25">
      <c r="E242" t="str">
        <f>IF(E241="","",IF(LEN(E241)=13,"","ID NUMBER SHOULD BE 13 DIGITS"))</f>
        <v/>
      </c>
      <c r="N242" s="38"/>
      <c r="P242" s="144"/>
      <c r="Q242" s="144"/>
      <c r="R242" s="144"/>
      <c r="S242" s="144"/>
      <c r="T242" s="144"/>
      <c r="U242" s="144"/>
      <c r="V242" s="144"/>
      <c r="W242" s="144"/>
      <c r="X242" s="144"/>
      <c r="Y242" s="144"/>
      <c r="Z242" s="144"/>
      <c r="AC242" s="158"/>
      <c r="AD242" s="158"/>
      <c r="AE242" s="158"/>
      <c r="AF242" s="158"/>
      <c r="AG242" s="158"/>
    </row>
    <row r="243" spans="2:33" x14ac:dyDescent="0.25">
      <c r="G243" s="170" t="str">
        <f>IF(AG246=0,"","DATES BEYOND TENDER CLOSING DATE - PLEASE CHECK")</f>
        <v/>
      </c>
      <c r="N243" s="38"/>
      <c r="P243" s="144"/>
      <c r="Q243" s="144"/>
      <c r="R243" s="144"/>
      <c r="S243" s="144"/>
      <c r="T243" s="144"/>
      <c r="U243" s="144"/>
      <c r="V243" s="144"/>
      <c r="W243" s="144"/>
      <c r="X243" s="144"/>
      <c r="Y243" s="144"/>
      <c r="Z243" s="144"/>
      <c r="AC243" s="158"/>
      <c r="AD243" s="158"/>
      <c r="AE243" s="158"/>
      <c r="AF243" s="158"/>
      <c r="AG243" s="158"/>
    </row>
    <row r="244" spans="2:33" x14ac:dyDescent="0.25">
      <c r="B244" t="s">
        <v>139</v>
      </c>
      <c r="G244" s="170" t="str">
        <f>IF(AE246=0,"","DATES INCORRECT OR INCOMPLETE - PLEASE CHECK")</f>
        <v/>
      </c>
      <c r="N244" s="38"/>
      <c r="P244" s="144"/>
      <c r="Q244" s="144"/>
      <c r="R244" s="144"/>
      <c r="S244" s="144"/>
      <c r="T244" s="144"/>
      <c r="U244" s="144"/>
      <c r="V244" s="144"/>
      <c r="W244" s="144"/>
      <c r="X244" s="144"/>
      <c r="Y244" s="144"/>
      <c r="Z244" s="144"/>
      <c r="AC244" s="158"/>
      <c r="AD244" s="158"/>
      <c r="AE244" s="158"/>
      <c r="AF244" s="158"/>
      <c r="AG244" s="158"/>
    </row>
    <row r="245" spans="2:33" x14ac:dyDescent="0.25">
      <c r="B245" s="15" t="s">
        <v>140</v>
      </c>
      <c r="N245" s="38"/>
      <c r="P245" s="144"/>
      <c r="Q245" s="144"/>
      <c r="R245" s="144"/>
      <c r="S245" s="144"/>
      <c r="T245" s="144"/>
      <c r="U245" s="144"/>
      <c r="V245" s="144"/>
      <c r="W245" s="144"/>
      <c r="X245" s="144"/>
      <c r="Y245" s="144"/>
      <c r="Z245" s="144"/>
      <c r="AC245" s="158"/>
      <c r="AD245" s="158"/>
      <c r="AE245" s="158"/>
      <c r="AF245" s="158"/>
      <c r="AG245" s="158"/>
    </row>
    <row r="246" spans="2:33" ht="66" x14ac:dyDescent="0.25">
      <c r="B246" s="47" t="s">
        <v>141</v>
      </c>
      <c r="C246" s="48" t="s">
        <v>142</v>
      </c>
      <c r="D246" s="44"/>
      <c r="E246" s="470" t="s">
        <v>143</v>
      </c>
      <c r="F246" s="471"/>
      <c r="G246" s="157" t="s">
        <v>144</v>
      </c>
      <c r="H246" s="157" t="s">
        <v>145</v>
      </c>
      <c r="I246" s="385" t="s">
        <v>146</v>
      </c>
      <c r="J246" s="49" t="s">
        <v>147</v>
      </c>
      <c r="K246" s="50" t="s">
        <v>148</v>
      </c>
      <c r="L246" s="385" t="s">
        <v>149</v>
      </c>
      <c r="M246" s="49" t="s">
        <v>150</v>
      </c>
      <c r="N246" s="51"/>
      <c r="O246" s="386"/>
      <c r="P246" s="147"/>
      <c r="Q246" s="144"/>
      <c r="R246" s="144"/>
      <c r="S246" s="145"/>
      <c r="T246" s="145"/>
      <c r="U246" s="145"/>
      <c r="V246" s="145"/>
      <c r="W246" s="145"/>
      <c r="X246" s="145"/>
      <c r="Y246" s="145"/>
      <c r="Z246" s="145"/>
      <c r="AC246" s="165"/>
      <c r="AD246" s="165"/>
      <c r="AE246" s="165">
        <f>SUM(AE247:AE251)</f>
        <v>0</v>
      </c>
      <c r="AF246" s="165"/>
      <c r="AG246" s="165">
        <f>SUM(AG247:AG251)</f>
        <v>0</v>
      </c>
    </row>
    <row r="247" spans="2:33" ht="25.5" customHeight="1" x14ac:dyDescent="0.25">
      <c r="B247" s="200"/>
      <c r="C247" s="53">
        <v>8</v>
      </c>
      <c r="D247" s="54"/>
      <c r="E247" s="55"/>
      <c r="F247" s="55">
        <v>1</v>
      </c>
      <c r="G247" s="143" t="str">
        <f>Z247</f>
        <v/>
      </c>
      <c r="H247" s="143" t="str">
        <f>Z252</f>
        <v/>
      </c>
      <c r="I247" s="202"/>
      <c r="J247" s="203"/>
      <c r="K247" s="56">
        <v>23</v>
      </c>
      <c r="L247" s="204"/>
      <c r="M247" s="205"/>
      <c r="N247" s="164">
        <f>IF(G247="",0,IF(H247="",0,(ROUND(((H247-G247)/30),0))))</f>
        <v>0</v>
      </c>
      <c r="O247" s="21"/>
      <c r="P247" s="148">
        <v>1</v>
      </c>
      <c r="Q247" s="144">
        <v>1</v>
      </c>
      <c r="R247" s="144">
        <v>1</v>
      </c>
      <c r="S247" s="144" t="str">
        <f>VLOOKUP(P247,'WORKINGS MATRIX'!$B$200:$C$351,2,FALSE)</f>
        <v>Year</v>
      </c>
      <c r="T247" s="144">
        <f t="shared" ref="T247:U251" si="18">Q247-1</f>
        <v>0</v>
      </c>
      <c r="U247" s="144">
        <f t="shared" si="18"/>
        <v>0</v>
      </c>
      <c r="V247" s="144" t="str">
        <f t="shared" ref="V247:V256" si="19">IF(S247="year","",S247)</f>
        <v/>
      </c>
      <c r="W247" s="144" t="str">
        <f t="shared" ref="W247:X251" si="20">IF(T247=0,"",T247)</f>
        <v/>
      </c>
      <c r="X247" s="144" t="str">
        <f t="shared" si="20"/>
        <v/>
      </c>
      <c r="Y247" s="144" t="str">
        <f t="shared" ref="Y247:Y256" si="21">IF(V247="","",IF(W247="",(V247&amp;"/"&amp;"1"&amp;"/"&amp;"1"),IF(X247="",(V247&amp;"/"&amp;W247&amp;"/"&amp;"1"),(V247&amp;"/"&amp;W247&amp;"/"&amp;X247))))</f>
        <v/>
      </c>
      <c r="Z247" s="144" t="str">
        <f t="shared" ref="Z247:Z256" si="22">IF(Y247="//","",Y247)</f>
        <v/>
      </c>
      <c r="AC247" s="172">
        <f>IF(B247="",0,1)</f>
        <v>0</v>
      </c>
      <c r="AD247" s="172">
        <f>IF(B247="",0,IF(N247&gt;0,1,IF(N247&lt;0,2,0)))</f>
        <v>0</v>
      </c>
      <c r="AE247" s="172">
        <f>IF(AC247=AD247,0,IF(AC247&gt;AD247,2,1))</f>
        <v>0</v>
      </c>
      <c r="AF247" s="172">
        <f>IF(B247="",0,IF(N247=0,0,H247-$F$125))</f>
        <v>0</v>
      </c>
      <c r="AG247" s="172">
        <f>IF(AF247&gt;0,1,0)</f>
        <v>0</v>
      </c>
    </row>
    <row r="248" spans="2:33" ht="25.5" customHeight="1" x14ac:dyDescent="0.25">
      <c r="B248" s="200"/>
      <c r="C248" s="53">
        <v>8</v>
      </c>
      <c r="D248" s="54"/>
      <c r="E248" s="55"/>
      <c r="F248" s="55">
        <v>1</v>
      </c>
      <c r="G248" s="143" t="str">
        <f>Z248</f>
        <v/>
      </c>
      <c r="H248" s="143" t="str">
        <f>Z253</f>
        <v/>
      </c>
      <c r="I248" s="202"/>
      <c r="J248" s="203"/>
      <c r="K248" s="56">
        <v>23</v>
      </c>
      <c r="L248" s="204"/>
      <c r="M248" s="205"/>
      <c r="N248" s="164">
        <f>IF(G248="",0,IF(H248="",0,(ROUND(((H248-G248)/30),0))))</f>
        <v>0</v>
      </c>
      <c r="O248" s="21"/>
      <c r="P248" s="148">
        <v>1</v>
      </c>
      <c r="Q248" s="144">
        <v>1</v>
      </c>
      <c r="R248" s="144">
        <v>1</v>
      </c>
      <c r="S248" s="144" t="str">
        <f>VLOOKUP(P248,'WORKINGS MATRIX'!$B$200:$C$351,2,FALSE)</f>
        <v>Year</v>
      </c>
      <c r="T248" s="144">
        <f t="shared" si="18"/>
        <v>0</v>
      </c>
      <c r="U248" s="144">
        <f t="shared" si="18"/>
        <v>0</v>
      </c>
      <c r="V248" s="144" t="str">
        <f t="shared" si="19"/>
        <v/>
      </c>
      <c r="W248" s="144" t="str">
        <f t="shared" si="20"/>
        <v/>
      </c>
      <c r="X248" s="144" t="str">
        <f t="shared" si="20"/>
        <v/>
      </c>
      <c r="Y248" s="144" t="str">
        <f t="shared" si="21"/>
        <v/>
      </c>
      <c r="Z248" s="144" t="str">
        <f t="shared" si="22"/>
        <v/>
      </c>
      <c r="AC248" s="172">
        <f>IF(B248="",0,1)</f>
        <v>0</v>
      </c>
      <c r="AD248" s="172">
        <f>IF(B248="",0,IF(N248&gt;0,1,IF(N248&lt;0,2,0)))</f>
        <v>0</v>
      </c>
      <c r="AE248" s="172">
        <f>IF(AC248=AD248,0,IF(AC248&gt;AD248,2,1))</f>
        <v>0</v>
      </c>
      <c r="AF248" s="172">
        <f>IF(B248="",0,IF(N248=0,0,H248-$F$125))</f>
        <v>0</v>
      </c>
      <c r="AG248" s="172">
        <f>IF(AF248&gt;0,1,0)</f>
        <v>0</v>
      </c>
    </row>
    <row r="249" spans="2:33" ht="25.5" customHeight="1" x14ac:dyDescent="0.25">
      <c r="B249" s="200"/>
      <c r="C249" s="53">
        <v>8</v>
      </c>
      <c r="D249" s="54"/>
      <c r="E249" s="55"/>
      <c r="F249" s="55">
        <v>1</v>
      </c>
      <c r="G249" s="143" t="str">
        <f>Z249</f>
        <v/>
      </c>
      <c r="H249" s="143" t="str">
        <f>Z254</f>
        <v/>
      </c>
      <c r="I249" s="202"/>
      <c r="J249" s="203"/>
      <c r="K249" s="56">
        <v>23</v>
      </c>
      <c r="L249" s="204"/>
      <c r="M249" s="205"/>
      <c r="N249" s="164">
        <f>IF(G249="",0,IF(H249="",0,(ROUND(((H249-G249)/30),0))))</f>
        <v>0</v>
      </c>
      <c r="O249" s="21"/>
      <c r="P249" s="148">
        <v>1</v>
      </c>
      <c r="Q249" s="144">
        <v>1</v>
      </c>
      <c r="R249" s="144">
        <v>1</v>
      </c>
      <c r="S249" s="144" t="str">
        <f>VLOOKUP(P249,'WORKINGS MATRIX'!$B$200:$C$351,2,FALSE)</f>
        <v>Year</v>
      </c>
      <c r="T249" s="144">
        <f t="shared" si="18"/>
        <v>0</v>
      </c>
      <c r="U249" s="144">
        <f t="shared" si="18"/>
        <v>0</v>
      </c>
      <c r="V249" s="144" t="str">
        <f t="shared" si="19"/>
        <v/>
      </c>
      <c r="W249" s="144" t="str">
        <f t="shared" si="20"/>
        <v/>
      </c>
      <c r="X249" s="144" t="str">
        <f t="shared" si="20"/>
        <v/>
      </c>
      <c r="Y249" s="144" t="str">
        <f t="shared" si="21"/>
        <v/>
      </c>
      <c r="Z249" s="144" t="str">
        <f t="shared" si="22"/>
        <v/>
      </c>
      <c r="AC249" s="172">
        <f>IF(B249="",0,1)</f>
        <v>0</v>
      </c>
      <c r="AD249" s="172">
        <f>IF(B249="",0,IF(N249&gt;0,1,IF(N249&lt;0,2,0)))</f>
        <v>0</v>
      </c>
      <c r="AE249" s="172">
        <f>IF(AC249=AD249,0,IF(AC249&gt;AD249,2,1))</f>
        <v>0</v>
      </c>
      <c r="AF249" s="172">
        <f>IF(B249="",0,IF(N249=0,0,H249-$F$125))</f>
        <v>0</v>
      </c>
      <c r="AG249" s="172">
        <f>IF(AF249&gt;0,1,0)</f>
        <v>0</v>
      </c>
    </row>
    <row r="250" spans="2:33" ht="25.5" customHeight="1" x14ac:dyDescent="0.25">
      <c r="B250" s="258"/>
      <c r="C250" s="258"/>
      <c r="D250" s="258"/>
      <c r="E250" s="258"/>
      <c r="F250" s="258"/>
      <c r="G250" s="258"/>
      <c r="H250" s="258"/>
      <c r="I250" s="258"/>
      <c r="J250" s="258"/>
      <c r="K250" s="258"/>
      <c r="L250" s="258"/>
      <c r="M250" s="258"/>
      <c r="N250" s="164">
        <f>IF(G250="",0,IF(H250="",0,(ROUND(((H250-G250)/30),0))))</f>
        <v>0</v>
      </c>
      <c r="O250" s="21"/>
      <c r="P250" s="148">
        <v>1</v>
      </c>
      <c r="Q250" s="144">
        <v>1</v>
      </c>
      <c r="R250" s="144">
        <v>1</v>
      </c>
      <c r="S250" s="144" t="str">
        <f>VLOOKUP(P250,'WORKINGS MATRIX'!$B$200:$C$351,2,FALSE)</f>
        <v>Year</v>
      </c>
      <c r="T250" s="144">
        <f t="shared" si="18"/>
        <v>0</v>
      </c>
      <c r="U250" s="144">
        <f t="shared" si="18"/>
        <v>0</v>
      </c>
      <c r="V250" s="144" t="str">
        <f t="shared" si="19"/>
        <v/>
      </c>
      <c r="W250" s="144" t="str">
        <f t="shared" si="20"/>
        <v/>
      </c>
      <c r="X250" s="144" t="str">
        <f t="shared" si="20"/>
        <v/>
      </c>
      <c r="Y250" s="144" t="str">
        <f t="shared" si="21"/>
        <v/>
      </c>
      <c r="Z250" s="144" t="str">
        <f t="shared" si="22"/>
        <v/>
      </c>
      <c r="AC250" s="172">
        <f>IF(B250="",0,1)</f>
        <v>0</v>
      </c>
      <c r="AD250" s="172">
        <f>IF(B250="",0,IF(N250&gt;0,1,IF(N250&lt;0,2,0)))</f>
        <v>0</v>
      </c>
      <c r="AE250" s="172">
        <f>IF(AC250=AD250,0,IF(AC250&gt;AD250,2,1))</f>
        <v>0</v>
      </c>
      <c r="AF250" s="172">
        <f>IF(B250="",0,IF(N250=0,0,H250-$F$125))</f>
        <v>0</v>
      </c>
      <c r="AG250" s="172">
        <f>IF(AF250&gt;0,1,0)</f>
        <v>0</v>
      </c>
    </row>
    <row r="251" spans="2:33" ht="25.5" customHeight="1" x14ac:dyDescent="0.25">
      <c r="B251" s="213"/>
      <c r="C251" s="213"/>
      <c r="D251" s="213"/>
      <c r="E251" s="213"/>
      <c r="F251" s="213"/>
      <c r="G251" s="213"/>
      <c r="H251" s="213"/>
      <c r="I251" s="213"/>
      <c r="J251" s="213"/>
      <c r="K251" s="213"/>
      <c r="L251" s="213"/>
      <c r="M251" s="213"/>
      <c r="N251" s="164">
        <f>IF(G251="",0,IF(H251="",0,(ROUND(((H251-G251)/30),0))))</f>
        <v>0</v>
      </c>
      <c r="O251" s="21"/>
      <c r="P251" s="148">
        <v>1</v>
      </c>
      <c r="Q251" s="144">
        <v>1</v>
      </c>
      <c r="R251" s="144">
        <v>1</v>
      </c>
      <c r="S251" s="144" t="str">
        <f>VLOOKUP(P251,'WORKINGS MATRIX'!$B$200:$C$351,2,FALSE)</f>
        <v>Year</v>
      </c>
      <c r="T251" s="144">
        <f t="shared" si="18"/>
        <v>0</v>
      </c>
      <c r="U251" s="144">
        <f t="shared" si="18"/>
        <v>0</v>
      </c>
      <c r="V251" s="144" t="str">
        <f t="shared" si="19"/>
        <v/>
      </c>
      <c r="W251" s="144" t="str">
        <f t="shared" si="20"/>
        <v/>
      </c>
      <c r="X251" s="144" t="str">
        <f t="shared" si="20"/>
        <v/>
      </c>
      <c r="Y251" s="144" t="str">
        <f t="shared" si="21"/>
        <v/>
      </c>
      <c r="Z251" s="144" t="str">
        <f t="shared" si="22"/>
        <v/>
      </c>
      <c r="AC251" s="172">
        <f>IF(B251="",0,1)</f>
        <v>0</v>
      </c>
      <c r="AD251" s="172">
        <f>IF(B251="",0,IF(N251&gt;0,1,IF(N251&lt;0,2,0)))</f>
        <v>0</v>
      </c>
      <c r="AE251" s="172">
        <f>IF(AC251=AD251,0,IF(AC251&gt;AD251,2,1))</f>
        <v>0</v>
      </c>
      <c r="AF251" s="172">
        <f>IF(B251="",0,IF(N251=0,0,H251-$F$125))</f>
        <v>0</v>
      </c>
      <c r="AG251" s="172">
        <f>IF(AF251&gt;0,1,0)</f>
        <v>0</v>
      </c>
    </row>
    <row r="252" spans="2:33" x14ac:dyDescent="0.25">
      <c r="D252" s="57"/>
      <c r="H252" s="58"/>
      <c r="K252" s="21"/>
      <c r="N252" s="38"/>
      <c r="O252" s="58"/>
      <c r="P252" s="134">
        <v>1</v>
      </c>
      <c r="Q252" s="144">
        <v>1</v>
      </c>
      <c r="R252" s="144">
        <v>1</v>
      </c>
      <c r="S252" s="144" t="str">
        <f>VLOOKUP(P252,'WORKINGS MATRIX'!$B$200:$C$351,2,FALSE)</f>
        <v>Year</v>
      </c>
      <c r="T252" s="144">
        <f t="shared" ref="T252:U256" si="23">Q252-1</f>
        <v>0</v>
      </c>
      <c r="U252" s="144">
        <f t="shared" si="23"/>
        <v>0</v>
      </c>
      <c r="V252" s="144" t="str">
        <f t="shared" si="19"/>
        <v/>
      </c>
      <c r="W252" s="144" t="str">
        <f t="shared" ref="W252:X256" si="24">IF(T252=0,"",T252)</f>
        <v/>
      </c>
      <c r="X252" s="144" t="str">
        <f t="shared" si="24"/>
        <v/>
      </c>
      <c r="Y252" s="144" t="str">
        <f t="shared" si="21"/>
        <v/>
      </c>
      <c r="Z252" s="144" t="str">
        <f t="shared" si="22"/>
        <v/>
      </c>
      <c r="AC252" s="158"/>
      <c r="AD252" s="158"/>
      <c r="AE252" s="158"/>
      <c r="AF252" s="158"/>
      <c r="AG252" s="158"/>
    </row>
    <row r="253" spans="2:33" ht="12.75" customHeight="1" x14ac:dyDescent="0.25">
      <c r="B253" t="s">
        <v>152</v>
      </c>
      <c r="D253" s="57"/>
      <c r="H253" s="58"/>
      <c r="K253" s="21"/>
      <c r="N253" s="38"/>
      <c r="O253" s="58"/>
      <c r="P253" s="144">
        <v>1</v>
      </c>
      <c r="Q253" s="144">
        <v>1</v>
      </c>
      <c r="R253" s="144">
        <v>1</v>
      </c>
      <c r="S253" s="144" t="str">
        <f>VLOOKUP(P253,'WORKINGS MATRIX'!$B$200:$C$351,2,FALSE)</f>
        <v>Year</v>
      </c>
      <c r="T253" s="144">
        <f t="shared" si="23"/>
        <v>0</v>
      </c>
      <c r="U253" s="144">
        <f t="shared" si="23"/>
        <v>0</v>
      </c>
      <c r="V253" s="144" t="str">
        <f t="shared" si="19"/>
        <v/>
      </c>
      <c r="W253" s="144" t="str">
        <f t="shared" si="24"/>
        <v/>
      </c>
      <c r="X253" s="144" t="str">
        <f t="shared" si="24"/>
        <v/>
      </c>
      <c r="Y253" s="144" t="str">
        <f t="shared" si="21"/>
        <v/>
      </c>
      <c r="Z253" s="144" t="str">
        <f t="shared" si="22"/>
        <v/>
      </c>
      <c r="AC253" s="158"/>
      <c r="AD253" s="158"/>
      <c r="AE253" s="158"/>
      <c r="AF253" s="158"/>
      <c r="AG253" s="158"/>
    </row>
    <row r="254" spans="2:33" x14ac:dyDescent="0.25">
      <c r="B254" s="429"/>
      <c r="C254" s="430"/>
      <c r="D254" s="430"/>
      <c r="E254" s="430"/>
      <c r="F254" s="430"/>
      <c r="G254" s="430"/>
      <c r="H254" s="430"/>
      <c r="I254" s="430"/>
      <c r="J254" s="430"/>
      <c r="K254" s="430"/>
      <c r="L254" s="430"/>
      <c r="M254" s="431"/>
      <c r="N254" s="38"/>
      <c r="O254" s="58"/>
      <c r="P254" s="144">
        <v>1</v>
      </c>
      <c r="Q254" s="144">
        <v>1</v>
      </c>
      <c r="R254" s="144">
        <v>1</v>
      </c>
      <c r="S254" s="144" t="str">
        <f>VLOOKUP(P254,'WORKINGS MATRIX'!$B$200:$C$351,2,FALSE)</f>
        <v>Year</v>
      </c>
      <c r="T254" s="144">
        <f t="shared" si="23"/>
        <v>0</v>
      </c>
      <c r="U254" s="144">
        <f t="shared" si="23"/>
        <v>0</v>
      </c>
      <c r="V254" s="144" t="str">
        <f t="shared" si="19"/>
        <v/>
      </c>
      <c r="W254" s="144" t="str">
        <f t="shared" si="24"/>
        <v/>
      </c>
      <c r="X254" s="144" t="str">
        <f t="shared" si="24"/>
        <v/>
      </c>
      <c r="Y254" s="144" t="str">
        <f t="shared" si="21"/>
        <v/>
      </c>
      <c r="Z254" s="144" t="str">
        <f t="shared" si="22"/>
        <v/>
      </c>
      <c r="AC254" s="158"/>
      <c r="AD254" s="158"/>
      <c r="AE254" s="158"/>
      <c r="AF254" s="158"/>
      <c r="AG254" s="158"/>
    </row>
    <row r="255" spans="2:33" x14ac:dyDescent="0.25">
      <c r="B255" s="432"/>
      <c r="C255" s="433"/>
      <c r="D255" s="433"/>
      <c r="E255" s="433"/>
      <c r="F255" s="433"/>
      <c r="G255" s="433"/>
      <c r="H255" s="433"/>
      <c r="I255" s="433"/>
      <c r="J255" s="433"/>
      <c r="K255" s="433"/>
      <c r="L255" s="433"/>
      <c r="M255" s="434"/>
      <c r="N255" s="38"/>
      <c r="O255" s="58"/>
      <c r="P255" s="144">
        <v>1</v>
      </c>
      <c r="Q255" s="144">
        <v>1</v>
      </c>
      <c r="R255" s="144">
        <v>1</v>
      </c>
      <c r="S255" s="144" t="str">
        <f>VLOOKUP(P255,'WORKINGS MATRIX'!$B$200:$C$351,2,FALSE)</f>
        <v>Year</v>
      </c>
      <c r="T255" s="144">
        <f t="shared" si="23"/>
        <v>0</v>
      </c>
      <c r="U255" s="144">
        <f t="shared" si="23"/>
        <v>0</v>
      </c>
      <c r="V255" s="144" t="str">
        <f t="shared" si="19"/>
        <v/>
      </c>
      <c r="W255" s="144" t="str">
        <f t="shared" si="24"/>
        <v/>
      </c>
      <c r="X255" s="144" t="str">
        <f t="shared" si="24"/>
        <v/>
      </c>
      <c r="Y255" s="144" t="str">
        <f t="shared" si="21"/>
        <v/>
      </c>
      <c r="Z255" s="144" t="str">
        <f t="shared" si="22"/>
        <v/>
      </c>
      <c r="AC255" s="158"/>
      <c r="AD255" s="158"/>
      <c r="AE255" s="158"/>
      <c r="AF255" s="158"/>
      <c r="AG255" s="158"/>
    </row>
    <row r="256" spans="2:33" x14ac:dyDescent="0.25">
      <c r="B256" s="432"/>
      <c r="C256" s="433"/>
      <c r="D256" s="433"/>
      <c r="E256" s="433"/>
      <c r="F256" s="433"/>
      <c r="G256" s="433"/>
      <c r="H256" s="433"/>
      <c r="I256" s="433"/>
      <c r="J256" s="433"/>
      <c r="K256" s="433"/>
      <c r="L256" s="433"/>
      <c r="M256" s="434"/>
      <c r="N256" s="38"/>
      <c r="O256" s="58"/>
      <c r="P256" s="144">
        <v>1</v>
      </c>
      <c r="Q256" s="144">
        <v>1</v>
      </c>
      <c r="R256" s="144">
        <v>1</v>
      </c>
      <c r="S256" s="144" t="str">
        <f>VLOOKUP(P256,'WORKINGS MATRIX'!$B$200:$C$351,2,FALSE)</f>
        <v>Year</v>
      </c>
      <c r="T256" s="144">
        <f t="shared" si="23"/>
        <v>0</v>
      </c>
      <c r="U256" s="144">
        <f t="shared" si="23"/>
        <v>0</v>
      </c>
      <c r="V256" s="144" t="str">
        <f t="shared" si="19"/>
        <v/>
      </c>
      <c r="W256" s="144" t="str">
        <f t="shared" si="24"/>
        <v/>
      </c>
      <c r="X256" s="144" t="str">
        <f t="shared" si="24"/>
        <v/>
      </c>
      <c r="Y256" s="144" t="str">
        <f t="shared" si="21"/>
        <v/>
      </c>
      <c r="Z256" s="144" t="str">
        <f t="shared" si="22"/>
        <v/>
      </c>
      <c r="AC256" s="158"/>
      <c r="AD256" s="158"/>
      <c r="AE256" s="158"/>
      <c r="AF256" s="158"/>
      <c r="AG256" s="158"/>
    </row>
    <row r="257" spans="2:13" x14ac:dyDescent="0.25">
      <c r="B257" s="435"/>
      <c r="C257" s="436"/>
      <c r="D257" s="436"/>
      <c r="E257" s="436"/>
      <c r="F257" s="436"/>
      <c r="G257" s="436"/>
      <c r="H257" s="436"/>
      <c r="I257" s="436"/>
      <c r="J257" s="436"/>
      <c r="K257" s="436"/>
      <c r="L257" s="436"/>
      <c r="M257" s="437"/>
    </row>
    <row r="258" spans="2:13" x14ac:dyDescent="0.25">
      <c r="B258" s="15" t="s">
        <v>153</v>
      </c>
      <c r="D258" s="57"/>
      <c r="H258" s="58"/>
      <c r="K258" s="21"/>
    </row>
    <row r="259" spans="2:13" x14ac:dyDescent="0.25">
      <c r="B259" s="15" t="s">
        <v>154</v>
      </c>
      <c r="D259" s="57"/>
      <c r="H259" s="58"/>
      <c r="K259" s="21"/>
    </row>
    <row r="260" spans="2:13" x14ac:dyDescent="0.25">
      <c r="D260" s="57"/>
      <c r="H260" s="58"/>
      <c r="K260" s="21"/>
    </row>
    <row r="261" spans="2:13" x14ac:dyDescent="0.25">
      <c r="D261" s="57"/>
      <c r="E261" s="149"/>
      <c r="F261" s="149"/>
      <c r="G261" s="149"/>
      <c r="H261" s="149"/>
      <c r="I261" s="149"/>
      <c r="K261" s="21"/>
    </row>
    <row r="262" spans="2:13" x14ac:dyDescent="0.25">
      <c r="D262" s="57"/>
      <c r="E262" s="149"/>
      <c r="F262" s="149"/>
      <c r="G262" s="149"/>
      <c r="H262" s="149"/>
      <c r="I262" s="149"/>
      <c r="K262" s="438" t="s">
        <v>155</v>
      </c>
      <c r="L262" s="438"/>
      <c r="M262" s="438"/>
    </row>
    <row r="263" spans="2:13" x14ac:dyDescent="0.25">
      <c r="D263" s="57"/>
      <c r="H263" s="58"/>
      <c r="K263" s="438"/>
      <c r="L263" s="438"/>
      <c r="M263" s="438"/>
    </row>
    <row r="264" spans="2:13" x14ac:dyDescent="0.25">
      <c r="D264" s="57"/>
      <c r="E264" s="149"/>
      <c r="F264" s="149"/>
      <c r="G264" s="149"/>
      <c r="H264" s="149"/>
      <c r="I264" s="149"/>
      <c r="K264" s="438"/>
      <c r="L264" s="438"/>
      <c r="M264" s="438"/>
    </row>
    <row r="265" spans="2:13" x14ac:dyDescent="0.25">
      <c r="D265" s="57"/>
      <c r="E265" s="149"/>
      <c r="F265" s="149"/>
      <c r="G265" s="149"/>
      <c r="H265" s="149"/>
      <c r="I265" s="149"/>
      <c r="K265" s="438"/>
      <c r="L265" s="438"/>
      <c r="M265" s="438"/>
    </row>
    <row r="266" spans="2:13" ht="13.8" thickBot="1" x14ac:dyDescent="0.3">
      <c r="B266" s="60"/>
      <c r="C266" s="60"/>
      <c r="D266" s="61"/>
      <c r="E266" s="60"/>
      <c r="F266" s="60"/>
      <c r="G266" s="60"/>
      <c r="H266" s="62"/>
      <c r="I266" s="60"/>
      <c r="J266" s="60"/>
      <c r="K266" s="63"/>
      <c r="L266" s="60"/>
      <c r="M266" s="60"/>
    </row>
    <row r="267" spans="2:13" ht="14.4" thickTop="1" thickBot="1" x14ac:dyDescent="0.3">
      <c r="D267" s="57"/>
      <c r="H267" s="58"/>
      <c r="K267" s="21"/>
    </row>
    <row r="268" spans="2:13" ht="13.8" thickTop="1" x14ac:dyDescent="0.25">
      <c r="B268" s="27" t="s">
        <v>156</v>
      </c>
      <c r="C268" s="29"/>
      <c r="D268" s="28"/>
      <c r="E268" s="65"/>
      <c r="F268" s="65"/>
      <c r="G268" s="65"/>
      <c r="H268" s="28"/>
      <c r="I268" s="28"/>
      <c r="J268" s="28"/>
      <c r="K268" s="28"/>
      <c r="L268" s="31" t="s">
        <v>157</v>
      </c>
      <c r="M268" s="28"/>
    </row>
    <row r="269" spans="2:13" x14ac:dyDescent="0.25">
      <c r="E269" s="134">
        <v>5</v>
      </c>
      <c r="F269" s="12"/>
    </row>
    <row r="270" spans="2:13" x14ac:dyDescent="0.25">
      <c r="B270" t="s">
        <v>134</v>
      </c>
      <c r="L270" s="465" t="str">
        <f>$L$39</f>
        <v>X.002-218-2024(NT)&amp;N.004-116-2024(T)</v>
      </c>
      <c r="M270" s="465"/>
    </row>
    <row r="271" spans="2:13" x14ac:dyDescent="0.25">
      <c r="B271" s="39" t="s">
        <v>135</v>
      </c>
      <c r="C271" s="40"/>
      <c r="D271" s="41"/>
      <c r="E271" s="448" t="s">
        <v>158</v>
      </c>
      <c r="F271" s="449"/>
      <c r="G271" s="466" t="s">
        <v>159</v>
      </c>
      <c r="H271" s="449"/>
      <c r="L271" s="465"/>
      <c r="M271" s="465"/>
    </row>
    <row r="272" spans="2:13" ht="18" customHeight="1" x14ac:dyDescent="0.25">
      <c r="B272" s="66">
        <f>B241</f>
        <v>0</v>
      </c>
      <c r="C272" s="67"/>
      <c r="D272" s="68"/>
      <c r="E272" s="441" t="str">
        <f>G241</f>
        <v/>
      </c>
      <c r="F272" s="441"/>
      <c r="G272" s="42"/>
      <c r="H272" s="12">
        <v>1</v>
      </c>
    </row>
    <row r="274" spans="2:26" x14ac:dyDescent="0.25">
      <c r="B274" t="s">
        <v>161</v>
      </c>
      <c r="N274" s="38"/>
      <c r="P274" s="144"/>
      <c r="Q274" s="144"/>
      <c r="R274" s="144"/>
      <c r="S274" s="144"/>
      <c r="T274" s="144"/>
      <c r="U274" s="144"/>
      <c r="V274" s="144"/>
      <c r="W274" s="144"/>
      <c r="X274" s="144"/>
      <c r="Y274" s="144"/>
      <c r="Z274" s="144"/>
    </row>
    <row r="275" spans="2:26" ht="18" customHeight="1" x14ac:dyDescent="0.25">
      <c r="B275" s="468" t="s">
        <v>162</v>
      </c>
      <c r="C275" s="468"/>
      <c r="D275" s="469" t="s">
        <v>163</v>
      </c>
      <c r="E275" s="469"/>
      <c r="F275" s="461" t="s">
        <v>164</v>
      </c>
      <c r="G275" s="462"/>
      <c r="H275" s="467" t="s">
        <v>165</v>
      </c>
      <c r="I275" s="462"/>
      <c r="J275" s="467" t="s">
        <v>165</v>
      </c>
      <c r="K275" s="462"/>
      <c r="L275" s="125" t="s">
        <v>166</v>
      </c>
      <c r="M275" s="125" t="s">
        <v>167</v>
      </c>
      <c r="N275" s="38"/>
      <c r="P275" s="144">
        <v>1</v>
      </c>
      <c r="Q275" s="144">
        <v>1</v>
      </c>
      <c r="R275" s="144">
        <v>1</v>
      </c>
      <c r="S275" s="144" t="str">
        <f>VLOOKUP(P275,'WORKINGS MATRIX'!$B$200:$C$351,2,FALSE)</f>
        <v>Year</v>
      </c>
      <c r="T275" s="144">
        <f t="shared" ref="T275:U279" si="25">Q275-1</f>
        <v>0</v>
      </c>
      <c r="U275" s="144">
        <f t="shared" si="25"/>
        <v>0</v>
      </c>
      <c r="V275" s="144" t="str">
        <f>IF(S275="year","",S275)</f>
        <v/>
      </c>
      <c r="W275" s="144" t="str">
        <f t="shared" ref="W275:X279" si="26">IF(T275=0,"",T275)</f>
        <v/>
      </c>
      <c r="X275" s="144" t="str">
        <f t="shared" si="26"/>
        <v/>
      </c>
      <c r="Y275" s="144" t="str">
        <f>IF(V275="","",IF(W275="",(V275&amp;"/"&amp;"12"&amp;"/"&amp;"1"),IF(X275="",(V275&amp;"/"&amp;W275&amp;"/"&amp;"1"),(V275&amp;"/"&amp;W275&amp;"/"&amp;X275))))</f>
        <v/>
      </c>
      <c r="Z275" s="144" t="str">
        <f>IF(Y275="//","",Y275)</f>
        <v/>
      </c>
    </row>
    <row r="276" spans="2:26" s="10" customFormat="1" ht="18" customHeight="1" x14ac:dyDescent="0.25">
      <c r="B276" s="441" t="s">
        <v>168</v>
      </c>
      <c r="C276" s="441"/>
      <c r="D276" s="439">
        <v>10</v>
      </c>
      <c r="E276" s="440"/>
      <c r="F276" s="442"/>
      <c r="G276" s="443"/>
      <c r="H276" s="463">
        <v>1</v>
      </c>
      <c r="I276" s="464"/>
      <c r="J276" s="450"/>
      <c r="K276" s="443"/>
      <c r="L276" s="206"/>
      <c r="M276" s="143" t="str">
        <f>Z275</f>
        <v/>
      </c>
      <c r="N276" s="126"/>
      <c r="P276" s="146">
        <v>1</v>
      </c>
      <c r="Q276" s="146">
        <v>1</v>
      </c>
      <c r="R276" s="146">
        <v>1</v>
      </c>
      <c r="S276" s="144" t="str">
        <f>VLOOKUP(P276,'WORKINGS MATRIX'!$B$200:$C$351,2,FALSE)</f>
        <v>Year</v>
      </c>
      <c r="T276" s="144">
        <f t="shared" si="25"/>
        <v>0</v>
      </c>
      <c r="U276" s="144">
        <f t="shared" si="25"/>
        <v>0</v>
      </c>
      <c r="V276" s="144" t="str">
        <f>IF(S276="year","",S276)</f>
        <v/>
      </c>
      <c r="W276" s="144" t="str">
        <f t="shared" si="26"/>
        <v/>
      </c>
      <c r="X276" s="144" t="str">
        <f t="shared" si="26"/>
        <v/>
      </c>
      <c r="Y276" s="144" t="str">
        <f>IF(V276="","",IF(W276="",(V276&amp;"/"&amp;"12"&amp;"/"&amp;"1"),IF(X276="",(V276&amp;"/"&amp;W276&amp;"/"&amp;"1"),(V276&amp;"/"&amp;W276&amp;"/"&amp;X276))))</f>
        <v/>
      </c>
      <c r="Z276" s="144" t="str">
        <f>IF(Y276="//","",Y276)</f>
        <v/>
      </c>
    </row>
    <row r="277" spans="2:26" s="10" customFormat="1" ht="18" customHeight="1" x14ac:dyDescent="0.25">
      <c r="B277" s="441" t="s">
        <v>169</v>
      </c>
      <c r="C277" s="441"/>
      <c r="D277" s="442"/>
      <c r="E277" s="443"/>
      <c r="F277" s="442"/>
      <c r="G277" s="443"/>
      <c r="H277" s="451" t="s">
        <v>170</v>
      </c>
      <c r="I277" s="452"/>
      <c r="J277" s="451" t="s">
        <v>171</v>
      </c>
      <c r="K277" s="452"/>
      <c r="L277" s="125" t="s">
        <v>166</v>
      </c>
      <c r="M277" s="125" t="s">
        <v>167</v>
      </c>
      <c r="N277" s="126"/>
      <c r="P277" s="146">
        <v>1</v>
      </c>
      <c r="Q277" s="146">
        <v>1</v>
      </c>
      <c r="R277" s="146">
        <v>1</v>
      </c>
      <c r="S277" s="144" t="str">
        <f>VLOOKUP(P277,'WORKINGS MATRIX'!$B$200:$C$351,2,FALSE)</f>
        <v>Year</v>
      </c>
      <c r="T277" s="144">
        <f t="shared" si="25"/>
        <v>0</v>
      </c>
      <c r="U277" s="144">
        <f t="shared" si="25"/>
        <v>0</v>
      </c>
      <c r="V277" s="144" t="str">
        <f>IF(S277="year","",S277)</f>
        <v/>
      </c>
      <c r="W277" s="144" t="str">
        <f t="shared" si="26"/>
        <v/>
      </c>
      <c r="X277" s="144" t="str">
        <f t="shared" si="26"/>
        <v/>
      </c>
      <c r="Y277" s="144" t="str">
        <f>IF(V277="","",IF(W277="",(V277&amp;"/"&amp;"1"&amp;"/"&amp;"1"),IF(X277="",(V277&amp;"/"&amp;W277&amp;"/"&amp;"1"),(V277&amp;"/"&amp;W277&amp;"/"&amp;X277))))</f>
        <v/>
      </c>
      <c r="Z277" s="144" t="str">
        <f>IF(Y277="//","",Y277)</f>
        <v/>
      </c>
    </row>
    <row r="278" spans="2:26" s="10" customFormat="1" ht="18" customHeight="1" x14ac:dyDescent="0.25">
      <c r="B278" s="441" t="s">
        <v>172</v>
      </c>
      <c r="C278" s="441"/>
      <c r="D278" s="444" t="str">
        <f>Z277</f>
        <v/>
      </c>
      <c r="E278" s="445"/>
      <c r="F278" s="444" t="str">
        <f>Z278</f>
        <v/>
      </c>
      <c r="G278" s="445"/>
      <c r="H278" s="446">
        <v>1</v>
      </c>
      <c r="I278" s="447"/>
      <c r="J278" s="450"/>
      <c r="K278" s="443"/>
      <c r="L278" s="206"/>
      <c r="M278" s="143" t="str">
        <f>Z276</f>
        <v/>
      </c>
      <c r="N278" s="126"/>
      <c r="P278" s="146">
        <v>1</v>
      </c>
      <c r="Q278" s="146">
        <v>1</v>
      </c>
      <c r="R278" s="146">
        <v>1</v>
      </c>
      <c r="S278" s="144" t="str">
        <f>VLOOKUP(P278,'WORKINGS MATRIX'!$B$200:$C$351,2,FALSE)</f>
        <v>Year</v>
      </c>
      <c r="T278" s="144">
        <f t="shared" si="25"/>
        <v>0</v>
      </c>
      <c r="U278" s="144">
        <f t="shared" si="25"/>
        <v>0</v>
      </c>
      <c r="V278" s="144" t="str">
        <f>IF(S278="year","",S278)</f>
        <v/>
      </c>
      <c r="W278" s="144" t="str">
        <f t="shared" si="26"/>
        <v/>
      </c>
      <c r="X278" s="144" t="str">
        <f t="shared" si="26"/>
        <v/>
      </c>
      <c r="Y278" s="144" t="str">
        <f>IF(V278="","",IF(W278="",(V278&amp;"/"&amp;"1"&amp;"/"&amp;"1"),IF(X278="",(V278&amp;"/"&amp;W278&amp;"/"&amp;"1"),(V278&amp;"/"&amp;W278&amp;"/"&amp;X278))))</f>
        <v/>
      </c>
      <c r="Z278" s="144" t="str">
        <f>IF(Y278="//","",Y278)</f>
        <v/>
      </c>
    </row>
    <row r="279" spans="2:26" x14ac:dyDescent="0.25">
      <c r="N279" s="38"/>
      <c r="P279" s="144">
        <v>1</v>
      </c>
      <c r="Q279" s="144">
        <v>1</v>
      </c>
      <c r="R279" s="144">
        <v>1</v>
      </c>
      <c r="S279" s="144" t="str">
        <f>VLOOKUP(P279,'WORKINGS MATRIX'!$B$200:$C$351,2,FALSE)</f>
        <v>Year</v>
      </c>
      <c r="T279" s="144">
        <f t="shared" si="25"/>
        <v>0</v>
      </c>
      <c r="U279" s="144">
        <f t="shared" si="25"/>
        <v>0</v>
      </c>
      <c r="V279" s="144" t="str">
        <f>IF(S279="year","",S279)</f>
        <v/>
      </c>
      <c r="W279" s="144" t="str">
        <f t="shared" si="26"/>
        <v/>
      </c>
      <c r="X279" s="144" t="str">
        <f t="shared" si="26"/>
        <v/>
      </c>
      <c r="Y279" s="144" t="str">
        <f>IF(V279="","",IF(W279="",(V279&amp;"/"&amp;"1"&amp;"/"&amp;"1"),IF(X279="",(V279&amp;"/"&amp;W279&amp;"/"&amp;"1"),(V279&amp;"/"&amp;W279&amp;"/"&amp;X279))))</f>
        <v/>
      </c>
      <c r="Z279" s="144" t="str">
        <f>IF(Y279="//","",Y279)</f>
        <v/>
      </c>
    </row>
    <row r="280" spans="2:26" x14ac:dyDescent="0.25">
      <c r="M280" s="303" t="str">
        <f>IF(B241="","",IF(P276=1,"DATES INCORRECT OR INCOMPLETE - PLEASE CHECK",""))</f>
        <v/>
      </c>
      <c r="N280" s="38"/>
      <c r="P280" s="144"/>
      <c r="Q280" s="144"/>
      <c r="R280" s="144"/>
      <c r="S280" s="144"/>
      <c r="T280" s="144"/>
      <c r="U280" s="144"/>
      <c r="V280" s="144"/>
      <c r="W280" s="144"/>
      <c r="X280" s="144"/>
      <c r="Y280" s="144"/>
      <c r="Z280" s="144"/>
    </row>
    <row r="281" spans="2:26" x14ac:dyDescent="0.25">
      <c r="B281" s="21"/>
      <c r="C281" s="77"/>
      <c r="D281" s="216"/>
      <c r="E281" s="21"/>
      <c r="F281" s="10"/>
      <c r="G281" s="10"/>
      <c r="H281" s="10"/>
      <c r="I281" s="10"/>
      <c r="J281" s="21"/>
      <c r="K281" s="21"/>
      <c r="L281" s="21"/>
      <c r="M281" s="217"/>
      <c r="N281" s="387"/>
      <c r="O281" s="21"/>
      <c r="P281" s="144"/>
      <c r="Q281" s="144"/>
      <c r="R281" s="144"/>
      <c r="S281" s="145"/>
      <c r="T281" s="145"/>
      <c r="U281" s="145"/>
      <c r="V281" s="145"/>
      <c r="W281" s="145"/>
      <c r="X281" s="145"/>
      <c r="Y281" s="145"/>
      <c r="Z281" s="145"/>
    </row>
    <row r="282" spans="2:26" ht="26.25" customHeight="1" x14ac:dyDescent="0.25">
      <c r="B282" s="149"/>
      <c r="C282" s="149"/>
      <c r="D282" s="3"/>
      <c r="E282" s="149"/>
      <c r="F282" s="149"/>
      <c r="G282" s="3"/>
      <c r="H282" s="149"/>
      <c r="I282" s="3"/>
      <c r="J282" s="213"/>
      <c r="K282" s="214"/>
      <c r="L282" s="149"/>
      <c r="M282" s="70"/>
      <c r="N282" s="71"/>
      <c r="O282" s="10"/>
      <c r="P282" s="144"/>
      <c r="Q282" s="144"/>
      <c r="R282" s="144"/>
      <c r="S282" s="144"/>
      <c r="T282" s="144"/>
      <c r="U282" s="144"/>
      <c r="V282" s="144"/>
      <c r="W282" s="144"/>
      <c r="X282" s="144"/>
      <c r="Y282" s="144"/>
      <c r="Z282" s="144"/>
    </row>
    <row r="283" spans="2:26" ht="26.25" customHeight="1" x14ac:dyDescent="0.25">
      <c r="B283" s="149"/>
      <c r="C283" s="149"/>
      <c r="D283" s="3"/>
      <c r="E283" s="149"/>
      <c r="F283" s="149"/>
      <c r="G283" s="3"/>
      <c r="H283" s="149"/>
      <c r="I283" s="3"/>
      <c r="J283" s="213"/>
      <c r="K283" s="214"/>
      <c r="L283" s="149"/>
      <c r="M283" s="70"/>
      <c r="N283" s="71"/>
      <c r="O283" s="10"/>
      <c r="P283" s="144"/>
      <c r="Q283" s="144"/>
      <c r="R283" s="144"/>
      <c r="S283" s="144"/>
      <c r="T283" s="144"/>
      <c r="U283" s="144"/>
      <c r="V283" s="144"/>
      <c r="W283" s="144"/>
      <c r="X283" s="144"/>
      <c r="Y283" s="144"/>
      <c r="Z283" s="144"/>
    </row>
    <row r="284" spans="2:26" ht="26.25" customHeight="1" x14ac:dyDescent="0.25">
      <c r="B284" s="149"/>
      <c r="C284" s="149"/>
      <c r="D284" s="3"/>
      <c r="E284" s="149"/>
      <c r="F284" s="149"/>
      <c r="G284" s="3"/>
      <c r="H284" s="149"/>
      <c r="I284" s="3"/>
      <c r="J284" s="213"/>
      <c r="K284" s="214"/>
      <c r="L284" s="149"/>
      <c r="M284" s="70"/>
      <c r="N284" s="71"/>
      <c r="O284" s="10"/>
      <c r="P284" s="144"/>
      <c r="Q284" s="144"/>
      <c r="R284" s="144"/>
      <c r="S284" s="144"/>
      <c r="T284" s="144"/>
      <c r="U284" s="144"/>
      <c r="V284" s="144"/>
      <c r="W284" s="144"/>
      <c r="X284" s="144"/>
      <c r="Y284" s="144"/>
      <c r="Z284" s="144"/>
    </row>
    <row r="285" spans="2:26" ht="26.25" customHeight="1" x14ac:dyDescent="0.25">
      <c r="B285" s="149"/>
      <c r="C285" s="149"/>
      <c r="D285" s="3"/>
      <c r="E285" s="149"/>
      <c r="F285" s="149"/>
      <c r="G285" s="3"/>
      <c r="H285" s="149"/>
      <c r="I285" s="3"/>
      <c r="J285" s="213"/>
      <c r="K285" s="214"/>
      <c r="L285" s="149"/>
      <c r="M285" s="70"/>
      <c r="N285" s="71"/>
      <c r="O285" s="10"/>
      <c r="P285" s="144"/>
      <c r="Q285" s="144"/>
      <c r="R285" s="144"/>
      <c r="S285" s="144"/>
      <c r="T285" s="144"/>
      <c r="U285" s="144"/>
      <c r="V285" s="144"/>
      <c r="W285" s="144"/>
      <c r="X285" s="144"/>
      <c r="Y285" s="144"/>
      <c r="Z285" s="144"/>
    </row>
    <row r="286" spans="2:26" ht="26.25" customHeight="1" x14ac:dyDescent="0.25">
      <c r="B286" s="149"/>
      <c r="C286" s="149"/>
      <c r="D286" s="3"/>
      <c r="E286" s="149"/>
      <c r="F286" s="149"/>
      <c r="G286" s="3"/>
      <c r="H286" s="149"/>
      <c r="I286" s="3"/>
      <c r="J286" s="213"/>
      <c r="K286" s="214"/>
      <c r="L286" s="149"/>
      <c r="M286" s="70"/>
      <c r="N286" s="71"/>
      <c r="O286" s="10"/>
      <c r="P286" s="144"/>
      <c r="Q286" s="144"/>
      <c r="R286" s="144"/>
      <c r="S286" s="144"/>
      <c r="T286" s="144"/>
      <c r="U286" s="144"/>
      <c r="V286" s="144"/>
      <c r="W286" s="144"/>
      <c r="X286" s="144"/>
      <c r="Y286" s="144"/>
      <c r="Z286" s="144"/>
    </row>
    <row r="287" spans="2:26" x14ac:dyDescent="0.25">
      <c r="D287" s="3"/>
      <c r="G287" s="3"/>
      <c r="I287" s="3"/>
      <c r="N287" s="71"/>
      <c r="P287" s="144"/>
      <c r="Q287" s="144"/>
      <c r="R287" s="144"/>
      <c r="S287" s="144"/>
      <c r="T287" s="144"/>
      <c r="U287" s="144"/>
      <c r="V287" s="144"/>
      <c r="W287" s="144"/>
      <c r="X287" s="144"/>
      <c r="Y287" s="144"/>
      <c r="Z287" s="144"/>
    </row>
    <row r="288" spans="2:26" x14ac:dyDescent="0.25">
      <c r="B288" t="s">
        <v>152</v>
      </c>
      <c r="D288" s="57"/>
      <c r="H288" s="58"/>
      <c r="K288" s="21"/>
      <c r="N288" s="38"/>
      <c r="P288" s="144"/>
      <c r="Q288" s="144"/>
      <c r="R288" s="144"/>
      <c r="S288" s="144"/>
      <c r="T288" s="144"/>
      <c r="U288" s="144"/>
      <c r="V288" s="144"/>
      <c r="W288" s="144"/>
      <c r="X288" s="144"/>
      <c r="Y288" s="144"/>
      <c r="Z288" s="144"/>
    </row>
    <row r="289" spans="2:13" x14ac:dyDescent="0.25">
      <c r="B289" s="429"/>
      <c r="C289" s="430"/>
      <c r="D289" s="430"/>
      <c r="E289" s="430"/>
      <c r="F289" s="430"/>
      <c r="G289" s="430"/>
      <c r="H289" s="430"/>
      <c r="I289" s="430"/>
      <c r="J289" s="430"/>
      <c r="K289" s="430"/>
      <c r="L289" s="430"/>
      <c r="M289" s="431"/>
    </row>
    <row r="290" spans="2:13" x14ac:dyDescent="0.25">
      <c r="B290" s="432"/>
      <c r="C290" s="433"/>
      <c r="D290" s="433"/>
      <c r="E290" s="433"/>
      <c r="F290" s="433"/>
      <c r="G290" s="433"/>
      <c r="H290" s="433"/>
      <c r="I290" s="433"/>
      <c r="J290" s="433"/>
      <c r="K290" s="433"/>
      <c r="L290" s="433"/>
      <c r="M290" s="434"/>
    </row>
    <row r="291" spans="2:13" x14ac:dyDescent="0.25">
      <c r="B291" s="432"/>
      <c r="C291" s="433"/>
      <c r="D291" s="433"/>
      <c r="E291" s="433"/>
      <c r="F291" s="433"/>
      <c r="G291" s="433"/>
      <c r="H291" s="433"/>
      <c r="I291" s="433"/>
      <c r="J291" s="433"/>
      <c r="K291" s="433"/>
      <c r="L291" s="433"/>
      <c r="M291" s="434"/>
    </row>
    <row r="292" spans="2:13" x14ac:dyDescent="0.25">
      <c r="B292" s="435"/>
      <c r="C292" s="436"/>
      <c r="D292" s="436"/>
      <c r="E292" s="436"/>
      <c r="F292" s="436"/>
      <c r="G292" s="436"/>
      <c r="H292" s="436"/>
      <c r="I292" s="436"/>
      <c r="J292" s="436"/>
      <c r="K292" s="436"/>
      <c r="L292" s="436"/>
      <c r="M292" s="437"/>
    </row>
    <row r="293" spans="2:13" x14ac:dyDescent="0.25">
      <c r="B293" s="15"/>
      <c r="D293" s="57"/>
      <c r="H293" s="58"/>
      <c r="K293" s="21"/>
    </row>
    <row r="294" spans="2:13" x14ac:dyDescent="0.25">
      <c r="D294" s="57"/>
      <c r="H294" s="58"/>
      <c r="K294" s="21"/>
    </row>
    <row r="295" spans="2:13" x14ac:dyDescent="0.25">
      <c r="D295" s="57"/>
      <c r="H295" s="58"/>
      <c r="K295" s="21"/>
    </row>
    <row r="296" spans="2:13" x14ac:dyDescent="0.25">
      <c r="D296" s="57"/>
      <c r="E296" s="149"/>
      <c r="F296" s="149"/>
      <c r="G296" s="149"/>
      <c r="H296" s="149"/>
      <c r="I296" s="149"/>
      <c r="K296" s="21"/>
    </row>
    <row r="297" spans="2:13" x14ac:dyDescent="0.25">
      <c r="D297" s="57"/>
      <c r="E297" s="149"/>
      <c r="F297" s="149"/>
      <c r="G297" s="149"/>
      <c r="H297" s="149"/>
      <c r="I297" s="149"/>
      <c r="K297" s="438" t="s">
        <v>155</v>
      </c>
      <c r="L297" s="438"/>
      <c r="M297" s="438"/>
    </row>
    <row r="298" spans="2:13" x14ac:dyDescent="0.25">
      <c r="D298" s="57"/>
      <c r="H298" s="58"/>
      <c r="K298" s="438"/>
      <c r="L298" s="438"/>
      <c r="M298" s="438"/>
    </row>
    <row r="299" spans="2:13" x14ac:dyDescent="0.25">
      <c r="D299" s="57"/>
      <c r="E299" s="149"/>
      <c r="F299" s="149"/>
      <c r="G299" s="149"/>
      <c r="H299" s="149"/>
      <c r="I299" s="149"/>
      <c r="K299" s="438"/>
      <c r="L299" s="438"/>
      <c r="M299" s="438"/>
    </row>
    <row r="300" spans="2:13" x14ac:dyDescent="0.25">
      <c r="D300" s="57"/>
      <c r="E300" s="149"/>
      <c r="F300" s="149"/>
      <c r="G300" s="149"/>
      <c r="H300" s="149"/>
      <c r="I300" s="149"/>
      <c r="K300" s="438"/>
      <c r="L300" s="438"/>
      <c r="M300" s="438"/>
    </row>
    <row r="301" spans="2:13" ht="13.8" thickBot="1" x14ac:dyDescent="0.3">
      <c r="B301" s="60"/>
      <c r="C301" s="60"/>
      <c r="D301" s="60"/>
      <c r="E301" s="60"/>
      <c r="F301" s="60"/>
      <c r="G301" s="60"/>
      <c r="H301" s="60"/>
      <c r="I301" s="60"/>
      <c r="J301" s="60"/>
      <c r="K301" s="60"/>
      <c r="L301" s="60"/>
      <c r="M301" s="60"/>
    </row>
    <row r="302" spans="2:13" ht="13.8" thickTop="1" x14ac:dyDescent="0.25"/>
    <row r="303" spans="2:13" x14ac:dyDescent="0.25">
      <c r="B303" s="24" t="s">
        <v>128</v>
      </c>
    </row>
    <row r="306" spans="3:9" x14ac:dyDescent="0.25">
      <c r="C306" s="158"/>
      <c r="D306" s="158"/>
      <c r="E306" s="158" t="s">
        <v>197</v>
      </c>
      <c r="F306" s="158"/>
      <c r="G306" s="158" t="e">
        <f>#REF!</f>
        <v>#REF!</v>
      </c>
      <c r="H306" s="158"/>
      <c r="I306" s="158"/>
    </row>
    <row r="307" spans="3:9" x14ac:dyDescent="0.25">
      <c r="C307" s="158" t="e">
        <f>#REF!</f>
        <v>#REF!</v>
      </c>
      <c r="D307" s="158"/>
      <c r="E307" s="158"/>
      <c r="F307" s="158"/>
      <c r="G307" s="158" t="e">
        <f>#REF!</f>
        <v>#REF!</v>
      </c>
      <c r="H307" s="158"/>
      <c r="I307" s="158"/>
    </row>
    <row r="308" spans="3:9" x14ac:dyDescent="0.25">
      <c r="C308" s="158" t="e">
        <f>#REF!</f>
        <v>#REF!</v>
      </c>
      <c r="D308" s="158" t="e">
        <f>#REF!</f>
        <v>#REF!</v>
      </c>
      <c r="E308" s="158" t="e">
        <f>#REF!</f>
        <v>#REF!</v>
      </c>
      <c r="F308" s="158" t="e">
        <f>#REF!</f>
        <v>#REF!</v>
      </c>
      <c r="G308" s="158" t="e">
        <f>#REF!</f>
        <v>#REF!</v>
      </c>
      <c r="H308" s="158" t="e">
        <f>#REF!</f>
        <v>#REF!</v>
      </c>
      <c r="I308" s="158" t="e">
        <f>#REF!</f>
        <v>#REF!</v>
      </c>
    </row>
    <row r="309" spans="3:9" x14ac:dyDescent="0.25">
      <c r="C309" s="158" t="e">
        <f>#REF!</f>
        <v>#REF!</v>
      </c>
      <c r="D309" s="158" t="e">
        <f>#REF!</f>
        <v>#REF!</v>
      </c>
      <c r="E309" s="158" t="e">
        <f>#REF!</f>
        <v>#REF!</v>
      </c>
      <c r="F309" s="158" t="e">
        <f>#REF!</f>
        <v>#REF!</v>
      </c>
      <c r="G309" s="158" t="e">
        <f>#REF!</f>
        <v>#REF!</v>
      </c>
      <c r="H309" s="158" t="e">
        <f>#REF!</f>
        <v>#REF!</v>
      </c>
      <c r="I309" s="158" t="e">
        <f>#REF!</f>
        <v>#REF!</v>
      </c>
    </row>
    <row r="310" spans="3:9" x14ac:dyDescent="0.25">
      <c r="C310" s="158" t="e">
        <f>#REF!</f>
        <v>#REF!</v>
      </c>
      <c r="D310" s="158" t="e">
        <f>#REF!</f>
        <v>#REF!</v>
      </c>
      <c r="E310" s="158" t="e">
        <f>#REF!</f>
        <v>#REF!</v>
      </c>
      <c r="F310" s="158" t="e">
        <f>#REF!</f>
        <v>#REF!</v>
      </c>
      <c r="G310" s="158" t="e">
        <f>#REF!</f>
        <v>#REF!</v>
      </c>
      <c r="H310" s="158" t="e">
        <f>#REF!</f>
        <v>#REF!</v>
      </c>
      <c r="I310" s="158" t="e">
        <f>#REF!</f>
        <v>#REF!</v>
      </c>
    </row>
    <row r="311" spans="3:9" x14ac:dyDescent="0.25">
      <c r="C311" s="158" t="e">
        <f>#REF!</f>
        <v>#REF!</v>
      </c>
      <c r="D311" s="158" t="e">
        <f>#REF!</f>
        <v>#REF!</v>
      </c>
      <c r="E311" s="158" t="e">
        <f>#REF!</f>
        <v>#REF!</v>
      </c>
      <c r="F311" s="158" t="e">
        <f>#REF!</f>
        <v>#REF!</v>
      </c>
      <c r="G311" s="158" t="e">
        <f>#REF!</f>
        <v>#REF!</v>
      </c>
      <c r="H311" s="158" t="e">
        <f>#REF!</f>
        <v>#REF!</v>
      </c>
      <c r="I311" s="158" t="e">
        <f>#REF!</f>
        <v>#REF!</v>
      </c>
    </row>
    <row r="312" spans="3:9" x14ac:dyDescent="0.25">
      <c r="C312" s="158"/>
      <c r="D312" s="158"/>
      <c r="E312" s="158"/>
      <c r="F312" s="158"/>
      <c r="G312" s="158"/>
      <c r="H312" s="158"/>
      <c r="I312" s="158" t="e">
        <f>#REF!</f>
        <v>#REF!</v>
      </c>
    </row>
    <row r="313" spans="3:9" x14ac:dyDescent="0.25">
      <c r="C313" s="158"/>
      <c r="D313" s="158"/>
      <c r="E313" s="158"/>
      <c r="F313" s="158"/>
      <c r="G313" s="158"/>
      <c r="H313" s="158"/>
      <c r="I313" s="158"/>
    </row>
    <row r="314" spans="3:9" x14ac:dyDescent="0.25">
      <c r="C314" s="158"/>
      <c r="D314" s="158"/>
      <c r="E314" s="158"/>
      <c r="F314" s="158"/>
      <c r="G314" s="158"/>
      <c r="H314" s="158"/>
      <c r="I314" s="158"/>
    </row>
    <row r="315" spans="3:9" x14ac:dyDescent="0.25">
      <c r="C315" s="158" t="e">
        <f>#REF!</f>
        <v>#REF!</v>
      </c>
      <c r="D315" s="158"/>
      <c r="E315" s="158"/>
      <c r="F315" s="158"/>
      <c r="G315" s="158" t="e">
        <f>#REF!</f>
        <v>#REF!</v>
      </c>
      <c r="H315" s="158"/>
      <c r="I315" s="158"/>
    </row>
    <row r="316" spans="3:9" x14ac:dyDescent="0.25">
      <c r="C316" s="158" t="e">
        <f>#REF!</f>
        <v>#REF!</v>
      </c>
      <c r="D316" s="158" t="e">
        <f>#REF!</f>
        <v>#REF!</v>
      </c>
      <c r="E316" s="158" t="e">
        <f>#REF!</f>
        <v>#REF!</v>
      </c>
      <c r="F316" s="158" t="e">
        <f>#REF!</f>
        <v>#REF!</v>
      </c>
      <c r="G316" s="158" t="e">
        <f>#REF!</f>
        <v>#REF!</v>
      </c>
      <c r="H316" s="158" t="e">
        <f>#REF!</f>
        <v>#REF!</v>
      </c>
      <c r="I316" s="158" t="e">
        <f>#REF!</f>
        <v>#REF!</v>
      </c>
    </row>
    <row r="317" spans="3:9" x14ac:dyDescent="0.25">
      <c r="C317" s="158" t="e">
        <f>#REF!</f>
        <v>#REF!</v>
      </c>
      <c r="D317" s="158" t="e">
        <f>#REF!</f>
        <v>#REF!</v>
      </c>
      <c r="E317" s="158" t="e">
        <f>#REF!</f>
        <v>#REF!</v>
      </c>
      <c r="F317" s="158" t="e">
        <f>#REF!</f>
        <v>#REF!</v>
      </c>
      <c r="G317" s="158" t="e">
        <f>#REF!</f>
        <v>#REF!</v>
      </c>
      <c r="H317" s="158" t="e">
        <f>#REF!</f>
        <v>#REF!</v>
      </c>
      <c r="I317" s="158" t="e">
        <f>#REF!</f>
        <v>#REF!</v>
      </c>
    </row>
    <row r="318" spans="3:9" x14ac:dyDescent="0.25">
      <c r="C318" s="158" t="e">
        <f>#REF!</f>
        <v>#REF!</v>
      </c>
      <c r="D318" s="158" t="e">
        <f>#REF!</f>
        <v>#REF!</v>
      </c>
      <c r="E318" s="158" t="e">
        <f>#REF!</f>
        <v>#REF!</v>
      </c>
      <c r="F318" s="158" t="e">
        <f>#REF!</f>
        <v>#REF!</v>
      </c>
      <c r="G318" s="158" t="e">
        <f>#REF!</f>
        <v>#REF!</v>
      </c>
      <c r="H318" s="158" t="e">
        <f>#REF!</f>
        <v>#REF!</v>
      </c>
      <c r="I318" s="158" t="e">
        <f>#REF!</f>
        <v>#REF!</v>
      </c>
    </row>
    <row r="319" spans="3:9" x14ac:dyDescent="0.25">
      <c r="C319" s="158" t="e">
        <f>#REF!</f>
        <v>#REF!</v>
      </c>
      <c r="D319" s="158" t="e">
        <f>#REF!</f>
        <v>#REF!</v>
      </c>
      <c r="E319" s="158" t="e">
        <f>#REF!</f>
        <v>#REF!</v>
      </c>
      <c r="F319" s="158" t="e">
        <f>#REF!</f>
        <v>#REF!</v>
      </c>
      <c r="G319" s="158" t="e">
        <f>#REF!</f>
        <v>#REF!</v>
      </c>
      <c r="H319" s="158" t="e">
        <f>#REF!</f>
        <v>#REF!</v>
      </c>
      <c r="I319" s="158" t="e">
        <f>#REF!</f>
        <v>#REF!</v>
      </c>
    </row>
    <row r="320" spans="3:9" x14ac:dyDescent="0.25">
      <c r="C320" s="158"/>
      <c r="D320" s="158"/>
      <c r="E320" s="158"/>
      <c r="F320" s="158"/>
      <c r="G320" s="158"/>
      <c r="H320" s="158"/>
      <c r="I320" s="158" t="e">
        <f>#REF!</f>
        <v>#REF!</v>
      </c>
    </row>
    <row r="323" spans="2:9" x14ac:dyDescent="0.25">
      <c r="C323" s="158" t="e">
        <f>#REF!</f>
        <v>#REF!</v>
      </c>
      <c r="D323" s="158"/>
      <c r="E323" s="158"/>
      <c r="F323" s="158"/>
      <c r="G323" s="158" t="e">
        <f>#REF!</f>
        <v>#REF!</v>
      </c>
      <c r="H323" s="158"/>
      <c r="I323" s="158"/>
    </row>
    <row r="324" spans="2:9" x14ac:dyDescent="0.25">
      <c r="C324" s="158" t="e">
        <f>#REF!</f>
        <v>#REF!</v>
      </c>
      <c r="D324" s="158" t="e">
        <f>#REF!</f>
        <v>#REF!</v>
      </c>
      <c r="E324" s="158" t="e">
        <f>#REF!</f>
        <v>#REF!</v>
      </c>
      <c r="F324" s="158" t="e">
        <f>#REF!</f>
        <v>#REF!</v>
      </c>
      <c r="G324" s="158" t="e">
        <f>#REF!</f>
        <v>#REF!</v>
      </c>
      <c r="H324" s="158" t="e">
        <f>#REF!</f>
        <v>#REF!</v>
      </c>
      <c r="I324" s="158" t="e">
        <f>#REF!</f>
        <v>#REF!</v>
      </c>
    </row>
    <row r="325" spans="2:9" x14ac:dyDescent="0.25">
      <c r="C325" s="158" t="e">
        <f>#REF!</f>
        <v>#REF!</v>
      </c>
      <c r="D325" s="158" t="e">
        <f>#REF!</f>
        <v>#REF!</v>
      </c>
      <c r="E325" s="158" t="e">
        <f>#REF!</f>
        <v>#REF!</v>
      </c>
      <c r="F325" s="158" t="e">
        <f>#REF!</f>
        <v>#REF!</v>
      </c>
      <c r="G325" s="158" t="e">
        <f>#REF!</f>
        <v>#REF!</v>
      </c>
      <c r="H325" s="158" t="e">
        <f>#REF!</f>
        <v>#REF!</v>
      </c>
      <c r="I325" s="158" t="e">
        <f>#REF!</f>
        <v>#REF!</v>
      </c>
    </row>
    <row r="326" spans="2:9" x14ac:dyDescent="0.25">
      <c r="C326" s="158" t="e">
        <f>#REF!</f>
        <v>#REF!</v>
      </c>
      <c r="D326" s="158" t="e">
        <f>#REF!</f>
        <v>#REF!</v>
      </c>
      <c r="E326" s="158" t="e">
        <f>#REF!</f>
        <v>#REF!</v>
      </c>
      <c r="F326" s="158" t="e">
        <f>#REF!</f>
        <v>#REF!</v>
      </c>
      <c r="G326" s="158" t="e">
        <f>#REF!</f>
        <v>#REF!</v>
      </c>
      <c r="H326" s="158" t="e">
        <f>#REF!</f>
        <v>#REF!</v>
      </c>
      <c r="I326" s="158" t="e">
        <f>#REF!</f>
        <v>#REF!</v>
      </c>
    </row>
    <row r="327" spans="2:9" x14ac:dyDescent="0.25">
      <c r="C327" s="158" t="e">
        <f>#REF!</f>
        <v>#REF!</v>
      </c>
      <c r="D327" s="158" t="e">
        <f>#REF!</f>
        <v>#REF!</v>
      </c>
      <c r="E327" s="158" t="e">
        <f>#REF!</f>
        <v>#REF!</v>
      </c>
      <c r="F327" s="158" t="e">
        <f>#REF!</f>
        <v>#REF!</v>
      </c>
      <c r="G327" s="158" t="e">
        <f>#REF!</f>
        <v>#REF!</v>
      </c>
      <c r="H327" s="158" t="e">
        <f>#REF!</f>
        <v>#REF!</v>
      </c>
      <c r="I327" s="158" t="e">
        <f>#REF!</f>
        <v>#REF!</v>
      </c>
    </row>
    <row r="328" spans="2:9" x14ac:dyDescent="0.25">
      <c r="C328" s="158"/>
      <c r="D328" s="158"/>
      <c r="E328" s="158"/>
      <c r="F328" s="158"/>
      <c r="G328" s="158"/>
      <c r="H328" s="158"/>
      <c r="I328" s="158" t="e">
        <f>#REF!</f>
        <v>#REF!</v>
      </c>
    </row>
    <row r="329" spans="2:9" x14ac:dyDescent="0.25">
      <c r="C329" s="158"/>
      <c r="D329" s="158"/>
      <c r="E329" s="158"/>
      <c r="F329" s="158"/>
      <c r="G329" s="158"/>
      <c r="H329" s="158"/>
      <c r="I329" s="158"/>
    </row>
    <row r="330" spans="2:9" x14ac:dyDescent="0.25">
      <c r="C330" s="158" t="e">
        <f>#REF!</f>
        <v>#REF!</v>
      </c>
      <c r="D330" s="158"/>
      <c r="E330" s="158"/>
      <c r="F330" s="158"/>
      <c r="G330" s="158" t="e">
        <f>#REF!</f>
        <v>#REF!</v>
      </c>
      <c r="H330" s="158"/>
      <c r="I330" s="158"/>
    </row>
    <row r="331" spans="2:9" x14ac:dyDescent="0.25">
      <c r="C331" s="158" t="e">
        <f>#REF!</f>
        <v>#REF!</v>
      </c>
      <c r="D331" s="158" t="e">
        <f>#REF!</f>
        <v>#REF!</v>
      </c>
      <c r="E331" s="158" t="e">
        <f>#REF!</f>
        <v>#REF!</v>
      </c>
      <c r="F331" s="158" t="e">
        <f>#REF!</f>
        <v>#REF!</v>
      </c>
      <c r="G331" s="158" t="e">
        <f>#REF!</f>
        <v>#REF!</v>
      </c>
      <c r="H331" s="158" t="e">
        <f>#REF!</f>
        <v>#REF!</v>
      </c>
      <c r="I331" s="158" t="e">
        <f>#REF!</f>
        <v>#REF!</v>
      </c>
    </row>
    <row r="332" spans="2:9" x14ac:dyDescent="0.25">
      <c r="C332" s="158" t="e">
        <f>#REF!</f>
        <v>#REF!</v>
      </c>
      <c r="D332" s="158" t="e">
        <f>#REF!</f>
        <v>#REF!</v>
      </c>
      <c r="E332" s="158" t="e">
        <f>#REF!</f>
        <v>#REF!</v>
      </c>
      <c r="F332" s="158" t="e">
        <f>#REF!</f>
        <v>#REF!</v>
      </c>
      <c r="G332" s="158" t="e">
        <f>#REF!</f>
        <v>#REF!</v>
      </c>
      <c r="H332" s="158" t="e">
        <f>#REF!</f>
        <v>#REF!</v>
      </c>
      <c r="I332" s="158" t="e">
        <f>#REF!</f>
        <v>#REF!</v>
      </c>
    </row>
    <row r="333" spans="2:9" x14ac:dyDescent="0.25">
      <c r="C333" s="158" t="e">
        <f>#REF!</f>
        <v>#REF!</v>
      </c>
      <c r="D333" s="158" t="e">
        <f>#REF!</f>
        <v>#REF!</v>
      </c>
      <c r="E333" s="158" t="e">
        <f>#REF!</f>
        <v>#REF!</v>
      </c>
      <c r="F333" s="158" t="e">
        <f>#REF!</f>
        <v>#REF!</v>
      </c>
      <c r="G333" s="158" t="e">
        <f>#REF!</f>
        <v>#REF!</v>
      </c>
      <c r="H333" s="158" t="e">
        <f>#REF!</f>
        <v>#REF!</v>
      </c>
      <c r="I333" s="158" t="e">
        <f>#REF!</f>
        <v>#REF!</v>
      </c>
    </row>
    <row r="334" spans="2:9" x14ac:dyDescent="0.25">
      <c r="C334" s="158" t="e">
        <f>#REF!</f>
        <v>#REF!</v>
      </c>
      <c r="D334" s="158" t="e">
        <f>#REF!</f>
        <v>#REF!</v>
      </c>
      <c r="E334" s="158" t="e">
        <f>#REF!</f>
        <v>#REF!</v>
      </c>
      <c r="F334" s="158" t="e">
        <f>#REF!</f>
        <v>#REF!</v>
      </c>
      <c r="G334" s="158" t="e">
        <f>#REF!</f>
        <v>#REF!</v>
      </c>
      <c r="H334" s="158" t="e">
        <f>#REF!</f>
        <v>#REF!</v>
      </c>
      <c r="I334" s="158" t="e">
        <f>#REF!</f>
        <v>#REF!</v>
      </c>
    </row>
    <row r="335" spans="2:9" x14ac:dyDescent="0.25">
      <c r="C335" s="158"/>
      <c r="D335" s="158"/>
      <c r="E335" s="158"/>
      <c r="F335" s="158"/>
      <c r="G335" s="158"/>
      <c r="H335" s="158"/>
      <c r="I335" s="158" t="e">
        <f>#REF!</f>
        <v>#REF!</v>
      </c>
    </row>
    <row r="336" spans="2:9" ht="13.8" thickBot="1" x14ac:dyDescent="0.3">
      <c r="B336">
        <f>$D$1</f>
        <v>0</v>
      </c>
      <c r="C336" s="24" t="s">
        <v>128</v>
      </c>
      <c r="D336" s="25" t="s">
        <v>129</v>
      </c>
    </row>
    <row r="337" spans="2:31" ht="13.8" thickTop="1" x14ac:dyDescent="0.25">
      <c r="B337" s="27" t="s">
        <v>131</v>
      </c>
      <c r="C337" s="28"/>
      <c r="D337" s="29" t="s">
        <v>132</v>
      </c>
      <c r="E337" s="27" t="str">
        <f>J113</f>
        <v/>
      </c>
      <c r="F337" s="30" t="str">
        <f>IF(L113=0,"NOT REQUIRED", IF(L113="Man","MANAGERIAL POSITION","NON-MANAGERIAL POSITION"))</f>
        <v>NON-MANAGERIAL POSITION</v>
      </c>
      <c r="G337" s="28"/>
      <c r="H337" s="28"/>
      <c r="I337" s="31"/>
      <c r="J337" s="27"/>
      <c r="K337" s="28"/>
      <c r="L337" s="31" t="s">
        <v>133</v>
      </c>
      <c r="M337" s="28"/>
      <c r="N337" s="32"/>
      <c r="P337" s="144"/>
      <c r="Q337" s="144"/>
      <c r="R337" s="144"/>
      <c r="S337" s="144"/>
      <c r="T337" s="144"/>
      <c r="U337" s="144"/>
      <c r="V337" s="144"/>
      <c r="W337" s="144"/>
      <c r="X337" s="144"/>
      <c r="Y337" s="144"/>
      <c r="Z337" s="144"/>
      <c r="AC337" s="158"/>
      <c r="AD337" s="158"/>
      <c r="AE337" s="158"/>
    </row>
    <row r="338" spans="2:31" x14ac:dyDescent="0.25">
      <c r="E338" s="34"/>
      <c r="F338" s="35"/>
      <c r="G338" s="36"/>
      <c r="I338" s="10"/>
      <c r="J338" s="37"/>
      <c r="N338" s="38"/>
      <c r="P338" s="144"/>
      <c r="Q338" s="144"/>
      <c r="R338" s="144"/>
      <c r="S338" s="144"/>
      <c r="T338" s="144"/>
      <c r="U338" s="144"/>
      <c r="V338" s="144"/>
      <c r="W338" s="144"/>
      <c r="X338" s="144"/>
      <c r="Y338" s="144"/>
      <c r="Z338" s="144"/>
      <c r="AC338" s="158"/>
      <c r="AD338" s="158"/>
      <c r="AE338" s="158"/>
    </row>
    <row r="339" spans="2:31" ht="12.75" customHeight="1" x14ac:dyDescent="0.25">
      <c r="B339" t="s">
        <v>134</v>
      </c>
      <c r="L339" s="465" t="str">
        <f>$L$39</f>
        <v>X.002-218-2024(NT)&amp;N.004-116-2024(T)</v>
      </c>
      <c r="M339" s="465"/>
      <c r="N339" s="38"/>
      <c r="P339" s="144"/>
      <c r="Q339" s="144"/>
      <c r="R339" s="144"/>
      <c r="S339" s="144"/>
      <c r="T339" s="144"/>
      <c r="U339" s="144"/>
      <c r="V339" s="144"/>
      <c r="W339" s="144"/>
      <c r="X339" s="144"/>
      <c r="Y339" s="144"/>
      <c r="Z339" s="144"/>
      <c r="AC339" s="158"/>
      <c r="AD339" s="158"/>
      <c r="AE339" s="158"/>
    </row>
    <row r="340" spans="2:31" ht="27" customHeight="1" x14ac:dyDescent="0.25">
      <c r="B340" s="39" t="s">
        <v>135</v>
      </c>
      <c r="C340" s="40"/>
      <c r="D340" s="41"/>
      <c r="E340" s="427" t="s">
        <v>136</v>
      </c>
      <c r="F340" s="428"/>
      <c r="G340" s="39" t="s">
        <v>137</v>
      </c>
      <c r="H340" s="41"/>
      <c r="I340" s="39" t="s">
        <v>138</v>
      </c>
      <c r="J340" s="41"/>
      <c r="K340" s="42"/>
      <c r="L340" s="465"/>
      <c r="M340" s="465"/>
      <c r="N340" s="38"/>
      <c r="P340" s="144"/>
      <c r="Q340" s="144"/>
      <c r="R340" s="144"/>
      <c r="S340" s="144"/>
      <c r="T340" s="144"/>
      <c r="U340" s="144"/>
      <c r="V340" s="144"/>
      <c r="W340" s="144"/>
      <c r="X340" s="144"/>
      <c r="Y340" s="144"/>
      <c r="Z340" s="144"/>
      <c r="AC340" s="158"/>
      <c r="AD340" s="158"/>
      <c r="AE340" s="158"/>
    </row>
    <row r="341" spans="2:31" ht="18" customHeight="1" x14ac:dyDescent="0.25">
      <c r="B341" s="194"/>
      <c r="C341" s="195"/>
      <c r="D341" s="196"/>
      <c r="E341" s="425"/>
      <c r="F341" s="426"/>
      <c r="G341" s="159" t="str">
        <f>K113</f>
        <v/>
      </c>
      <c r="H341" s="44"/>
      <c r="I341" s="197"/>
      <c r="J341" s="198"/>
      <c r="K341" s="45"/>
      <c r="N341" s="38"/>
      <c r="P341" s="144">
        <v>1</v>
      </c>
      <c r="Q341" s="144">
        <v>1</v>
      </c>
      <c r="R341" s="144">
        <v>1</v>
      </c>
      <c r="S341" s="144" t="str">
        <f>VLOOKUP(P341,'WORKINGS MATRIX'!$H$200:$I$351,2,FALSE)</f>
        <v>Year</v>
      </c>
      <c r="T341" s="144">
        <f>Q341-1</f>
        <v>0</v>
      </c>
      <c r="U341" s="144">
        <f>R341-1</f>
        <v>0</v>
      </c>
      <c r="V341" s="144" t="str">
        <f>IF(S341="year","",S341)</f>
        <v/>
      </c>
      <c r="W341" s="144" t="str">
        <f>IF(T341=0,"",T341)</f>
        <v/>
      </c>
      <c r="X341" s="144" t="str">
        <f>IF(U341=0,"",U341)</f>
        <v/>
      </c>
      <c r="Y341" s="144" t="str">
        <f>IF(V341="","",IF(W341="",(V341&amp;"/"&amp;"1"&amp;"/"&amp;"1"),IF(X341="",(V341&amp;"/"&amp;W341&amp;"/"&amp;"1"),(V341&amp;"/"&amp;W341&amp;"/"&amp;X341))))</f>
        <v/>
      </c>
      <c r="Z341" s="144" t="str">
        <f>IF(Y341="//","",Y341)</f>
        <v/>
      </c>
      <c r="AC341" s="158"/>
      <c r="AD341" s="158"/>
      <c r="AE341" s="158"/>
    </row>
    <row r="342" spans="2:31" x14ac:dyDescent="0.25">
      <c r="E342" t="str">
        <f>IF(E341="","",IF(LEN(E341)=13,"","ID NUMBER SHOULD BE 13 DIGITS"))</f>
        <v/>
      </c>
      <c r="N342" s="38"/>
      <c r="P342" s="144"/>
      <c r="Q342" s="144"/>
      <c r="R342" s="144"/>
      <c r="S342" s="144"/>
      <c r="T342" s="144"/>
      <c r="U342" s="144"/>
      <c r="V342" s="144"/>
      <c r="W342" s="144"/>
      <c r="X342" s="144"/>
      <c r="Y342" s="144"/>
      <c r="Z342" s="144"/>
      <c r="AC342" s="158"/>
      <c r="AD342" s="158"/>
      <c r="AE342" s="158"/>
    </row>
    <row r="343" spans="2:31" x14ac:dyDescent="0.25">
      <c r="G343" s="170" t="str">
        <f>IF(AG346=0,"","DATES BEYOND TENDER CLOSING DATE - PLEASE CHECK")</f>
        <v/>
      </c>
      <c r="N343" s="38"/>
      <c r="P343" s="144"/>
      <c r="Q343" s="144"/>
      <c r="R343" s="144"/>
      <c r="S343" s="144"/>
      <c r="T343" s="144"/>
      <c r="U343" s="144"/>
      <c r="V343" s="144"/>
      <c r="W343" s="144"/>
      <c r="X343" s="144"/>
      <c r="Y343" s="144"/>
      <c r="Z343" s="144"/>
      <c r="AC343" s="158"/>
      <c r="AD343" s="158"/>
      <c r="AE343" s="158"/>
    </row>
    <row r="344" spans="2:31" x14ac:dyDescent="0.25">
      <c r="B344" t="s">
        <v>139</v>
      </c>
      <c r="G344" s="170" t="str">
        <f>IF(AE346=0,"","DATES INCORRECT OR INCOMPLETE - PLEASE CHECK")</f>
        <v/>
      </c>
      <c r="N344" s="38"/>
      <c r="P344" s="144"/>
      <c r="Q344" s="144"/>
      <c r="R344" s="144"/>
      <c r="S344" s="144"/>
      <c r="T344" s="144"/>
      <c r="U344" s="144"/>
      <c r="V344" s="144"/>
      <c r="W344" s="144"/>
      <c r="X344" s="144"/>
      <c r="Y344" s="144"/>
      <c r="Z344" s="144"/>
      <c r="AC344" s="158"/>
      <c r="AD344" s="158"/>
      <c r="AE344" s="158"/>
    </row>
    <row r="345" spans="2:31" x14ac:dyDescent="0.25">
      <c r="B345" s="15" t="s">
        <v>140</v>
      </c>
      <c r="N345" s="38"/>
      <c r="P345" s="144"/>
      <c r="Q345" s="144"/>
      <c r="R345" s="144"/>
      <c r="S345" s="144"/>
      <c r="T345" s="144"/>
      <c r="U345" s="144"/>
      <c r="V345" s="144"/>
      <c r="W345" s="144"/>
      <c r="X345" s="144"/>
      <c r="Y345" s="144"/>
      <c r="Z345" s="144"/>
      <c r="AC345" s="158"/>
      <c r="AD345" s="158"/>
      <c r="AE345" s="158"/>
    </row>
    <row r="346" spans="2:31" ht="66" x14ac:dyDescent="0.25">
      <c r="B346" s="47" t="s">
        <v>141</v>
      </c>
      <c r="C346" s="48" t="s">
        <v>142</v>
      </c>
      <c r="D346" s="44"/>
      <c r="E346" s="470" t="s">
        <v>143</v>
      </c>
      <c r="F346" s="471"/>
      <c r="G346" s="157" t="s">
        <v>144</v>
      </c>
      <c r="H346" s="157" t="s">
        <v>145</v>
      </c>
      <c r="I346" s="385" t="s">
        <v>146</v>
      </c>
      <c r="J346" s="49" t="s">
        <v>147</v>
      </c>
      <c r="K346" s="50" t="s">
        <v>148</v>
      </c>
      <c r="L346" s="385" t="s">
        <v>149</v>
      </c>
      <c r="M346" s="49" t="s">
        <v>150</v>
      </c>
      <c r="N346" s="51"/>
      <c r="O346" s="386"/>
      <c r="P346" s="147"/>
      <c r="Q346" s="144"/>
      <c r="R346" s="144"/>
      <c r="S346" s="145"/>
      <c r="T346" s="145"/>
      <c r="U346" s="145"/>
      <c r="V346" s="145"/>
      <c r="W346" s="145"/>
      <c r="X346" s="145"/>
      <c r="Y346" s="145"/>
      <c r="Z346" s="145"/>
      <c r="AC346" s="165"/>
      <c r="AD346" s="165"/>
      <c r="AE346" s="165">
        <f>SUM(AE347:AE351)</f>
        <v>0</v>
      </c>
    </row>
    <row r="347" spans="2:31" ht="25.5" customHeight="1" x14ac:dyDescent="0.25">
      <c r="B347" s="200"/>
      <c r="C347" s="53">
        <v>8</v>
      </c>
      <c r="D347" s="54"/>
      <c r="E347" s="55"/>
      <c r="F347" s="55">
        <v>1</v>
      </c>
      <c r="G347" s="143" t="str">
        <f>Z347</f>
        <v/>
      </c>
      <c r="H347" s="143" t="str">
        <f>Z352</f>
        <v/>
      </c>
      <c r="I347" s="202"/>
      <c r="J347" s="203"/>
      <c r="K347" s="56">
        <v>23</v>
      </c>
      <c r="L347" s="204"/>
      <c r="M347" s="205"/>
      <c r="N347" s="164">
        <f>IF(G347="",0,IF(H347="",0,(ROUND(((H347-G347)/30),0))))</f>
        <v>0</v>
      </c>
      <c r="O347" s="21"/>
      <c r="P347" s="148">
        <v>1</v>
      </c>
      <c r="Q347" s="144">
        <v>1</v>
      </c>
      <c r="R347" s="144">
        <v>1</v>
      </c>
      <c r="S347" s="144" t="str">
        <f>VLOOKUP(P347,'WORKINGS MATRIX'!$B$200:$C$351,2,FALSE)</f>
        <v>Year</v>
      </c>
      <c r="T347" s="144">
        <f t="shared" ref="T347:T356" si="27">Q347-1</f>
        <v>0</v>
      </c>
      <c r="U347" s="144">
        <f t="shared" ref="U347:U356" si="28">R347-1</f>
        <v>0</v>
      </c>
      <c r="V347" s="144" t="str">
        <f t="shared" ref="V347:V356" si="29">IF(S347="year","",S347)</f>
        <v/>
      </c>
      <c r="W347" s="144" t="str">
        <f t="shared" ref="W347:W356" si="30">IF(T347=0,"",T347)</f>
        <v/>
      </c>
      <c r="X347" s="144" t="str">
        <f t="shared" ref="X347:X356" si="31">IF(U347=0,"",U347)</f>
        <v/>
      </c>
      <c r="Y347" s="144" t="str">
        <f t="shared" ref="Y347:Y356" si="32">IF(V347="","",IF(W347="",(V347&amp;"/"&amp;"1"&amp;"/"&amp;"1"),IF(X347="",(V347&amp;"/"&amp;W347&amp;"/"&amp;"1"),(V347&amp;"/"&amp;W347&amp;"/"&amp;X347))))</f>
        <v/>
      </c>
      <c r="Z347" s="144" t="str">
        <f t="shared" ref="Z347:Z356" si="33">IF(Y347="//","",Y347)</f>
        <v/>
      </c>
      <c r="AC347" s="172">
        <f>IF(B347="",0,1)</f>
        <v>0</v>
      </c>
      <c r="AD347" s="172">
        <f>IF(B347="",0,IF(N347&gt;0,1,IF(N347&lt;0,2,0)))</f>
        <v>0</v>
      </c>
      <c r="AE347" s="172">
        <f>IF(AC347=AD347,0,IF(AC347&gt;AD347,2,1))</f>
        <v>0</v>
      </c>
    </row>
    <row r="348" spans="2:31" ht="25.5" customHeight="1" x14ac:dyDescent="0.25">
      <c r="B348" s="200"/>
      <c r="C348" s="53">
        <v>8</v>
      </c>
      <c r="D348" s="54"/>
      <c r="E348" s="55"/>
      <c r="F348" s="55">
        <v>1</v>
      </c>
      <c r="G348" s="143" t="str">
        <f>Z348</f>
        <v/>
      </c>
      <c r="H348" s="143" t="str">
        <f>Z353</f>
        <v/>
      </c>
      <c r="I348" s="202"/>
      <c r="J348" s="203"/>
      <c r="K348" s="56">
        <v>23</v>
      </c>
      <c r="L348" s="204"/>
      <c r="M348" s="205"/>
      <c r="N348" s="164">
        <f>IF(G348="",0,IF(H348="",0,(ROUND(((H348-G348)/30),0))))</f>
        <v>0</v>
      </c>
      <c r="O348" s="21"/>
      <c r="P348" s="148">
        <v>1</v>
      </c>
      <c r="Q348" s="144">
        <v>1</v>
      </c>
      <c r="R348" s="144">
        <v>1</v>
      </c>
      <c r="S348" s="144" t="str">
        <f>VLOOKUP(P348,'WORKINGS MATRIX'!$B$200:$C$351,2,FALSE)</f>
        <v>Year</v>
      </c>
      <c r="T348" s="144">
        <f t="shared" si="27"/>
        <v>0</v>
      </c>
      <c r="U348" s="144">
        <f t="shared" si="28"/>
        <v>0</v>
      </c>
      <c r="V348" s="144" t="str">
        <f t="shared" si="29"/>
        <v/>
      </c>
      <c r="W348" s="144" t="str">
        <f t="shared" si="30"/>
        <v/>
      </c>
      <c r="X348" s="144" t="str">
        <f t="shared" si="31"/>
        <v/>
      </c>
      <c r="Y348" s="144" t="str">
        <f t="shared" si="32"/>
        <v/>
      </c>
      <c r="Z348" s="144" t="str">
        <f t="shared" si="33"/>
        <v/>
      </c>
      <c r="AC348" s="172">
        <f>IF(B348="",0,1)</f>
        <v>0</v>
      </c>
      <c r="AD348" s="172">
        <f>IF(B348="",0,IF(N348&gt;0,1,IF(N348&lt;0,2,0)))</f>
        <v>0</v>
      </c>
      <c r="AE348" s="172">
        <f>IF(AC348=AD348,0,IF(AC348&gt;AD348,2,1))</f>
        <v>0</v>
      </c>
    </row>
    <row r="349" spans="2:31" ht="25.5" customHeight="1" x14ac:dyDescent="0.25">
      <c r="B349" s="200"/>
      <c r="C349" s="53">
        <v>8</v>
      </c>
      <c r="D349" s="54"/>
      <c r="E349" s="55"/>
      <c r="F349" s="55">
        <v>1</v>
      </c>
      <c r="G349" s="143" t="str">
        <f>Z349</f>
        <v/>
      </c>
      <c r="H349" s="143" t="str">
        <f>Z354</f>
        <v/>
      </c>
      <c r="I349" s="202"/>
      <c r="J349" s="203"/>
      <c r="K349" s="56">
        <v>23</v>
      </c>
      <c r="L349" s="204"/>
      <c r="M349" s="205"/>
      <c r="N349" s="164">
        <f>IF(G349="",0,IF(H349="",0,(ROUND(((H349-G349)/30),0))))</f>
        <v>0</v>
      </c>
      <c r="O349" s="21"/>
      <c r="P349" s="148">
        <v>1</v>
      </c>
      <c r="Q349" s="144">
        <v>1</v>
      </c>
      <c r="R349" s="144">
        <v>1</v>
      </c>
      <c r="S349" s="144" t="str">
        <f>VLOOKUP(P349,'WORKINGS MATRIX'!$B$200:$C$351,2,FALSE)</f>
        <v>Year</v>
      </c>
      <c r="T349" s="144">
        <f t="shared" si="27"/>
        <v>0</v>
      </c>
      <c r="U349" s="144">
        <f t="shared" si="28"/>
        <v>0</v>
      </c>
      <c r="V349" s="144" t="str">
        <f t="shared" si="29"/>
        <v/>
      </c>
      <c r="W349" s="144" t="str">
        <f t="shared" si="30"/>
        <v/>
      </c>
      <c r="X349" s="144" t="str">
        <f t="shared" si="31"/>
        <v/>
      </c>
      <c r="Y349" s="144" t="str">
        <f t="shared" si="32"/>
        <v/>
      </c>
      <c r="Z349" s="144" t="str">
        <f t="shared" si="33"/>
        <v/>
      </c>
      <c r="AC349" s="172">
        <f>IF(B349="",0,1)</f>
        <v>0</v>
      </c>
      <c r="AD349" s="172">
        <f>IF(B349="",0,IF(N349&gt;0,1,IF(N349&lt;0,2,0)))</f>
        <v>0</v>
      </c>
      <c r="AE349" s="172">
        <f>IF(AC349=AD349,0,IF(AC349&gt;AD349,2,1))</f>
        <v>0</v>
      </c>
    </row>
    <row r="350" spans="2:31" ht="25.5" customHeight="1" x14ac:dyDescent="0.25">
      <c r="B350" s="258"/>
      <c r="C350" s="258"/>
      <c r="D350" s="258"/>
      <c r="E350" s="258"/>
      <c r="F350" s="258"/>
      <c r="G350" s="258"/>
      <c r="H350" s="258"/>
      <c r="I350" s="258"/>
      <c r="J350" s="258"/>
      <c r="K350" s="258"/>
      <c r="L350" s="258"/>
      <c r="M350" s="258"/>
      <c r="N350" s="164">
        <f>IF(G350="",0,IF(H350="",0,(ROUND(((H350-G350)/30),0))))</f>
        <v>0</v>
      </c>
      <c r="O350" s="21"/>
      <c r="P350" s="148">
        <v>1</v>
      </c>
      <c r="Q350" s="144">
        <v>1</v>
      </c>
      <c r="R350" s="144">
        <v>1</v>
      </c>
      <c r="S350" s="144" t="str">
        <f>VLOOKUP(P350,'WORKINGS MATRIX'!$B$200:$C$351,2,FALSE)</f>
        <v>Year</v>
      </c>
      <c r="T350" s="144">
        <f t="shared" si="27"/>
        <v>0</v>
      </c>
      <c r="U350" s="144">
        <f t="shared" si="28"/>
        <v>0</v>
      </c>
      <c r="V350" s="144" t="str">
        <f t="shared" si="29"/>
        <v/>
      </c>
      <c r="W350" s="144" t="str">
        <f t="shared" si="30"/>
        <v/>
      </c>
      <c r="X350" s="144" t="str">
        <f t="shared" si="31"/>
        <v/>
      </c>
      <c r="Y350" s="144" t="str">
        <f t="shared" si="32"/>
        <v/>
      </c>
      <c r="Z350" s="144" t="str">
        <f t="shared" si="33"/>
        <v/>
      </c>
      <c r="AC350" s="172">
        <f>IF(B350="",0,1)</f>
        <v>0</v>
      </c>
      <c r="AD350" s="172">
        <f>IF(B350="",0,IF(N350&gt;0,1,IF(N350&lt;0,2,0)))</f>
        <v>0</v>
      </c>
      <c r="AE350" s="172">
        <f>IF(AC350=AD350,0,IF(AC350&gt;AD350,2,1))</f>
        <v>0</v>
      </c>
    </row>
    <row r="351" spans="2:31" ht="25.5" customHeight="1" x14ac:dyDescent="0.25">
      <c r="B351" s="213"/>
      <c r="C351" s="213"/>
      <c r="D351" s="213"/>
      <c r="E351" s="213"/>
      <c r="F351" s="213"/>
      <c r="G351" s="213"/>
      <c r="H351" s="213"/>
      <c r="I351" s="213"/>
      <c r="J351" s="213"/>
      <c r="K351" s="213"/>
      <c r="L351" s="213"/>
      <c r="M351" s="213"/>
      <c r="N351" s="164">
        <f>IF(G351="",0,IF(H351="",0,(ROUND(((H351-G351)/30),0))))</f>
        <v>0</v>
      </c>
      <c r="O351" s="21"/>
      <c r="P351" s="148">
        <v>1</v>
      </c>
      <c r="Q351" s="144">
        <v>1</v>
      </c>
      <c r="R351" s="144">
        <v>1</v>
      </c>
      <c r="S351" s="144" t="str">
        <f>VLOOKUP(P351,'WORKINGS MATRIX'!$B$200:$C$351,2,FALSE)</f>
        <v>Year</v>
      </c>
      <c r="T351" s="144">
        <f t="shared" si="27"/>
        <v>0</v>
      </c>
      <c r="U351" s="144">
        <f t="shared" si="28"/>
        <v>0</v>
      </c>
      <c r="V351" s="144" t="str">
        <f t="shared" si="29"/>
        <v/>
      </c>
      <c r="W351" s="144" t="str">
        <f t="shared" si="30"/>
        <v/>
      </c>
      <c r="X351" s="144" t="str">
        <f t="shared" si="31"/>
        <v/>
      </c>
      <c r="Y351" s="144" t="str">
        <f t="shared" si="32"/>
        <v/>
      </c>
      <c r="Z351" s="144" t="str">
        <f t="shared" si="33"/>
        <v/>
      </c>
      <c r="AC351" s="172">
        <f>IF(B351="",0,1)</f>
        <v>0</v>
      </c>
      <c r="AD351" s="172">
        <f>IF(B351="",0,IF(N351&gt;0,1,IF(N351&lt;0,2,0)))</f>
        <v>0</v>
      </c>
      <c r="AE351" s="172">
        <f>IF(AC351=AD351,0,IF(AC351&gt;AD351,2,1))</f>
        <v>0</v>
      </c>
    </row>
    <row r="352" spans="2:31" x14ac:dyDescent="0.25">
      <c r="D352" s="57"/>
      <c r="H352" s="58"/>
      <c r="K352" s="21"/>
      <c r="N352" s="38"/>
      <c r="O352" s="58"/>
      <c r="P352" s="134">
        <v>1</v>
      </c>
      <c r="Q352" s="144">
        <v>1</v>
      </c>
      <c r="R352" s="144">
        <v>1</v>
      </c>
      <c r="S352" s="144" t="str">
        <f>VLOOKUP(P352,'WORKINGS MATRIX'!$B$200:$C$351,2,FALSE)</f>
        <v>Year</v>
      </c>
      <c r="T352" s="144">
        <f t="shared" si="27"/>
        <v>0</v>
      </c>
      <c r="U352" s="144">
        <f t="shared" si="28"/>
        <v>0</v>
      </c>
      <c r="V352" s="144" t="str">
        <f t="shared" si="29"/>
        <v/>
      </c>
      <c r="W352" s="144" t="str">
        <f t="shared" si="30"/>
        <v/>
      </c>
      <c r="X352" s="144" t="str">
        <f t="shared" si="31"/>
        <v/>
      </c>
      <c r="Y352" s="144" t="str">
        <f t="shared" si="32"/>
        <v/>
      </c>
      <c r="Z352" s="144" t="str">
        <f t="shared" si="33"/>
        <v/>
      </c>
      <c r="AC352" s="158"/>
      <c r="AD352" s="158"/>
      <c r="AE352" s="158"/>
    </row>
    <row r="353" spans="2:26" ht="12.75" customHeight="1" x14ac:dyDescent="0.25">
      <c r="B353" t="s">
        <v>152</v>
      </c>
      <c r="D353" s="57"/>
      <c r="H353" s="58"/>
      <c r="K353" s="21"/>
      <c r="N353" s="38"/>
      <c r="O353" s="58"/>
      <c r="P353" s="144">
        <v>1</v>
      </c>
      <c r="Q353" s="144">
        <v>1</v>
      </c>
      <c r="R353" s="144">
        <v>1</v>
      </c>
      <c r="S353" s="144" t="str">
        <f>VLOOKUP(P353,'WORKINGS MATRIX'!$B$200:$C$351,2,FALSE)</f>
        <v>Year</v>
      </c>
      <c r="T353" s="144">
        <f t="shared" si="27"/>
        <v>0</v>
      </c>
      <c r="U353" s="144">
        <f t="shared" si="28"/>
        <v>0</v>
      </c>
      <c r="V353" s="144" t="str">
        <f t="shared" si="29"/>
        <v/>
      </c>
      <c r="W353" s="144" t="str">
        <f t="shared" si="30"/>
        <v/>
      </c>
      <c r="X353" s="144" t="str">
        <f t="shared" si="31"/>
        <v/>
      </c>
      <c r="Y353" s="144" t="str">
        <f t="shared" si="32"/>
        <v/>
      </c>
      <c r="Z353" s="144" t="str">
        <f t="shared" si="33"/>
        <v/>
      </c>
    </row>
    <row r="354" spans="2:26" x14ac:dyDescent="0.25">
      <c r="B354" s="429"/>
      <c r="C354" s="430"/>
      <c r="D354" s="430"/>
      <c r="E354" s="430"/>
      <c r="F354" s="430"/>
      <c r="G354" s="430"/>
      <c r="H354" s="430"/>
      <c r="I354" s="430"/>
      <c r="J354" s="430"/>
      <c r="K354" s="430"/>
      <c r="L354" s="430"/>
      <c r="M354" s="431"/>
      <c r="N354" s="38"/>
      <c r="O354" s="58"/>
      <c r="P354" s="144">
        <v>1</v>
      </c>
      <c r="Q354" s="144">
        <v>1</v>
      </c>
      <c r="R354" s="144">
        <v>1</v>
      </c>
      <c r="S354" s="144" t="str">
        <f>VLOOKUP(P354,'WORKINGS MATRIX'!$B$200:$C$351,2,FALSE)</f>
        <v>Year</v>
      </c>
      <c r="T354" s="144">
        <f t="shared" si="27"/>
        <v>0</v>
      </c>
      <c r="U354" s="144">
        <f t="shared" si="28"/>
        <v>0</v>
      </c>
      <c r="V354" s="144" t="str">
        <f t="shared" si="29"/>
        <v/>
      </c>
      <c r="W354" s="144" t="str">
        <f t="shared" si="30"/>
        <v/>
      </c>
      <c r="X354" s="144" t="str">
        <f t="shared" si="31"/>
        <v/>
      </c>
      <c r="Y354" s="144" t="str">
        <f t="shared" si="32"/>
        <v/>
      </c>
      <c r="Z354" s="144" t="str">
        <f t="shared" si="33"/>
        <v/>
      </c>
    </row>
    <row r="355" spans="2:26" x14ac:dyDescent="0.25">
      <c r="B355" s="432"/>
      <c r="C355" s="433"/>
      <c r="D355" s="433"/>
      <c r="E355" s="433"/>
      <c r="F355" s="433"/>
      <c r="G355" s="433"/>
      <c r="H355" s="433"/>
      <c r="I355" s="433"/>
      <c r="J355" s="433"/>
      <c r="K355" s="433"/>
      <c r="L355" s="433"/>
      <c r="M355" s="434"/>
      <c r="N355" s="38"/>
      <c r="O355" s="58"/>
      <c r="P355" s="144">
        <v>1</v>
      </c>
      <c r="Q355" s="144">
        <v>1</v>
      </c>
      <c r="R355" s="144">
        <v>1</v>
      </c>
      <c r="S355" s="144" t="str">
        <f>VLOOKUP(P355,'WORKINGS MATRIX'!$B$200:$C$351,2,FALSE)</f>
        <v>Year</v>
      </c>
      <c r="T355" s="144">
        <f t="shared" si="27"/>
        <v>0</v>
      </c>
      <c r="U355" s="144">
        <f t="shared" si="28"/>
        <v>0</v>
      </c>
      <c r="V355" s="144" t="str">
        <f t="shared" si="29"/>
        <v/>
      </c>
      <c r="W355" s="144" t="str">
        <f t="shared" si="30"/>
        <v/>
      </c>
      <c r="X355" s="144" t="str">
        <f t="shared" si="31"/>
        <v/>
      </c>
      <c r="Y355" s="144" t="str">
        <f t="shared" si="32"/>
        <v/>
      </c>
      <c r="Z355" s="144" t="str">
        <f t="shared" si="33"/>
        <v/>
      </c>
    </row>
    <row r="356" spans="2:26" x14ac:dyDescent="0.25">
      <c r="B356" s="432"/>
      <c r="C356" s="433"/>
      <c r="D356" s="433"/>
      <c r="E356" s="433"/>
      <c r="F356" s="433"/>
      <c r="G356" s="433"/>
      <c r="H356" s="433"/>
      <c r="I356" s="433"/>
      <c r="J356" s="433"/>
      <c r="K356" s="433"/>
      <c r="L356" s="433"/>
      <c r="M356" s="434"/>
      <c r="N356" s="38"/>
      <c r="O356" s="58"/>
      <c r="P356" s="144">
        <v>1</v>
      </c>
      <c r="Q356" s="144">
        <v>1</v>
      </c>
      <c r="R356" s="144">
        <v>1</v>
      </c>
      <c r="S356" s="144" t="str">
        <f>VLOOKUP(P356,'WORKINGS MATRIX'!$B$200:$C$351,2,FALSE)</f>
        <v>Year</v>
      </c>
      <c r="T356" s="144">
        <f t="shared" si="27"/>
        <v>0</v>
      </c>
      <c r="U356" s="144">
        <f t="shared" si="28"/>
        <v>0</v>
      </c>
      <c r="V356" s="144" t="str">
        <f t="shared" si="29"/>
        <v/>
      </c>
      <c r="W356" s="144" t="str">
        <f t="shared" si="30"/>
        <v/>
      </c>
      <c r="X356" s="144" t="str">
        <f t="shared" si="31"/>
        <v/>
      </c>
      <c r="Y356" s="144" t="str">
        <f t="shared" si="32"/>
        <v/>
      </c>
      <c r="Z356" s="144" t="str">
        <f t="shared" si="33"/>
        <v/>
      </c>
    </row>
    <row r="357" spans="2:26" x14ac:dyDescent="0.25">
      <c r="B357" s="435"/>
      <c r="C357" s="436"/>
      <c r="D357" s="436"/>
      <c r="E357" s="436"/>
      <c r="F357" s="436"/>
      <c r="G357" s="436"/>
      <c r="H357" s="436"/>
      <c r="I357" s="436"/>
      <c r="J357" s="436"/>
      <c r="K357" s="436"/>
      <c r="L357" s="436"/>
      <c r="M357" s="437"/>
      <c r="N357" s="38"/>
      <c r="O357" s="58"/>
      <c r="P357" s="144"/>
      <c r="Q357" s="144"/>
      <c r="R357" s="144"/>
      <c r="S357" s="144"/>
      <c r="T357" s="144"/>
      <c r="U357" s="144"/>
      <c r="V357" s="144"/>
      <c r="W357" s="144"/>
      <c r="X357" s="144"/>
      <c r="Y357" s="144"/>
      <c r="Z357" s="144"/>
    </row>
    <row r="358" spans="2:26" x14ac:dyDescent="0.25">
      <c r="B358" s="15" t="s">
        <v>153</v>
      </c>
      <c r="D358" s="57"/>
      <c r="H358" s="58"/>
      <c r="K358" s="21"/>
      <c r="N358" s="38"/>
      <c r="O358" s="58"/>
      <c r="P358" s="144"/>
      <c r="Q358" s="144"/>
      <c r="R358" s="144"/>
      <c r="S358" s="144"/>
      <c r="T358" s="144"/>
      <c r="U358" s="144"/>
      <c r="V358" s="144"/>
      <c r="W358" s="144"/>
      <c r="X358" s="144"/>
      <c r="Y358" s="144"/>
      <c r="Z358" s="144"/>
    </row>
    <row r="359" spans="2:26" x14ac:dyDescent="0.25">
      <c r="B359" s="15" t="s">
        <v>154</v>
      </c>
      <c r="D359" s="57"/>
      <c r="H359" s="58"/>
      <c r="K359" s="21"/>
      <c r="N359" s="38"/>
      <c r="O359" s="58"/>
      <c r="P359" s="144"/>
      <c r="Q359" s="144"/>
      <c r="R359" s="144"/>
      <c r="S359" s="144"/>
      <c r="T359" s="144"/>
      <c r="U359" s="144"/>
      <c r="V359" s="144"/>
      <c r="W359" s="144"/>
      <c r="X359" s="144"/>
      <c r="Y359" s="144"/>
      <c r="Z359" s="144"/>
    </row>
    <row r="360" spans="2:26" x14ac:dyDescent="0.25">
      <c r="D360" s="57"/>
      <c r="H360" s="58"/>
      <c r="K360" s="21"/>
      <c r="N360" s="38"/>
      <c r="O360" s="58"/>
      <c r="P360" s="144"/>
      <c r="Q360" s="144"/>
      <c r="R360" s="144"/>
      <c r="S360" s="144"/>
      <c r="T360" s="144"/>
      <c r="U360" s="144"/>
      <c r="V360" s="144"/>
      <c r="W360" s="144"/>
      <c r="X360" s="144"/>
      <c r="Y360" s="144"/>
      <c r="Z360" s="144"/>
    </row>
    <row r="361" spans="2:26" x14ac:dyDescent="0.25">
      <c r="D361" s="57"/>
      <c r="E361" s="149"/>
      <c r="F361" s="149"/>
      <c r="G361" s="149"/>
      <c r="H361" s="149"/>
      <c r="I361" s="149"/>
      <c r="K361" s="21"/>
      <c r="N361" s="38"/>
      <c r="O361" s="58"/>
      <c r="P361" s="144"/>
      <c r="Q361" s="144"/>
      <c r="R361" s="144"/>
      <c r="S361" s="144"/>
      <c r="T361" s="144"/>
      <c r="U361" s="144"/>
      <c r="V361" s="144"/>
      <c r="W361" s="144"/>
      <c r="X361" s="144"/>
      <c r="Y361" s="144"/>
      <c r="Z361" s="144"/>
    </row>
    <row r="362" spans="2:26" x14ac:dyDescent="0.25">
      <c r="D362" s="57"/>
      <c r="E362" s="149"/>
      <c r="F362" s="149"/>
      <c r="G362" s="149"/>
      <c r="H362" s="149"/>
      <c r="I362" s="149"/>
      <c r="K362" s="438" t="s">
        <v>155</v>
      </c>
      <c r="L362" s="438"/>
      <c r="M362" s="438"/>
      <c r="N362" s="38"/>
      <c r="O362" s="58"/>
      <c r="P362" s="144"/>
      <c r="Q362" s="144"/>
      <c r="R362" s="144"/>
      <c r="S362" s="144"/>
      <c r="T362" s="144"/>
      <c r="U362" s="144"/>
      <c r="V362" s="144"/>
      <c r="W362" s="144"/>
      <c r="X362" s="144"/>
      <c r="Y362" s="144"/>
      <c r="Z362" s="144"/>
    </row>
    <row r="363" spans="2:26" x14ac:dyDescent="0.25">
      <c r="D363" s="57"/>
      <c r="H363" s="58"/>
      <c r="K363" s="438"/>
      <c r="L363" s="438"/>
      <c r="M363" s="438"/>
      <c r="N363" s="38"/>
      <c r="O363" s="58"/>
      <c r="P363" s="144"/>
      <c r="Q363" s="144"/>
      <c r="R363" s="144"/>
      <c r="S363" s="144"/>
      <c r="T363" s="144"/>
      <c r="U363" s="144"/>
      <c r="V363" s="144"/>
      <c r="W363" s="144"/>
      <c r="X363" s="144"/>
      <c r="Y363" s="144"/>
      <c r="Z363" s="144"/>
    </row>
    <row r="364" spans="2:26" x14ac:dyDescent="0.25">
      <c r="D364" s="57"/>
      <c r="E364" s="149"/>
      <c r="F364" s="149"/>
      <c r="G364" s="149"/>
      <c r="H364" s="149"/>
      <c r="I364" s="149"/>
      <c r="K364" s="438"/>
      <c r="L364" s="438"/>
      <c r="M364" s="438"/>
      <c r="N364" s="38"/>
      <c r="O364" s="58"/>
      <c r="P364" s="144"/>
      <c r="Q364" s="144"/>
      <c r="R364" s="144"/>
      <c r="S364" s="144"/>
      <c r="T364" s="144"/>
      <c r="U364" s="144"/>
      <c r="V364" s="144"/>
      <c r="W364" s="144"/>
      <c r="X364" s="144"/>
      <c r="Y364" s="144"/>
      <c r="Z364" s="144"/>
    </row>
    <row r="365" spans="2:26" x14ac:dyDescent="0.25">
      <c r="D365" s="57"/>
      <c r="E365" s="149"/>
      <c r="F365" s="149"/>
      <c r="G365" s="149"/>
      <c r="H365" s="149"/>
      <c r="I365" s="149"/>
      <c r="K365" s="438"/>
      <c r="L365" s="438"/>
      <c r="M365" s="438"/>
      <c r="N365" s="38"/>
      <c r="O365" s="58"/>
      <c r="P365" s="144"/>
      <c r="Q365" s="144"/>
      <c r="R365" s="144"/>
      <c r="S365" s="144"/>
      <c r="T365" s="144"/>
      <c r="U365" s="144"/>
      <c r="V365" s="144"/>
      <c r="W365" s="144"/>
      <c r="X365" s="144"/>
      <c r="Y365" s="144"/>
      <c r="Z365" s="144"/>
    </row>
    <row r="366" spans="2:26" ht="13.8" thickBot="1" x14ac:dyDescent="0.3">
      <c r="B366" s="60"/>
      <c r="C366" s="60"/>
      <c r="D366" s="61"/>
      <c r="E366" s="60"/>
      <c r="F366" s="60"/>
      <c r="G366" s="60"/>
      <c r="H366" s="62"/>
      <c r="I366" s="60"/>
      <c r="J366" s="60"/>
      <c r="K366" s="63"/>
      <c r="L366" s="60"/>
      <c r="M366" s="60"/>
      <c r="N366" s="64"/>
      <c r="O366" s="58"/>
      <c r="P366" s="144"/>
      <c r="Q366" s="144"/>
      <c r="R366" s="144"/>
      <c r="S366" s="144"/>
      <c r="T366" s="144"/>
      <c r="U366" s="144"/>
      <c r="V366" s="144"/>
      <c r="W366" s="144"/>
      <c r="X366" s="144"/>
      <c r="Y366" s="144"/>
      <c r="Z366" s="144"/>
    </row>
    <row r="367" spans="2:26" ht="14.4" thickTop="1" thickBot="1" x14ac:dyDescent="0.3">
      <c r="D367" s="57"/>
      <c r="H367" s="58"/>
      <c r="K367" s="21"/>
      <c r="O367" s="58"/>
      <c r="P367" s="144"/>
      <c r="Q367" s="144"/>
      <c r="R367" s="144"/>
      <c r="S367" s="144"/>
      <c r="T367" s="144"/>
      <c r="U367" s="144"/>
      <c r="V367" s="144"/>
      <c r="W367" s="144"/>
      <c r="X367" s="144"/>
      <c r="Y367" s="144"/>
      <c r="Z367" s="144"/>
    </row>
    <row r="368" spans="2:26" ht="13.8" thickTop="1" x14ac:dyDescent="0.25">
      <c r="B368" s="27" t="s">
        <v>156</v>
      </c>
      <c r="C368" s="29"/>
      <c r="D368" s="28"/>
      <c r="E368" s="65"/>
      <c r="F368" s="65"/>
      <c r="G368" s="65"/>
      <c r="H368" s="28"/>
      <c r="I368" s="28"/>
      <c r="J368" s="28"/>
      <c r="K368" s="28"/>
      <c r="L368" s="31" t="s">
        <v>157</v>
      </c>
      <c r="M368" s="28"/>
      <c r="N368" s="32"/>
      <c r="P368" s="144"/>
      <c r="Q368" s="144"/>
      <c r="R368" s="144"/>
      <c r="S368" s="144"/>
      <c r="T368" s="144"/>
      <c r="U368" s="144"/>
      <c r="V368" s="144"/>
      <c r="W368" s="144"/>
      <c r="X368" s="144"/>
      <c r="Y368" s="144"/>
      <c r="Z368" s="144"/>
    </row>
    <row r="369" spans="2:26" x14ac:dyDescent="0.25">
      <c r="E369" s="134">
        <v>5</v>
      </c>
      <c r="F369" s="12"/>
      <c r="N369" s="38"/>
      <c r="P369" s="144"/>
      <c r="Q369" s="144"/>
      <c r="R369" s="144"/>
      <c r="S369" s="144"/>
      <c r="T369" s="144"/>
      <c r="U369" s="144"/>
      <c r="V369" s="144"/>
      <c r="W369" s="144"/>
      <c r="X369" s="144"/>
      <c r="Y369" s="144"/>
      <c r="Z369" s="144"/>
    </row>
    <row r="370" spans="2:26" ht="12.75" customHeight="1" x14ac:dyDescent="0.25">
      <c r="B370" t="s">
        <v>134</v>
      </c>
      <c r="L370" s="465" t="str">
        <f>$L$39</f>
        <v>X.002-218-2024(NT)&amp;N.004-116-2024(T)</v>
      </c>
      <c r="M370" s="465"/>
      <c r="N370" s="38"/>
      <c r="P370" s="144"/>
      <c r="Q370" s="144"/>
      <c r="R370" s="144"/>
      <c r="S370" s="144"/>
      <c r="T370" s="144"/>
      <c r="U370" s="144"/>
      <c r="V370" s="144"/>
      <c r="W370" s="144"/>
      <c r="X370" s="144"/>
      <c r="Y370" s="144"/>
      <c r="Z370" s="144"/>
    </row>
    <row r="371" spans="2:26" ht="12.75" customHeight="1" x14ac:dyDescent="0.25">
      <c r="B371" s="39" t="s">
        <v>135</v>
      </c>
      <c r="C371" s="40"/>
      <c r="D371" s="41"/>
      <c r="E371" s="448" t="s">
        <v>158</v>
      </c>
      <c r="F371" s="449"/>
      <c r="G371" s="466" t="s">
        <v>159</v>
      </c>
      <c r="H371" s="449"/>
      <c r="L371" s="465"/>
      <c r="M371" s="465"/>
      <c r="N371" s="38"/>
      <c r="P371" s="144"/>
      <c r="Q371" s="144"/>
      <c r="R371" s="144"/>
      <c r="S371" s="144"/>
      <c r="T371" s="144"/>
      <c r="U371" s="144"/>
      <c r="V371" s="144"/>
      <c r="W371" s="144"/>
      <c r="X371" s="144"/>
      <c r="Y371" s="144"/>
      <c r="Z371" s="144"/>
    </row>
    <row r="372" spans="2:26" ht="18" customHeight="1" x14ac:dyDescent="0.25">
      <c r="B372" s="66">
        <f>B341</f>
        <v>0</v>
      </c>
      <c r="C372" s="67"/>
      <c r="D372" s="68"/>
      <c r="E372" s="441" t="str">
        <f>G341</f>
        <v/>
      </c>
      <c r="F372" s="441"/>
      <c r="G372" s="42"/>
      <c r="H372" s="12">
        <v>1</v>
      </c>
      <c r="N372" s="38"/>
      <c r="P372" s="144"/>
      <c r="Q372" s="144"/>
      <c r="R372" s="144"/>
      <c r="S372" s="144"/>
      <c r="T372" s="144"/>
      <c r="U372" s="144"/>
      <c r="V372" s="144"/>
      <c r="W372" s="144"/>
      <c r="X372" s="144"/>
      <c r="Y372" s="144"/>
      <c r="Z372" s="144"/>
    </row>
    <row r="373" spans="2:26" x14ac:dyDescent="0.25">
      <c r="N373" s="38"/>
      <c r="P373" s="144"/>
      <c r="Q373" s="144"/>
      <c r="R373" s="144"/>
      <c r="S373" s="144"/>
      <c r="T373" s="144"/>
      <c r="U373" s="144"/>
      <c r="V373" s="144"/>
      <c r="W373" s="144"/>
      <c r="X373" s="144"/>
      <c r="Y373" s="144"/>
      <c r="Z373" s="144"/>
    </row>
    <row r="374" spans="2:26" x14ac:dyDescent="0.25">
      <c r="B374" t="s">
        <v>161</v>
      </c>
      <c r="N374" s="38"/>
      <c r="P374" s="144"/>
      <c r="Q374" s="144"/>
      <c r="R374" s="144"/>
      <c r="S374" s="144"/>
      <c r="T374" s="144"/>
      <c r="U374" s="144"/>
      <c r="V374" s="144"/>
      <c r="W374" s="144"/>
      <c r="X374" s="144"/>
      <c r="Y374" s="144"/>
      <c r="Z374" s="144"/>
    </row>
    <row r="375" spans="2:26" ht="18" customHeight="1" x14ac:dyDescent="0.25">
      <c r="B375" s="468" t="s">
        <v>162</v>
      </c>
      <c r="C375" s="468"/>
      <c r="D375" s="469" t="s">
        <v>163</v>
      </c>
      <c r="E375" s="469"/>
      <c r="F375" s="461" t="s">
        <v>164</v>
      </c>
      <c r="G375" s="462"/>
      <c r="H375" s="467" t="s">
        <v>165</v>
      </c>
      <c r="I375" s="462"/>
      <c r="J375" s="467" t="s">
        <v>165</v>
      </c>
      <c r="K375" s="462"/>
      <c r="L375" s="125" t="s">
        <v>166</v>
      </c>
      <c r="M375" s="125" t="s">
        <v>167</v>
      </c>
      <c r="N375" s="38"/>
      <c r="P375" s="144">
        <v>1</v>
      </c>
      <c r="Q375" s="144">
        <v>1</v>
      </c>
      <c r="R375" s="144">
        <v>1</v>
      </c>
      <c r="S375" s="144" t="str">
        <f>VLOOKUP(P375,'WORKINGS MATRIX'!$B$200:$C$351,2,FALSE)</f>
        <v>Year</v>
      </c>
      <c r="T375" s="144">
        <f t="shared" ref="T375:T379" si="34">Q375-1</f>
        <v>0</v>
      </c>
      <c r="U375" s="144">
        <f t="shared" ref="U375:U379" si="35">R375-1</f>
        <v>0</v>
      </c>
      <c r="V375" s="144" t="str">
        <f>IF(S375="year","",S375)</f>
        <v/>
      </c>
      <c r="W375" s="144" t="str">
        <f t="shared" ref="W375:W379" si="36">IF(T375=0,"",T375)</f>
        <v/>
      </c>
      <c r="X375" s="144" t="str">
        <f t="shared" ref="X375:X379" si="37">IF(U375=0,"",U375)</f>
        <v/>
      </c>
      <c r="Y375" s="144" t="str">
        <f>IF(V375="","",IF(W375="",(V375&amp;"/"&amp;"12"&amp;"/"&amp;"1"),IF(X375="",(V375&amp;"/"&amp;W375&amp;"/"&amp;"1"),(V375&amp;"/"&amp;W375&amp;"/"&amp;X375))))</f>
        <v/>
      </c>
      <c r="Z375" s="144" t="str">
        <f>IF(Y375="//","",Y375)</f>
        <v/>
      </c>
    </row>
    <row r="376" spans="2:26" ht="18" customHeight="1" x14ac:dyDescent="0.25">
      <c r="B376" s="441" t="s">
        <v>168</v>
      </c>
      <c r="C376" s="441"/>
      <c r="D376" s="439">
        <v>10</v>
      </c>
      <c r="E376" s="440"/>
      <c r="F376" s="442"/>
      <c r="G376" s="443"/>
      <c r="H376" s="463">
        <v>1</v>
      </c>
      <c r="I376" s="464"/>
      <c r="J376" s="450"/>
      <c r="K376" s="443"/>
      <c r="L376" s="206"/>
      <c r="M376" s="143" t="str">
        <f>Z375</f>
        <v/>
      </c>
      <c r="N376" s="126"/>
      <c r="O376" s="10"/>
      <c r="P376" s="146">
        <v>1</v>
      </c>
      <c r="Q376" s="146">
        <v>1</v>
      </c>
      <c r="R376" s="146">
        <v>1</v>
      </c>
      <c r="S376" s="144" t="str">
        <f>VLOOKUP(P376,'WORKINGS MATRIX'!$B$200:$C$351,2,FALSE)</f>
        <v>Year</v>
      </c>
      <c r="T376" s="144">
        <f t="shared" si="34"/>
        <v>0</v>
      </c>
      <c r="U376" s="144">
        <f t="shared" si="35"/>
        <v>0</v>
      </c>
      <c r="V376" s="144" t="str">
        <f>IF(S376="year","",S376)</f>
        <v/>
      </c>
      <c r="W376" s="144" t="str">
        <f t="shared" si="36"/>
        <v/>
      </c>
      <c r="X376" s="144" t="str">
        <f t="shared" si="37"/>
        <v/>
      </c>
      <c r="Y376" s="144" t="str">
        <f>IF(V376="","",IF(W376="",(V376&amp;"/"&amp;"12"&amp;"/"&amp;"1"),IF(X376="",(V376&amp;"/"&amp;W376&amp;"/"&amp;"1"),(V376&amp;"/"&amp;W376&amp;"/"&amp;X376))))</f>
        <v/>
      </c>
      <c r="Z376" s="144" t="str">
        <f>IF(Y376="//","",Y376)</f>
        <v/>
      </c>
    </row>
    <row r="377" spans="2:26" ht="18" customHeight="1" x14ac:dyDescent="0.25">
      <c r="B377" s="441" t="s">
        <v>169</v>
      </c>
      <c r="C377" s="441"/>
      <c r="D377" s="442"/>
      <c r="E377" s="443"/>
      <c r="F377" s="442"/>
      <c r="G377" s="443"/>
      <c r="H377" s="451" t="s">
        <v>170</v>
      </c>
      <c r="I377" s="452"/>
      <c r="J377" s="451" t="s">
        <v>171</v>
      </c>
      <c r="K377" s="452"/>
      <c r="L377" s="125" t="s">
        <v>166</v>
      </c>
      <c r="M377" s="125" t="s">
        <v>167</v>
      </c>
      <c r="N377" s="126"/>
      <c r="O377" s="10"/>
      <c r="P377" s="146">
        <v>1</v>
      </c>
      <c r="Q377" s="146">
        <v>1</v>
      </c>
      <c r="R377" s="146">
        <v>1</v>
      </c>
      <c r="S377" s="144" t="str">
        <f>VLOOKUP(P377,'WORKINGS MATRIX'!$B$200:$C$351,2,FALSE)</f>
        <v>Year</v>
      </c>
      <c r="T377" s="144">
        <f t="shared" si="34"/>
        <v>0</v>
      </c>
      <c r="U377" s="144">
        <f t="shared" si="35"/>
        <v>0</v>
      </c>
      <c r="V377" s="144" t="str">
        <f>IF(S377="year","",S377)</f>
        <v/>
      </c>
      <c r="W377" s="144" t="str">
        <f t="shared" si="36"/>
        <v/>
      </c>
      <c r="X377" s="144" t="str">
        <f t="shared" si="37"/>
        <v/>
      </c>
      <c r="Y377" s="144" t="str">
        <f>IF(V377="","",IF(W377="",(V377&amp;"/"&amp;"1"&amp;"/"&amp;"1"),IF(X377="",(V377&amp;"/"&amp;W377&amp;"/"&amp;"1"),(V377&amp;"/"&amp;W377&amp;"/"&amp;X377))))</f>
        <v/>
      </c>
      <c r="Z377" s="144" t="str">
        <f>IF(Y377="//","",Y377)</f>
        <v/>
      </c>
    </row>
    <row r="378" spans="2:26" ht="18" customHeight="1" x14ac:dyDescent="0.25">
      <c r="B378" s="441" t="s">
        <v>172</v>
      </c>
      <c r="C378" s="441"/>
      <c r="D378" s="444" t="str">
        <f>Z377</f>
        <v/>
      </c>
      <c r="E378" s="445"/>
      <c r="F378" s="444" t="str">
        <f>Z378</f>
        <v/>
      </c>
      <c r="G378" s="445"/>
      <c r="H378" s="446">
        <v>1</v>
      </c>
      <c r="I378" s="447"/>
      <c r="J378" s="450"/>
      <c r="K378" s="443"/>
      <c r="L378" s="206"/>
      <c r="M378" s="143" t="str">
        <f>Z376</f>
        <v/>
      </c>
      <c r="N378" s="126"/>
      <c r="O378" s="10"/>
      <c r="P378" s="146">
        <v>1</v>
      </c>
      <c r="Q378" s="146">
        <v>1</v>
      </c>
      <c r="R378" s="146">
        <v>1</v>
      </c>
      <c r="S378" s="144" t="str">
        <f>VLOOKUP(P378,'WORKINGS MATRIX'!$B$200:$C$351,2,FALSE)</f>
        <v>Year</v>
      </c>
      <c r="T378" s="144">
        <f t="shared" si="34"/>
        <v>0</v>
      </c>
      <c r="U378" s="144">
        <f t="shared" si="35"/>
        <v>0</v>
      </c>
      <c r="V378" s="144" t="str">
        <f>IF(S378="year","",S378)</f>
        <v/>
      </c>
      <c r="W378" s="144" t="str">
        <f t="shared" si="36"/>
        <v/>
      </c>
      <c r="X378" s="144" t="str">
        <f t="shared" si="37"/>
        <v/>
      </c>
      <c r="Y378" s="144" t="str">
        <f>IF(V378="","",IF(W378="",(V378&amp;"/"&amp;"1"&amp;"/"&amp;"1"),IF(X378="",(V378&amp;"/"&amp;W378&amp;"/"&amp;"1"),(V378&amp;"/"&amp;W378&amp;"/"&amp;X378))))</f>
        <v/>
      </c>
      <c r="Z378" s="144" t="str">
        <f>IF(Y378="//","",Y378)</f>
        <v/>
      </c>
    </row>
    <row r="379" spans="2:26" x14ac:dyDescent="0.25">
      <c r="N379" s="38"/>
      <c r="P379" s="144">
        <v>1</v>
      </c>
      <c r="Q379" s="144">
        <v>1</v>
      </c>
      <c r="R379" s="144">
        <v>1</v>
      </c>
      <c r="S379" s="144" t="str">
        <f>VLOOKUP(P379,'WORKINGS MATRIX'!$B$200:$C$351,2,FALSE)</f>
        <v>Year</v>
      </c>
      <c r="T379" s="144">
        <f t="shared" si="34"/>
        <v>0</v>
      </c>
      <c r="U379" s="144">
        <f t="shared" si="35"/>
        <v>0</v>
      </c>
      <c r="V379" s="144" t="str">
        <f>IF(S379="year","",S379)</f>
        <v/>
      </c>
      <c r="W379" s="144" t="str">
        <f t="shared" si="36"/>
        <v/>
      </c>
      <c r="X379" s="144" t="str">
        <f t="shared" si="37"/>
        <v/>
      </c>
      <c r="Y379" s="144" t="str">
        <f>IF(V379="","",IF(W379="",(V379&amp;"/"&amp;"1"&amp;"/"&amp;"1"),IF(X379="",(V379&amp;"/"&amp;W379&amp;"/"&amp;"1"),(V379&amp;"/"&amp;W379&amp;"/"&amp;X379))))</f>
        <v/>
      </c>
      <c r="Z379" s="144" t="str">
        <f>IF(Y379="//","",Y379)</f>
        <v/>
      </c>
    </row>
    <row r="380" spans="2:26" x14ac:dyDescent="0.25">
      <c r="M380" s="303" t="str">
        <f>IF(B341="","",IF(P376=1,"DATES INCORRECT OR INCOMPLETE - PLEASE CHECK",""))</f>
        <v/>
      </c>
      <c r="N380" s="38"/>
      <c r="P380" s="144"/>
      <c r="Q380" s="144"/>
      <c r="R380" s="144"/>
      <c r="S380" s="144"/>
      <c r="T380" s="144"/>
      <c r="U380" s="144"/>
      <c r="V380" s="144"/>
      <c r="W380" s="144"/>
      <c r="X380" s="144"/>
      <c r="Y380" s="144"/>
      <c r="Z380" s="144"/>
    </row>
    <row r="388" spans="2:13" x14ac:dyDescent="0.25">
      <c r="B388" t="s">
        <v>152</v>
      </c>
      <c r="D388" s="57"/>
      <c r="H388" s="58"/>
      <c r="K388" s="21"/>
    </row>
    <row r="389" spans="2:13" x14ac:dyDescent="0.25">
      <c r="B389" s="429"/>
      <c r="C389" s="430"/>
      <c r="D389" s="430"/>
      <c r="E389" s="430"/>
      <c r="F389" s="430"/>
      <c r="G389" s="430"/>
      <c r="H389" s="430"/>
      <c r="I389" s="430"/>
      <c r="J389" s="430"/>
      <c r="K389" s="430"/>
      <c r="L389" s="430"/>
      <c r="M389" s="431"/>
    </row>
    <row r="390" spans="2:13" x14ac:dyDescent="0.25">
      <c r="B390" s="432"/>
      <c r="C390" s="433"/>
      <c r="D390" s="433"/>
      <c r="E390" s="433"/>
      <c r="F390" s="433"/>
      <c r="G390" s="433"/>
      <c r="H390" s="433"/>
      <c r="I390" s="433"/>
      <c r="J390" s="433"/>
      <c r="K390" s="433"/>
      <c r="L390" s="433"/>
      <c r="M390" s="434"/>
    </row>
    <row r="391" spans="2:13" x14ac:dyDescent="0.25">
      <c r="B391" s="432"/>
      <c r="C391" s="433"/>
      <c r="D391" s="433"/>
      <c r="E391" s="433"/>
      <c r="F391" s="433"/>
      <c r="G391" s="433"/>
      <c r="H391" s="433"/>
      <c r="I391" s="433"/>
      <c r="J391" s="433"/>
      <c r="K391" s="433"/>
      <c r="L391" s="433"/>
      <c r="M391" s="434"/>
    </row>
    <row r="392" spans="2:13" x14ac:dyDescent="0.25">
      <c r="B392" s="435"/>
      <c r="C392" s="436"/>
      <c r="D392" s="436"/>
      <c r="E392" s="436"/>
      <c r="F392" s="436"/>
      <c r="G392" s="436"/>
      <c r="H392" s="436"/>
      <c r="I392" s="436"/>
      <c r="J392" s="436"/>
      <c r="K392" s="436"/>
      <c r="L392" s="436"/>
      <c r="M392" s="437"/>
    </row>
    <row r="393" spans="2:13" x14ac:dyDescent="0.25">
      <c r="B393" s="15"/>
      <c r="D393" s="57"/>
      <c r="H393" s="58"/>
      <c r="K393" s="21"/>
    </row>
    <row r="394" spans="2:13" x14ac:dyDescent="0.25">
      <c r="D394" s="57"/>
      <c r="H394" s="58"/>
      <c r="K394" s="21"/>
    </row>
    <row r="395" spans="2:13" x14ac:dyDescent="0.25">
      <c r="D395" s="57"/>
      <c r="H395" s="58"/>
      <c r="K395" s="21"/>
    </row>
    <row r="396" spans="2:13" x14ac:dyDescent="0.25">
      <c r="D396" s="57"/>
      <c r="E396" s="149"/>
      <c r="F396" s="149"/>
      <c r="G396" s="149"/>
      <c r="H396" s="149"/>
      <c r="I396" s="149"/>
      <c r="K396" s="21"/>
    </row>
    <row r="397" spans="2:13" x14ac:dyDescent="0.25">
      <c r="D397" s="57"/>
      <c r="E397" s="149"/>
      <c r="F397" s="149"/>
      <c r="G397" s="149"/>
      <c r="H397" s="149"/>
      <c r="I397" s="149"/>
      <c r="K397" s="438" t="s">
        <v>155</v>
      </c>
      <c r="L397" s="438"/>
      <c r="M397" s="438"/>
    </row>
    <row r="398" spans="2:13" x14ac:dyDescent="0.25">
      <c r="D398" s="57"/>
      <c r="H398" s="58"/>
      <c r="K398" s="438"/>
      <c r="L398" s="438"/>
      <c r="M398" s="438"/>
    </row>
    <row r="399" spans="2:13" x14ac:dyDescent="0.25">
      <c r="D399" s="57"/>
      <c r="E399" s="149"/>
      <c r="F399" s="149"/>
      <c r="G399" s="149"/>
      <c r="H399" s="149"/>
      <c r="I399" s="149"/>
      <c r="K399" s="438"/>
      <c r="L399" s="438"/>
      <c r="M399" s="438"/>
    </row>
    <row r="400" spans="2:13" x14ac:dyDescent="0.25">
      <c r="D400" s="57"/>
      <c r="E400" s="149"/>
      <c r="F400" s="149"/>
      <c r="G400" s="149"/>
      <c r="H400" s="149"/>
      <c r="I400" s="149"/>
      <c r="K400" s="438"/>
      <c r="L400" s="438"/>
      <c r="M400" s="438"/>
    </row>
    <row r="403" spans="2:2" x14ac:dyDescent="0.25">
      <c r="B403" s="24" t="s">
        <v>128</v>
      </c>
    </row>
    <row r="436" spans="2:33" ht="13.8" thickBot="1" x14ac:dyDescent="0.3">
      <c r="B436">
        <f>$D$1</f>
        <v>0</v>
      </c>
      <c r="C436" s="73" t="s">
        <v>128</v>
      </c>
      <c r="D436" s="25" t="s">
        <v>129</v>
      </c>
      <c r="P436" s="144"/>
      <c r="Q436" s="144"/>
      <c r="R436" s="144"/>
      <c r="S436" s="144"/>
      <c r="T436" s="144"/>
      <c r="U436" s="144"/>
      <c r="V436" s="144"/>
      <c r="W436" s="144"/>
      <c r="X436" s="144"/>
      <c r="Y436" s="144"/>
      <c r="Z436" s="144"/>
      <c r="AC436" s="158"/>
      <c r="AD436" s="158"/>
      <c r="AE436" s="158"/>
      <c r="AF436" s="158"/>
      <c r="AG436" s="158"/>
    </row>
    <row r="437" spans="2:33" ht="13.8" thickTop="1" x14ac:dyDescent="0.25">
      <c r="B437" s="27" t="s">
        <v>131</v>
      </c>
      <c r="C437" s="28"/>
      <c r="D437" s="29" t="s">
        <v>132</v>
      </c>
      <c r="E437" s="27" t="str">
        <f>J114</f>
        <v/>
      </c>
      <c r="F437" s="30" t="str">
        <f>IF(L114=0,"NOT REQUIRED", IF(L114="Man","MANAGERIAL POSITION","NON-MANAGERIAL POSITION"))</f>
        <v>NON-MANAGERIAL POSITION</v>
      </c>
      <c r="G437" s="28"/>
      <c r="H437" s="28"/>
      <c r="I437" s="31"/>
      <c r="J437" s="27"/>
      <c r="K437" s="28"/>
      <c r="L437" s="31" t="s">
        <v>133</v>
      </c>
      <c r="M437" s="28"/>
      <c r="N437" s="32"/>
      <c r="P437" s="144"/>
      <c r="Q437" s="144"/>
      <c r="R437" s="144"/>
      <c r="S437" s="144"/>
      <c r="T437" s="144"/>
      <c r="U437" s="144"/>
      <c r="V437" s="144"/>
      <c r="W437" s="144"/>
      <c r="X437" s="144"/>
      <c r="Y437" s="144"/>
      <c r="Z437" s="144"/>
      <c r="AC437" s="158"/>
      <c r="AD437" s="158"/>
      <c r="AE437" s="158"/>
      <c r="AF437" s="158"/>
      <c r="AG437" s="158"/>
    </row>
    <row r="438" spans="2:33" x14ac:dyDescent="0.25">
      <c r="E438" s="34"/>
      <c r="F438" s="35"/>
      <c r="G438" s="36"/>
      <c r="I438" s="10"/>
      <c r="J438" s="37"/>
      <c r="N438" s="38"/>
      <c r="P438" s="144"/>
      <c r="Q438" s="144"/>
      <c r="R438" s="144"/>
      <c r="S438" s="144"/>
      <c r="T438" s="144"/>
      <c r="U438" s="144"/>
      <c r="V438" s="144"/>
      <c r="W438" s="144"/>
      <c r="X438" s="144"/>
      <c r="Y438" s="144"/>
      <c r="Z438" s="144"/>
      <c r="AC438" s="158"/>
      <c r="AD438" s="158"/>
      <c r="AE438" s="158"/>
      <c r="AF438" s="158"/>
      <c r="AG438" s="158"/>
    </row>
    <row r="439" spans="2:33" x14ac:dyDescent="0.25">
      <c r="B439" t="s">
        <v>134</v>
      </c>
      <c r="L439" s="465" t="str">
        <f>$L$39</f>
        <v>X.002-218-2024(NT)&amp;N.004-116-2024(T)</v>
      </c>
      <c r="M439" s="465"/>
      <c r="N439" s="38"/>
      <c r="P439" s="144"/>
      <c r="Q439" s="144"/>
      <c r="R439" s="144"/>
      <c r="S439" s="144"/>
      <c r="T439" s="144"/>
      <c r="U439" s="144"/>
      <c r="V439" s="144"/>
      <c r="W439" s="144"/>
      <c r="X439" s="144"/>
      <c r="Y439" s="144"/>
      <c r="Z439" s="144"/>
      <c r="AC439" s="158"/>
      <c r="AD439" s="158"/>
      <c r="AE439" s="158"/>
      <c r="AF439" s="158"/>
      <c r="AG439" s="158"/>
    </row>
    <row r="440" spans="2:33" ht="28.5" customHeight="1" x14ac:dyDescent="0.25">
      <c r="B440" s="39" t="s">
        <v>135</v>
      </c>
      <c r="C440" s="40"/>
      <c r="D440" s="41"/>
      <c r="E440" s="427" t="s">
        <v>136</v>
      </c>
      <c r="F440" s="428"/>
      <c r="G440" s="39" t="s">
        <v>137</v>
      </c>
      <c r="H440" s="41"/>
      <c r="I440" s="39" t="s">
        <v>138</v>
      </c>
      <c r="J440" s="41"/>
      <c r="K440" s="42"/>
      <c r="L440" s="465"/>
      <c r="M440" s="465"/>
      <c r="N440" s="38"/>
      <c r="P440" s="144"/>
      <c r="Q440" s="144"/>
      <c r="R440" s="144"/>
      <c r="S440" s="144"/>
      <c r="T440" s="144"/>
      <c r="U440" s="144"/>
      <c r="V440" s="144"/>
      <c r="W440" s="144"/>
      <c r="X440" s="144"/>
      <c r="Y440" s="144"/>
      <c r="Z440" s="144"/>
      <c r="AC440" s="158"/>
      <c r="AD440" s="158"/>
      <c r="AE440" s="158"/>
      <c r="AF440" s="158"/>
      <c r="AG440" s="158"/>
    </row>
    <row r="441" spans="2:33" ht="18" customHeight="1" x14ac:dyDescent="0.25">
      <c r="B441" s="194"/>
      <c r="C441" s="195"/>
      <c r="D441" s="196"/>
      <c r="E441" s="425"/>
      <c r="F441" s="426"/>
      <c r="G441" s="43" t="str">
        <f>K114</f>
        <v/>
      </c>
      <c r="H441" s="44"/>
      <c r="I441" s="197"/>
      <c r="J441" s="198"/>
      <c r="K441" s="45"/>
      <c r="N441" s="38"/>
      <c r="P441" s="144">
        <v>1</v>
      </c>
      <c r="Q441" s="144">
        <v>1</v>
      </c>
      <c r="R441" s="144">
        <v>1</v>
      </c>
      <c r="S441" s="144" t="str">
        <f>VLOOKUP(P441,'WORKINGS MATRIX'!$H$200:$I$351,2,FALSE)</f>
        <v>Year</v>
      </c>
      <c r="T441" s="144">
        <f>Q441-1</f>
        <v>0</v>
      </c>
      <c r="U441" s="144">
        <f>R441-1</f>
        <v>0</v>
      </c>
      <c r="V441" s="144" t="str">
        <f>IF(S441="year","",S441)</f>
        <v/>
      </c>
      <c r="W441" s="144" t="str">
        <f>IF(T441=0,"",T441)</f>
        <v/>
      </c>
      <c r="X441" s="144" t="str">
        <f>IF(U441=0,"",U441)</f>
        <v/>
      </c>
      <c r="Y441" s="144" t="str">
        <f>IF(V441="","",IF(W441="",(V441&amp;"/"&amp;"1"&amp;"/"&amp;"1"),IF(X441="",(V441&amp;"/"&amp;W441&amp;"/"&amp;"1"),(V441&amp;"/"&amp;W441&amp;"/"&amp;X441))))</f>
        <v/>
      </c>
      <c r="Z441" s="144" t="str">
        <f>IF(Y441="//","",Y441)</f>
        <v/>
      </c>
      <c r="AC441" s="158"/>
      <c r="AD441" s="158"/>
      <c r="AE441" s="158"/>
      <c r="AF441" s="158"/>
      <c r="AG441" s="158"/>
    </row>
    <row r="442" spans="2:33" x14ac:dyDescent="0.25">
      <c r="E442" t="str">
        <f>IF(E441="","",IF(LEN(E441)=13,"","ID NUMBER SHOULD BE 13 DIGITS"))</f>
        <v/>
      </c>
      <c r="N442" s="38"/>
      <c r="P442" s="144"/>
      <c r="Q442" s="144"/>
      <c r="R442" s="144"/>
      <c r="S442" s="144"/>
      <c r="T442" s="144"/>
      <c r="U442" s="144"/>
      <c r="V442" s="144"/>
      <c r="W442" s="144"/>
      <c r="X442" s="144"/>
      <c r="Y442" s="144"/>
      <c r="Z442" s="144"/>
      <c r="AC442" s="158"/>
      <c r="AD442" s="158"/>
      <c r="AE442" s="158"/>
      <c r="AF442" s="158"/>
      <c r="AG442" s="158"/>
    </row>
    <row r="443" spans="2:33" x14ac:dyDescent="0.25">
      <c r="G443" s="170" t="str">
        <f>IF(AG446=0,"","DATES BEYOND TENDER CLOSING DATE - PLEASE CHECK")</f>
        <v/>
      </c>
      <c r="N443" s="38"/>
      <c r="P443" s="144"/>
      <c r="Q443" s="144"/>
      <c r="R443" s="144"/>
      <c r="S443" s="144"/>
      <c r="T443" s="144"/>
      <c r="U443" s="144"/>
      <c r="V443" s="144"/>
      <c r="W443" s="144"/>
      <c r="X443" s="144"/>
      <c r="Y443" s="144"/>
      <c r="Z443" s="144"/>
      <c r="AC443" s="158"/>
      <c r="AD443" s="158"/>
      <c r="AE443" s="158"/>
      <c r="AF443" s="158"/>
      <c r="AG443" s="158"/>
    </row>
    <row r="444" spans="2:33" x14ac:dyDescent="0.25">
      <c r="B444" t="s">
        <v>139</v>
      </c>
      <c r="G444" s="170" t="str">
        <f>IF(AE446=0,"","DATES INCORRECT OR INCOMPLETE - PLEASE CHECK")</f>
        <v/>
      </c>
      <c r="N444" s="38"/>
      <c r="P444" s="144"/>
      <c r="Q444" s="144"/>
      <c r="R444" s="144"/>
      <c r="S444" s="144"/>
      <c r="T444" s="144"/>
      <c r="U444" s="144"/>
      <c r="V444" s="144"/>
      <c r="W444" s="144"/>
      <c r="X444" s="144"/>
      <c r="Y444" s="144"/>
      <c r="Z444" s="144"/>
      <c r="AC444" s="158"/>
      <c r="AD444" s="158"/>
      <c r="AE444" s="158"/>
      <c r="AF444" s="158"/>
      <c r="AG444" s="158"/>
    </row>
    <row r="445" spans="2:33" x14ac:dyDescent="0.25">
      <c r="B445" s="15" t="s">
        <v>140</v>
      </c>
      <c r="N445" s="38"/>
      <c r="P445" s="144"/>
      <c r="Q445" s="144"/>
      <c r="R445" s="144"/>
      <c r="S445" s="144"/>
      <c r="T445" s="144"/>
      <c r="U445" s="144"/>
      <c r="V445" s="144"/>
      <c r="W445" s="144"/>
      <c r="X445" s="144"/>
      <c r="Y445" s="144"/>
      <c r="Z445" s="144"/>
      <c r="AC445" s="158"/>
      <c r="AD445" s="158"/>
      <c r="AE445" s="158"/>
      <c r="AF445" s="158"/>
      <c r="AG445" s="158"/>
    </row>
    <row r="446" spans="2:33" ht="66" x14ac:dyDescent="0.25">
      <c r="B446" s="47" t="s">
        <v>141</v>
      </c>
      <c r="C446" s="48" t="s">
        <v>142</v>
      </c>
      <c r="D446" s="44"/>
      <c r="E446" s="470" t="s">
        <v>143</v>
      </c>
      <c r="F446" s="471"/>
      <c r="G446" s="157" t="s">
        <v>144</v>
      </c>
      <c r="H446" s="157" t="s">
        <v>145</v>
      </c>
      <c r="I446" s="385" t="s">
        <v>146</v>
      </c>
      <c r="J446" s="49" t="s">
        <v>147</v>
      </c>
      <c r="K446" s="50" t="s">
        <v>148</v>
      </c>
      <c r="L446" s="385" t="s">
        <v>149</v>
      </c>
      <c r="M446" s="49" t="s">
        <v>150</v>
      </c>
      <c r="N446" s="51"/>
      <c r="O446" s="386"/>
      <c r="P446" s="147"/>
      <c r="Q446" s="144"/>
      <c r="R446" s="144"/>
      <c r="S446" s="145"/>
      <c r="T446" s="145"/>
      <c r="U446" s="145"/>
      <c r="V446" s="145"/>
      <c r="W446" s="145"/>
      <c r="X446" s="145"/>
      <c r="Y446" s="145"/>
      <c r="Z446" s="145"/>
      <c r="AC446" s="165"/>
      <c r="AD446" s="165"/>
      <c r="AE446" s="165">
        <f>SUM(AE447:AE451)</f>
        <v>0</v>
      </c>
      <c r="AF446" s="165"/>
      <c r="AG446" s="165">
        <f>SUM(AG447:AG451)</f>
        <v>0</v>
      </c>
    </row>
    <row r="447" spans="2:33" ht="25.5" customHeight="1" x14ac:dyDescent="0.25">
      <c r="B447" s="200"/>
      <c r="C447" s="53">
        <v>8</v>
      </c>
      <c r="D447" s="54"/>
      <c r="E447" s="55"/>
      <c r="F447" s="55">
        <v>1</v>
      </c>
      <c r="G447" s="143" t="str">
        <f>Z447</f>
        <v/>
      </c>
      <c r="H447" s="143" t="str">
        <f>Z452</f>
        <v/>
      </c>
      <c r="I447" s="202"/>
      <c r="J447" s="203"/>
      <c r="K447" s="56">
        <v>23</v>
      </c>
      <c r="L447" s="204"/>
      <c r="M447" s="205"/>
      <c r="N447" s="164">
        <f>IF(G447="",0,IF(H447="",0,(ROUND(((H447-G447)/30),0))))</f>
        <v>0</v>
      </c>
      <c r="O447" s="21"/>
      <c r="P447" s="148">
        <v>1</v>
      </c>
      <c r="Q447" s="144">
        <v>1</v>
      </c>
      <c r="R447" s="144">
        <v>1</v>
      </c>
      <c r="S447" s="144" t="str">
        <f>VLOOKUP(P447,'WORKINGS MATRIX'!$B$200:$C$351,2,FALSE)</f>
        <v>Year</v>
      </c>
      <c r="T447" s="144">
        <f t="shared" ref="T447:U451" si="38">Q447-1</f>
        <v>0</v>
      </c>
      <c r="U447" s="144">
        <f t="shared" si="38"/>
        <v>0</v>
      </c>
      <c r="V447" s="144" t="str">
        <f t="shared" ref="V447:V456" si="39">IF(S447="year","",S447)</f>
        <v/>
      </c>
      <c r="W447" s="144" t="str">
        <f t="shared" ref="W447:X451" si="40">IF(T447=0,"",T447)</f>
        <v/>
      </c>
      <c r="X447" s="144" t="str">
        <f t="shared" si="40"/>
        <v/>
      </c>
      <c r="Y447" s="144" t="str">
        <f t="shared" ref="Y447:Y456" si="41">IF(V447="","",IF(W447="",(V447&amp;"/"&amp;"1"&amp;"/"&amp;"1"),IF(X447="",(V447&amp;"/"&amp;W447&amp;"/"&amp;"1"),(V447&amp;"/"&amp;W447&amp;"/"&amp;X447))))</f>
        <v/>
      </c>
      <c r="Z447" s="144" t="str">
        <f t="shared" ref="Z447:Z456" si="42">IF(Y447="//","",Y447)</f>
        <v/>
      </c>
      <c r="AC447" s="172">
        <f>IF(B447="",0,1)</f>
        <v>0</v>
      </c>
      <c r="AD447" s="172">
        <f>IF(B447="",0,IF(N447&gt;0,1,IF(N447&lt;0,2,0)))</f>
        <v>0</v>
      </c>
      <c r="AE447" s="172">
        <f>IF(AC447=AD447,0,IF(AC447&gt;AD447,2,1))</f>
        <v>0</v>
      </c>
      <c r="AF447" s="172">
        <f>IF(B447="",0,IF(N447=0,0,H447-$F$125))</f>
        <v>0</v>
      </c>
      <c r="AG447" s="172">
        <f>IF(AF447&gt;0,1,0)</f>
        <v>0</v>
      </c>
    </row>
    <row r="448" spans="2:33" ht="25.5" customHeight="1" x14ac:dyDescent="0.25">
      <c r="B448" s="200"/>
      <c r="C448" s="53">
        <v>8</v>
      </c>
      <c r="D448" s="54"/>
      <c r="E448" s="55"/>
      <c r="F448" s="55">
        <v>1</v>
      </c>
      <c r="G448" s="143" t="str">
        <f>Z448</f>
        <v/>
      </c>
      <c r="H448" s="143" t="str">
        <f>Z453</f>
        <v/>
      </c>
      <c r="I448" s="202"/>
      <c r="J448" s="203"/>
      <c r="K448" s="56">
        <v>23</v>
      </c>
      <c r="L448" s="204"/>
      <c r="M448" s="205"/>
      <c r="N448" s="164">
        <f>IF(G448="",0,IF(H448="",0,(ROUND(((H448-G448)/30),0))))</f>
        <v>0</v>
      </c>
      <c r="O448" s="21"/>
      <c r="P448" s="148">
        <v>1</v>
      </c>
      <c r="Q448" s="144">
        <v>1</v>
      </c>
      <c r="R448" s="144">
        <v>1</v>
      </c>
      <c r="S448" s="144" t="str">
        <f>VLOOKUP(P448,'WORKINGS MATRIX'!$B$200:$C$351,2,FALSE)</f>
        <v>Year</v>
      </c>
      <c r="T448" s="144">
        <f t="shared" si="38"/>
        <v>0</v>
      </c>
      <c r="U448" s="144">
        <f t="shared" si="38"/>
        <v>0</v>
      </c>
      <c r="V448" s="144" t="str">
        <f t="shared" si="39"/>
        <v/>
      </c>
      <c r="W448" s="144" t="str">
        <f t="shared" si="40"/>
        <v/>
      </c>
      <c r="X448" s="144" t="str">
        <f t="shared" si="40"/>
        <v/>
      </c>
      <c r="Y448" s="144" t="str">
        <f t="shared" si="41"/>
        <v/>
      </c>
      <c r="Z448" s="144" t="str">
        <f t="shared" si="42"/>
        <v/>
      </c>
      <c r="AC448" s="172">
        <f>IF(B448="",0,1)</f>
        <v>0</v>
      </c>
      <c r="AD448" s="172">
        <f>IF(B448="",0,IF(N448&gt;0,1,IF(N448&lt;0,2,0)))</f>
        <v>0</v>
      </c>
      <c r="AE448" s="172">
        <f>IF(AC448=AD448,0,IF(AC448&gt;AD448,2,1))</f>
        <v>0</v>
      </c>
      <c r="AF448" s="172">
        <f>IF(B448="",0,IF(N448=0,0,H448-$F$125))</f>
        <v>0</v>
      </c>
      <c r="AG448" s="172">
        <f>IF(AF448&gt;0,1,0)</f>
        <v>0</v>
      </c>
    </row>
    <row r="449" spans="2:33" ht="25.5" customHeight="1" x14ac:dyDescent="0.25">
      <c r="B449" s="200"/>
      <c r="C449" s="53">
        <v>8</v>
      </c>
      <c r="D449" s="54"/>
      <c r="E449" s="55"/>
      <c r="F449" s="55">
        <v>1</v>
      </c>
      <c r="G449" s="143" t="str">
        <f>Z449</f>
        <v/>
      </c>
      <c r="H449" s="143" t="str">
        <f>Z454</f>
        <v/>
      </c>
      <c r="I449" s="202"/>
      <c r="J449" s="203"/>
      <c r="K449" s="56">
        <v>23</v>
      </c>
      <c r="L449" s="204"/>
      <c r="M449" s="205"/>
      <c r="N449" s="164">
        <f>IF(G449="",0,IF(H449="",0,(ROUND(((H449-G449)/30),0))))</f>
        <v>0</v>
      </c>
      <c r="O449" s="21"/>
      <c r="P449" s="148">
        <v>1</v>
      </c>
      <c r="Q449" s="144">
        <v>1</v>
      </c>
      <c r="R449" s="144">
        <v>1</v>
      </c>
      <c r="S449" s="144" t="str">
        <f>VLOOKUP(P449,'WORKINGS MATRIX'!$B$200:$C$351,2,FALSE)</f>
        <v>Year</v>
      </c>
      <c r="T449" s="144">
        <f t="shared" si="38"/>
        <v>0</v>
      </c>
      <c r="U449" s="144">
        <f t="shared" si="38"/>
        <v>0</v>
      </c>
      <c r="V449" s="144" t="str">
        <f t="shared" si="39"/>
        <v/>
      </c>
      <c r="W449" s="144" t="str">
        <f t="shared" si="40"/>
        <v/>
      </c>
      <c r="X449" s="144" t="str">
        <f t="shared" si="40"/>
        <v/>
      </c>
      <c r="Y449" s="144" t="str">
        <f t="shared" si="41"/>
        <v/>
      </c>
      <c r="Z449" s="144" t="str">
        <f t="shared" si="42"/>
        <v/>
      </c>
      <c r="AC449" s="172">
        <f>IF(B449="",0,1)</f>
        <v>0</v>
      </c>
      <c r="AD449" s="172">
        <f>IF(B449="",0,IF(N449&gt;0,1,IF(N449&lt;0,2,0)))</f>
        <v>0</v>
      </c>
      <c r="AE449" s="172">
        <f>IF(AC449=AD449,0,IF(AC449&gt;AD449,2,1))</f>
        <v>0</v>
      </c>
      <c r="AF449" s="172">
        <f>IF(B449="",0,IF(N449=0,0,H449-$F$125))</f>
        <v>0</v>
      </c>
      <c r="AG449" s="172">
        <f>IF(AF449&gt;0,1,0)</f>
        <v>0</v>
      </c>
    </row>
    <row r="450" spans="2:33" ht="25.5" customHeight="1" x14ac:dyDescent="0.25">
      <c r="B450" s="255"/>
      <c r="C450" s="255"/>
      <c r="D450" s="255"/>
      <c r="E450" s="255"/>
      <c r="F450" s="255"/>
      <c r="G450" s="255"/>
      <c r="H450" s="255"/>
      <c r="I450" s="255"/>
      <c r="J450" s="255"/>
      <c r="K450" s="255"/>
      <c r="L450" s="255"/>
      <c r="M450" s="255"/>
      <c r="N450" s="164">
        <f>IF(G450="",0,IF(H450="",0,(ROUND(((H450-G450)/30),0))))</f>
        <v>0</v>
      </c>
      <c r="O450" s="21"/>
      <c r="P450" s="148">
        <v>1</v>
      </c>
      <c r="Q450" s="144">
        <v>1</v>
      </c>
      <c r="R450" s="144">
        <v>1</v>
      </c>
      <c r="S450" s="144" t="str">
        <f>VLOOKUP(P450,'WORKINGS MATRIX'!$B$200:$C$351,2,FALSE)</f>
        <v>Year</v>
      </c>
      <c r="T450" s="144">
        <f t="shared" si="38"/>
        <v>0</v>
      </c>
      <c r="U450" s="144">
        <f t="shared" si="38"/>
        <v>0</v>
      </c>
      <c r="V450" s="144" t="str">
        <f t="shared" si="39"/>
        <v/>
      </c>
      <c r="W450" s="144" t="str">
        <f t="shared" si="40"/>
        <v/>
      </c>
      <c r="X450" s="144" t="str">
        <f t="shared" si="40"/>
        <v/>
      </c>
      <c r="Y450" s="144" t="str">
        <f t="shared" si="41"/>
        <v/>
      </c>
      <c r="Z450" s="144" t="str">
        <f t="shared" si="42"/>
        <v/>
      </c>
      <c r="AC450" s="172">
        <f>IF(B450="",0,1)</f>
        <v>0</v>
      </c>
      <c r="AD450" s="172">
        <f>IF(B450="",0,IF(N450&gt;0,1,IF(N450&lt;0,2,0)))</f>
        <v>0</v>
      </c>
      <c r="AE450" s="172">
        <f>IF(AC450=AD450,0,IF(AC450&gt;AD450,2,1))</f>
        <v>0</v>
      </c>
      <c r="AF450" s="172">
        <f>IF(B450="",0,IF(N450=0,0,H450-$F$125))</f>
        <v>0</v>
      </c>
      <c r="AG450" s="172">
        <f>IF(AF450&gt;0,1,0)</f>
        <v>0</v>
      </c>
    </row>
    <row r="451" spans="2:33" ht="25.5" customHeight="1" x14ac:dyDescent="0.25">
      <c r="B451" s="149"/>
      <c r="C451" s="149"/>
      <c r="D451" s="149"/>
      <c r="E451" s="149"/>
      <c r="F451" s="149"/>
      <c r="G451" s="149"/>
      <c r="H451" s="149"/>
      <c r="I451" s="149"/>
      <c r="J451" s="149"/>
      <c r="K451" s="149"/>
      <c r="L451" s="149"/>
      <c r="M451" s="149"/>
      <c r="N451" s="164">
        <f>IF(G451="",0,IF(H451="",0,(ROUND(((H451-G451)/30),0))))</f>
        <v>0</v>
      </c>
      <c r="O451" s="21"/>
      <c r="P451" s="148">
        <v>1</v>
      </c>
      <c r="Q451" s="144">
        <v>1</v>
      </c>
      <c r="R451" s="144">
        <v>1</v>
      </c>
      <c r="S451" s="144" t="str">
        <f>VLOOKUP(P451,'WORKINGS MATRIX'!$B$200:$C$351,2,FALSE)</f>
        <v>Year</v>
      </c>
      <c r="T451" s="144">
        <f t="shared" si="38"/>
        <v>0</v>
      </c>
      <c r="U451" s="144">
        <f t="shared" si="38"/>
        <v>0</v>
      </c>
      <c r="V451" s="144" t="str">
        <f t="shared" si="39"/>
        <v/>
      </c>
      <c r="W451" s="144" t="str">
        <f t="shared" si="40"/>
        <v/>
      </c>
      <c r="X451" s="144" t="str">
        <f t="shared" si="40"/>
        <v/>
      </c>
      <c r="Y451" s="144" t="str">
        <f t="shared" si="41"/>
        <v/>
      </c>
      <c r="Z451" s="144" t="str">
        <f t="shared" si="42"/>
        <v/>
      </c>
      <c r="AC451" s="172">
        <f>IF(B451="",0,1)</f>
        <v>0</v>
      </c>
      <c r="AD451" s="172">
        <f>IF(B451="",0,IF(N451&gt;0,1,IF(N451&lt;0,2,0)))</f>
        <v>0</v>
      </c>
      <c r="AE451" s="172">
        <f>IF(AC451=AD451,0,IF(AC451&gt;AD451,2,1))</f>
        <v>0</v>
      </c>
      <c r="AF451" s="172">
        <f>IF(B451="",0,IF(N451=0,0,H451-$F$125))</f>
        <v>0</v>
      </c>
      <c r="AG451" s="172">
        <f>IF(AF451&gt;0,1,0)</f>
        <v>0</v>
      </c>
    </row>
    <row r="452" spans="2:33" x14ac:dyDescent="0.25">
      <c r="D452" s="57"/>
      <c r="H452" s="58"/>
      <c r="K452" s="21"/>
      <c r="N452" s="38"/>
      <c r="O452" s="58"/>
      <c r="P452" s="134">
        <v>1</v>
      </c>
      <c r="Q452" s="144">
        <v>1</v>
      </c>
      <c r="R452" s="144">
        <v>1</v>
      </c>
      <c r="S452" s="144" t="str">
        <f>VLOOKUP(P452,'WORKINGS MATRIX'!$B$200:$C$351,2,FALSE)</f>
        <v>Year</v>
      </c>
      <c r="T452" s="144">
        <f t="shared" ref="T452:U456" si="43">Q452-1</f>
        <v>0</v>
      </c>
      <c r="U452" s="144">
        <f t="shared" si="43"/>
        <v>0</v>
      </c>
      <c r="V452" s="144" t="str">
        <f t="shared" si="39"/>
        <v/>
      </c>
      <c r="W452" s="144" t="str">
        <f t="shared" ref="W452:X456" si="44">IF(T452=0,"",T452)</f>
        <v/>
      </c>
      <c r="X452" s="144" t="str">
        <f t="shared" si="44"/>
        <v/>
      </c>
      <c r="Y452" s="144" t="str">
        <f t="shared" si="41"/>
        <v/>
      </c>
      <c r="Z452" s="144" t="str">
        <f t="shared" si="42"/>
        <v/>
      </c>
      <c r="AC452" s="158"/>
      <c r="AD452" s="158"/>
      <c r="AE452" s="158"/>
      <c r="AF452" s="158"/>
      <c r="AG452" s="158"/>
    </row>
    <row r="453" spans="2:33" ht="12.75" customHeight="1" x14ac:dyDescent="0.25">
      <c r="B453" t="s">
        <v>152</v>
      </c>
      <c r="D453" s="57"/>
      <c r="H453" s="58"/>
      <c r="K453" s="21"/>
      <c r="N453" s="38"/>
      <c r="O453" s="58"/>
      <c r="P453" s="144">
        <v>1</v>
      </c>
      <c r="Q453" s="144">
        <v>1</v>
      </c>
      <c r="R453" s="144">
        <v>1</v>
      </c>
      <c r="S453" s="144" t="str">
        <f>VLOOKUP(P453,'WORKINGS MATRIX'!$B$200:$C$351,2,FALSE)</f>
        <v>Year</v>
      </c>
      <c r="T453" s="144">
        <f t="shared" si="43"/>
        <v>0</v>
      </c>
      <c r="U453" s="144">
        <f t="shared" si="43"/>
        <v>0</v>
      </c>
      <c r="V453" s="144" t="str">
        <f t="shared" si="39"/>
        <v/>
      </c>
      <c r="W453" s="144" t="str">
        <f t="shared" si="44"/>
        <v/>
      </c>
      <c r="X453" s="144" t="str">
        <f t="shared" si="44"/>
        <v/>
      </c>
      <c r="Y453" s="144" t="str">
        <f t="shared" si="41"/>
        <v/>
      </c>
      <c r="Z453" s="144" t="str">
        <f t="shared" si="42"/>
        <v/>
      </c>
      <c r="AC453" s="158"/>
      <c r="AD453" s="158"/>
      <c r="AE453" s="158"/>
      <c r="AF453" s="158"/>
      <c r="AG453" s="158"/>
    </row>
    <row r="454" spans="2:33" x14ac:dyDescent="0.25">
      <c r="B454" s="429"/>
      <c r="C454" s="430"/>
      <c r="D454" s="430"/>
      <c r="E454" s="430"/>
      <c r="F454" s="430"/>
      <c r="G454" s="430"/>
      <c r="H454" s="430"/>
      <c r="I454" s="430"/>
      <c r="J454" s="430"/>
      <c r="K454" s="430"/>
      <c r="L454" s="430"/>
      <c r="M454" s="431"/>
      <c r="N454" s="38"/>
      <c r="O454" s="58"/>
      <c r="P454" s="144">
        <v>1</v>
      </c>
      <c r="Q454" s="144">
        <v>1</v>
      </c>
      <c r="R454" s="144">
        <v>1</v>
      </c>
      <c r="S454" s="144" t="str">
        <f>VLOOKUP(P454,'WORKINGS MATRIX'!$B$200:$C$351,2,FALSE)</f>
        <v>Year</v>
      </c>
      <c r="T454" s="144">
        <f t="shared" si="43"/>
        <v>0</v>
      </c>
      <c r="U454" s="144">
        <f t="shared" si="43"/>
        <v>0</v>
      </c>
      <c r="V454" s="144" t="str">
        <f t="shared" si="39"/>
        <v/>
      </c>
      <c r="W454" s="144" t="str">
        <f t="shared" si="44"/>
        <v/>
      </c>
      <c r="X454" s="144" t="str">
        <f t="shared" si="44"/>
        <v/>
      </c>
      <c r="Y454" s="144" t="str">
        <f t="shared" si="41"/>
        <v/>
      </c>
      <c r="Z454" s="144" t="str">
        <f t="shared" si="42"/>
        <v/>
      </c>
      <c r="AC454" s="158"/>
      <c r="AD454" s="158"/>
      <c r="AE454" s="158"/>
      <c r="AF454" s="158"/>
      <c r="AG454" s="158"/>
    </row>
    <row r="455" spans="2:33" x14ac:dyDescent="0.25">
      <c r="B455" s="432"/>
      <c r="C455" s="433"/>
      <c r="D455" s="433"/>
      <c r="E455" s="433"/>
      <c r="F455" s="433"/>
      <c r="G455" s="433"/>
      <c r="H455" s="433"/>
      <c r="I455" s="433"/>
      <c r="J455" s="433"/>
      <c r="K455" s="433"/>
      <c r="L455" s="433"/>
      <c r="M455" s="434"/>
      <c r="N455" s="38"/>
      <c r="O455" s="58"/>
      <c r="P455" s="144">
        <v>1</v>
      </c>
      <c r="Q455" s="144">
        <v>1</v>
      </c>
      <c r="R455" s="144">
        <v>1</v>
      </c>
      <c r="S455" s="144" t="str">
        <f>VLOOKUP(P455,'WORKINGS MATRIX'!$B$200:$C$351,2,FALSE)</f>
        <v>Year</v>
      </c>
      <c r="T455" s="144">
        <f t="shared" si="43"/>
        <v>0</v>
      </c>
      <c r="U455" s="144">
        <f t="shared" si="43"/>
        <v>0</v>
      </c>
      <c r="V455" s="144" t="str">
        <f t="shared" si="39"/>
        <v/>
      </c>
      <c r="W455" s="144" t="str">
        <f t="shared" si="44"/>
        <v/>
      </c>
      <c r="X455" s="144" t="str">
        <f t="shared" si="44"/>
        <v/>
      </c>
      <c r="Y455" s="144" t="str">
        <f t="shared" si="41"/>
        <v/>
      </c>
      <c r="Z455" s="144" t="str">
        <f t="shared" si="42"/>
        <v/>
      </c>
      <c r="AC455" s="158"/>
      <c r="AD455" s="158"/>
      <c r="AE455" s="158"/>
      <c r="AF455" s="158"/>
      <c r="AG455" s="158"/>
    </row>
    <row r="456" spans="2:33" x14ac:dyDescent="0.25">
      <c r="B456" s="432"/>
      <c r="C456" s="433"/>
      <c r="D456" s="433"/>
      <c r="E456" s="433"/>
      <c r="F456" s="433"/>
      <c r="G456" s="433"/>
      <c r="H456" s="433"/>
      <c r="I456" s="433"/>
      <c r="J456" s="433"/>
      <c r="K456" s="433"/>
      <c r="L456" s="433"/>
      <c r="M456" s="434"/>
      <c r="N456" s="38"/>
      <c r="O456" s="58"/>
      <c r="P456" s="144">
        <v>1</v>
      </c>
      <c r="Q456" s="144">
        <v>1</v>
      </c>
      <c r="R456" s="144">
        <v>1</v>
      </c>
      <c r="S456" s="144" t="str">
        <f>VLOOKUP(P456,'WORKINGS MATRIX'!$B$200:$C$351,2,FALSE)</f>
        <v>Year</v>
      </c>
      <c r="T456" s="144">
        <f t="shared" si="43"/>
        <v>0</v>
      </c>
      <c r="U456" s="144">
        <f t="shared" si="43"/>
        <v>0</v>
      </c>
      <c r="V456" s="144" t="str">
        <f t="shared" si="39"/>
        <v/>
      </c>
      <c r="W456" s="144" t="str">
        <f t="shared" si="44"/>
        <v/>
      </c>
      <c r="X456" s="144" t="str">
        <f t="shared" si="44"/>
        <v/>
      </c>
      <c r="Y456" s="144" t="str">
        <f t="shared" si="41"/>
        <v/>
      </c>
      <c r="Z456" s="144" t="str">
        <f t="shared" si="42"/>
        <v/>
      </c>
      <c r="AC456" s="158"/>
      <c r="AD456" s="158"/>
      <c r="AE456" s="158"/>
      <c r="AF456" s="158"/>
      <c r="AG456" s="158"/>
    </row>
    <row r="457" spans="2:33" x14ac:dyDescent="0.25">
      <c r="B457" s="435"/>
      <c r="C457" s="436"/>
      <c r="D457" s="436"/>
      <c r="E457" s="436"/>
      <c r="F457" s="436"/>
      <c r="G457" s="436"/>
      <c r="H457" s="436"/>
      <c r="I457" s="436"/>
      <c r="J457" s="436"/>
      <c r="K457" s="436"/>
      <c r="L457" s="436"/>
      <c r="M457" s="437"/>
      <c r="N457" s="38"/>
      <c r="O457" s="58"/>
      <c r="P457" s="144"/>
      <c r="Q457" s="144"/>
      <c r="R457" s="144"/>
      <c r="S457" s="144"/>
      <c r="T457" s="144"/>
      <c r="U457" s="144"/>
      <c r="V457" s="144"/>
      <c r="W457" s="144"/>
      <c r="X457" s="144"/>
      <c r="Y457" s="144"/>
      <c r="Z457" s="144"/>
      <c r="AC457" s="158"/>
      <c r="AD457" s="158"/>
      <c r="AE457" s="158"/>
      <c r="AF457" s="158"/>
      <c r="AG457" s="158"/>
    </row>
    <row r="458" spans="2:33" x14ac:dyDescent="0.25">
      <c r="B458" s="15" t="s">
        <v>153</v>
      </c>
      <c r="D458" s="57"/>
      <c r="H458" s="58"/>
      <c r="K458" s="21"/>
      <c r="N458" s="38"/>
      <c r="O458" s="58"/>
      <c r="P458" s="144"/>
      <c r="Q458" s="144"/>
      <c r="R458" s="144"/>
      <c r="S458" s="144"/>
      <c r="T458" s="144"/>
      <c r="U458" s="144"/>
      <c r="V458" s="144"/>
      <c r="W458" s="144"/>
      <c r="X458" s="144"/>
      <c r="Y458" s="144"/>
      <c r="Z458" s="144"/>
      <c r="AC458" s="158"/>
      <c r="AD458" s="158"/>
      <c r="AE458" s="158"/>
      <c r="AF458" s="158"/>
      <c r="AG458" s="158"/>
    </row>
    <row r="459" spans="2:33" x14ac:dyDescent="0.25">
      <c r="B459" s="15" t="s">
        <v>154</v>
      </c>
      <c r="D459" s="57"/>
      <c r="H459" s="58"/>
      <c r="K459" s="21"/>
      <c r="N459" s="38"/>
      <c r="O459" s="58"/>
      <c r="P459" s="144"/>
      <c r="Q459" s="144"/>
      <c r="R459" s="144"/>
      <c r="S459" s="144"/>
      <c r="T459" s="144"/>
      <c r="U459" s="144"/>
      <c r="V459" s="144"/>
      <c r="W459" s="144"/>
      <c r="X459" s="144"/>
      <c r="Y459" s="144"/>
      <c r="Z459" s="144"/>
      <c r="AC459" s="158"/>
      <c r="AD459" s="158"/>
      <c r="AE459" s="158"/>
      <c r="AF459" s="158"/>
      <c r="AG459" s="158"/>
    </row>
    <row r="460" spans="2:33" x14ac:dyDescent="0.25">
      <c r="D460" s="57"/>
      <c r="H460" s="58"/>
      <c r="K460" s="21"/>
      <c r="N460" s="38"/>
      <c r="O460" s="58"/>
      <c r="P460" s="144"/>
      <c r="Q460" s="144"/>
      <c r="R460" s="144"/>
      <c r="S460" s="144"/>
      <c r="T460" s="144"/>
      <c r="U460" s="144"/>
      <c r="V460" s="144"/>
      <c r="W460" s="144"/>
      <c r="X460" s="144"/>
      <c r="Y460" s="144"/>
      <c r="Z460" s="144"/>
      <c r="AC460" s="158"/>
      <c r="AD460" s="158"/>
      <c r="AE460" s="158"/>
      <c r="AF460" s="158"/>
      <c r="AG460" s="158"/>
    </row>
    <row r="461" spans="2:33" x14ac:dyDescent="0.25">
      <c r="D461" s="57"/>
      <c r="E461" s="149"/>
      <c r="F461" s="149"/>
      <c r="G461" s="149"/>
      <c r="H461" s="149"/>
      <c r="I461" s="149"/>
      <c r="K461" s="21"/>
      <c r="N461" s="38"/>
      <c r="O461" s="58"/>
      <c r="P461" s="144"/>
      <c r="Q461" s="144"/>
      <c r="R461" s="144"/>
      <c r="S461" s="144"/>
      <c r="T461" s="144"/>
      <c r="U461" s="144"/>
      <c r="V461" s="144"/>
      <c r="W461" s="144"/>
      <c r="X461" s="144"/>
      <c r="Y461" s="144"/>
      <c r="Z461" s="144"/>
      <c r="AC461" s="158"/>
      <c r="AD461" s="158"/>
      <c r="AE461" s="158"/>
      <c r="AF461" s="158"/>
      <c r="AG461" s="158"/>
    </row>
    <row r="462" spans="2:33" x14ac:dyDescent="0.25">
      <c r="D462" s="57"/>
      <c r="E462" s="149"/>
      <c r="F462" s="149"/>
      <c r="G462" s="149"/>
      <c r="H462" s="149"/>
      <c r="I462" s="149"/>
      <c r="K462" s="438" t="s">
        <v>155</v>
      </c>
      <c r="L462" s="438"/>
      <c r="M462" s="438"/>
      <c r="N462" s="38"/>
      <c r="O462" s="58"/>
      <c r="P462" s="144"/>
      <c r="Q462" s="144"/>
      <c r="R462" s="144"/>
      <c r="S462" s="144"/>
      <c r="T462" s="144"/>
      <c r="U462" s="144"/>
      <c r="V462" s="144"/>
      <c r="W462" s="144"/>
      <c r="X462" s="144"/>
      <c r="Y462" s="144"/>
      <c r="Z462" s="144"/>
      <c r="AC462" s="158"/>
      <c r="AD462" s="158"/>
      <c r="AE462" s="158"/>
      <c r="AF462" s="158"/>
      <c r="AG462" s="158"/>
    </row>
    <row r="463" spans="2:33" x14ac:dyDescent="0.25">
      <c r="D463" s="57"/>
      <c r="H463" s="58"/>
      <c r="K463" s="438"/>
      <c r="L463" s="438"/>
      <c r="M463" s="438"/>
      <c r="N463" s="38"/>
      <c r="O463" s="58"/>
      <c r="P463" s="144"/>
      <c r="Q463" s="144"/>
      <c r="R463" s="144"/>
      <c r="S463" s="144"/>
      <c r="T463" s="144"/>
      <c r="U463" s="144"/>
      <c r="V463" s="144"/>
      <c r="W463" s="144"/>
      <c r="X463" s="144"/>
      <c r="Y463" s="144"/>
      <c r="Z463" s="144"/>
      <c r="AC463" s="158"/>
      <c r="AD463" s="158"/>
      <c r="AE463" s="158"/>
      <c r="AF463" s="158"/>
      <c r="AG463" s="158"/>
    </row>
    <row r="464" spans="2:33" x14ac:dyDescent="0.25">
      <c r="D464" s="57"/>
      <c r="E464" s="149"/>
      <c r="F464" s="149"/>
      <c r="G464" s="149"/>
      <c r="H464" s="149"/>
      <c r="I464" s="149"/>
      <c r="K464" s="438"/>
      <c r="L464" s="438"/>
      <c r="M464" s="438"/>
      <c r="N464" s="38"/>
      <c r="O464" s="58"/>
      <c r="P464" s="144"/>
      <c r="Q464" s="144"/>
      <c r="R464" s="144"/>
      <c r="S464" s="144"/>
      <c r="T464" s="144"/>
      <c r="U464" s="144"/>
      <c r="V464" s="144"/>
      <c r="W464" s="144"/>
      <c r="X464" s="144"/>
      <c r="Y464" s="144"/>
      <c r="Z464" s="144"/>
      <c r="AC464" s="158"/>
      <c r="AD464" s="158"/>
      <c r="AE464" s="158"/>
      <c r="AF464" s="158"/>
      <c r="AG464" s="158"/>
    </row>
    <row r="465" spans="2:26" x14ac:dyDescent="0.25">
      <c r="D465" s="57"/>
      <c r="E465" s="149"/>
      <c r="F465" s="149"/>
      <c r="G465" s="149"/>
      <c r="H465" s="149"/>
      <c r="I465" s="149"/>
      <c r="K465" s="438"/>
      <c r="L465" s="438"/>
      <c r="M465" s="438"/>
      <c r="N465" s="38"/>
      <c r="O465" s="58"/>
      <c r="P465" s="144"/>
      <c r="Q465" s="144"/>
      <c r="R465" s="144"/>
      <c r="S465" s="144"/>
      <c r="T465" s="144"/>
      <c r="U465" s="144"/>
      <c r="V465" s="144"/>
      <c r="W465" s="144"/>
      <c r="X465" s="144"/>
      <c r="Y465" s="144"/>
      <c r="Z465" s="144"/>
    </row>
    <row r="466" spans="2:26" ht="13.8" thickBot="1" x14ac:dyDescent="0.3">
      <c r="B466" s="60"/>
      <c r="C466" s="60"/>
      <c r="D466" s="61"/>
      <c r="E466" s="60"/>
      <c r="F466" s="60"/>
      <c r="G466" s="60"/>
      <c r="H466" s="62"/>
      <c r="I466" s="60"/>
      <c r="J466" s="60"/>
      <c r="K466" s="63"/>
      <c r="L466" s="60"/>
      <c r="M466" s="60"/>
      <c r="N466" s="64"/>
      <c r="O466" s="58"/>
      <c r="P466" s="144"/>
      <c r="Q466" s="144"/>
      <c r="R466" s="144"/>
      <c r="S466" s="144"/>
      <c r="T466" s="144"/>
      <c r="U466" s="144"/>
      <c r="V466" s="144"/>
      <c r="W466" s="144"/>
      <c r="X466" s="144"/>
      <c r="Y466" s="144"/>
      <c r="Z466" s="144"/>
    </row>
    <row r="467" spans="2:26" ht="14.4" thickTop="1" thickBot="1" x14ac:dyDescent="0.3">
      <c r="D467" s="57"/>
      <c r="H467" s="58"/>
      <c r="K467" s="21"/>
      <c r="O467" s="58"/>
      <c r="P467" s="144"/>
      <c r="Q467" s="144"/>
      <c r="R467" s="144"/>
      <c r="S467" s="144"/>
      <c r="T467" s="144"/>
      <c r="U467" s="144"/>
      <c r="V467" s="144"/>
      <c r="W467" s="144"/>
      <c r="X467" s="144"/>
      <c r="Y467" s="144"/>
      <c r="Z467" s="144"/>
    </row>
    <row r="468" spans="2:26" ht="13.8" thickTop="1" x14ac:dyDescent="0.25">
      <c r="B468" s="27" t="s">
        <v>156</v>
      </c>
      <c r="C468" s="29"/>
      <c r="D468" s="28"/>
      <c r="E468" s="65"/>
      <c r="F468" s="65"/>
      <c r="G468" s="65"/>
      <c r="H468" s="28"/>
      <c r="I468" s="28"/>
      <c r="J468" s="28"/>
      <c r="K468" s="28"/>
      <c r="L468" s="31" t="s">
        <v>157</v>
      </c>
      <c r="M468" s="28"/>
      <c r="N468" s="32"/>
      <c r="P468" s="144"/>
      <c r="Q468" s="144"/>
      <c r="R468" s="144"/>
      <c r="S468" s="144"/>
      <c r="T468" s="144"/>
      <c r="U468" s="144"/>
      <c r="V468" s="144"/>
      <c r="W468" s="144"/>
      <c r="X468" s="144"/>
      <c r="Y468" s="144"/>
      <c r="Z468" s="144"/>
    </row>
    <row r="469" spans="2:26" x14ac:dyDescent="0.25">
      <c r="E469" s="134">
        <v>5</v>
      </c>
      <c r="F469" s="12"/>
      <c r="N469" s="38"/>
      <c r="P469" s="144"/>
      <c r="Q469" s="144"/>
      <c r="R469" s="144"/>
      <c r="S469" s="144"/>
      <c r="T469" s="144"/>
      <c r="U469" s="144"/>
      <c r="V469" s="144"/>
      <c r="W469" s="144"/>
      <c r="X469" s="144"/>
      <c r="Y469" s="144"/>
      <c r="Z469" s="144"/>
    </row>
    <row r="470" spans="2:26" x14ac:dyDescent="0.25">
      <c r="B470" t="s">
        <v>134</v>
      </c>
      <c r="L470" s="465" t="str">
        <f>$L$39</f>
        <v>X.002-218-2024(NT)&amp;N.004-116-2024(T)</v>
      </c>
      <c r="M470" s="465"/>
      <c r="N470" s="38"/>
      <c r="P470" s="144"/>
      <c r="Q470" s="144"/>
      <c r="R470" s="144"/>
      <c r="S470" s="144"/>
      <c r="T470" s="144"/>
      <c r="U470" s="144"/>
      <c r="V470" s="144"/>
      <c r="W470" s="144"/>
      <c r="X470" s="144"/>
      <c r="Y470" s="144"/>
      <c r="Z470" s="144"/>
    </row>
    <row r="471" spans="2:26" x14ac:dyDescent="0.25">
      <c r="B471" s="39" t="s">
        <v>135</v>
      </c>
      <c r="C471" s="40"/>
      <c r="D471" s="41"/>
      <c r="E471" s="448" t="s">
        <v>158</v>
      </c>
      <c r="F471" s="449"/>
      <c r="G471" s="466" t="s">
        <v>159</v>
      </c>
      <c r="H471" s="449"/>
      <c r="L471" s="465"/>
      <c r="M471" s="465"/>
      <c r="N471" s="38"/>
      <c r="P471" s="144"/>
      <c r="Q471" s="144"/>
      <c r="R471" s="144"/>
      <c r="S471" s="144"/>
      <c r="T471" s="144"/>
      <c r="U471" s="144"/>
      <c r="V471" s="144"/>
      <c r="W471" s="144"/>
      <c r="X471" s="144"/>
      <c r="Y471" s="144"/>
      <c r="Z471" s="144"/>
    </row>
    <row r="472" spans="2:26" ht="16.5" customHeight="1" x14ac:dyDescent="0.25">
      <c r="B472" s="66">
        <f>B441</f>
        <v>0</v>
      </c>
      <c r="C472" s="67"/>
      <c r="D472" s="68"/>
      <c r="E472" s="441" t="str">
        <f>G441</f>
        <v/>
      </c>
      <c r="F472" s="441"/>
      <c r="G472" s="42"/>
      <c r="H472" s="12">
        <v>1</v>
      </c>
      <c r="N472" s="38"/>
      <c r="P472" s="144"/>
      <c r="Q472" s="144"/>
      <c r="R472" s="144"/>
      <c r="S472" s="144"/>
      <c r="T472" s="144"/>
      <c r="U472" s="144"/>
      <c r="V472" s="144"/>
      <c r="W472" s="144"/>
      <c r="X472" s="144"/>
      <c r="Y472" s="144"/>
      <c r="Z472" s="144"/>
    </row>
    <row r="473" spans="2:26" x14ac:dyDescent="0.25">
      <c r="N473" s="38"/>
      <c r="P473" s="144"/>
      <c r="Q473" s="144"/>
      <c r="R473" s="144"/>
      <c r="S473" s="144"/>
      <c r="T473" s="144"/>
      <c r="U473" s="144"/>
      <c r="V473" s="144"/>
      <c r="W473" s="144"/>
      <c r="X473" s="144"/>
      <c r="Y473" s="144"/>
      <c r="Z473" s="144"/>
    </row>
    <row r="474" spans="2:26" x14ac:dyDescent="0.25">
      <c r="B474" t="s">
        <v>161</v>
      </c>
      <c r="N474" s="38"/>
      <c r="P474" s="144"/>
      <c r="Q474" s="144"/>
      <c r="R474" s="144"/>
      <c r="S474" s="144"/>
      <c r="T474" s="144"/>
      <c r="U474" s="144"/>
      <c r="V474" s="144"/>
      <c r="W474" s="144"/>
      <c r="X474" s="144"/>
      <c r="Y474" s="144"/>
      <c r="Z474" s="144"/>
    </row>
    <row r="475" spans="2:26" ht="18" customHeight="1" x14ac:dyDescent="0.25">
      <c r="B475" s="468" t="s">
        <v>162</v>
      </c>
      <c r="C475" s="468"/>
      <c r="D475" s="469" t="s">
        <v>163</v>
      </c>
      <c r="E475" s="469"/>
      <c r="F475" s="461" t="s">
        <v>164</v>
      </c>
      <c r="G475" s="462"/>
      <c r="H475" s="467" t="s">
        <v>165</v>
      </c>
      <c r="I475" s="462"/>
      <c r="J475" s="467" t="s">
        <v>165</v>
      </c>
      <c r="K475" s="462"/>
      <c r="L475" s="125" t="s">
        <v>166</v>
      </c>
      <c r="M475" s="125" t="s">
        <v>167</v>
      </c>
      <c r="N475" s="38"/>
      <c r="P475" s="144">
        <v>1</v>
      </c>
      <c r="Q475" s="144">
        <v>1</v>
      </c>
      <c r="R475" s="144">
        <v>1</v>
      </c>
      <c r="S475" s="144" t="str">
        <f>VLOOKUP(P475,'WORKINGS MATRIX'!$B$200:$C$351,2,FALSE)</f>
        <v>Year</v>
      </c>
      <c r="T475" s="144">
        <f t="shared" ref="T475:U479" si="45">Q475-1</f>
        <v>0</v>
      </c>
      <c r="U475" s="144">
        <f t="shared" si="45"/>
        <v>0</v>
      </c>
      <c r="V475" s="144" t="str">
        <f>IF(S475="year","",S475)</f>
        <v/>
      </c>
      <c r="W475" s="144" t="str">
        <f t="shared" ref="W475:X479" si="46">IF(T475=0,"",T475)</f>
        <v/>
      </c>
      <c r="X475" s="144" t="str">
        <f t="shared" si="46"/>
        <v/>
      </c>
      <c r="Y475" s="144" t="str">
        <f>IF(V475="","",IF(W475="",(V475&amp;"/"&amp;"12"&amp;"/"&amp;"1"),IF(X475="",(V475&amp;"/"&amp;W475&amp;"/"&amp;"1"),(V475&amp;"/"&amp;W475&amp;"/"&amp;X475))))</f>
        <v/>
      </c>
      <c r="Z475" s="144" t="str">
        <f>IF(Y475="//","",Y475)</f>
        <v/>
      </c>
    </row>
    <row r="476" spans="2:26" ht="18" customHeight="1" x14ac:dyDescent="0.25">
      <c r="B476" s="441" t="s">
        <v>168</v>
      </c>
      <c r="C476" s="441"/>
      <c r="D476" s="439">
        <v>10</v>
      </c>
      <c r="E476" s="440"/>
      <c r="F476" s="442"/>
      <c r="G476" s="443"/>
      <c r="H476" s="463">
        <v>1</v>
      </c>
      <c r="I476" s="464"/>
      <c r="J476" s="450"/>
      <c r="K476" s="443"/>
      <c r="L476" s="206"/>
      <c r="M476" s="143" t="str">
        <f>Z475</f>
        <v/>
      </c>
      <c r="N476" s="38"/>
      <c r="P476" s="144">
        <v>1</v>
      </c>
      <c r="Q476" s="144">
        <v>1</v>
      </c>
      <c r="R476" s="144">
        <v>1</v>
      </c>
      <c r="S476" s="144" t="str">
        <f>VLOOKUP(P476,'WORKINGS MATRIX'!$B$200:$C$351,2,FALSE)</f>
        <v>Year</v>
      </c>
      <c r="T476" s="144">
        <f t="shared" si="45"/>
        <v>0</v>
      </c>
      <c r="U476" s="144">
        <f t="shared" si="45"/>
        <v>0</v>
      </c>
      <c r="V476" s="144" t="str">
        <f>IF(S476="year","",S476)</f>
        <v/>
      </c>
      <c r="W476" s="144" t="str">
        <f t="shared" si="46"/>
        <v/>
      </c>
      <c r="X476" s="144" t="str">
        <f t="shared" si="46"/>
        <v/>
      </c>
      <c r="Y476" s="144" t="str">
        <f>IF(V476="","",IF(W476="",(V476&amp;"/"&amp;"12"&amp;"/"&amp;"1"),IF(X476="",(V476&amp;"/"&amp;W476&amp;"/"&amp;"1"),(V476&amp;"/"&amp;W476&amp;"/"&amp;X476))))</f>
        <v/>
      </c>
      <c r="Z476" s="144" t="str">
        <f>IF(Y476="//","",Y476)</f>
        <v/>
      </c>
    </row>
    <row r="477" spans="2:26" ht="18" customHeight="1" x14ac:dyDescent="0.25">
      <c r="B477" s="441" t="s">
        <v>169</v>
      </c>
      <c r="C477" s="441"/>
      <c r="D477" s="442"/>
      <c r="E477" s="443"/>
      <c r="F477" s="442"/>
      <c r="G477" s="443"/>
      <c r="H477" s="451" t="s">
        <v>170</v>
      </c>
      <c r="I477" s="452"/>
      <c r="J477" s="451" t="s">
        <v>171</v>
      </c>
      <c r="K477" s="452"/>
      <c r="L477" s="125" t="s">
        <v>166</v>
      </c>
      <c r="M477" s="125" t="s">
        <v>167</v>
      </c>
      <c r="N477" s="38"/>
      <c r="P477" s="144">
        <v>1</v>
      </c>
      <c r="Q477" s="144">
        <v>1</v>
      </c>
      <c r="R477" s="144">
        <v>1</v>
      </c>
      <c r="S477" s="144" t="str">
        <f>VLOOKUP(P477,'WORKINGS MATRIX'!$B$200:$C$351,2,FALSE)</f>
        <v>Year</v>
      </c>
      <c r="T477" s="144">
        <f t="shared" si="45"/>
        <v>0</v>
      </c>
      <c r="U477" s="144">
        <f t="shared" si="45"/>
        <v>0</v>
      </c>
      <c r="V477" s="144" t="str">
        <f>IF(S477="year","",S477)</f>
        <v/>
      </c>
      <c r="W477" s="144" t="str">
        <f t="shared" si="46"/>
        <v/>
      </c>
      <c r="X477" s="144" t="str">
        <f t="shared" si="46"/>
        <v/>
      </c>
      <c r="Y477" s="144" t="str">
        <f>IF(V477="","",IF(W477="",(V477&amp;"/"&amp;"1"&amp;"/"&amp;"1"),IF(X477="",(V477&amp;"/"&amp;W477&amp;"/"&amp;"1"),(V477&amp;"/"&amp;W477&amp;"/"&amp;X477))))</f>
        <v/>
      </c>
      <c r="Z477" s="144" t="str">
        <f>IF(Y477="//","",Y477)</f>
        <v/>
      </c>
    </row>
    <row r="478" spans="2:26" ht="18" customHeight="1" x14ac:dyDescent="0.25">
      <c r="B478" s="441" t="s">
        <v>172</v>
      </c>
      <c r="C478" s="441"/>
      <c r="D478" s="444" t="str">
        <f>Z477</f>
        <v/>
      </c>
      <c r="E478" s="445"/>
      <c r="F478" s="444" t="str">
        <f>Z478</f>
        <v/>
      </c>
      <c r="G478" s="445"/>
      <c r="H478" s="446">
        <v>1</v>
      </c>
      <c r="I478" s="447"/>
      <c r="J478" s="450"/>
      <c r="K478" s="443"/>
      <c r="L478" s="206"/>
      <c r="M478" s="143" t="str">
        <f>Z476</f>
        <v/>
      </c>
      <c r="N478" s="38"/>
      <c r="P478" s="144">
        <v>1</v>
      </c>
      <c r="Q478" s="144">
        <v>1</v>
      </c>
      <c r="R478" s="144">
        <v>1</v>
      </c>
      <c r="S478" s="144" t="str">
        <f>VLOOKUP(P478,'WORKINGS MATRIX'!$B$200:$C$351,2,FALSE)</f>
        <v>Year</v>
      </c>
      <c r="T478" s="144">
        <f t="shared" si="45"/>
        <v>0</v>
      </c>
      <c r="U478" s="144">
        <f t="shared" si="45"/>
        <v>0</v>
      </c>
      <c r="V478" s="144" t="str">
        <f>IF(S478="year","",S478)</f>
        <v/>
      </c>
      <c r="W478" s="144" t="str">
        <f t="shared" si="46"/>
        <v/>
      </c>
      <c r="X478" s="144" t="str">
        <f t="shared" si="46"/>
        <v/>
      </c>
      <c r="Y478" s="144" t="str">
        <f>IF(V478="","",IF(W478="",(V478&amp;"/"&amp;"1"&amp;"/"&amp;"1"),IF(X478="",(V478&amp;"/"&amp;W478&amp;"/"&amp;"1"),(V478&amp;"/"&amp;W478&amp;"/"&amp;X478))))</f>
        <v/>
      </c>
      <c r="Z478" s="144" t="str">
        <f>IF(Y478="//","",Y478)</f>
        <v/>
      </c>
    </row>
    <row r="479" spans="2:26" x14ac:dyDescent="0.25">
      <c r="N479" s="38"/>
      <c r="P479" s="144">
        <v>1</v>
      </c>
      <c r="Q479" s="144">
        <v>1</v>
      </c>
      <c r="R479" s="144">
        <v>1</v>
      </c>
      <c r="S479" s="144" t="str">
        <f>VLOOKUP(P479,'WORKINGS MATRIX'!$B$200:$C$351,2,FALSE)</f>
        <v>Year</v>
      </c>
      <c r="T479" s="144">
        <f t="shared" si="45"/>
        <v>0</v>
      </c>
      <c r="U479" s="144">
        <f t="shared" si="45"/>
        <v>0</v>
      </c>
      <c r="V479" s="144" t="str">
        <f>IF(S479="year","",S479)</f>
        <v/>
      </c>
      <c r="W479" s="144" t="str">
        <f t="shared" si="46"/>
        <v/>
      </c>
      <c r="X479" s="144" t="str">
        <f t="shared" si="46"/>
        <v/>
      </c>
      <c r="Y479" s="144" t="str">
        <f>IF(V479="","",IF(W479="",(V479&amp;"/"&amp;"1"&amp;"/"&amp;"1"),IF(X479="",(V479&amp;"/"&amp;W479&amp;"/"&amp;"1"),(V479&amp;"/"&amp;W479&amp;"/"&amp;X479))))</f>
        <v/>
      </c>
      <c r="Z479" s="144" t="str">
        <f>IF(Y479="//","",Y479)</f>
        <v/>
      </c>
    </row>
    <row r="488" spans="2:13" x14ac:dyDescent="0.25">
      <c r="B488" t="s">
        <v>152</v>
      </c>
      <c r="D488" s="57"/>
      <c r="H488" s="58"/>
      <c r="K488" s="21"/>
    </row>
    <row r="489" spans="2:13" x14ac:dyDescent="0.25">
      <c r="B489" s="429"/>
      <c r="C489" s="430"/>
      <c r="D489" s="430"/>
      <c r="E489" s="430"/>
      <c r="F489" s="430"/>
      <c r="G489" s="430"/>
      <c r="H489" s="430"/>
      <c r="I489" s="430"/>
      <c r="J489" s="430"/>
      <c r="K489" s="430"/>
      <c r="L489" s="430"/>
      <c r="M489" s="431"/>
    </row>
    <row r="490" spans="2:13" x14ac:dyDescent="0.25">
      <c r="B490" s="432"/>
      <c r="C490" s="433"/>
      <c r="D490" s="433"/>
      <c r="E490" s="433"/>
      <c r="F490" s="433"/>
      <c r="G490" s="433"/>
      <c r="H490" s="433"/>
      <c r="I490" s="433"/>
      <c r="J490" s="433"/>
      <c r="K490" s="433"/>
      <c r="L490" s="433"/>
      <c r="M490" s="434"/>
    </row>
    <row r="491" spans="2:13" x14ac:dyDescent="0.25">
      <c r="B491" s="432"/>
      <c r="C491" s="433"/>
      <c r="D491" s="433"/>
      <c r="E491" s="433"/>
      <c r="F491" s="433"/>
      <c r="G491" s="433"/>
      <c r="H491" s="433"/>
      <c r="I491" s="433"/>
      <c r="J491" s="433"/>
      <c r="K491" s="433"/>
      <c r="L491" s="433"/>
      <c r="M491" s="434"/>
    </row>
    <row r="492" spans="2:13" x14ac:dyDescent="0.25">
      <c r="B492" s="435"/>
      <c r="C492" s="436"/>
      <c r="D492" s="436"/>
      <c r="E492" s="436"/>
      <c r="F492" s="436"/>
      <c r="G492" s="436"/>
      <c r="H492" s="436"/>
      <c r="I492" s="436"/>
      <c r="J492" s="436"/>
      <c r="K492" s="436"/>
      <c r="L492" s="436"/>
      <c r="M492" s="437"/>
    </row>
    <row r="497" spans="2:13" x14ac:dyDescent="0.25">
      <c r="D497" s="57"/>
      <c r="E497" s="149"/>
      <c r="F497" s="149"/>
      <c r="G497" s="149"/>
      <c r="H497" s="149"/>
      <c r="I497" s="149"/>
      <c r="K497" s="438" t="s">
        <v>155</v>
      </c>
      <c r="L497" s="438"/>
      <c r="M497" s="438"/>
    </row>
    <row r="498" spans="2:13" x14ac:dyDescent="0.25">
      <c r="D498" s="57"/>
      <c r="H498" s="58"/>
      <c r="K498" s="438"/>
      <c r="L498" s="438"/>
      <c r="M498" s="438"/>
    </row>
    <row r="499" spans="2:13" x14ac:dyDescent="0.25">
      <c r="D499" s="57"/>
      <c r="E499" s="149"/>
      <c r="F499" s="149"/>
      <c r="G499" s="149"/>
      <c r="H499" s="149"/>
      <c r="I499" s="149"/>
      <c r="K499" s="438"/>
      <c r="L499" s="438"/>
      <c r="M499" s="438"/>
    </row>
    <row r="500" spans="2:13" x14ac:dyDescent="0.25">
      <c r="D500" s="57"/>
      <c r="E500" s="149"/>
      <c r="F500" s="149"/>
      <c r="G500" s="149"/>
      <c r="H500" s="149"/>
      <c r="I500" s="149"/>
      <c r="K500" s="438"/>
      <c r="L500" s="438"/>
      <c r="M500" s="438"/>
    </row>
    <row r="501" spans="2:13" ht="13.8" thickBot="1" x14ac:dyDescent="0.3">
      <c r="B501" s="60"/>
      <c r="C501" s="60"/>
      <c r="D501" s="60"/>
      <c r="E501" s="60"/>
      <c r="F501" s="60"/>
      <c r="G501" s="60"/>
      <c r="H501" s="60"/>
      <c r="I501" s="60"/>
      <c r="J501" s="60"/>
      <c r="K501" s="60"/>
      <c r="L501" s="60"/>
      <c r="M501" s="60"/>
    </row>
    <row r="502" spans="2:13" ht="13.8" thickTop="1" x14ac:dyDescent="0.25"/>
    <row r="503" spans="2:13" x14ac:dyDescent="0.25">
      <c r="B503" s="24" t="s">
        <v>128</v>
      </c>
    </row>
    <row r="526" spans="17:17" x14ac:dyDescent="0.25">
      <c r="Q526" s="144">
        <v>1</v>
      </c>
    </row>
    <row r="536" spans="2:26" ht="13.8" thickBot="1" x14ac:dyDescent="0.3">
      <c r="B536">
        <f>$D$1</f>
        <v>0</v>
      </c>
      <c r="C536" s="73" t="s">
        <v>128</v>
      </c>
      <c r="D536" s="25" t="s">
        <v>129</v>
      </c>
      <c r="P536" s="144"/>
      <c r="Q536" s="144"/>
      <c r="R536" s="144"/>
      <c r="S536" s="144"/>
      <c r="T536" s="144"/>
      <c r="U536" s="144"/>
      <c r="V536" s="144"/>
      <c r="W536" s="144"/>
      <c r="X536" s="144"/>
      <c r="Y536" s="144"/>
      <c r="Z536" s="144"/>
    </row>
    <row r="537" spans="2:26" ht="13.8" thickTop="1" x14ac:dyDescent="0.25">
      <c r="B537" s="27" t="s">
        <v>131</v>
      </c>
      <c r="C537" s="28"/>
      <c r="D537" s="29" t="s">
        <v>132</v>
      </c>
      <c r="E537" s="27" t="str">
        <f>J115</f>
        <v/>
      </c>
      <c r="F537" s="30" t="str">
        <f>IF(L115=0,"NOT REQUIRED", IF(L115="Man","MANAGERIAL POSITION","NON-MANAGERIAL POSITION"))</f>
        <v>NON-MANAGERIAL POSITION</v>
      </c>
      <c r="G537" s="28"/>
      <c r="H537" s="28"/>
      <c r="I537" s="31"/>
      <c r="J537" s="27"/>
      <c r="K537" s="28"/>
      <c r="L537" s="31" t="s">
        <v>133</v>
      </c>
      <c r="M537" s="28"/>
      <c r="N537" s="32"/>
      <c r="P537" s="144"/>
      <c r="Q537" s="144"/>
      <c r="R537" s="144"/>
      <c r="S537" s="144"/>
      <c r="T537" s="144"/>
      <c r="U537" s="144"/>
      <c r="V537" s="144"/>
      <c r="W537" s="144"/>
      <c r="X537" s="144"/>
      <c r="Y537" s="144"/>
      <c r="Z537" s="144"/>
    </row>
    <row r="538" spans="2:26" x14ac:dyDescent="0.25">
      <c r="E538" s="34"/>
      <c r="F538" s="35"/>
      <c r="G538" s="36"/>
      <c r="I538" s="10"/>
      <c r="J538" s="37"/>
      <c r="N538" s="38"/>
      <c r="P538" s="144"/>
      <c r="Q538" s="144"/>
      <c r="R538" s="144"/>
      <c r="S538" s="144"/>
      <c r="T538" s="144"/>
      <c r="U538" s="144"/>
      <c r="V538" s="144"/>
      <c r="W538" s="144"/>
      <c r="X538" s="144"/>
      <c r="Y538" s="144"/>
      <c r="Z538" s="144"/>
    </row>
    <row r="539" spans="2:26" x14ac:dyDescent="0.25">
      <c r="B539" t="s">
        <v>134</v>
      </c>
      <c r="L539" s="465" t="str">
        <f>$L$39</f>
        <v>X.002-218-2024(NT)&amp;N.004-116-2024(T)</v>
      </c>
      <c r="M539" s="465"/>
      <c r="N539" s="38"/>
      <c r="P539" s="144"/>
      <c r="Q539" s="144"/>
      <c r="R539" s="144"/>
      <c r="S539" s="144"/>
      <c r="T539" s="144"/>
      <c r="U539" s="144"/>
      <c r="V539" s="144"/>
      <c r="W539" s="144"/>
      <c r="X539" s="144"/>
      <c r="Y539" s="144"/>
      <c r="Z539" s="144"/>
    </row>
    <row r="540" spans="2:26" ht="24.75" customHeight="1" x14ac:dyDescent="0.25">
      <c r="B540" s="39" t="s">
        <v>135</v>
      </c>
      <c r="C540" s="40"/>
      <c r="D540" s="41"/>
      <c r="E540" s="427" t="s">
        <v>136</v>
      </c>
      <c r="F540" s="428"/>
      <c r="G540" s="39" t="s">
        <v>137</v>
      </c>
      <c r="H540" s="41"/>
      <c r="I540" s="39" t="s">
        <v>138</v>
      </c>
      <c r="J540" s="41"/>
      <c r="K540" s="42"/>
      <c r="L540" s="465"/>
      <c r="M540" s="465"/>
      <c r="N540" s="38"/>
      <c r="P540" s="144"/>
      <c r="Q540" s="144"/>
      <c r="R540" s="144"/>
      <c r="S540" s="144"/>
      <c r="T540" s="144"/>
      <c r="U540" s="144"/>
      <c r="V540" s="144"/>
      <c r="W540" s="144"/>
      <c r="X540" s="144"/>
      <c r="Y540" s="144"/>
      <c r="Z540" s="144"/>
    </row>
    <row r="541" spans="2:26" ht="18" customHeight="1" x14ac:dyDescent="0.25">
      <c r="B541" s="194"/>
      <c r="C541" s="195"/>
      <c r="D541" s="196"/>
      <c r="E541" s="425"/>
      <c r="F541" s="426"/>
      <c r="G541" s="159" t="str">
        <f>K115</f>
        <v/>
      </c>
      <c r="H541" s="44"/>
      <c r="I541" s="197"/>
      <c r="J541" s="198"/>
      <c r="K541" s="45"/>
      <c r="N541" s="38"/>
      <c r="P541" s="144">
        <v>1</v>
      </c>
      <c r="Q541" s="144">
        <v>1</v>
      </c>
      <c r="R541" s="144">
        <v>1</v>
      </c>
      <c r="S541" s="144" t="str">
        <f>VLOOKUP(P541,'WORKINGS MATRIX'!$H$200:$I$351,2,FALSE)</f>
        <v>Year</v>
      </c>
      <c r="T541" s="144">
        <f>Q541-1</f>
        <v>0</v>
      </c>
      <c r="U541" s="144">
        <f>R541-1</f>
        <v>0</v>
      </c>
      <c r="V541" s="144" t="str">
        <f>IF(S541="year","",S541)</f>
        <v/>
      </c>
      <c r="W541" s="144" t="str">
        <f>IF(T541=0,"",T541)</f>
        <v/>
      </c>
      <c r="X541" s="144" t="str">
        <f>IF(U541=0,"",U541)</f>
        <v/>
      </c>
      <c r="Y541" s="144" t="str">
        <f>IF(V541="","",IF(W541="",(V541&amp;"/"&amp;"1"&amp;"/"&amp;"1"),IF(X541="",(V541&amp;"/"&amp;W541&amp;"/"&amp;"1"),(V541&amp;"/"&amp;W541&amp;"/"&amp;X541))))</f>
        <v/>
      </c>
      <c r="Z541" s="144" t="str">
        <f>IF(Y541="//","",Y541)</f>
        <v/>
      </c>
    </row>
    <row r="542" spans="2:26" x14ac:dyDescent="0.25">
      <c r="E542" t="str">
        <f>IF(E541="","",IF(LEN(E541)=13,"","ID NUMBER SHOULD BE 13 DIGITS"))</f>
        <v/>
      </c>
      <c r="N542" s="38"/>
      <c r="P542" s="144"/>
      <c r="Q542" s="144"/>
      <c r="R542" s="144"/>
      <c r="S542" s="144"/>
      <c r="T542" s="144"/>
      <c r="U542" s="144"/>
      <c r="V542" s="144"/>
      <c r="W542" s="144"/>
      <c r="X542" s="144"/>
      <c r="Y542" s="144"/>
      <c r="Z542" s="144"/>
    </row>
    <row r="543" spans="2:26" x14ac:dyDescent="0.25">
      <c r="G543" s="170" t="str">
        <f>IF(AG546=0,"","DATES BEYOND TENDER CLOSING DATE - PLEASE CHECK")</f>
        <v/>
      </c>
      <c r="N543" s="38"/>
      <c r="P543" s="144"/>
      <c r="Q543" s="144"/>
      <c r="R543" s="144"/>
      <c r="S543" s="144"/>
      <c r="T543" s="144"/>
      <c r="U543" s="144"/>
      <c r="V543" s="144"/>
      <c r="W543" s="144"/>
      <c r="X543" s="144"/>
      <c r="Y543" s="144"/>
      <c r="Z543" s="144"/>
    </row>
    <row r="544" spans="2:26" x14ac:dyDescent="0.25">
      <c r="B544" t="s">
        <v>139</v>
      </c>
      <c r="G544" s="170" t="str">
        <f>IF(AE546=0,"","DATES INCORRECT OR INCOMPLETE - PLEASE CHECK")</f>
        <v/>
      </c>
      <c r="N544" s="38"/>
      <c r="P544" s="144"/>
      <c r="Q544" s="144"/>
      <c r="R544" s="144"/>
      <c r="S544" s="144"/>
      <c r="T544" s="144"/>
      <c r="U544" s="144"/>
      <c r="V544" s="144"/>
      <c r="W544" s="144"/>
      <c r="X544" s="144"/>
      <c r="Y544" s="144"/>
      <c r="Z544" s="144"/>
    </row>
    <row r="545" spans="2:33" x14ac:dyDescent="0.25">
      <c r="B545" s="15" t="s">
        <v>140</v>
      </c>
      <c r="N545" s="38"/>
      <c r="P545" s="144"/>
      <c r="Q545" s="144"/>
      <c r="R545" s="144"/>
      <c r="S545" s="144"/>
      <c r="T545" s="144"/>
      <c r="U545" s="144"/>
      <c r="V545" s="144"/>
      <c r="W545" s="144"/>
      <c r="X545" s="144"/>
      <c r="Y545" s="144"/>
      <c r="Z545" s="144"/>
      <c r="AC545" s="158"/>
      <c r="AD545" s="158"/>
      <c r="AE545" s="158"/>
      <c r="AF545" s="158"/>
      <c r="AG545" s="158"/>
    </row>
    <row r="546" spans="2:33" ht="66" x14ac:dyDescent="0.25">
      <c r="B546" s="47" t="s">
        <v>141</v>
      </c>
      <c r="C546" s="48" t="s">
        <v>142</v>
      </c>
      <c r="D546" s="44"/>
      <c r="E546" s="470" t="s">
        <v>143</v>
      </c>
      <c r="F546" s="471"/>
      <c r="G546" s="157" t="s">
        <v>144</v>
      </c>
      <c r="H546" s="157" t="s">
        <v>145</v>
      </c>
      <c r="I546" s="385" t="s">
        <v>146</v>
      </c>
      <c r="J546" s="49" t="s">
        <v>147</v>
      </c>
      <c r="K546" s="50" t="s">
        <v>148</v>
      </c>
      <c r="L546" s="385" t="s">
        <v>149</v>
      </c>
      <c r="M546" s="49" t="s">
        <v>150</v>
      </c>
      <c r="N546" s="51"/>
      <c r="O546" s="386"/>
      <c r="P546" s="147"/>
      <c r="Q546" s="144"/>
      <c r="R546" s="144"/>
      <c r="S546" s="145"/>
      <c r="T546" s="145"/>
      <c r="U546" s="145"/>
      <c r="V546" s="145"/>
      <c r="W546" s="145"/>
      <c r="X546" s="145"/>
      <c r="Y546" s="145"/>
      <c r="Z546" s="145"/>
      <c r="AC546" s="165"/>
      <c r="AD546" s="165"/>
      <c r="AE546" s="165">
        <f>SUM(AE547:AE551)</f>
        <v>0</v>
      </c>
      <c r="AF546" s="165"/>
      <c r="AG546" s="165">
        <f>SUM(AG547:AG551)</f>
        <v>0</v>
      </c>
    </row>
    <row r="547" spans="2:33" ht="25.5" customHeight="1" x14ac:dyDescent="0.25">
      <c r="B547" s="200"/>
      <c r="C547" s="53">
        <v>8</v>
      </c>
      <c r="D547" s="54"/>
      <c r="E547" s="201"/>
      <c r="F547" s="55">
        <v>1</v>
      </c>
      <c r="G547" s="143" t="str">
        <f>Z547</f>
        <v/>
      </c>
      <c r="H547" s="143" t="str">
        <f>Z552</f>
        <v/>
      </c>
      <c r="I547" s="202"/>
      <c r="J547" s="203"/>
      <c r="K547" s="56">
        <v>23</v>
      </c>
      <c r="L547" s="204"/>
      <c r="M547" s="205"/>
      <c r="N547" s="164">
        <f>IF(G547="",0,IF(H547="",0,(ROUND(((H547-G547)/30),0))))</f>
        <v>0</v>
      </c>
      <c r="O547" s="21"/>
      <c r="P547" s="148">
        <v>1</v>
      </c>
      <c r="Q547" s="144">
        <v>1</v>
      </c>
      <c r="R547" s="144">
        <v>1</v>
      </c>
      <c r="S547" s="144" t="str">
        <f>VLOOKUP(P547,'WORKINGS MATRIX'!$B$200:$C$351,2,FALSE)</f>
        <v>Year</v>
      </c>
      <c r="T547" s="144">
        <f t="shared" ref="T547:U551" si="47">Q547-1</f>
        <v>0</v>
      </c>
      <c r="U547" s="144">
        <f t="shared" si="47"/>
        <v>0</v>
      </c>
      <c r="V547" s="144" t="str">
        <f t="shared" ref="V547:V556" si="48">IF(S547="year","",S547)</f>
        <v/>
      </c>
      <c r="W547" s="144" t="str">
        <f t="shared" ref="W547:X551" si="49">IF(T547=0,"",T547)</f>
        <v/>
      </c>
      <c r="X547" s="144" t="str">
        <f t="shared" si="49"/>
        <v/>
      </c>
      <c r="Y547" s="144" t="str">
        <f t="shared" ref="Y547:Y556" si="50">IF(V547="","",IF(W547="",(V547&amp;"/"&amp;"1"&amp;"/"&amp;"1"),IF(X547="",(V547&amp;"/"&amp;W547&amp;"/"&amp;"1"),(V547&amp;"/"&amp;W547&amp;"/"&amp;X547))))</f>
        <v/>
      </c>
      <c r="Z547" s="144" t="str">
        <f t="shared" ref="Z547:Z556" si="51">IF(Y547="//","",Y547)</f>
        <v/>
      </c>
      <c r="AC547" s="172">
        <f>IF(B547="",0,1)</f>
        <v>0</v>
      </c>
      <c r="AD547" s="172">
        <f>IF(B547="",0,IF(N547&gt;0,1,IF(N547&lt;0,2,0)))</f>
        <v>0</v>
      </c>
      <c r="AE547" s="172">
        <f>IF(AC547=AD547,0,IF(AC547&gt;AD547,2,1))</f>
        <v>0</v>
      </c>
      <c r="AF547" s="172">
        <f>IF(B547="",0,IF(N547=0,0,H547-$F$125))</f>
        <v>0</v>
      </c>
      <c r="AG547" s="172">
        <f>IF(AF547&gt;0,1,0)</f>
        <v>0</v>
      </c>
    </row>
    <row r="548" spans="2:33" ht="25.5" customHeight="1" x14ac:dyDescent="0.25">
      <c r="B548" s="200"/>
      <c r="C548" s="53">
        <v>8</v>
      </c>
      <c r="D548" s="54"/>
      <c r="E548" s="201"/>
      <c r="F548" s="55">
        <v>1</v>
      </c>
      <c r="G548" s="143" t="str">
        <f>Z548</f>
        <v/>
      </c>
      <c r="H548" s="143" t="str">
        <f>Z553</f>
        <v/>
      </c>
      <c r="I548" s="202"/>
      <c r="J548" s="203"/>
      <c r="K548" s="56">
        <v>23</v>
      </c>
      <c r="L548" s="204"/>
      <c r="M548" s="205"/>
      <c r="N548" s="164">
        <f>IF(G548="",0,IF(H548="",0,(ROUND(((H548-G548)/30),0))))</f>
        <v>0</v>
      </c>
      <c r="O548" s="21"/>
      <c r="P548" s="148">
        <v>1</v>
      </c>
      <c r="Q548" s="144">
        <v>1</v>
      </c>
      <c r="R548" s="144">
        <v>1</v>
      </c>
      <c r="S548" s="144" t="str">
        <f>VLOOKUP(P548,'WORKINGS MATRIX'!$B$200:$C$351,2,FALSE)</f>
        <v>Year</v>
      </c>
      <c r="T548" s="144">
        <f t="shared" si="47"/>
        <v>0</v>
      </c>
      <c r="U548" s="144">
        <f t="shared" si="47"/>
        <v>0</v>
      </c>
      <c r="V548" s="144" t="str">
        <f t="shared" si="48"/>
        <v/>
      </c>
      <c r="W548" s="144" t="str">
        <f t="shared" si="49"/>
        <v/>
      </c>
      <c r="X548" s="144" t="str">
        <f t="shared" si="49"/>
        <v/>
      </c>
      <c r="Y548" s="144" t="str">
        <f t="shared" si="50"/>
        <v/>
      </c>
      <c r="Z548" s="144" t="str">
        <f t="shared" si="51"/>
        <v/>
      </c>
      <c r="AC548" s="172">
        <f>IF(B548="",0,1)</f>
        <v>0</v>
      </c>
      <c r="AD548" s="172">
        <f>IF(B548="",0,IF(N548&gt;0,1,IF(N548&lt;0,2,0)))</f>
        <v>0</v>
      </c>
      <c r="AE548" s="172">
        <f>IF(AC548=AD548,0,IF(AC548&gt;AD548,2,1))</f>
        <v>0</v>
      </c>
      <c r="AF548" s="172">
        <f>IF(B548="",0,IF(N548=0,0,H548-$F$125))</f>
        <v>0</v>
      </c>
      <c r="AG548" s="172">
        <f>IF(AF548&gt;0,1,0)</f>
        <v>0</v>
      </c>
    </row>
    <row r="549" spans="2:33" ht="25.5" customHeight="1" x14ac:dyDescent="0.25">
      <c r="B549" s="200"/>
      <c r="C549" s="53">
        <v>8</v>
      </c>
      <c r="D549" s="54"/>
      <c r="E549" s="201"/>
      <c r="F549" s="55">
        <v>1</v>
      </c>
      <c r="G549" s="143" t="str">
        <f>Z549</f>
        <v/>
      </c>
      <c r="H549" s="143" t="str">
        <f>Z554</f>
        <v/>
      </c>
      <c r="I549" s="202"/>
      <c r="J549" s="203"/>
      <c r="K549" s="56">
        <v>23</v>
      </c>
      <c r="L549" s="204"/>
      <c r="M549" s="205"/>
      <c r="N549" s="164">
        <f>IF(G549="",0,IF(H549="",0,(ROUND(((H549-G549)/30),0))))</f>
        <v>0</v>
      </c>
      <c r="O549" s="21"/>
      <c r="P549" s="148">
        <v>1</v>
      </c>
      <c r="Q549" s="144">
        <v>1</v>
      </c>
      <c r="R549" s="144">
        <v>1</v>
      </c>
      <c r="S549" s="144" t="str">
        <f>VLOOKUP(P549,'WORKINGS MATRIX'!$B$200:$C$351,2,FALSE)</f>
        <v>Year</v>
      </c>
      <c r="T549" s="144">
        <f t="shared" si="47"/>
        <v>0</v>
      </c>
      <c r="U549" s="144">
        <f t="shared" si="47"/>
        <v>0</v>
      </c>
      <c r="V549" s="144" t="str">
        <f t="shared" si="48"/>
        <v/>
      </c>
      <c r="W549" s="144" t="str">
        <f t="shared" si="49"/>
        <v/>
      </c>
      <c r="X549" s="144" t="str">
        <f t="shared" si="49"/>
        <v/>
      </c>
      <c r="Y549" s="144" t="str">
        <f t="shared" si="50"/>
        <v/>
      </c>
      <c r="Z549" s="144" t="str">
        <f t="shared" si="51"/>
        <v/>
      </c>
      <c r="AC549" s="172">
        <f>IF(B549="",0,1)</f>
        <v>0</v>
      </c>
      <c r="AD549" s="172">
        <f>IF(B549="",0,IF(N549&gt;0,1,IF(N549&lt;0,2,0)))</f>
        <v>0</v>
      </c>
      <c r="AE549" s="172">
        <f>IF(AC549=AD549,0,IF(AC549&gt;AD549,2,1))</f>
        <v>0</v>
      </c>
      <c r="AF549" s="172">
        <f>IF(B549="",0,IF(N549=0,0,H549-$F$125))</f>
        <v>0</v>
      </c>
      <c r="AG549" s="172">
        <f>IF(AF549&gt;0,1,0)</f>
        <v>0</v>
      </c>
    </row>
    <row r="550" spans="2:33" ht="25.5" customHeight="1" x14ac:dyDescent="0.25">
      <c r="B550" s="255"/>
      <c r="C550" s="255"/>
      <c r="D550" s="255"/>
      <c r="E550" s="255"/>
      <c r="F550" s="255"/>
      <c r="G550" s="255"/>
      <c r="H550" s="255"/>
      <c r="I550" s="255"/>
      <c r="J550" s="255"/>
      <c r="K550" s="255"/>
      <c r="L550" s="255"/>
      <c r="M550" s="255"/>
      <c r="N550" s="164">
        <f>IF(G550="",0,IF(H550="",0,(ROUND(((H550-G550)/30),0))))</f>
        <v>0</v>
      </c>
      <c r="O550" s="21"/>
      <c r="P550" s="148">
        <v>1</v>
      </c>
      <c r="Q550" s="144">
        <v>1</v>
      </c>
      <c r="R550" s="144">
        <v>1</v>
      </c>
      <c r="S550" s="144" t="str">
        <f>VLOOKUP(P550,'WORKINGS MATRIX'!$B$200:$C$351,2,FALSE)</f>
        <v>Year</v>
      </c>
      <c r="T550" s="144">
        <f t="shared" si="47"/>
        <v>0</v>
      </c>
      <c r="U550" s="144">
        <f t="shared" si="47"/>
        <v>0</v>
      </c>
      <c r="V550" s="144" t="str">
        <f t="shared" si="48"/>
        <v/>
      </c>
      <c r="W550" s="144" t="str">
        <f t="shared" si="49"/>
        <v/>
      </c>
      <c r="X550" s="144" t="str">
        <f t="shared" si="49"/>
        <v/>
      </c>
      <c r="Y550" s="144" t="str">
        <f t="shared" si="50"/>
        <v/>
      </c>
      <c r="Z550" s="144" t="str">
        <f t="shared" si="51"/>
        <v/>
      </c>
      <c r="AC550" s="172">
        <f>IF(B550="",0,1)</f>
        <v>0</v>
      </c>
      <c r="AD550" s="172">
        <f>IF(B550="",0,IF(N550&gt;0,1,IF(N550&lt;0,2,0)))</f>
        <v>0</v>
      </c>
      <c r="AE550" s="172">
        <f>IF(AC550=AD550,0,IF(AC550&gt;AD550,2,1))</f>
        <v>0</v>
      </c>
      <c r="AF550" s="172">
        <f>IF(B550="",0,IF(N550=0,0,H550-$F$125))</f>
        <v>0</v>
      </c>
      <c r="AG550" s="172">
        <f>IF(AF550&gt;0,1,0)</f>
        <v>0</v>
      </c>
    </row>
    <row r="551" spans="2:33" ht="25.5" customHeight="1" x14ac:dyDescent="0.25">
      <c r="B551" s="149"/>
      <c r="C551" s="149"/>
      <c r="D551" s="149"/>
      <c r="E551" s="149"/>
      <c r="F551" s="149"/>
      <c r="G551" s="149"/>
      <c r="H551" s="149"/>
      <c r="I551" s="149"/>
      <c r="J551" s="149"/>
      <c r="K551" s="149"/>
      <c r="L551" s="149"/>
      <c r="M551" s="149"/>
      <c r="N551" s="164">
        <f>IF(G551="",0,IF(H551="",0,(ROUND(((H551-G551)/30),0))))</f>
        <v>0</v>
      </c>
      <c r="O551" s="21"/>
      <c r="P551" s="148">
        <v>1</v>
      </c>
      <c r="Q551" s="144">
        <v>1</v>
      </c>
      <c r="R551" s="144">
        <v>1</v>
      </c>
      <c r="S551" s="144" t="str">
        <f>VLOOKUP(P551,'WORKINGS MATRIX'!$B$200:$C$351,2,FALSE)</f>
        <v>Year</v>
      </c>
      <c r="T551" s="144">
        <f t="shared" si="47"/>
        <v>0</v>
      </c>
      <c r="U551" s="144">
        <f t="shared" si="47"/>
        <v>0</v>
      </c>
      <c r="V551" s="144" t="str">
        <f t="shared" si="48"/>
        <v/>
      </c>
      <c r="W551" s="144" t="str">
        <f t="shared" si="49"/>
        <v/>
      </c>
      <c r="X551" s="144" t="str">
        <f t="shared" si="49"/>
        <v/>
      </c>
      <c r="Y551" s="144" t="str">
        <f t="shared" si="50"/>
        <v/>
      </c>
      <c r="Z551" s="144" t="str">
        <f t="shared" si="51"/>
        <v/>
      </c>
      <c r="AC551" s="172">
        <f>IF(B551="",0,1)</f>
        <v>0</v>
      </c>
      <c r="AD551" s="172">
        <f>IF(B551="",0,IF(N551&gt;0,1,IF(N551&lt;0,2,0)))</f>
        <v>0</v>
      </c>
      <c r="AE551" s="172">
        <f>IF(AC551=AD551,0,IF(AC551&gt;AD551,2,1))</f>
        <v>0</v>
      </c>
      <c r="AF551" s="172">
        <f>IF(B551="",0,IF(N551=0,0,H551-$F$125))</f>
        <v>0</v>
      </c>
      <c r="AG551" s="172">
        <f>IF(AF551&gt;0,1,0)</f>
        <v>0</v>
      </c>
    </row>
    <row r="552" spans="2:33" x14ac:dyDescent="0.25">
      <c r="D552" s="57"/>
      <c r="H552" s="58"/>
      <c r="K552" s="21"/>
      <c r="N552" s="38"/>
      <c r="O552" s="58"/>
      <c r="P552" s="134">
        <v>1</v>
      </c>
      <c r="Q552" s="144">
        <v>1</v>
      </c>
      <c r="R552" s="144">
        <v>1</v>
      </c>
      <c r="S552" s="144" t="str">
        <f>VLOOKUP(P552,'WORKINGS MATRIX'!$B$200:$C$351,2,FALSE)</f>
        <v>Year</v>
      </c>
      <c r="T552" s="144">
        <f t="shared" ref="T552:U556" si="52">Q552-1</f>
        <v>0</v>
      </c>
      <c r="U552" s="144">
        <f t="shared" si="52"/>
        <v>0</v>
      </c>
      <c r="V552" s="144" t="str">
        <f t="shared" si="48"/>
        <v/>
      </c>
      <c r="W552" s="144" t="str">
        <f t="shared" ref="W552:X556" si="53">IF(T552=0,"",T552)</f>
        <v/>
      </c>
      <c r="X552" s="144" t="str">
        <f t="shared" si="53"/>
        <v/>
      </c>
      <c r="Y552" s="144" t="str">
        <f t="shared" si="50"/>
        <v/>
      </c>
      <c r="Z552" s="144" t="str">
        <f t="shared" si="51"/>
        <v/>
      </c>
      <c r="AC552" s="158"/>
      <c r="AD552" s="158"/>
      <c r="AE552" s="158"/>
      <c r="AF552" s="158"/>
      <c r="AG552" s="158"/>
    </row>
    <row r="553" spans="2:33" ht="12.75" customHeight="1" x14ac:dyDescent="0.25">
      <c r="B553" t="s">
        <v>152</v>
      </c>
      <c r="D553" s="57"/>
      <c r="H553" s="58"/>
      <c r="K553" s="21"/>
      <c r="N553" s="38"/>
      <c r="O553" s="58"/>
      <c r="P553" s="144">
        <v>1</v>
      </c>
      <c r="Q553" s="144">
        <v>1</v>
      </c>
      <c r="R553" s="144">
        <v>1</v>
      </c>
      <c r="S553" s="144" t="str">
        <f>VLOOKUP(P553,'WORKINGS MATRIX'!$B$200:$C$351,2,FALSE)</f>
        <v>Year</v>
      </c>
      <c r="T553" s="144">
        <f t="shared" si="52"/>
        <v>0</v>
      </c>
      <c r="U553" s="144">
        <f t="shared" si="52"/>
        <v>0</v>
      </c>
      <c r="V553" s="144" t="str">
        <f t="shared" si="48"/>
        <v/>
      </c>
      <c r="W553" s="144" t="str">
        <f t="shared" si="53"/>
        <v/>
      </c>
      <c r="X553" s="144" t="str">
        <f t="shared" si="53"/>
        <v/>
      </c>
      <c r="Y553" s="144" t="str">
        <f t="shared" si="50"/>
        <v/>
      </c>
      <c r="Z553" s="144" t="str">
        <f t="shared" si="51"/>
        <v/>
      </c>
      <c r="AC553" s="158"/>
      <c r="AD553" s="158"/>
      <c r="AE553" s="158"/>
      <c r="AF553" s="158"/>
      <c r="AG553" s="158"/>
    </row>
    <row r="554" spans="2:33" x14ac:dyDescent="0.25">
      <c r="B554" s="429"/>
      <c r="C554" s="430"/>
      <c r="D554" s="430"/>
      <c r="E554" s="430"/>
      <c r="F554" s="430"/>
      <c r="G554" s="430"/>
      <c r="H554" s="430"/>
      <c r="I554" s="430"/>
      <c r="J554" s="430"/>
      <c r="K554" s="430"/>
      <c r="L554" s="430"/>
      <c r="M554" s="431"/>
      <c r="N554" s="38"/>
      <c r="O554" s="58"/>
      <c r="P554" s="144">
        <v>1</v>
      </c>
      <c r="Q554" s="144">
        <v>1</v>
      </c>
      <c r="R554" s="144">
        <v>1</v>
      </c>
      <c r="S554" s="144" t="str">
        <f>VLOOKUP(P554,'WORKINGS MATRIX'!$B$200:$C$351,2,FALSE)</f>
        <v>Year</v>
      </c>
      <c r="T554" s="144">
        <f t="shared" si="52"/>
        <v>0</v>
      </c>
      <c r="U554" s="144">
        <f t="shared" si="52"/>
        <v>0</v>
      </c>
      <c r="V554" s="144" t="str">
        <f t="shared" si="48"/>
        <v/>
      </c>
      <c r="W554" s="144" t="str">
        <f t="shared" si="53"/>
        <v/>
      </c>
      <c r="X554" s="144" t="str">
        <f t="shared" si="53"/>
        <v/>
      </c>
      <c r="Y554" s="144" t="str">
        <f t="shared" si="50"/>
        <v/>
      </c>
      <c r="Z554" s="144" t="str">
        <f t="shared" si="51"/>
        <v/>
      </c>
      <c r="AC554" s="158"/>
      <c r="AD554" s="158"/>
      <c r="AE554" s="158"/>
      <c r="AF554" s="158"/>
      <c r="AG554" s="158"/>
    </row>
    <row r="555" spans="2:33" x14ac:dyDescent="0.25">
      <c r="B555" s="432"/>
      <c r="C555" s="433"/>
      <c r="D555" s="433"/>
      <c r="E555" s="433"/>
      <c r="F555" s="433"/>
      <c r="G555" s="433"/>
      <c r="H555" s="433"/>
      <c r="I555" s="433"/>
      <c r="J555" s="433"/>
      <c r="K555" s="433"/>
      <c r="L555" s="433"/>
      <c r="M555" s="434"/>
      <c r="N555" s="38"/>
      <c r="O555" s="58"/>
      <c r="P555" s="144">
        <v>1</v>
      </c>
      <c r="Q555" s="144">
        <v>1</v>
      </c>
      <c r="R555" s="144">
        <v>1</v>
      </c>
      <c r="S555" s="144" t="str">
        <f>VLOOKUP(P555,'WORKINGS MATRIX'!$B$200:$C$351,2,FALSE)</f>
        <v>Year</v>
      </c>
      <c r="T555" s="144">
        <f t="shared" si="52"/>
        <v>0</v>
      </c>
      <c r="U555" s="144">
        <f t="shared" si="52"/>
        <v>0</v>
      </c>
      <c r="V555" s="144" t="str">
        <f t="shared" si="48"/>
        <v/>
      </c>
      <c r="W555" s="144" t="str">
        <f t="shared" si="53"/>
        <v/>
      </c>
      <c r="X555" s="144" t="str">
        <f t="shared" si="53"/>
        <v/>
      </c>
      <c r="Y555" s="144" t="str">
        <f t="shared" si="50"/>
        <v/>
      </c>
      <c r="Z555" s="144" t="str">
        <f t="shared" si="51"/>
        <v/>
      </c>
      <c r="AC555" s="158"/>
      <c r="AD555" s="158"/>
      <c r="AE555" s="158"/>
      <c r="AF555" s="158"/>
      <c r="AG555" s="158"/>
    </row>
    <row r="556" spans="2:33" x14ac:dyDescent="0.25">
      <c r="B556" s="432"/>
      <c r="C556" s="433"/>
      <c r="D556" s="433"/>
      <c r="E556" s="433"/>
      <c r="F556" s="433"/>
      <c r="G556" s="433"/>
      <c r="H556" s="433"/>
      <c r="I556" s="433"/>
      <c r="J556" s="433"/>
      <c r="K556" s="433"/>
      <c r="L556" s="433"/>
      <c r="M556" s="434"/>
      <c r="N556" s="38"/>
      <c r="O556" s="58"/>
      <c r="P556" s="144">
        <v>1</v>
      </c>
      <c r="Q556" s="144">
        <v>1</v>
      </c>
      <c r="R556" s="144">
        <v>1</v>
      </c>
      <c r="S556" s="144" t="str">
        <f>VLOOKUP(P556,'WORKINGS MATRIX'!$B$200:$C$351,2,FALSE)</f>
        <v>Year</v>
      </c>
      <c r="T556" s="144">
        <f t="shared" si="52"/>
        <v>0</v>
      </c>
      <c r="U556" s="144">
        <f t="shared" si="52"/>
        <v>0</v>
      </c>
      <c r="V556" s="144" t="str">
        <f t="shared" si="48"/>
        <v/>
      </c>
      <c r="W556" s="144" t="str">
        <f t="shared" si="53"/>
        <v/>
      </c>
      <c r="X556" s="144" t="str">
        <f t="shared" si="53"/>
        <v/>
      </c>
      <c r="Y556" s="144" t="str">
        <f t="shared" si="50"/>
        <v/>
      </c>
      <c r="Z556" s="144" t="str">
        <f t="shared" si="51"/>
        <v/>
      </c>
      <c r="AC556" s="158"/>
      <c r="AD556" s="158"/>
      <c r="AE556" s="158"/>
      <c r="AF556" s="158"/>
      <c r="AG556" s="158"/>
    </row>
    <row r="557" spans="2:33" x14ac:dyDescent="0.25">
      <c r="B557" s="435"/>
      <c r="C557" s="436"/>
      <c r="D557" s="436"/>
      <c r="E557" s="436"/>
      <c r="F557" s="436"/>
      <c r="G557" s="436"/>
      <c r="H557" s="436"/>
      <c r="I557" s="436"/>
      <c r="J557" s="436"/>
      <c r="K557" s="436"/>
      <c r="L557" s="436"/>
      <c r="M557" s="437"/>
      <c r="N557" s="38"/>
      <c r="O557" s="58"/>
      <c r="P557" s="144"/>
      <c r="Q557" s="144"/>
      <c r="R557" s="144"/>
      <c r="S557" s="144"/>
      <c r="T557" s="144"/>
      <c r="U557" s="144"/>
      <c r="V557" s="144"/>
      <c r="W557" s="144"/>
      <c r="X557" s="144"/>
      <c r="Y557" s="144"/>
      <c r="Z557" s="144"/>
      <c r="AC557" s="158"/>
      <c r="AD557" s="158"/>
      <c r="AE557" s="158"/>
      <c r="AF557" s="158"/>
      <c r="AG557" s="158"/>
    </row>
    <row r="558" spans="2:33" x14ac:dyDescent="0.25">
      <c r="B558" s="15" t="s">
        <v>153</v>
      </c>
      <c r="D558" s="57"/>
      <c r="H558" s="58"/>
      <c r="K558" s="21"/>
      <c r="N558" s="38"/>
      <c r="O558" s="58"/>
      <c r="P558" s="144"/>
      <c r="Q558" s="144"/>
      <c r="R558" s="144"/>
      <c r="S558" s="144"/>
      <c r="T558" s="144"/>
      <c r="U558" s="144"/>
      <c r="V558" s="144"/>
      <c r="W558" s="144"/>
      <c r="X558" s="144"/>
      <c r="Y558" s="144"/>
      <c r="Z558" s="144"/>
      <c r="AC558" s="158"/>
      <c r="AD558" s="158"/>
      <c r="AE558" s="158"/>
      <c r="AF558" s="158"/>
      <c r="AG558" s="158"/>
    </row>
    <row r="559" spans="2:33" x14ac:dyDescent="0.25">
      <c r="B559" s="15" t="s">
        <v>154</v>
      </c>
      <c r="D559" s="57"/>
      <c r="H559" s="58"/>
      <c r="K559" s="21"/>
      <c r="N559" s="38"/>
      <c r="O559" s="58"/>
      <c r="P559" s="144"/>
      <c r="Q559" s="144"/>
      <c r="R559" s="144"/>
      <c r="S559" s="144"/>
      <c r="T559" s="144"/>
      <c r="U559" s="144"/>
      <c r="V559" s="144"/>
      <c r="W559" s="144"/>
      <c r="X559" s="144"/>
      <c r="Y559" s="144"/>
      <c r="Z559" s="144"/>
      <c r="AC559" s="158"/>
      <c r="AD559" s="158"/>
      <c r="AE559" s="158"/>
      <c r="AF559" s="158"/>
      <c r="AG559" s="158"/>
    </row>
    <row r="562" spans="2:26" x14ac:dyDescent="0.25">
      <c r="D562" s="57"/>
      <c r="E562" s="149"/>
      <c r="F562" s="149"/>
      <c r="G562" s="149"/>
      <c r="H562" s="149"/>
      <c r="I562" s="149"/>
      <c r="K562" s="438" t="s">
        <v>155</v>
      </c>
      <c r="L562" s="438"/>
      <c r="M562" s="438"/>
      <c r="N562" s="38"/>
      <c r="O562" s="58"/>
      <c r="P562" s="144"/>
      <c r="Q562" s="144"/>
      <c r="R562" s="144"/>
      <c r="S562" s="144"/>
      <c r="T562" s="144"/>
      <c r="U562" s="144"/>
      <c r="V562" s="144"/>
      <c r="W562" s="144"/>
      <c r="X562" s="144"/>
      <c r="Y562" s="144"/>
      <c r="Z562" s="144"/>
    </row>
    <row r="563" spans="2:26" x14ac:dyDescent="0.25">
      <c r="D563" s="57"/>
      <c r="H563" s="58"/>
      <c r="K563" s="438"/>
      <c r="L563" s="438"/>
      <c r="M563" s="438"/>
      <c r="N563" s="38"/>
      <c r="O563" s="58"/>
      <c r="P563" s="144"/>
      <c r="Q563" s="144"/>
      <c r="R563" s="144"/>
      <c r="S563" s="144"/>
      <c r="T563" s="144"/>
      <c r="U563" s="144"/>
      <c r="V563" s="144"/>
      <c r="W563" s="144"/>
      <c r="X563" s="144"/>
      <c r="Y563" s="144"/>
      <c r="Z563" s="144"/>
    </row>
    <row r="564" spans="2:26" x14ac:dyDescent="0.25">
      <c r="D564" s="57"/>
      <c r="E564" s="149"/>
      <c r="F564" s="149"/>
      <c r="G564" s="149"/>
      <c r="H564" s="149"/>
      <c r="I564" s="149"/>
      <c r="K564" s="438"/>
      <c r="L564" s="438"/>
      <c r="M564" s="438"/>
      <c r="N564" s="38"/>
      <c r="O564" s="58"/>
      <c r="P564" s="144"/>
      <c r="Q564" s="144"/>
      <c r="R564" s="144"/>
      <c r="S564" s="144"/>
      <c r="T564" s="144"/>
      <c r="U564" s="144"/>
      <c r="V564" s="144"/>
      <c r="W564" s="144"/>
      <c r="X564" s="144"/>
      <c r="Y564" s="144"/>
      <c r="Z564" s="144"/>
    </row>
    <row r="565" spans="2:26" x14ac:dyDescent="0.25">
      <c r="D565" s="57"/>
      <c r="E565" s="149"/>
      <c r="F565" s="149"/>
      <c r="G565" s="149"/>
      <c r="H565" s="149"/>
      <c r="I565" s="149"/>
      <c r="K565" s="438"/>
      <c r="L565" s="438"/>
      <c r="M565" s="438"/>
      <c r="N565" s="38"/>
      <c r="O565" s="58"/>
      <c r="P565" s="144"/>
      <c r="Q565" s="144"/>
      <c r="R565" s="144"/>
      <c r="S565" s="144"/>
      <c r="T565" s="144"/>
      <c r="U565" s="144"/>
      <c r="V565" s="144"/>
      <c r="W565" s="144"/>
      <c r="X565" s="144"/>
      <c r="Y565" s="144"/>
      <c r="Z565" s="144"/>
    </row>
    <row r="566" spans="2:26" ht="13.8" thickBot="1" x14ac:dyDescent="0.3">
      <c r="B566" s="60"/>
      <c r="C566" s="60"/>
      <c r="D566" s="61"/>
      <c r="E566" s="60"/>
      <c r="F566" s="60"/>
      <c r="G566" s="60"/>
      <c r="H566" s="62"/>
      <c r="I566" s="60"/>
      <c r="J566" s="60"/>
      <c r="K566" s="63"/>
      <c r="L566" s="60"/>
      <c r="M566" s="60"/>
      <c r="N566" s="64"/>
      <c r="O566" s="58"/>
      <c r="P566" s="144"/>
      <c r="Q566" s="144"/>
      <c r="R566" s="144"/>
      <c r="S566" s="144"/>
      <c r="T566" s="144"/>
      <c r="U566" s="144"/>
      <c r="V566" s="144"/>
      <c r="W566" s="144"/>
      <c r="X566" s="144"/>
      <c r="Y566" s="144"/>
      <c r="Z566" s="144"/>
    </row>
    <row r="567" spans="2:26" ht="14.4" thickTop="1" thickBot="1" x14ac:dyDescent="0.3">
      <c r="D567" s="57"/>
      <c r="H567" s="58"/>
      <c r="K567" s="21"/>
      <c r="O567" s="58"/>
      <c r="P567" s="144"/>
      <c r="Q567" s="144"/>
      <c r="R567" s="144"/>
      <c r="S567" s="144"/>
      <c r="T567" s="144"/>
      <c r="U567" s="144"/>
      <c r="V567" s="144"/>
      <c r="W567" s="144"/>
      <c r="X567" s="144"/>
      <c r="Y567" s="144"/>
      <c r="Z567" s="144"/>
    </row>
    <row r="568" spans="2:26" ht="13.8" thickTop="1" x14ac:dyDescent="0.25">
      <c r="B568" s="27" t="s">
        <v>156</v>
      </c>
      <c r="C568" s="29"/>
      <c r="D568" s="28"/>
      <c r="E568" s="65"/>
      <c r="F568" s="65"/>
      <c r="G568" s="65"/>
      <c r="H568" s="28"/>
      <c r="I568" s="28"/>
      <c r="J568" s="28"/>
      <c r="K568" s="28"/>
      <c r="L568" s="31" t="s">
        <v>157</v>
      </c>
      <c r="M568" s="28"/>
      <c r="N568" s="32"/>
      <c r="P568" s="144"/>
      <c r="Q568" s="144"/>
      <c r="R568" s="144"/>
      <c r="S568" s="144"/>
      <c r="T568" s="144"/>
      <c r="U568" s="144"/>
      <c r="V568" s="144"/>
      <c r="W568" s="144"/>
      <c r="X568" s="144"/>
      <c r="Y568" s="144"/>
      <c r="Z568" s="144"/>
    </row>
    <row r="569" spans="2:26" x14ac:dyDescent="0.25">
      <c r="E569" s="134">
        <v>5</v>
      </c>
      <c r="F569" s="12"/>
      <c r="N569" s="38"/>
      <c r="P569" s="144"/>
      <c r="Q569" s="144"/>
      <c r="R569" s="144"/>
      <c r="S569" s="144"/>
      <c r="T569" s="144"/>
      <c r="U569" s="144"/>
      <c r="V569" s="144"/>
      <c r="W569" s="144"/>
      <c r="X569" s="144"/>
      <c r="Y569" s="144"/>
      <c r="Z569" s="144"/>
    </row>
    <row r="570" spans="2:26" x14ac:dyDescent="0.25">
      <c r="B570" t="s">
        <v>134</v>
      </c>
      <c r="L570" s="465" t="str">
        <f>$L$39</f>
        <v>X.002-218-2024(NT)&amp;N.004-116-2024(T)</v>
      </c>
      <c r="M570" s="465"/>
      <c r="N570" s="38"/>
      <c r="P570" s="144"/>
      <c r="Q570" s="144"/>
      <c r="R570" s="144"/>
      <c r="S570" s="144"/>
      <c r="T570" s="144"/>
      <c r="U570" s="144"/>
      <c r="V570" s="144"/>
      <c r="W570" s="144"/>
      <c r="X570" s="144"/>
      <c r="Y570" s="144"/>
      <c r="Z570" s="144"/>
    </row>
    <row r="571" spans="2:26" x14ac:dyDescent="0.25">
      <c r="B571" s="39" t="s">
        <v>135</v>
      </c>
      <c r="C571" s="40"/>
      <c r="D571" s="41"/>
      <c r="E571" s="448" t="s">
        <v>158</v>
      </c>
      <c r="F571" s="449"/>
      <c r="G571" s="466" t="s">
        <v>159</v>
      </c>
      <c r="H571" s="449"/>
      <c r="L571" s="465"/>
      <c r="M571" s="465"/>
      <c r="N571" s="38"/>
      <c r="P571" s="144"/>
      <c r="Q571" s="144"/>
      <c r="R571" s="144"/>
      <c r="S571" s="144"/>
      <c r="T571" s="144"/>
      <c r="U571" s="144"/>
      <c r="V571" s="144"/>
      <c r="W571" s="144"/>
      <c r="X571" s="144"/>
      <c r="Y571" s="144"/>
      <c r="Z571" s="144"/>
    </row>
    <row r="572" spans="2:26" ht="18" customHeight="1" x14ac:dyDescent="0.25">
      <c r="B572" s="66">
        <f>B541</f>
        <v>0</v>
      </c>
      <c r="C572" s="67"/>
      <c r="D572" s="68"/>
      <c r="E572" s="441" t="str">
        <f>G541</f>
        <v/>
      </c>
      <c r="F572" s="441"/>
      <c r="G572" s="42"/>
      <c r="H572">
        <v>1</v>
      </c>
      <c r="N572" s="38"/>
      <c r="P572" s="144"/>
      <c r="Q572" s="144"/>
      <c r="R572" s="144"/>
      <c r="S572" s="144"/>
      <c r="T572" s="144"/>
      <c r="U572" s="144"/>
      <c r="V572" s="144"/>
      <c r="W572" s="144"/>
      <c r="X572" s="144"/>
      <c r="Y572" s="144"/>
      <c r="Z572" s="144"/>
    </row>
    <row r="573" spans="2:26" x14ac:dyDescent="0.25">
      <c r="N573" s="38"/>
      <c r="P573" s="144"/>
      <c r="Q573" s="144"/>
      <c r="R573" s="144"/>
      <c r="S573" s="144"/>
      <c r="T573" s="144"/>
      <c r="U573" s="144"/>
      <c r="V573" s="144"/>
      <c r="W573" s="144"/>
      <c r="X573" s="144"/>
      <c r="Y573" s="144"/>
      <c r="Z573" s="144"/>
    </row>
    <row r="574" spans="2:26" x14ac:dyDescent="0.25">
      <c r="B574" t="s">
        <v>161</v>
      </c>
      <c r="N574" s="38"/>
      <c r="P574" s="144"/>
      <c r="Q574" s="144"/>
      <c r="R574" s="144"/>
      <c r="S574" s="144"/>
      <c r="T574" s="144"/>
      <c r="U574" s="144"/>
      <c r="V574" s="144"/>
      <c r="W574" s="144"/>
      <c r="X574" s="144"/>
      <c r="Y574" s="144"/>
      <c r="Z574" s="144"/>
    </row>
    <row r="575" spans="2:26" ht="18" customHeight="1" x14ac:dyDescent="0.25">
      <c r="B575" s="468" t="s">
        <v>162</v>
      </c>
      <c r="C575" s="468"/>
      <c r="D575" s="469" t="s">
        <v>163</v>
      </c>
      <c r="E575" s="469"/>
      <c r="F575" s="461" t="s">
        <v>164</v>
      </c>
      <c r="G575" s="462"/>
      <c r="H575" s="467" t="s">
        <v>165</v>
      </c>
      <c r="I575" s="462"/>
      <c r="J575" s="467" t="s">
        <v>165</v>
      </c>
      <c r="K575" s="462"/>
      <c r="L575" s="125" t="s">
        <v>166</v>
      </c>
      <c r="M575" s="125" t="s">
        <v>167</v>
      </c>
      <c r="N575" s="38"/>
      <c r="P575" s="144">
        <v>1</v>
      </c>
      <c r="Q575" s="144">
        <v>1</v>
      </c>
      <c r="R575" s="144">
        <v>1</v>
      </c>
      <c r="S575" s="144" t="str">
        <f>VLOOKUP(P575,'WORKINGS MATRIX'!$B$200:$C$351,2,FALSE)</f>
        <v>Year</v>
      </c>
      <c r="T575" s="144">
        <f t="shared" ref="T575:U579" si="54">Q575-1</f>
        <v>0</v>
      </c>
      <c r="U575" s="144">
        <f t="shared" si="54"/>
        <v>0</v>
      </c>
      <c r="V575" s="144" t="str">
        <f>IF(S575="year","",S575)</f>
        <v/>
      </c>
      <c r="W575" s="144" t="str">
        <f t="shared" ref="W575:X579" si="55">IF(T575=0,"",T575)</f>
        <v/>
      </c>
      <c r="X575" s="144" t="str">
        <f t="shared" si="55"/>
        <v/>
      </c>
      <c r="Y575" s="144" t="str">
        <f>IF(V575="","",IF(W575="",(V575&amp;"/"&amp;"12"&amp;"/"&amp;"1"),IF(X575="",(V575&amp;"/"&amp;W575&amp;"/"&amp;"1"),(V575&amp;"/"&amp;W575&amp;"/"&amp;X575))))</f>
        <v/>
      </c>
      <c r="Z575" s="144" t="str">
        <f>IF(Y575="//","",Y575)</f>
        <v/>
      </c>
    </row>
    <row r="576" spans="2:26" ht="18" customHeight="1" x14ac:dyDescent="0.25">
      <c r="B576" s="441" t="s">
        <v>168</v>
      </c>
      <c r="C576" s="441"/>
      <c r="D576" s="439">
        <v>10</v>
      </c>
      <c r="E576" s="440"/>
      <c r="F576" s="442"/>
      <c r="G576" s="443"/>
      <c r="H576" s="463">
        <v>1</v>
      </c>
      <c r="I576" s="464"/>
      <c r="J576" s="450"/>
      <c r="K576" s="443"/>
      <c r="L576" s="206"/>
      <c r="M576" s="143" t="str">
        <f>Z575</f>
        <v/>
      </c>
      <c r="N576" s="38"/>
      <c r="P576" s="144">
        <v>1</v>
      </c>
      <c r="Q576" s="144">
        <v>1</v>
      </c>
      <c r="R576" s="144">
        <v>1</v>
      </c>
      <c r="S576" s="144" t="str">
        <f>VLOOKUP(P576,'WORKINGS MATRIX'!$B$200:$C$351,2,FALSE)</f>
        <v>Year</v>
      </c>
      <c r="T576" s="144">
        <f t="shared" si="54"/>
        <v>0</v>
      </c>
      <c r="U576" s="144">
        <f t="shared" si="54"/>
        <v>0</v>
      </c>
      <c r="V576" s="144" t="str">
        <f>IF(S576="year","",S576)</f>
        <v/>
      </c>
      <c r="W576" s="144" t="str">
        <f t="shared" si="55"/>
        <v/>
      </c>
      <c r="X576" s="144" t="str">
        <f t="shared" si="55"/>
        <v/>
      </c>
      <c r="Y576" s="144" t="str">
        <f>IF(V576="","",IF(W576="",(V576&amp;"/"&amp;"12"&amp;"/"&amp;"1"),IF(X576="",(V576&amp;"/"&amp;W576&amp;"/"&amp;"1"),(V576&amp;"/"&amp;W576&amp;"/"&amp;X576))))</f>
        <v/>
      </c>
      <c r="Z576" s="144" t="str">
        <f>IF(Y576="//","",Y576)</f>
        <v/>
      </c>
    </row>
    <row r="577" spans="2:26" ht="18" customHeight="1" x14ac:dyDescent="0.25">
      <c r="B577" s="441" t="s">
        <v>169</v>
      </c>
      <c r="C577" s="441"/>
      <c r="D577" s="442"/>
      <c r="E577" s="443"/>
      <c r="F577" s="442"/>
      <c r="G577" s="443"/>
      <c r="H577" s="451" t="s">
        <v>170</v>
      </c>
      <c r="I577" s="452"/>
      <c r="J577" s="451" t="s">
        <v>171</v>
      </c>
      <c r="K577" s="452"/>
      <c r="L577" s="125" t="s">
        <v>166</v>
      </c>
      <c r="M577" s="125" t="s">
        <v>167</v>
      </c>
      <c r="N577" s="38"/>
      <c r="P577" s="144">
        <v>1</v>
      </c>
      <c r="Q577" s="144">
        <v>1</v>
      </c>
      <c r="R577" s="144">
        <v>1</v>
      </c>
      <c r="S577" s="144" t="str">
        <f>VLOOKUP(P577,'WORKINGS MATRIX'!$B$200:$C$351,2,FALSE)</f>
        <v>Year</v>
      </c>
      <c r="T577" s="144">
        <f t="shared" si="54"/>
        <v>0</v>
      </c>
      <c r="U577" s="144">
        <f t="shared" si="54"/>
        <v>0</v>
      </c>
      <c r="V577" s="144" t="str">
        <f>IF(S577="year","",S577)</f>
        <v/>
      </c>
      <c r="W577" s="144" t="str">
        <f t="shared" si="55"/>
        <v/>
      </c>
      <c r="X577" s="144" t="str">
        <f t="shared" si="55"/>
        <v/>
      </c>
      <c r="Y577" s="144" t="str">
        <f>IF(V577="","",IF(W577="",(V577&amp;"/"&amp;"1"&amp;"/"&amp;"1"),IF(X577="",(V577&amp;"/"&amp;W577&amp;"/"&amp;"1"),(V577&amp;"/"&amp;W577&amp;"/"&amp;X577))))</f>
        <v/>
      </c>
      <c r="Z577" s="144" t="str">
        <f>IF(Y577="//","",Y577)</f>
        <v/>
      </c>
    </row>
    <row r="578" spans="2:26" ht="18" customHeight="1" x14ac:dyDescent="0.25">
      <c r="B578" s="441" t="s">
        <v>172</v>
      </c>
      <c r="C578" s="441"/>
      <c r="D578" s="444" t="str">
        <f>Z577</f>
        <v/>
      </c>
      <c r="E578" s="445"/>
      <c r="F578" s="444" t="str">
        <f>Z578</f>
        <v/>
      </c>
      <c r="G578" s="445"/>
      <c r="H578" s="446">
        <v>1</v>
      </c>
      <c r="I578" s="447"/>
      <c r="J578" s="450"/>
      <c r="K578" s="443"/>
      <c r="L578" s="206"/>
      <c r="M578" s="143" t="str">
        <f>Z576</f>
        <v/>
      </c>
      <c r="N578" s="38"/>
      <c r="P578" s="144">
        <v>1</v>
      </c>
      <c r="Q578" s="144">
        <v>1</v>
      </c>
      <c r="R578" s="144">
        <v>1</v>
      </c>
      <c r="S578" s="144" t="str">
        <f>VLOOKUP(P578,'WORKINGS MATRIX'!$B$200:$C$351,2,FALSE)</f>
        <v>Year</v>
      </c>
      <c r="T578" s="144">
        <f t="shared" si="54"/>
        <v>0</v>
      </c>
      <c r="U578" s="144">
        <f t="shared" si="54"/>
        <v>0</v>
      </c>
      <c r="V578" s="144" t="str">
        <f>IF(S578="year","",S578)</f>
        <v/>
      </c>
      <c r="W578" s="144" t="str">
        <f t="shared" si="55"/>
        <v/>
      </c>
      <c r="X578" s="144" t="str">
        <f t="shared" si="55"/>
        <v/>
      </c>
      <c r="Y578" s="144" t="str">
        <f>IF(V578="","",IF(W578="",(V578&amp;"/"&amp;"1"&amp;"/"&amp;"1"),IF(X578="",(V578&amp;"/"&amp;W578&amp;"/"&amp;"1"),(V578&amp;"/"&amp;W578&amp;"/"&amp;X578))))</f>
        <v/>
      </c>
      <c r="Z578" s="144" t="str">
        <f>IF(Y578="//","",Y578)</f>
        <v/>
      </c>
    </row>
    <row r="579" spans="2:26" x14ac:dyDescent="0.25">
      <c r="N579" s="38"/>
      <c r="P579" s="144">
        <v>1</v>
      </c>
      <c r="Q579" s="144">
        <v>1</v>
      </c>
      <c r="R579" s="144">
        <v>1</v>
      </c>
      <c r="S579" s="144" t="str">
        <f>VLOOKUP(P579,'WORKINGS MATRIX'!$B$200:$C$351,2,FALSE)</f>
        <v>Year</v>
      </c>
      <c r="T579" s="144">
        <f t="shared" si="54"/>
        <v>0</v>
      </c>
      <c r="U579" s="144">
        <f t="shared" si="54"/>
        <v>0</v>
      </c>
      <c r="V579" s="144" t="str">
        <f>IF(S579="year","",S579)</f>
        <v/>
      </c>
      <c r="W579" s="144" t="str">
        <f t="shared" si="55"/>
        <v/>
      </c>
      <c r="X579" s="144" t="str">
        <f t="shared" si="55"/>
        <v/>
      </c>
      <c r="Y579" s="144" t="str">
        <f>IF(V579="","",IF(W579="",(V579&amp;"/"&amp;"1"&amp;"/"&amp;"1"),IF(X579="",(V579&amp;"/"&amp;W579&amp;"/"&amp;"1"),(V579&amp;"/"&amp;W579&amp;"/"&amp;X579))))</f>
        <v/>
      </c>
      <c r="Z579" s="144" t="str">
        <f>IF(Y579="//","",Y579)</f>
        <v/>
      </c>
    </row>
    <row r="580" spans="2:26" x14ac:dyDescent="0.25">
      <c r="M580" s="217"/>
      <c r="N580" s="38"/>
      <c r="P580" s="144"/>
      <c r="Q580" s="144"/>
      <c r="R580" s="144"/>
      <c r="S580" s="144"/>
      <c r="T580" s="144"/>
      <c r="U580" s="144"/>
      <c r="V580" s="144"/>
      <c r="W580" s="144"/>
      <c r="X580" s="144"/>
      <c r="Y580" s="144"/>
      <c r="Z580" s="144"/>
    </row>
    <row r="581" spans="2:26" x14ac:dyDescent="0.25">
      <c r="B581" s="21"/>
      <c r="C581" s="77"/>
      <c r="D581" s="216"/>
      <c r="E581" s="21"/>
      <c r="F581" s="10"/>
      <c r="G581" s="10"/>
      <c r="H581" s="10"/>
      <c r="I581" s="10"/>
      <c r="J581" s="21"/>
      <c r="K581" s="21"/>
      <c r="L581" s="21"/>
      <c r="M581" s="217"/>
      <c r="N581" s="387"/>
      <c r="O581" s="21"/>
      <c r="P581" s="144"/>
      <c r="Q581" s="144"/>
      <c r="R581" s="144"/>
      <c r="S581" s="145"/>
      <c r="T581" s="145"/>
      <c r="U581" s="145"/>
      <c r="V581" s="145"/>
      <c r="W581" s="145"/>
      <c r="X581" s="145"/>
      <c r="Y581" s="145"/>
      <c r="Z581" s="145"/>
    </row>
    <row r="582" spans="2:26" ht="26.25" customHeight="1" x14ac:dyDescent="0.25">
      <c r="B582" s="149"/>
      <c r="C582" s="149"/>
      <c r="D582" s="3"/>
      <c r="E582" s="149"/>
      <c r="F582" s="149"/>
      <c r="G582" s="3"/>
      <c r="H582" s="149"/>
      <c r="I582" s="3"/>
      <c r="J582" s="213"/>
      <c r="K582" s="214"/>
      <c r="L582" s="149"/>
      <c r="M582" s="70"/>
      <c r="N582" s="71"/>
      <c r="O582" s="10"/>
      <c r="P582" s="144"/>
      <c r="Q582" s="144"/>
      <c r="R582" s="144"/>
      <c r="S582" s="144"/>
      <c r="T582" s="144"/>
      <c r="U582" s="144"/>
      <c r="V582" s="144"/>
      <c r="W582" s="144"/>
      <c r="X582" s="144"/>
      <c r="Y582" s="144"/>
      <c r="Z582" s="144"/>
    </row>
    <row r="583" spans="2:26" ht="26.25" customHeight="1" x14ac:dyDescent="0.25">
      <c r="B583" s="149"/>
      <c r="C583" s="149"/>
      <c r="D583" s="3"/>
      <c r="E583" s="149"/>
      <c r="F583" s="149"/>
      <c r="G583" s="3"/>
      <c r="H583" s="149"/>
      <c r="I583" s="3"/>
      <c r="J583" s="213"/>
      <c r="K583" s="214"/>
      <c r="L583" s="149"/>
      <c r="M583" s="70"/>
      <c r="N583" s="71"/>
      <c r="O583" s="10"/>
      <c r="P583" s="144"/>
      <c r="Q583" s="144"/>
      <c r="R583" s="144"/>
      <c r="S583" s="144"/>
      <c r="T583" s="144"/>
      <c r="U583" s="144"/>
      <c r="V583" s="144"/>
      <c r="W583" s="144"/>
      <c r="X583" s="144"/>
      <c r="Y583" s="144"/>
      <c r="Z583" s="144"/>
    </row>
    <row r="584" spans="2:26" ht="26.25" customHeight="1" x14ac:dyDescent="0.25">
      <c r="B584" s="149"/>
      <c r="C584" s="149"/>
      <c r="D584" s="3"/>
      <c r="E584" s="149"/>
      <c r="F584" s="149"/>
      <c r="G584" s="3"/>
      <c r="H584" s="149"/>
      <c r="I584" s="3"/>
      <c r="J584" s="213"/>
      <c r="K584" s="214"/>
      <c r="L584" s="149"/>
      <c r="M584" s="70"/>
      <c r="N584" s="71"/>
      <c r="O584" s="10"/>
      <c r="P584" s="144"/>
      <c r="Q584" s="144"/>
      <c r="R584" s="144"/>
      <c r="S584" s="144"/>
      <c r="T584" s="144"/>
      <c r="U584" s="144"/>
      <c r="V584" s="144"/>
      <c r="W584" s="144"/>
      <c r="X584" s="144"/>
      <c r="Y584" s="144"/>
      <c r="Z584" s="144"/>
    </row>
    <row r="585" spans="2:26" ht="26.25" customHeight="1" x14ac:dyDescent="0.25">
      <c r="B585" s="149"/>
      <c r="C585" s="149"/>
      <c r="D585" s="3"/>
      <c r="E585" s="149"/>
      <c r="F585" s="149"/>
      <c r="G585" s="3"/>
      <c r="H585" s="149"/>
      <c r="I585" s="3"/>
      <c r="J585" s="213"/>
      <c r="K585" s="214"/>
      <c r="L585" s="149"/>
      <c r="M585" s="70"/>
      <c r="N585" s="71"/>
      <c r="O585" s="10"/>
      <c r="P585" s="144"/>
      <c r="Q585" s="144"/>
      <c r="R585" s="144"/>
      <c r="S585" s="144"/>
      <c r="T585" s="144"/>
      <c r="U585" s="144"/>
      <c r="V585" s="144"/>
      <c r="W585" s="144"/>
      <c r="X585" s="144"/>
      <c r="Y585" s="144"/>
      <c r="Z585" s="144"/>
    </row>
    <row r="586" spans="2:26" ht="26.25" customHeight="1" x14ac:dyDescent="0.25">
      <c r="B586" s="149"/>
      <c r="C586" s="149"/>
      <c r="D586" s="3"/>
      <c r="E586" s="149"/>
      <c r="F586" s="149"/>
      <c r="G586" s="3"/>
      <c r="H586" s="149"/>
      <c r="I586" s="3"/>
      <c r="J586" s="213"/>
      <c r="K586" s="214"/>
      <c r="L586" s="149"/>
      <c r="M586" s="70"/>
      <c r="N586" s="71"/>
      <c r="O586" s="10"/>
      <c r="P586" s="144"/>
      <c r="Q586" s="144"/>
      <c r="R586" s="144"/>
      <c r="S586" s="144"/>
      <c r="T586" s="144"/>
      <c r="U586" s="144"/>
      <c r="V586" s="144"/>
      <c r="W586" s="144"/>
      <c r="X586" s="144"/>
      <c r="Y586" s="144"/>
      <c r="Z586" s="144"/>
    </row>
    <row r="587" spans="2:26" x14ac:dyDescent="0.25">
      <c r="D587" s="3"/>
      <c r="G587" s="3"/>
      <c r="I587" s="3"/>
      <c r="N587" s="71"/>
      <c r="P587" s="144"/>
      <c r="Q587" s="144"/>
      <c r="R587" s="144"/>
      <c r="S587" s="144"/>
      <c r="T587" s="144"/>
      <c r="U587" s="144"/>
      <c r="V587" s="144"/>
      <c r="W587" s="144"/>
      <c r="X587" s="144"/>
      <c r="Y587" s="144"/>
      <c r="Z587" s="144"/>
    </row>
    <row r="588" spans="2:26" x14ac:dyDescent="0.25">
      <c r="B588" t="s">
        <v>152</v>
      </c>
      <c r="D588" s="57"/>
      <c r="H588" s="58"/>
      <c r="K588" s="21"/>
      <c r="N588" s="38"/>
      <c r="P588" s="144"/>
      <c r="Q588" s="144"/>
      <c r="R588" s="144"/>
      <c r="S588" s="144"/>
      <c r="T588" s="144"/>
      <c r="U588" s="144"/>
      <c r="V588" s="144"/>
      <c r="W588" s="144"/>
      <c r="X588" s="144"/>
      <c r="Y588" s="144"/>
      <c r="Z588" s="144"/>
    </row>
    <row r="589" spans="2:26" x14ac:dyDescent="0.25">
      <c r="B589" s="429"/>
      <c r="C589" s="430"/>
      <c r="D589" s="430"/>
      <c r="E589" s="430"/>
      <c r="F589" s="430"/>
      <c r="G589" s="430"/>
      <c r="H589" s="430"/>
      <c r="I589" s="430"/>
      <c r="J589" s="430"/>
      <c r="K589" s="430"/>
      <c r="L589" s="430"/>
      <c r="M589" s="431"/>
      <c r="N589" s="38"/>
      <c r="P589" s="144"/>
      <c r="Q589" s="144"/>
      <c r="R589" s="144"/>
      <c r="S589" s="144"/>
      <c r="T589" s="144"/>
      <c r="U589" s="144"/>
      <c r="V589" s="144"/>
      <c r="W589" s="144"/>
      <c r="X589" s="144"/>
      <c r="Y589" s="144"/>
      <c r="Z589" s="144"/>
    </row>
    <row r="590" spans="2:26" x14ac:dyDescent="0.25">
      <c r="B590" s="432"/>
      <c r="C590" s="433"/>
      <c r="D590" s="433"/>
      <c r="E590" s="433"/>
      <c r="F590" s="433"/>
      <c r="G590" s="433"/>
      <c r="H590" s="433"/>
      <c r="I590" s="433"/>
      <c r="J590" s="433"/>
      <c r="K590" s="433"/>
      <c r="L590" s="433"/>
      <c r="M590" s="434"/>
      <c r="N590" s="38"/>
      <c r="P590" s="144"/>
      <c r="Q590" s="144"/>
      <c r="R590" s="144"/>
      <c r="S590" s="144"/>
      <c r="T590" s="144"/>
      <c r="U590" s="144"/>
      <c r="V590" s="144"/>
      <c r="W590" s="144"/>
      <c r="X590" s="144"/>
      <c r="Y590" s="144"/>
      <c r="Z590" s="144"/>
    </row>
    <row r="591" spans="2:26" x14ac:dyDescent="0.25">
      <c r="B591" s="432"/>
      <c r="C591" s="433"/>
      <c r="D591" s="433"/>
      <c r="E591" s="433"/>
      <c r="F591" s="433"/>
      <c r="G591" s="433"/>
      <c r="H591" s="433"/>
      <c r="I591" s="433"/>
      <c r="J591" s="433"/>
      <c r="K591" s="433"/>
      <c r="L591" s="433"/>
      <c r="M591" s="434"/>
      <c r="N591" s="38"/>
      <c r="P591" s="144"/>
      <c r="Q591" s="144"/>
      <c r="R591" s="144"/>
      <c r="S591" s="144"/>
      <c r="T591" s="144"/>
      <c r="U591" s="144"/>
      <c r="V591" s="144"/>
      <c r="W591" s="144"/>
      <c r="X591" s="144"/>
      <c r="Y591" s="144"/>
      <c r="Z591" s="144"/>
    </row>
    <row r="592" spans="2:26" x14ac:dyDescent="0.25">
      <c r="B592" s="435"/>
      <c r="C592" s="436"/>
      <c r="D592" s="436"/>
      <c r="E592" s="436"/>
      <c r="F592" s="436"/>
      <c r="G592" s="436"/>
      <c r="H592" s="436"/>
      <c r="I592" s="436"/>
      <c r="J592" s="436"/>
      <c r="K592" s="436"/>
      <c r="L592" s="436"/>
      <c r="M592" s="437"/>
      <c r="N592" s="38"/>
      <c r="P592" s="144"/>
      <c r="Q592" s="144"/>
      <c r="R592" s="144"/>
      <c r="S592" s="144"/>
      <c r="T592" s="144"/>
      <c r="U592" s="144"/>
      <c r="V592" s="144"/>
      <c r="W592" s="144"/>
      <c r="X592" s="144"/>
      <c r="Y592" s="144"/>
      <c r="Z592" s="144"/>
    </row>
    <row r="597" spans="2:13" x14ac:dyDescent="0.25">
      <c r="D597" s="57"/>
      <c r="E597" s="149"/>
      <c r="F597" s="149"/>
      <c r="G597" s="149"/>
      <c r="H597" s="149"/>
      <c r="I597" s="149"/>
      <c r="K597" s="438" t="s">
        <v>155</v>
      </c>
      <c r="L597" s="438"/>
      <c r="M597" s="438"/>
    </row>
    <row r="598" spans="2:13" x14ac:dyDescent="0.25">
      <c r="D598" s="57"/>
      <c r="H598" s="58"/>
      <c r="K598" s="438"/>
      <c r="L598" s="438"/>
      <c r="M598" s="438"/>
    </row>
    <row r="599" spans="2:13" x14ac:dyDescent="0.25">
      <c r="D599" s="57"/>
      <c r="E599" s="149"/>
      <c r="F599" s="149"/>
      <c r="G599" s="149"/>
      <c r="H599" s="149"/>
      <c r="I599" s="149"/>
      <c r="K599" s="438"/>
      <c r="L599" s="438"/>
      <c r="M599" s="438"/>
    </row>
    <row r="600" spans="2:13" x14ac:dyDescent="0.25">
      <c r="D600" s="57"/>
      <c r="E600" s="149"/>
      <c r="F600" s="149"/>
      <c r="G600" s="149"/>
      <c r="H600" s="149"/>
      <c r="I600" s="149"/>
      <c r="K600" s="438"/>
      <c r="L600" s="438"/>
      <c r="M600" s="438"/>
    </row>
    <row r="601" spans="2:13" ht="13.8" thickBot="1" x14ac:dyDescent="0.3">
      <c r="B601" s="60"/>
      <c r="C601" s="60"/>
      <c r="D601" s="60"/>
      <c r="E601" s="60"/>
      <c r="F601" s="60"/>
      <c r="G601" s="60"/>
      <c r="H601" s="60"/>
      <c r="I601" s="60"/>
      <c r="J601" s="60"/>
      <c r="K601" s="60"/>
      <c r="L601" s="60"/>
      <c r="M601" s="60"/>
    </row>
    <row r="602" spans="2:13" ht="13.8" thickTop="1" x14ac:dyDescent="0.25"/>
    <row r="603" spans="2:13" x14ac:dyDescent="0.25">
      <c r="B603" s="24" t="s">
        <v>128</v>
      </c>
    </row>
    <row r="636" spans="2:13" ht="13.8" thickBot="1" x14ac:dyDescent="0.3">
      <c r="B636">
        <f>$D$1</f>
        <v>0</v>
      </c>
      <c r="C636" s="73" t="s">
        <v>128</v>
      </c>
      <c r="D636" s="25" t="s">
        <v>129</v>
      </c>
    </row>
    <row r="637" spans="2:13" ht="13.8" thickTop="1" x14ac:dyDescent="0.25">
      <c r="B637" s="27" t="s">
        <v>131</v>
      </c>
      <c r="C637" s="28"/>
      <c r="D637" s="29" t="s">
        <v>132</v>
      </c>
      <c r="E637" s="27" t="str">
        <f>J116</f>
        <v/>
      </c>
      <c r="F637" s="30" t="str">
        <f>IF(L116=0,"NOT REQUIRED", IF(L116="Man","MANAGERIAL POSITION","NON-MANAGERIAL POSITION"))</f>
        <v>NON-MANAGERIAL POSITION</v>
      </c>
      <c r="G637" s="28"/>
      <c r="H637" s="28"/>
      <c r="I637" s="31"/>
      <c r="J637" s="27"/>
      <c r="K637" s="28"/>
      <c r="L637" s="31" t="s">
        <v>133</v>
      </c>
      <c r="M637" s="28"/>
    </row>
    <row r="638" spans="2:13" x14ac:dyDescent="0.25">
      <c r="E638" s="34"/>
      <c r="F638" s="35"/>
      <c r="G638" s="36"/>
      <c r="I638" s="10"/>
      <c r="J638" s="37"/>
    </row>
    <row r="639" spans="2:13" x14ac:dyDescent="0.25">
      <c r="B639" t="s">
        <v>134</v>
      </c>
      <c r="L639" s="465" t="str">
        <f>$L$39</f>
        <v>X.002-218-2024(NT)&amp;N.004-116-2024(T)</v>
      </c>
      <c r="M639" s="465"/>
    </row>
    <row r="640" spans="2:13" ht="24.75" customHeight="1" x14ac:dyDescent="0.25">
      <c r="B640" s="39" t="s">
        <v>135</v>
      </c>
      <c r="C640" s="40"/>
      <c r="D640" s="41"/>
      <c r="E640" s="427" t="s">
        <v>136</v>
      </c>
      <c r="F640" s="428"/>
      <c r="G640" s="39" t="s">
        <v>137</v>
      </c>
      <c r="H640" s="41"/>
      <c r="I640" s="39" t="s">
        <v>138</v>
      </c>
      <c r="J640" s="41"/>
      <c r="K640" s="42"/>
      <c r="L640" s="465"/>
      <c r="M640" s="465"/>
    </row>
    <row r="641" spans="2:33" ht="16.5" customHeight="1" x14ac:dyDescent="0.25">
      <c r="B641" s="194"/>
      <c r="C641" s="195"/>
      <c r="D641" s="196"/>
      <c r="E641" s="425"/>
      <c r="F641" s="426"/>
      <c r="G641" s="159" t="str">
        <f>K116</f>
        <v/>
      </c>
      <c r="H641" s="44"/>
      <c r="I641" s="197"/>
      <c r="J641" s="198"/>
      <c r="K641" s="45"/>
      <c r="N641" s="38"/>
      <c r="P641" s="144">
        <v>1</v>
      </c>
      <c r="Q641" s="144">
        <v>1</v>
      </c>
      <c r="R641" s="144">
        <v>1</v>
      </c>
      <c r="S641" s="144" t="str">
        <f>VLOOKUP(P641,'WORKINGS MATRIX'!$H$200:$I$351,2,FALSE)</f>
        <v>Year</v>
      </c>
      <c r="T641" s="144">
        <f>Q641-1</f>
        <v>0</v>
      </c>
      <c r="U641" s="144">
        <f>R641-1</f>
        <v>0</v>
      </c>
      <c r="V641" s="144" t="str">
        <f>IF(S641="year","",S641)</f>
        <v/>
      </c>
      <c r="W641" s="144" t="str">
        <f>IF(T641=0,"",T641)</f>
        <v/>
      </c>
      <c r="X641" s="144" t="str">
        <f>IF(U641=0,"",U641)</f>
        <v/>
      </c>
      <c r="Y641" s="144" t="str">
        <f>IF(V641="","",IF(W641="",(V641&amp;"/"&amp;"1"&amp;"/"&amp;"1"),IF(X641="",(V641&amp;"/"&amp;W641&amp;"/"&amp;"1"),(V641&amp;"/"&amp;W641&amp;"/"&amp;X641))))</f>
        <v/>
      </c>
      <c r="Z641" s="144" t="str">
        <f>IF(Y641="//","",Y641)</f>
        <v/>
      </c>
      <c r="AC641" s="158"/>
      <c r="AD641" s="158"/>
      <c r="AE641" s="158"/>
      <c r="AF641" s="158"/>
      <c r="AG641" s="158"/>
    </row>
    <row r="642" spans="2:33" x14ac:dyDescent="0.25">
      <c r="E642" t="str">
        <f>IF(E641="","",IF(LEN(E641)=13,"","ID NUMBER SHOULD BE 13 DIGITS"))</f>
        <v/>
      </c>
      <c r="N642" s="38"/>
      <c r="P642" s="144"/>
      <c r="Q642" s="144"/>
      <c r="R642" s="144"/>
      <c r="S642" s="144"/>
      <c r="T642" s="144"/>
      <c r="U642" s="144"/>
      <c r="V642" s="144"/>
      <c r="W642" s="144"/>
      <c r="X642" s="144"/>
      <c r="Y642" s="144"/>
      <c r="Z642" s="144"/>
      <c r="AC642" s="158"/>
      <c r="AD642" s="158"/>
      <c r="AE642" s="158"/>
      <c r="AF642" s="158"/>
      <c r="AG642" s="158"/>
    </row>
    <row r="643" spans="2:33" x14ac:dyDescent="0.25">
      <c r="G643" s="170" t="str">
        <f>IF(AG646=0,"","DATES BEYOND TENDER CLOSING DATE - PLEASE CHECK")</f>
        <v/>
      </c>
      <c r="N643" s="38"/>
      <c r="P643" s="144"/>
      <c r="Q643" s="144"/>
      <c r="R643" s="144"/>
      <c r="S643" s="144"/>
      <c r="T643" s="144"/>
      <c r="U643" s="144"/>
      <c r="V643" s="144"/>
      <c r="W643" s="144"/>
      <c r="X643" s="144"/>
      <c r="Y643" s="144"/>
      <c r="Z643" s="144"/>
      <c r="AC643" s="158"/>
      <c r="AD643" s="158"/>
      <c r="AE643" s="158"/>
      <c r="AF643" s="158"/>
      <c r="AG643" s="158"/>
    </row>
    <row r="644" spans="2:33" x14ac:dyDescent="0.25">
      <c r="B644" t="s">
        <v>139</v>
      </c>
      <c r="G644" s="170" t="str">
        <f>IF(AE646=0,"","DATES INCORRECT OR INCOMPLETE - PLEASE CHECK")</f>
        <v/>
      </c>
      <c r="N644" s="38"/>
      <c r="P644" s="144"/>
      <c r="Q644" s="144"/>
      <c r="R644" s="144"/>
      <c r="S644" s="144"/>
      <c r="T644" s="144"/>
      <c r="U644" s="144"/>
      <c r="V644" s="144"/>
      <c r="W644" s="144"/>
      <c r="X644" s="144"/>
      <c r="Y644" s="144"/>
      <c r="Z644" s="144"/>
      <c r="AC644" s="158"/>
      <c r="AD644" s="158"/>
      <c r="AE644" s="158"/>
      <c r="AF644" s="158"/>
      <c r="AG644" s="158"/>
    </row>
    <row r="645" spans="2:33" x14ac:dyDescent="0.25">
      <c r="B645" s="15" t="s">
        <v>140</v>
      </c>
      <c r="N645" s="38"/>
      <c r="P645" s="144"/>
      <c r="Q645" s="144"/>
      <c r="R645" s="144"/>
      <c r="S645" s="144"/>
      <c r="T645" s="144"/>
      <c r="U645" s="144"/>
      <c r="V645" s="144"/>
      <c r="W645" s="144"/>
      <c r="X645" s="144"/>
      <c r="Y645" s="144"/>
      <c r="Z645" s="144"/>
      <c r="AC645" s="158"/>
      <c r="AD645" s="158"/>
      <c r="AE645" s="158"/>
      <c r="AF645" s="158"/>
      <c r="AG645" s="158"/>
    </row>
    <row r="646" spans="2:33" ht="66" x14ac:dyDescent="0.25">
      <c r="B646" s="47" t="s">
        <v>141</v>
      </c>
      <c r="C646" s="48" t="s">
        <v>142</v>
      </c>
      <c r="D646" s="44"/>
      <c r="E646" s="470" t="s">
        <v>143</v>
      </c>
      <c r="F646" s="471"/>
      <c r="G646" s="157" t="s">
        <v>144</v>
      </c>
      <c r="H646" s="157" t="s">
        <v>145</v>
      </c>
      <c r="I646" s="385" t="s">
        <v>146</v>
      </c>
      <c r="J646" s="49" t="s">
        <v>147</v>
      </c>
      <c r="K646" s="50" t="s">
        <v>148</v>
      </c>
      <c r="L646" s="385" t="s">
        <v>149</v>
      </c>
      <c r="M646" s="49" t="s">
        <v>150</v>
      </c>
      <c r="N646" s="51"/>
      <c r="O646" s="386"/>
      <c r="P646" s="147"/>
      <c r="Q646" s="144"/>
      <c r="R646" s="144"/>
      <c r="S646" s="145"/>
      <c r="T646" s="145"/>
      <c r="U646" s="145"/>
      <c r="V646" s="145"/>
      <c r="W646" s="145"/>
      <c r="X646" s="145"/>
      <c r="Y646" s="145"/>
      <c r="Z646" s="145"/>
      <c r="AC646" s="165"/>
      <c r="AD646" s="165"/>
      <c r="AE646" s="165">
        <f>SUM(AE647:AE651)</f>
        <v>0</v>
      </c>
      <c r="AF646" s="165"/>
      <c r="AG646" s="165">
        <f>SUM(AG647:AG651)</f>
        <v>0</v>
      </c>
    </row>
    <row r="647" spans="2:33" ht="25.5" customHeight="1" x14ac:dyDescent="0.25">
      <c r="B647" s="200"/>
      <c r="C647" s="53">
        <v>8</v>
      </c>
      <c r="D647" s="54"/>
      <c r="E647" s="201"/>
      <c r="F647" s="55">
        <v>1</v>
      </c>
      <c r="G647" s="143" t="str">
        <f>Z647</f>
        <v/>
      </c>
      <c r="H647" s="143" t="str">
        <f>Z652</f>
        <v/>
      </c>
      <c r="I647" s="202"/>
      <c r="J647" s="203"/>
      <c r="K647" s="56">
        <v>23</v>
      </c>
      <c r="L647" s="204"/>
      <c r="M647" s="205"/>
      <c r="N647" s="164">
        <f>IF(G647="",0,IF(H647="",0,(ROUND(((H647-G647)/30),0))))</f>
        <v>0</v>
      </c>
      <c r="O647" s="21"/>
      <c r="P647" s="148">
        <v>1</v>
      </c>
      <c r="Q647" s="144">
        <v>1</v>
      </c>
      <c r="R647" s="144">
        <v>1</v>
      </c>
      <c r="S647" s="144" t="str">
        <f>VLOOKUP(P647,'WORKINGS MATRIX'!$B$200:$C$351,2,FALSE)</f>
        <v>Year</v>
      </c>
      <c r="T647" s="144">
        <f t="shared" ref="T647:U651" si="56">Q647-1</f>
        <v>0</v>
      </c>
      <c r="U647" s="144">
        <f t="shared" si="56"/>
        <v>0</v>
      </c>
      <c r="V647" s="144" t="str">
        <f t="shared" ref="V647:V656" si="57">IF(S647="year","",S647)</f>
        <v/>
      </c>
      <c r="W647" s="144" t="str">
        <f t="shared" ref="W647:X651" si="58">IF(T647=0,"",T647)</f>
        <v/>
      </c>
      <c r="X647" s="144" t="str">
        <f t="shared" si="58"/>
        <v/>
      </c>
      <c r="Y647" s="144" t="str">
        <f t="shared" ref="Y647:Y656" si="59">IF(V647="","",IF(W647="",(V647&amp;"/"&amp;"1"&amp;"/"&amp;"1"),IF(X647="",(V647&amp;"/"&amp;W647&amp;"/"&amp;"1"),(V647&amp;"/"&amp;W647&amp;"/"&amp;X647))))</f>
        <v/>
      </c>
      <c r="Z647" s="144" t="str">
        <f t="shared" ref="Z647:Z656" si="60">IF(Y647="//","",Y647)</f>
        <v/>
      </c>
      <c r="AC647" s="172">
        <f>IF(B647="",0,1)</f>
        <v>0</v>
      </c>
      <c r="AD647" s="172">
        <f>IF(B647="",0,IF(N647&gt;0,1,IF(N647&lt;0,2,0)))</f>
        <v>0</v>
      </c>
      <c r="AE647" s="172">
        <f>IF(AC647=AD647,0,IF(AC647&gt;AD647,2,1))</f>
        <v>0</v>
      </c>
      <c r="AF647" s="172">
        <f>IF(B647="",0,IF(N647=0,0,H647-$F$125))</f>
        <v>0</v>
      </c>
      <c r="AG647" s="172">
        <f>IF(AF647&gt;0,1,0)</f>
        <v>0</v>
      </c>
    </row>
    <row r="648" spans="2:33" ht="25.5" customHeight="1" x14ac:dyDescent="0.25">
      <c r="B648" s="200"/>
      <c r="C648" s="53">
        <v>8</v>
      </c>
      <c r="D648" s="54"/>
      <c r="E648" s="201"/>
      <c r="F648" s="55">
        <v>1</v>
      </c>
      <c r="G648" s="143" t="str">
        <f>Z648</f>
        <v/>
      </c>
      <c r="H648" s="143" t="str">
        <f>Z653</f>
        <v/>
      </c>
      <c r="I648" s="202"/>
      <c r="J648" s="203"/>
      <c r="K648" s="56">
        <v>23</v>
      </c>
      <c r="L648" s="204"/>
      <c r="M648" s="205"/>
      <c r="N648" s="164">
        <f>IF(G648="",0,IF(H648="",0,(ROUND(((H648-G648)/30),0))))</f>
        <v>0</v>
      </c>
      <c r="O648" s="21"/>
      <c r="P648" s="148">
        <v>1</v>
      </c>
      <c r="Q648" s="144">
        <v>1</v>
      </c>
      <c r="R648" s="144">
        <v>1</v>
      </c>
      <c r="S648" s="144" t="str">
        <f>VLOOKUP(P648,'WORKINGS MATRIX'!$B$200:$C$351,2,FALSE)</f>
        <v>Year</v>
      </c>
      <c r="T648" s="144">
        <f t="shared" si="56"/>
        <v>0</v>
      </c>
      <c r="U648" s="144">
        <f t="shared" si="56"/>
        <v>0</v>
      </c>
      <c r="V648" s="144" t="str">
        <f t="shared" si="57"/>
        <v/>
      </c>
      <c r="W648" s="144" t="str">
        <f t="shared" si="58"/>
        <v/>
      </c>
      <c r="X648" s="144" t="str">
        <f t="shared" si="58"/>
        <v/>
      </c>
      <c r="Y648" s="144" t="str">
        <f t="shared" si="59"/>
        <v/>
      </c>
      <c r="Z648" s="144" t="str">
        <f t="shared" si="60"/>
        <v/>
      </c>
      <c r="AC648" s="172">
        <f>IF(B648="",0,1)</f>
        <v>0</v>
      </c>
      <c r="AD648" s="172">
        <f>IF(B648="",0,IF(N648&gt;0,1,IF(N648&lt;0,2,0)))</f>
        <v>0</v>
      </c>
      <c r="AE648" s="172">
        <f>IF(AC648=AD648,0,IF(AC648&gt;AD648,2,1))</f>
        <v>0</v>
      </c>
      <c r="AF648" s="172">
        <f>IF(B648="",0,IF(N648=0,0,H648-$F$125))</f>
        <v>0</v>
      </c>
      <c r="AG648" s="172">
        <f>IF(AF648&gt;0,1,0)</f>
        <v>0</v>
      </c>
    </row>
    <row r="649" spans="2:33" ht="25.5" customHeight="1" x14ac:dyDescent="0.25">
      <c r="B649" s="200"/>
      <c r="C649" s="53">
        <v>8</v>
      </c>
      <c r="D649" s="54"/>
      <c r="E649" s="201"/>
      <c r="F649" s="55">
        <v>1</v>
      </c>
      <c r="G649" s="143" t="str">
        <f>Z649</f>
        <v/>
      </c>
      <c r="H649" s="143" t="str">
        <f>Z654</f>
        <v/>
      </c>
      <c r="I649" s="202"/>
      <c r="J649" s="203"/>
      <c r="K649" s="56">
        <v>23</v>
      </c>
      <c r="L649" s="204"/>
      <c r="M649" s="205"/>
      <c r="N649" s="164">
        <f>IF(G649="",0,IF(H649="",0,(ROUND(((H649-G649)/30),0))))</f>
        <v>0</v>
      </c>
      <c r="O649" s="21"/>
      <c r="P649" s="148">
        <v>1</v>
      </c>
      <c r="Q649" s="144">
        <v>1</v>
      </c>
      <c r="R649" s="144">
        <v>1</v>
      </c>
      <c r="S649" s="144" t="str">
        <f>VLOOKUP(P649,'WORKINGS MATRIX'!$B$200:$C$351,2,FALSE)</f>
        <v>Year</v>
      </c>
      <c r="T649" s="144">
        <f t="shared" si="56"/>
        <v>0</v>
      </c>
      <c r="U649" s="144">
        <f t="shared" si="56"/>
        <v>0</v>
      </c>
      <c r="V649" s="144" t="str">
        <f t="shared" si="57"/>
        <v/>
      </c>
      <c r="W649" s="144" t="str">
        <f t="shared" si="58"/>
        <v/>
      </c>
      <c r="X649" s="144" t="str">
        <f t="shared" si="58"/>
        <v/>
      </c>
      <c r="Y649" s="144" t="str">
        <f t="shared" si="59"/>
        <v/>
      </c>
      <c r="Z649" s="144" t="str">
        <f t="shared" si="60"/>
        <v/>
      </c>
      <c r="AC649" s="172">
        <f>IF(B649="",0,1)</f>
        <v>0</v>
      </c>
      <c r="AD649" s="172">
        <f>IF(B649="",0,IF(N649&gt;0,1,IF(N649&lt;0,2,0)))</f>
        <v>0</v>
      </c>
      <c r="AE649" s="172">
        <f>IF(AC649=AD649,0,IF(AC649&gt;AD649,2,1))</f>
        <v>0</v>
      </c>
      <c r="AF649" s="172">
        <f>IF(B649="",0,IF(N649=0,0,H649-$F$125))</f>
        <v>0</v>
      </c>
      <c r="AG649" s="172">
        <f>IF(AF649&gt;0,1,0)</f>
        <v>0</v>
      </c>
    </row>
    <row r="650" spans="2:33" ht="25.5" customHeight="1" x14ac:dyDescent="0.25">
      <c r="B650" s="255"/>
      <c r="C650" s="255"/>
      <c r="D650" s="255"/>
      <c r="E650" s="255"/>
      <c r="F650" s="255"/>
      <c r="G650" s="255"/>
      <c r="H650" s="255"/>
      <c r="I650" s="255"/>
      <c r="J650" s="255"/>
      <c r="K650" s="255"/>
      <c r="L650" s="255"/>
      <c r="M650" s="255"/>
      <c r="N650" s="164">
        <f>IF(G650="",0,IF(H650="",0,(ROUND(((H650-G650)/30),0))))</f>
        <v>0</v>
      </c>
      <c r="O650" s="21"/>
      <c r="P650" s="148">
        <v>1</v>
      </c>
      <c r="Q650" s="144">
        <v>1</v>
      </c>
      <c r="R650" s="144">
        <v>1</v>
      </c>
      <c r="S650" s="144" t="str">
        <f>VLOOKUP(P650,'WORKINGS MATRIX'!$B$200:$C$351,2,FALSE)</f>
        <v>Year</v>
      </c>
      <c r="T650" s="144">
        <f t="shared" si="56"/>
        <v>0</v>
      </c>
      <c r="U650" s="144">
        <f t="shared" si="56"/>
        <v>0</v>
      </c>
      <c r="V650" s="144" t="str">
        <f t="shared" si="57"/>
        <v/>
      </c>
      <c r="W650" s="144" t="str">
        <f t="shared" si="58"/>
        <v/>
      </c>
      <c r="X650" s="144" t="str">
        <f t="shared" si="58"/>
        <v/>
      </c>
      <c r="Y650" s="144" t="str">
        <f t="shared" si="59"/>
        <v/>
      </c>
      <c r="Z650" s="144" t="str">
        <f t="shared" si="60"/>
        <v/>
      </c>
      <c r="AC650" s="172">
        <f>IF(B650="",0,1)</f>
        <v>0</v>
      </c>
      <c r="AD650" s="172">
        <f>IF(B650="",0,IF(N650&gt;0,1,IF(N650&lt;0,2,0)))</f>
        <v>0</v>
      </c>
      <c r="AE650" s="172">
        <f>IF(AC650=AD650,0,IF(AC650&gt;AD650,2,1))</f>
        <v>0</v>
      </c>
      <c r="AF650" s="172">
        <f>IF(B650="",0,IF(N650=0,0,H650-$F$125))</f>
        <v>0</v>
      </c>
      <c r="AG650" s="172">
        <f>IF(AF650&gt;0,1,0)</f>
        <v>0</v>
      </c>
    </row>
    <row r="651" spans="2:33" ht="25.5" customHeight="1" x14ac:dyDescent="0.25">
      <c r="B651" s="149"/>
      <c r="C651" s="149"/>
      <c r="D651" s="149"/>
      <c r="E651" s="149"/>
      <c r="F651" s="149"/>
      <c r="G651" s="149"/>
      <c r="H651" s="149"/>
      <c r="I651" s="149"/>
      <c r="J651" s="149"/>
      <c r="K651" s="149"/>
      <c r="L651" s="149"/>
      <c r="M651" s="149"/>
      <c r="N651" s="164">
        <f>IF(G651="",0,IF(H651="",0,(ROUND(((H651-G651)/30),0))))</f>
        <v>0</v>
      </c>
      <c r="O651" s="21"/>
      <c r="P651" s="148">
        <v>1</v>
      </c>
      <c r="Q651" s="144">
        <v>1</v>
      </c>
      <c r="R651" s="144">
        <v>1</v>
      </c>
      <c r="S651" s="144" t="str">
        <f>VLOOKUP(P651,'WORKINGS MATRIX'!$B$200:$C$351,2,FALSE)</f>
        <v>Year</v>
      </c>
      <c r="T651" s="144">
        <f t="shared" si="56"/>
        <v>0</v>
      </c>
      <c r="U651" s="144">
        <f t="shared" si="56"/>
        <v>0</v>
      </c>
      <c r="V651" s="144" t="str">
        <f t="shared" si="57"/>
        <v/>
      </c>
      <c r="W651" s="144" t="str">
        <f t="shared" si="58"/>
        <v/>
      </c>
      <c r="X651" s="144" t="str">
        <f t="shared" si="58"/>
        <v/>
      </c>
      <c r="Y651" s="144" t="str">
        <f t="shared" si="59"/>
        <v/>
      </c>
      <c r="Z651" s="144" t="str">
        <f t="shared" si="60"/>
        <v/>
      </c>
      <c r="AC651" s="172">
        <f>IF(B651="",0,1)</f>
        <v>0</v>
      </c>
      <c r="AD651" s="172">
        <f>IF(B651="",0,IF(N651&gt;0,1,IF(N651&lt;0,2,0)))</f>
        <v>0</v>
      </c>
      <c r="AE651" s="172">
        <f>IF(AC651=AD651,0,IF(AC651&gt;AD651,2,1))</f>
        <v>0</v>
      </c>
      <c r="AF651" s="172">
        <f>IF(B651="",0,IF(N651=0,0,H651-$F$125))</f>
        <v>0</v>
      </c>
      <c r="AG651" s="172">
        <f>IF(AF651&gt;0,1,0)</f>
        <v>0</v>
      </c>
    </row>
    <row r="652" spans="2:33" x14ac:dyDescent="0.25">
      <c r="D652" s="57"/>
      <c r="H652" s="58"/>
      <c r="K652" s="21"/>
      <c r="N652" s="38"/>
      <c r="O652" s="58"/>
      <c r="P652" s="134">
        <v>1</v>
      </c>
      <c r="Q652" s="144">
        <v>1</v>
      </c>
      <c r="R652" s="144">
        <v>1</v>
      </c>
      <c r="S652" s="144" t="str">
        <f>VLOOKUP(P652,'WORKINGS MATRIX'!$B$200:$C$351,2,FALSE)</f>
        <v>Year</v>
      </c>
      <c r="T652" s="144">
        <f t="shared" ref="T652:U656" si="61">Q652-1</f>
        <v>0</v>
      </c>
      <c r="U652" s="144">
        <f t="shared" si="61"/>
        <v>0</v>
      </c>
      <c r="V652" s="144" t="str">
        <f t="shared" si="57"/>
        <v/>
      </c>
      <c r="W652" s="144" t="str">
        <f t="shared" ref="W652:X656" si="62">IF(T652=0,"",T652)</f>
        <v/>
      </c>
      <c r="X652" s="144" t="str">
        <f t="shared" si="62"/>
        <v/>
      </c>
      <c r="Y652" s="144" t="str">
        <f t="shared" si="59"/>
        <v/>
      </c>
      <c r="Z652" s="144" t="str">
        <f t="shared" si="60"/>
        <v/>
      </c>
      <c r="AC652" s="158"/>
      <c r="AD652" s="158"/>
      <c r="AE652" s="158"/>
      <c r="AF652" s="158"/>
      <c r="AG652" s="158"/>
    </row>
    <row r="653" spans="2:33" ht="12.75" customHeight="1" x14ac:dyDescent="0.25">
      <c r="B653" t="s">
        <v>152</v>
      </c>
      <c r="D653" s="57"/>
      <c r="H653" s="58"/>
      <c r="K653" s="21"/>
      <c r="N653" s="38"/>
      <c r="O653" s="58"/>
      <c r="P653" s="144">
        <v>1</v>
      </c>
      <c r="Q653" s="144">
        <v>1</v>
      </c>
      <c r="R653" s="144">
        <v>1</v>
      </c>
      <c r="S653" s="144" t="str">
        <f>VLOOKUP(P653,'WORKINGS MATRIX'!$B$200:$C$351,2,FALSE)</f>
        <v>Year</v>
      </c>
      <c r="T653" s="144">
        <f t="shared" si="61"/>
        <v>0</v>
      </c>
      <c r="U653" s="144">
        <f t="shared" si="61"/>
        <v>0</v>
      </c>
      <c r="V653" s="144" t="str">
        <f t="shared" si="57"/>
        <v/>
      </c>
      <c r="W653" s="144" t="str">
        <f t="shared" si="62"/>
        <v/>
      </c>
      <c r="X653" s="144" t="str">
        <f t="shared" si="62"/>
        <v/>
      </c>
      <c r="Y653" s="144" t="str">
        <f t="shared" si="59"/>
        <v/>
      </c>
      <c r="Z653" s="144" t="str">
        <f t="shared" si="60"/>
        <v/>
      </c>
      <c r="AC653" s="158"/>
      <c r="AD653" s="158"/>
      <c r="AE653" s="158"/>
      <c r="AF653" s="158"/>
      <c r="AG653" s="158"/>
    </row>
    <row r="654" spans="2:33" x14ac:dyDescent="0.25">
      <c r="B654" s="429"/>
      <c r="C654" s="430"/>
      <c r="D654" s="430"/>
      <c r="E654" s="430"/>
      <c r="F654" s="430"/>
      <c r="G654" s="430"/>
      <c r="H654" s="430"/>
      <c r="I654" s="430"/>
      <c r="J654" s="430"/>
      <c r="K654" s="430"/>
      <c r="L654" s="430"/>
      <c r="M654" s="431"/>
      <c r="N654" s="38"/>
      <c r="O654" s="58"/>
      <c r="P654" s="144">
        <v>1</v>
      </c>
      <c r="Q654" s="144">
        <v>1</v>
      </c>
      <c r="R654" s="144">
        <v>1</v>
      </c>
      <c r="S654" s="144" t="str">
        <f>VLOOKUP(P654,'WORKINGS MATRIX'!$B$200:$C$351,2,FALSE)</f>
        <v>Year</v>
      </c>
      <c r="T654" s="144">
        <f t="shared" si="61"/>
        <v>0</v>
      </c>
      <c r="U654" s="144">
        <f t="shared" si="61"/>
        <v>0</v>
      </c>
      <c r="V654" s="144" t="str">
        <f t="shared" si="57"/>
        <v/>
      </c>
      <c r="W654" s="144" t="str">
        <f t="shared" si="62"/>
        <v/>
      </c>
      <c r="X654" s="144" t="str">
        <f t="shared" si="62"/>
        <v/>
      </c>
      <c r="Y654" s="144" t="str">
        <f t="shared" si="59"/>
        <v/>
      </c>
      <c r="Z654" s="144" t="str">
        <f t="shared" si="60"/>
        <v/>
      </c>
      <c r="AC654" s="158"/>
      <c r="AD654" s="158"/>
      <c r="AE654" s="158"/>
      <c r="AF654" s="158"/>
      <c r="AG654" s="158"/>
    </row>
    <row r="655" spans="2:33" x14ac:dyDescent="0.25">
      <c r="B655" s="432"/>
      <c r="C655" s="433"/>
      <c r="D655" s="433"/>
      <c r="E655" s="433"/>
      <c r="F655" s="433"/>
      <c r="G655" s="433"/>
      <c r="H655" s="433"/>
      <c r="I655" s="433"/>
      <c r="J655" s="433"/>
      <c r="K655" s="433"/>
      <c r="L655" s="433"/>
      <c r="M655" s="434"/>
      <c r="N655" s="38"/>
      <c r="O655" s="58"/>
      <c r="P655" s="144">
        <v>1</v>
      </c>
      <c r="Q655" s="144">
        <v>1</v>
      </c>
      <c r="R655" s="144">
        <v>1</v>
      </c>
      <c r="S655" s="144" t="str">
        <f>VLOOKUP(P655,'WORKINGS MATRIX'!$B$200:$C$351,2,FALSE)</f>
        <v>Year</v>
      </c>
      <c r="T655" s="144">
        <f t="shared" si="61"/>
        <v>0</v>
      </c>
      <c r="U655" s="144">
        <f t="shared" si="61"/>
        <v>0</v>
      </c>
      <c r="V655" s="144" t="str">
        <f t="shared" si="57"/>
        <v/>
      </c>
      <c r="W655" s="144" t="str">
        <f t="shared" si="62"/>
        <v/>
      </c>
      <c r="X655" s="144" t="str">
        <f t="shared" si="62"/>
        <v/>
      </c>
      <c r="Y655" s="144" t="str">
        <f t="shared" si="59"/>
        <v/>
      </c>
      <c r="Z655" s="144" t="str">
        <f t="shared" si="60"/>
        <v/>
      </c>
      <c r="AC655" s="158"/>
      <c r="AD655" s="158"/>
      <c r="AE655" s="158"/>
      <c r="AF655" s="158"/>
      <c r="AG655" s="158"/>
    </row>
    <row r="656" spans="2:33" x14ac:dyDescent="0.25">
      <c r="B656" s="432"/>
      <c r="C656" s="433"/>
      <c r="D656" s="433"/>
      <c r="E656" s="433"/>
      <c r="F656" s="433"/>
      <c r="G656" s="433"/>
      <c r="H656" s="433"/>
      <c r="I656" s="433"/>
      <c r="J656" s="433"/>
      <c r="K656" s="433"/>
      <c r="L656" s="433"/>
      <c r="M656" s="434"/>
      <c r="N656" s="38"/>
      <c r="O656" s="58"/>
      <c r="P656" s="144">
        <v>1</v>
      </c>
      <c r="Q656" s="144">
        <v>1</v>
      </c>
      <c r="R656" s="144">
        <v>1</v>
      </c>
      <c r="S656" s="144" t="str">
        <f>VLOOKUP(P656,'WORKINGS MATRIX'!$B$200:$C$351,2,FALSE)</f>
        <v>Year</v>
      </c>
      <c r="T656" s="144">
        <f t="shared" si="61"/>
        <v>0</v>
      </c>
      <c r="U656" s="144">
        <f t="shared" si="61"/>
        <v>0</v>
      </c>
      <c r="V656" s="144" t="str">
        <f t="shared" si="57"/>
        <v/>
      </c>
      <c r="W656" s="144" t="str">
        <f t="shared" si="62"/>
        <v/>
      </c>
      <c r="X656" s="144" t="str">
        <f t="shared" si="62"/>
        <v/>
      </c>
      <c r="Y656" s="144" t="str">
        <f t="shared" si="59"/>
        <v/>
      </c>
      <c r="Z656" s="144" t="str">
        <f t="shared" si="60"/>
        <v/>
      </c>
      <c r="AC656" s="158"/>
      <c r="AD656" s="158"/>
      <c r="AE656" s="158"/>
      <c r="AF656" s="158"/>
      <c r="AG656" s="158"/>
    </row>
    <row r="657" spans="2:13" x14ac:dyDescent="0.25">
      <c r="B657" s="435"/>
      <c r="C657" s="436"/>
      <c r="D657" s="436"/>
      <c r="E657" s="436"/>
      <c r="F657" s="436"/>
      <c r="G657" s="436"/>
      <c r="H657" s="436"/>
      <c r="I657" s="436"/>
      <c r="J657" s="436"/>
      <c r="K657" s="436"/>
      <c r="L657" s="436"/>
      <c r="M657" s="437"/>
    </row>
    <row r="658" spans="2:13" x14ac:dyDescent="0.25">
      <c r="B658" s="15" t="s">
        <v>153</v>
      </c>
      <c r="D658" s="57"/>
      <c r="H658" s="58"/>
      <c r="K658" s="21"/>
    </row>
    <row r="659" spans="2:13" x14ac:dyDescent="0.25">
      <c r="B659" s="15" t="s">
        <v>154</v>
      </c>
      <c r="D659" s="57"/>
      <c r="H659" s="58"/>
      <c r="K659" s="21"/>
    </row>
    <row r="660" spans="2:13" x14ac:dyDescent="0.25">
      <c r="D660" s="57"/>
      <c r="H660" s="58"/>
      <c r="K660" s="21"/>
    </row>
    <row r="661" spans="2:13" x14ac:dyDescent="0.25">
      <c r="D661" s="57"/>
      <c r="E661" s="149"/>
      <c r="F661" s="149"/>
      <c r="G661" s="149"/>
      <c r="H661" s="149"/>
      <c r="I661" s="149"/>
      <c r="K661" s="21"/>
    </row>
    <row r="662" spans="2:13" x14ac:dyDescent="0.25">
      <c r="D662" s="57"/>
      <c r="E662" s="149"/>
      <c r="F662" s="149"/>
      <c r="G662" s="149"/>
      <c r="H662" s="149"/>
      <c r="I662" s="149"/>
      <c r="K662" s="438" t="s">
        <v>155</v>
      </c>
      <c r="L662" s="438"/>
      <c r="M662" s="438"/>
    </row>
    <row r="663" spans="2:13" x14ac:dyDescent="0.25">
      <c r="D663" s="57"/>
      <c r="H663" s="58"/>
      <c r="K663" s="438"/>
      <c r="L663" s="438"/>
      <c r="M663" s="438"/>
    </row>
    <row r="664" spans="2:13" x14ac:dyDescent="0.25">
      <c r="D664" s="57"/>
      <c r="E664" s="149"/>
      <c r="F664" s="149"/>
      <c r="G664" s="149"/>
      <c r="H664" s="149"/>
      <c r="I664" s="149"/>
      <c r="K664" s="438"/>
      <c r="L664" s="438"/>
      <c r="M664" s="438"/>
    </row>
    <row r="665" spans="2:13" x14ac:dyDescent="0.25">
      <c r="D665" s="57"/>
      <c r="E665" s="149"/>
      <c r="F665" s="149"/>
      <c r="G665" s="149"/>
      <c r="H665" s="149"/>
      <c r="I665" s="149"/>
      <c r="K665" s="438"/>
      <c r="L665" s="438"/>
      <c r="M665" s="438"/>
    </row>
    <row r="666" spans="2:13" ht="13.8" thickBot="1" x14ac:dyDescent="0.3">
      <c r="B666" s="60"/>
      <c r="C666" s="60"/>
      <c r="D666" s="61"/>
      <c r="E666" s="60"/>
      <c r="F666" s="60"/>
      <c r="G666" s="60"/>
      <c r="H666" s="62"/>
      <c r="I666" s="60"/>
      <c r="J666" s="60"/>
      <c r="K666" s="63"/>
      <c r="L666" s="60"/>
      <c r="M666" s="60"/>
    </row>
    <row r="667" spans="2:13" ht="14.4" thickTop="1" thickBot="1" x14ac:dyDescent="0.3">
      <c r="D667" s="57"/>
      <c r="H667" s="58"/>
      <c r="K667" s="21"/>
    </row>
    <row r="668" spans="2:13" ht="13.8" thickTop="1" x14ac:dyDescent="0.25">
      <c r="B668" s="27" t="s">
        <v>156</v>
      </c>
      <c r="C668" s="29"/>
      <c r="D668" s="28"/>
      <c r="E668" s="65"/>
      <c r="F668" s="65"/>
      <c r="G668" s="65"/>
      <c r="H668" s="28"/>
      <c r="I668" s="28"/>
      <c r="J668" s="28"/>
      <c r="K668" s="28"/>
      <c r="L668" s="31" t="s">
        <v>157</v>
      </c>
      <c r="M668" s="28"/>
    </row>
    <row r="669" spans="2:13" x14ac:dyDescent="0.25">
      <c r="E669" s="134">
        <v>5</v>
      </c>
      <c r="F669" s="12"/>
    </row>
    <row r="670" spans="2:13" x14ac:dyDescent="0.25">
      <c r="B670" t="s">
        <v>134</v>
      </c>
      <c r="L670" s="465" t="str">
        <f>$L$39</f>
        <v>X.002-218-2024(NT)&amp;N.004-116-2024(T)</v>
      </c>
      <c r="M670" s="465"/>
    </row>
    <row r="671" spans="2:13" x14ac:dyDescent="0.25">
      <c r="B671" s="39" t="s">
        <v>135</v>
      </c>
      <c r="C671" s="40"/>
      <c r="D671" s="41"/>
      <c r="E671" s="448" t="s">
        <v>158</v>
      </c>
      <c r="F671" s="449"/>
      <c r="G671" s="466" t="s">
        <v>159</v>
      </c>
      <c r="H671" s="449"/>
      <c r="L671" s="465"/>
      <c r="M671" s="465"/>
    </row>
    <row r="672" spans="2:13" ht="18" customHeight="1" x14ac:dyDescent="0.25">
      <c r="B672" s="66">
        <f>B641</f>
        <v>0</v>
      </c>
      <c r="C672" s="67"/>
      <c r="D672" s="68"/>
      <c r="E672" s="441" t="str">
        <f>G641</f>
        <v/>
      </c>
      <c r="F672" s="441"/>
      <c r="G672" s="42"/>
      <c r="H672" s="12">
        <v>1</v>
      </c>
    </row>
    <row r="674" spans="2:26" x14ac:dyDescent="0.25">
      <c r="B674" t="s">
        <v>161</v>
      </c>
      <c r="N674" s="38"/>
      <c r="P674" s="144"/>
      <c r="Q674" s="144"/>
      <c r="R674" s="144"/>
      <c r="S674" s="144"/>
      <c r="T674" s="144"/>
      <c r="U674" s="144"/>
      <c r="V674" s="144"/>
      <c r="W674" s="144"/>
      <c r="X674" s="144"/>
      <c r="Y674" s="144"/>
      <c r="Z674" s="144"/>
    </row>
    <row r="675" spans="2:26" ht="18" customHeight="1" x14ac:dyDescent="0.25">
      <c r="B675" s="468" t="s">
        <v>162</v>
      </c>
      <c r="C675" s="468"/>
      <c r="D675" s="469" t="s">
        <v>163</v>
      </c>
      <c r="E675" s="469"/>
      <c r="F675" s="461" t="s">
        <v>164</v>
      </c>
      <c r="G675" s="462"/>
      <c r="H675" s="467" t="s">
        <v>165</v>
      </c>
      <c r="I675" s="462"/>
      <c r="J675" s="467" t="s">
        <v>165</v>
      </c>
      <c r="K675" s="462"/>
      <c r="L675" s="125" t="s">
        <v>166</v>
      </c>
      <c r="M675" s="125" t="s">
        <v>167</v>
      </c>
      <c r="N675" s="38"/>
      <c r="P675" s="144">
        <v>1</v>
      </c>
      <c r="Q675" s="144">
        <v>1</v>
      </c>
      <c r="R675" s="144">
        <v>1</v>
      </c>
      <c r="S675" s="144" t="str">
        <f>VLOOKUP(P675,'WORKINGS MATRIX'!$B$200:$C$351,2,FALSE)</f>
        <v>Year</v>
      </c>
      <c r="T675" s="144">
        <f t="shared" ref="T675:U679" si="63">Q675-1</f>
        <v>0</v>
      </c>
      <c r="U675" s="144">
        <f t="shared" si="63"/>
        <v>0</v>
      </c>
      <c r="V675" s="144" t="str">
        <f>IF(S675="year","",S675)</f>
        <v/>
      </c>
      <c r="W675" s="144" t="str">
        <f t="shared" ref="W675:X679" si="64">IF(T675=0,"",T675)</f>
        <v/>
      </c>
      <c r="X675" s="144" t="str">
        <f t="shared" si="64"/>
        <v/>
      </c>
      <c r="Y675" s="144" t="str">
        <f>IF(V675="","",IF(W675="",(V675&amp;"/"&amp;"12"&amp;"/"&amp;"1"),IF(X675="",(V675&amp;"/"&amp;W675&amp;"/"&amp;"1"),(V675&amp;"/"&amp;W675&amp;"/"&amp;X675))))</f>
        <v/>
      </c>
      <c r="Z675" s="144" t="str">
        <f>IF(Y675="//","",Y675)</f>
        <v/>
      </c>
    </row>
    <row r="676" spans="2:26" ht="18" customHeight="1" x14ac:dyDescent="0.25">
      <c r="B676" s="441" t="s">
        <v>168</v>
      </c>
      <c r="C676" s="441"/>
      <c r="D676" s="439">
        <v>10</v>
      </c>
      <c r="E676" s="440"/>
      <c r="F676" s="442"/>
      <c r="G676" s="443"/>
      <c r="H676" s="463">
        <v>1</v>
      </c>
      <c r="I676" s="464"/>
      <c r="J676" s="450"/>
      <c r="K676" s="443"/>
      <c r="L676" s="206"/>
      <c r="M676" s="143" t="str">
        <f>Z675</f>
        <v/>
      </c>
      <c r="N676" s="38"/>
      <c r="P676" s="144">
        <v>1</v>
      </c>
      <c r="Q676" s="144">
        <v>1</v>
      </c>
      <c r="R676" s="144">
        <v>1</v>
      </c>
      <c r="S676" s="144" t="str">
        <f>VLOOKUP(P676,'WORKINGS MATRIX'!$B$200:$C$351,2,FALSE)</f>
        <v>Year</v>
      </c>
      <c r="T676" s="144">
        <f t="shared" si="63"/>
        <v>0</v>
      </c>
      <c r="U676" s="144">
        <f t="shared" si="63"/>
        <v>0</v>
      </c>
      <c r="V676" s="144" t="str">
        <f>IF(S676="year","",S676)</f>
        <v/>
      </c>
      <c r="W676" s="144" t="str">
        <f t="shared" si="64"/>
        <v/>
      </c>
      <c r="X676" s="144" t="str">
        <f t="shared" si="64"/>
        <v/>
      </c>
      <c r="Y676" s="144" t="str">
        <f>IF(V676="","",IF(W676="",(V676&amp;"/"&amp;"12"&amp;"/"&amp;"1"),IF(X676="",(V676&amp;"/"&amp;W676&amp;"/"&amp;"1"),(V676&amp;"/"&amp;W676&amp;"/"&amp;X676))))</f>
        <v/>
      </c>
      <c r="Z676" s="144" t="str">
        <f>IF(Y676="//","",Y676)</f>
        <v/>
      </c>
    </row>
    <row r="677" spans="2:26" ht="18" customHeight="1" x14ac:dyDescent="0.25">
      <c r="B677" s="441" t="s">
        <v>169</v>
      </c>
      <c r="C677" s="441"/>
      <c r="D677" s="442"/>
      <c r="E677" s="443"/>
      <c r="F677" s="442"/>
      <c r="G677" s="443"/>
      <c r="H677" s="451" t="s">
        <v>170</v>
      </c>
      <c r="I677" s="452"/>
      <c r="J677" s="451" t="s">
        <v>171</v>
      </c>
      <c r="K677" s="452"/>
      <c r="L677" s="125" t="s">
        <v>166</v>
      </c>
      <c r="M677" s="125" t="s">
        <v>167</v>
      </c>
      <c r="N677" s="38"/>
      <c r="P677" s="144">
        <v>1</v>
      </c>
      <c r="Q677" s="144">
        <v>1</v>
      </c>
      <c r="R677" s="144">
        <v>1</v>
      </c>
      <c r="S677" s="144" t="str">
        <f>VLOOKUP(P677,'WORKINGS MATRIX'!$B$200:$C$351,2,FALSE)</f>
        <v>Year</v>
      </c>
      <c r="T677" s="144">
        <f t="shared" si="63"/>
        <v>0</v>
      </c>
      <c r="U677" s="144">
        <f t="shared" si="63"/>
        <v>0</v>
      </c>
      <c r="V677" s="144" t="str">
        <f>IF(S677="year","",S677)</f>
        <v/>
      </c>
      <c r="W677" s="144" t="str">
        <f t="shared" si="64"/>
        <v/>
      </c>
      <c r="X677" s="144" t="str">
        <f t="shared" si="64"/>
        <v/>
      </c>
      <c r="Y677" s="144" t="str">
        <f>IF(V677="","",IF(W677="",(V677&amp;"/"&amp;"1"&amp;"/"&amp;"1"),IF(X677="",(V677&amp;"/"&amp;W677&amp;"/"&amp;"1"),(V677&amp;"/"&amp;W677&amp;"/"&amp;X677))))</f>
        <v/>
      </c>
      <c r="Z677" s="144" t="str">
        <f>IF(Y677="//","",Y677)</f>
        <v/>
      </c>
    </row>
    <row r="678" spans="2:26" ht="18" customHeight="1" x14ac:dyDescent="0.25">
      <c r="B678" s="441" t="s">
        <v>172</v>
      </c>
      <c r="C678" s="441"/>
      <c r="D678" s="444" t="str">
        <f>Z677</f>
        <v/>
      </c>
      <c r="E678" s="445"/>
      <c r="F678" s="444" t="str">
        <f>Z678</f>
        <v/>
      </c>
      <c r="G678" s="445"/>
      <c r="H678" s="446">
        <v>1</v>
      </c>
      <c r="I678" s="447"/>
      <c r="J678" s="450"/>
      <c r="K678" s="443"/>
      <c r="L678" s="206"/>
      <c r="M678" s="143" t="str">
        <f>Z676</f>
        <v/>
      </c>
      <c r="N678" s="38"/>
      <c r="P678" s="144">
        <v>1</v>
      </c>
      <c r="Q678" s="144">
        <v>1</v>
      </c>
      <c r="R678" s="144">
        <v>1</v>
      </c>
      <c r="S678" s="144" t="str">
        <f>VLOOKUP(P678,'WORKINGS MATRIX'!$B$200:$C$351,2,FALSE)</f>
        <v>Year</v>
      </c>
      <c r="T678" s="144">
        <f t="shared" si="63"/>
        <v>0</v>
      </c>
      <c r="U678" s="144">
        <f t="shared" si="63"/>
        <v>0</v>
      </c>
      <c r="V678" s="144" t="str">
        <f>IF(S678="year","",S678)</f>
        <v/>
      </c>
      <c r="W678" s="144" t="str">
        <f t="shared" si="64"/>
        <v/>
      </c>
      <c r="X678" s="144" t="str">
        <f t="shared" si="64"/>
        <v/>
      </c>
      <c r="Y678" s="144" t="str">
        <f>IF(V678="","",IF(W678="",(V678&amp;"/"&amp;"1"&amp;"/"&amp;"1"),IF(X678="",(V678&amp;"/"&amp;W678&amp;"/"&amp;"1"),(V678&amp;"/"&amp;W678&amp;"/"&amp;X678))))</f>
        <v/>
      </c>
      <c r="Z678" s="144" t="str">
        <f>IF(Y678="//","",Y678)</f>
        <v/>
      </c>
    </row>
    <row r="679" spans="2:26" x14ac:dyDescent="0.25">
      <c r="N679" s="38"/>
      <c r="P679" s="144">
        <v>1</v>
      </c>
      <c r="Q679" s="144">
        <v>1</v>
      </c>
      <c r="R679" s="144">
        <v>1</v>
      </c>
      <c r="S679" s="144" t="str">
        <f>VLOOKUP(P679,'WORKINGS MATRIX'!$B$200:$C$351,2,FALSE)</f>
        <v>Year</v>
      </c>
      <c r="T679" s="144">
        <f t="shared" si="63"/>
        <v>0</v>
      </c>
      <c r="U679" s="144">
        <f t="shared" si="63"/>
        <v>0</v>
      </c>
      <c r="V679" s="144" t="str">
        <f>IF(S679="year","",S679)</f>
        <v/>
      </c>
      <c r="W679" s="144" t="str">
        <f t="shared" si="64"/>
        <v/>
      </c>
      <c r="X679" s="144" t="str">
        <f t="shared" si="64"/>
        <v/>
      </c>
      <c r="Y679" s="144" t="str">
        <f>IF(V679="","",IF(W679="",(V679&amp;"/"&amp;"1"&amp;"/"&amp;"1"),IF(X679="",(V679&amp;"/"&amp;W679&amp;"/"&amp;"1"),(V679&amp;"/"&amp;W679&amp;"/"&amp;X679))))</f>
        <v/>
      </c>
      <c r="Z679" s="144" t="str">
        <f>IF(Y679="//","",Y679)</f>
        <v/>
      </c>
    </row>
    <row r="680" spans="2:26" x14ac:dyDescent="0.25">
      <c r="M680" s="217"/>
      <c r="N680" s="38"/>
      <c r="P680" s="144"/>
      <c r="Q680" s="144"/>
      <c r="R680" s="144"/>
      <c r="S680" s="144"/>
      <c r="T680" s="144"/>
      <c r="U680" s="144"/>
      <c r="V680" s="144"/>
      <c r="W680" s="144"/>
      <c r="X680" s="144"/>
      <c r="Y680" s="144"/>
      <c r="Z680" s="144"/>
    </row>
    <row r="681" spans="2:26" x14ac:dyDescent="0.25">
      <c r="B681" s="21"/>
      <c r="C681" s="77"/>
      <c r="D681" s="216"/>
      <c r="E681" s="21"/>
      <c r="F681" s="10"/>
      <c r="G681" s="10"/>
      <c r="H681" s="10"/>
      <c r="I681" s="10"/>
      <c r="J681" s="21"/>
      <c r="K681" s="21"/>
      <c r="L681" s="21"/>
      <c r="M681" s="217"/>
      <c r="N681" s="387"/>
      <c r="O681" s="21"/>
      <c r="P681" s="144"/>
      <c r="Q681" s="144"/>
      <c r="R681" s="144"/>
      <c r="S681" s="145"/>
      <c r="T681" s="145"/>
      <c r="U681" s="145"/>
      <c r="V681" s="145"/>
      <c r="W681" s="145"/>
      <c r="X681" s="145"/>
      <c r="Y681" s="145"/>
      <c r="Z681" s="145"/>
    </row>
    <row r="682" spans="2:26" ht="26.25" customHeight="1" x14ac:dyDescent="0.25">
      <c r="B682" s="149"/>
      <c r="C682" s="149"/>
      <c r="D682" s="3"/>
      <c r="E682" s="149"/>
      <c r="F682" s="149"/>
      <c r="G682" s="3"/>
      <c r="H682" s="149"/>
      <c r="I682" s="3"/>
      <c r="J682" s="213"/>
      <c r="K682" s="214"/>
      <c r="L682" s="149"/>
      <c r="M682" s="70"/>
      <c r="N682" s="71"/>
      <c r="O682" s="10"/>
      <c r="P682" s="144"/>
      <c r="Q682" s="144"/>
      <c r="R682" s="144"/>
      <c r="S682" s="144"/>
      <c r="T682" s="144"/>
      <c r="U682" s="144"/>
      <c r="V682" s="144"/>
      <c r="W682" s="144"/>
      <c r="X682" s="144"/>
      <c r="Y682" s="144"/>
      <c r="Z682" s="144"/>
    </row>
    <row r="683" spans="2:26" ht="26.25" customHeight="1" x14ac:dyDescent="0.25">
      <c r="B683" s="149"/>
      <c r="C683" s="149"/>
      <c r="D683" s="3"/>
      <c r="E683" s="149"/>
      <c r="F683" s="149"/>
      <c r="G683" s="3"/>
      <c r="H683" s="149"/>
      <c r="I683" s="3"/>
      <c r="J683" s="213"/>
      <c r="K683" s="214"/>
      <c r="L683" s="149"/>
      <c r="M683" s="70"/>
      <c r="N683" s="71"/>
      <c r="O683" s="10"/>
      <c r="P683" s="144"/>
      <c r="Q683" s="144"/>
      <c r="R683" s="144"/>
      <c r="S683" s="144"/>
      <c r="T683" s="144"/>
      <c r="U683" s="144"/>
      <c r="V683" s="144"/>
      <c r="W683" s="144"/>
      <c r="X683" s="144"/>
      <c r="Y683" s="144"/>
      <c r="Z683" s="144"/>
    </row>
    <row r="684" spans="2:26" ht="26.25" customHeight="1" x14ac:dyDescent="0.25">
      <c r="B684" s="149"/>
      <c r="C684" s="149"/>
      <c r="D684" s="3"/>
      <c r="E684" s="149"/>
      <c r="F684" s="149"/>
      <c r="G684" s="3"/>
      <c r="H684" s="149"/>
      <c r="I684" s="3"/>
      <c r="J684" s="213"/>
      <c r="K684" s="214"/>
      <c r="L684" s="149"/>
      <c r="M684" s="70"/>
      <c r="N684" s="71"/>
      <c r="O684" s="10"/>
      <c r="P684" s="144"/>
      <c r="Q684" s="144"/>
      <c r="R684" s="144"/>
      <c r="S684" s="144"/>
      <c r="T684" s="144"/>
      <c r="U684" s="144"/>
      <c r="V684" s="144"/>
      <c r="W684" s="144"/>
      <c r="X684" s="144"/>
      <c r="Y684" s="144"/>
      <c r="Z684" s="144"/>
    </row>
    <row r="685" spans="2:26" ht="26.25" customHeight="1" x14ac:dyDescent="0.25">
      <c r="B685" s="149"/>
      <c r="C685" s="149"/>
      <c r="D685" s="3"/>
      <c r="E685" s="149"/>
      <c r="F685" s="149"/>
      <c r="G685" s="3"/>
      <c r="H685" s="149"/>
      <c r="I685" s="3"/>
      <c r="J685" s="213"/>
      <c r="K685" s="214"/>
      <c r="L685" s="149"/>
      <c r="M685" s="70"/>
      <c r="N685" s="71"/>
      <c r="O685" s="10"/>
      <c r="P685" s="144"/>
      <c r="Q685" s="144"/>
      <c r="R685" s="144"/>
      <c r="S685" s="144"/>
      <c r="T685" s="144"/>
      <c r="U685" s="144"/>
      <c r="V685" s="144"/>
      <c r="W685" s="144"/>
      <c r="X685" s="144"/>
      <c r="Y685" s="144"/>
      <c r="Z685" s="144"/>
    </row>
    <row r="686" spans="2:26" ht="26.25" customHeight="1" x14ac:dyDescent="0.25">
      <c r="B686" s="149"/>
      <c r="C686" s="149"/>
      <c r="D686" s="3"/>
      <c r="E686" s="149"/>
      <c r="F686" s="149"/>
      <c r="G686" s="3"/>
      <c r="H686" s="149"/>
      <c r="I686" s="3"/>
      <c r="J686" s="213"/>
      <c r="K686" s="214"/>
      <c r="L686" s="149"/>
      <c r="M686" s="70"/>
      <c r="N686" s="71"/>
      <c r="O686" s="10"/>
      <c r="P686" s="144"/>
      <c r="Q686" s="144"/>
      <c r="R686" s="144"/>
      <c r="S686" s="144"/>
      <c r="T686" s="144"/>
      <c r="U686" s="144"/>
      <c r="V686" s="144"/>
      <c r="W686" s="144"/>
      <c r="X686" s="144"/>
      <c r="Y686" s="144"/>
      <c r="Z686" s="144"/>
    </row>
    <row r="687" spans="2:26" x14ac:dyDescent="0.25">
      <c r="D687" s="3"/>
      <c r="G687" s="3"/>
      <c r="I687" s="3"/>
      <c r="N687" s="71"/>
      <c r="P687" s="144"/>
      <c r="Q687" s="144"/>
      <c r="R687" s="144"/>
      <c r="S687" s="144"/>
      <c r="T687" s="144"/>
      <c r="U687" s="144"/>
      <c r="V687" s="144"/>
      <c r="W687" s="144"/>
      <c r="X687" s="144"/>
      <c r="Y687" s="144"/>
      <c r="Z687" s="144"/>
    </row>
    <row r="688" spans="2:26" x14ac:dyDescent="0.25">
      <c r="B688" t="s">
        <v>152</v>
      </c>
      <c r="D688" s="57"/>
      <c r="H688" s="58"/>
      <c r="K688" s="21"/>
      <c r="N688" s="38"/>
      <c r="P688" s="144"/>
      <c r="Q688" s="144"/>
      <c r="R688" s="144"/>
      <c r="S688" s="144"/>
      <c r="T688" s="144"/>
      <c r="U688" s="144"/>
      <c r="V688" s="144"/>
      <c r="W688" s="144"/>
      <c r="X688" s="144"/>
      <c r="Y688" s="144"/>
      <c r="Z688" s="144"/>
    </row>
    <row r="689" spans="2:13" x14ac:dyDescent="0.25">
      <c r="B689" s="429"/>
      <c r="C689" s="430"/>
      <c r="D689" s="430"/>
      <c r="E689" s="430"/>
      <c r="F689" s="430"/>
      <c r="G689" s="430"/>
      <c r="H689" s="430"/>
      <c r="I689" s="430"/>
      <c r="J689" s="430"/>
      <c r="K689" s="430"/>
      <c r="L689" s="430"/>
      <c r="M689" s="431"/>
    </row>
    <row r="690" spans="2:13" x14ac:dyDescent="0.25">
      <c r="B690" s="432"/>
      <c r="C690" s="433"/>
      <c r="D690" s="433"/>
      <c r="E690" s="433"/>
      <c r="F690" s="433"/>
      <c r="G690" s="433"/>
      <c r="H690" s="433"/>
      <c r="I690" s="433"/>
      <c r="J690" s="433"/>
      <c r="K690" s="433"/>
      <c r="L690" s="433"/>
      <c r="M690" s="434"/>
    </row>
    <row r="691" spans="2:13" x14ac:dyDescent="0.25">
      <c r="B691" s="432"/>
      <c r="C691" s="433"/>
      <c r="D691" s="433"/>
      <c r="E691" s="433"/>
      <c r="F691" s="433"/>
      <c r="G691" s="433"/>
      <c r="H691" s="433"/>
      <c r="I691" s="433"/>
      <c r="J691" s="433"/>
      <c r="K691" s="433"/>
      <c r="L691" s="433"/>
      <c r="M691" s="434"/>
    </row>
    <row r="692" spans="2:13" x14ac:dyDescent="0.25">
      <c r="B692" s="435"/>
      <c r="C692" s="436"/>
      <c r="D692" s="436"/>
      <c r="E692" s="436"/>
      <c r="F692" s="436"/>
      <c r="G692" s="436"/>
      <c r="H692" s="436"/>
      <c r="I692" s="436"/>
      <c r="J692" s="436"/>
      <c r="K692" s="436"/>
      <c r="L692" s="436"/>
      <c r="M692" s="437"/>
    </row>
    <row r="693" spans="2:13" x14ac:dyDescent="0.25">
      <c r="B693" s="15"/>
      <c r="D693" s="57"/>
      <c r="H693" s="58"/>
      <c r="K693" s="21"/>
    </row>
    <row r="694" spans="2:13" x14ac:dyDescent="0.25">
      <c r="D694" s="57"/>
      <c r="H694" s="58"/>
      <c r="K694" s="21"/>
    </row>
    <row r="695" spans="2:13" x14ac:dyDescent="0.25">
      <c r="D695" s="57"/>
      <c r="H695" s="58"/>
      <c r="K695" s="21"/>
    </row>
    <row r="696" spans="2:13" x14ac:dyDescent="0.25">
      <c r="D696" s="57"/>
      <c r="E696" s="149"/>
      <c r="F696" s="149"/>
      <c r="G696" s="149"/>
      <c r="H696" s="149"/>
      <c r="I696" s="149"/>
      <c r="K696" s="21"/>
    </row>
    <row r="697" spans="2:13" x14ac:dyDescent="0.25">
      <c r="D697" s="57"/>
      <c r="E697" s="149"/>
      <c r="F697" s="149"/>
      <c r="G697" s="149"/>
      <c r="H697" s="149"/>
      <c r="I697" s="149"/>
      <c r="K697" s="438" t="s">
        <v>155</v>
      </c>
      <c r="L697" s="438"/>
      <c r="M697" s="438"/>
    </row>
    <row r="698" spans="2:13" x14ac:dyDescent="0.25">
      <c r="D698" s="57"/>
      <c r="H698" s="58"/>
      <c r="K698" s="438"/>
      <c r="L698" s="438"/>
      <c r="M698" s="438"/>
    </row>
    <row r="699" spans="2:13" x14ac:dyDescent="0.25">
      <c r="D699" s="57"/>
      <c r="E699" s="149"/>
      <c r="F699" s="149"/>
      <c r="G699" s="149"/>
      <c r="H699" s="149"/>
      <c r="I699" s="149"/>
      <c r="K699" s="438"/>
      <c r="L699" s="438"/>
      <c r="M699" s="438"/>
    </row>
    <row r="700" spans="2:13" x14ac:dyDescent="0.25">
      <c r="D700" s="57"/>
      <c r="E700" s="149"/>
      <c r="F700" s="149"/>
      <c r="G700" s="149"/>
      <c r="H700" s="149"/>
      <c r="I700" s="149"/>
      <c r="K700" s="438"/>
      <c r="L700" s="438"/>
      <c r="M700" s="438"/>
    </row>
    <row r="701" spans="2:13" ht="13.8" thickBot="1" x14ac:dyDescent="0.3">
      <c r="B701" s="60"/>
      <c r="C701" s="60"/>
      <c r="D701" s="60"/>
      <c r="E701" s="60"/>
      <c r="F701" s="60"/>
      <c r="G701" s="60"/>
      <c r="H701" s="60"/>
      <c r="I701" s="60"/>
      <c r="J701" s="60"/>
      <c r="K701" s="60"/>
      <c r="L701" s="60"/>
      <c r="M701" s="60"/>
    </row>
    <row r="702" spans="2:13" ht="13.8" thickTop="1" x14ac:dyDescent="0.25"/>
    <row r="703" spans="2:13" x14ac:dyDescent="0.25">
      <c r="B703" s="24" t="s">
        <v>128</v>
      </c>
    </row>
    <row r="736" spans="2:4" ht="13.8" thickBot="1" x14ac:dyDescent="0.3">
      <c r="B736">
        <f>$D$1</f>
        <v>0</v>
      </c>
      <c r="C736" s="73" t="s">
        <v>128</v>
      </c>
      <c r="D736" s="25" t="s">
        <v>129</v>
      </c>
    </row>
    <row r="737" spans="2:33" ht="13.8" thickTop="1" x14ac:dyDescent="0.25">
      <c r="B737" s="27" t="s">
        <v>131</v>
      </c>
      <c r="C737" s="28"/>
      <c r="D737" s="29" t="s">
        <v>132</v>
      </c>
      <c r="E737" s="27" t="str">
        <f>J117</f>
        <v/>
      </c>
      <c r="F737" s="30" t="str">
        <f>IF(L117=0,"NOT REQUIRED", IF(L117="Man","MANAGERIAL POSITION","NON-MANAGERIAL POSITION"))</f>
        <v>NON-MANAGERIAL POSITION</v>
      </c>
      <c r="G737" s="28"/>
      <c r="H737" s="28"/>
      <c r="I737" s="31"/>
      <c r="J737" s="27"/>
      <c r="K737" s="28"/>
      <c r="L737" s="31" t="s">
        <v>133</v>
      </c>
      <c r="M737" s="28"/>
      <c r="N737" s="32"/>
      <c r="P737" s="144"/>
      <c r="Q737" s="144"/>
      <c r="R737" s="144"/>
      <c r="S737" s="144"/>
      <c r="T737" s="144"/>
      <c r="U737" s="144"/>
      <c r="V737" s="144"/>
      <c r="W737" s="144"/>
      <c r="X737" s="144"/>
      <c r="Y737" s="144"/>
      <c r="Z737" s="144"/>
      <c r="AC737" s="158"/>
      <c r="AD737" s="158"/>
      <c r="AE737" s="158"/>
      <c r="AF737" s="158"/>
      <c r="AG737" s="158"/>
    </row>
    <row r="738" spans="2:33" x14ac:dyDescent="0.25">
      <c r="E738" s="34"/>
      <c r="F738" s="35"/>
      <c r="G738" s="36"/>
      <c r="I738" s="10"/>
      <c r="J738" s="37"/>
      <c r="N738" s="38"/>
      <c r="P738" s="144"/>
      <c r="Q738" s="144"/>
      <c r="R738" s="144"/>
      <c r="S738" s="144"/>
      <c r="T738" s="144"/>
      <c r="U738" s="144"/>
      <c r="V738" s="144"/>
      <c r="W738" s="144"/>
      <c r="X738" s="144"/>
      <c r="Y738" s="144"/>
      <c r="Z738" s="144"/>
      <c r="AC738" s="158"/>
      <c r="AD738" s="158"/>
      <c r="AE738" s="158"/>
      <c r="AF738" s="158"/>
      <c r="AG738" s="158"/>
    </row>
    <row r="739" spans="2:33" x14ac:dyDescent="0.25">
      <c r="B739" t="s">
        <v>134</v>
      </c>
      <c r="L739" s="465" t="str">
        <f>$L$39</f>
        <v>X.002-218-2024(NT)&amp;N.004-116-2024(T)</v>
      </c>
      <c r="M739" s="465"/>
      <c r="N739" s="38"/>
      <c r="P739" s="144"/>
      <c r="Q739" s="144"/>
      <c r="R739" s="144"/>
      <c r="S739" s="144"/>
      <c r="T739" s="144"/>
      <c r="U739" s="144"/>
      <c r="V739" s="144"/>
      <c r="W739" s="144"/>
      <c r="X739" s="144"/>
      <c r="Y739" s="144"/>
      <c r="Z739" s="144"/>
      <c r="AC739" s="158"/>
      <c r="AD739" s="158"/>
      <c r="AE739" s="158"/>
      <c r="AF739" s="158"/>
      <c r="AG739" s="158"/>
    </row>
    <row r="740" spans="2:33" ht="24.75" customHeight="1" x14ac:dyDescent="0.25">
      <c r="B740" s="39" t="s">
        <v>135</v>
      </c>
      <c r="C740" s="40"/>
      <c r="D740" s="41"/>
      <c r="E740" s="427" t="s">
        <v>136</v>
      </c>
      <c r="F740" s="428"/>
      <c r="G740" s="39" t="s">
        <v>137</v>
      </c>
      <c r="H740" s="41"/>
      <c r="I740" s="39" t="s">
        <v>138</v>
      </c>
      <c r="J740" s="41"/>
      <c r="K740" s="42"/>
      <c r="L740" s="465"/>
      <c r="M740" s="465"/>
      <c r="N740" s="38"/>
      <c r="P740" s="144"/>
      <c r="Q740" s="144"/>
      <c r="R740" s="144"/>
      <c r="S740" s="144"/>
      <c r="T740" s="144"/>
      <c r="U740" s="144"/>
      <c r="V740" s="144"/>
      <c r="W740" s="144"/>
      <c r="X740" s="144"/>
      <c r="Y740" s="144"/>
      <c r="Z740" s="144"/>
      <c r="AC740" s="158"/>
      <c r="AD740" s="158"/>
      <c r="AE740" s="158"/>
      <c r="AF740" s="158"/>
      <c r="AG740" s="158"/>
    </row>
    <row r="741" spans="2:33" ht="18" customHeight="1" x14ac:dyDescent="0.25">
      <c r="B741" s="194"/>
      <c r="C741" s="195"/>
      <c r="D741" s="196"/>
      <c r="E741" s="425"/>
      <c r="F741" s="426"/>
      <c r="G741" s="159" t="str">
        <f>K117</f>
        <v/>
      </c>
      <c r="H741" s="44"/>
      <c r="I741" s="197"/>
      <c r="J741" s="198"/>
      <c r="K741" s="45"/>
      <c r="N741" s="38"/>
      <c r="P741" s="144">
        <v>1</v>
      </c>
      <c r="Q741" s="144">
        <v>1</v>
      </c>
      <c r="R741" s="144">
        <v>1</v>
      </c>
      <c r="S741" s="144" t="str">
        <f>VLOOKUP(P741,'WORKINGS MATRIX'!$H$200:$I$351,2,FALSE)</f>
        <v>Year</v>
      </c>
      <c r="T741" s="144">
        <f>Q741-1</f>
        <v>0</v>
      </c>
      <c r="U741" s="144">
        <f>R741-1</f>
        <v>0</v>
      </c>
      <c r="V741" s="144" t="str">
        <f>IF(S741="year","",S741)</f>
        <v/>
      </c>
      <c r="W741" s="144" t="str">
        <f>IF(T741=0,"",T741)</f>
        <v/>
      </c>
      <c r="X741" s="144" t="str">
        <f>IF(U741=0,"",U741)</f>
        <v/>
      </c>
      <c r="Y741" s="144" t="str">
        <f>IF(V741="","",IF(W741="",(V741&amp;"/"&amp;"1"&amp;"/"&amp;"1"),IF(X741="",(V741&amp;"/"&amp;W741&amp;"/"&amp;"1"),(V741&amp;"/"&amp;W741&amp;"/"&amp;X741))))</f>
        <v/>
      </c>
      <c r="Z741" s="144" t="str">
        <f>IF(Y741="//","",Y741)</f>
        <v/>
      </c>
      <c r="AC741" s="158"/>
      <c r="AD741" s="158"/>
      <c r="AE741" s="158"/>
      <c r="AF741" s="158"/>
      <c r="AG741" s="158"/>
    </row>
    <row r="742" spans="2:33" x14ac:dyDescent="0.25">
      <c r="E742" t="str">
        <f>IF(E741="","",IF(LEN(E741)=13,"","ID NUMBER SHOULD BE 13 DIGITS"))</f>
        <v/>
      </c>
      <c r="N742" s="38"/>
      <c r="P742" s="144"/>
      <c r="Q742" s="144"/>
      <c r="R742" s="144"/>
      <c r="S742" s="144"/>
      <c r="T742" s="144"/>
      <c r="U742" s="144"/>
      <c r="V742" s="144"/>
      <c r="W742" s="144"/>
      <c r="X742" s="144"/>
      <c r="Y742" s="144"/>
      <c r="Z742" s="144"/>
      <c r="AC742" s="158"/>
      <c r="AD742" s="158"/>
      <c r="AE742" s="158"/>
      <c r="AF742" s="158"/>
      <c r="AG742" s="158"/>
    </row>
    <row r="743" spans="2:33" x14ac:dyDescent="0.25">
      <c r="G743" s="170" t="str">
        <f>IF(AG746=0,"","DATES BEYOND TENDER CLOSING DATE - PLEASE CHECK")</f>
        <v/>
      </c>
      <c r="N743" s="38"/>
      <c r="P743" s="144"/>
      <c r="Q743" s="144"/>
      <c r="R743" s="144"/>
      <c r="S743" s="144"/>
      <c r="T743" s="144"/>
      <c r="U743" s="144"/>
      <c r="V743" s="144"/>
      <c r="W743" s="144"/>
      <c r="X743" s="144"/>
      <c r="Y743" s="144"/>
      <c r="Z743" s="144"/>
      <c r="AC743" s="158"/>
      <c r="AD743" s="158"/>
      <c r="AE743" s="158"/>
      <c r="AF743" s="158"/>
      <c r="AG743" s="158"/>
    </row>
    <row r="744" spans="2:33" x14ac:dyDescent="0.25">
      <c r="B744" t="s">
        <v>139</v>
      </c>
      <c r="G744" s="170" t="str">
        <f>IF(AE746=0,"","DATES INCORRECT OR INCOMPLETE - PLEASE CHECK")</f>
        <v/>
      </c>
      <c r="N744" s="38"/>
      <c r="P744" s="144"/>
      <c r="Q744" s="144"/>
      <c r="R744" s="144"/>
      <c r="S744" s="144"/>
      <c r="T744" s="144"/>
      <c r="U744" s="144"/>
      <c r="V744" s="144"/>
      <c r="W744" s="144"/>
      <c r="X744" s="144"/>
      <c r="Y744" s="144"/>
      <c r="Z744" s="144"/>
      <c r="AC744" s="158"/>
      <c r="AD744" s="158"/>
      <c r="AE744" s="158"/>
      <c r="AF744" s="158"/>
      <c r="AG744" s="158"/>
    </row>
    <row r="745" spans="2:33" x14ac:dyDescent="0.25">
      <c r="B745" s="15" t="s">
        <v>140</v>
      </c>
      <c r="N745" s="38"/>
      <c r="P745" s="144"/>
      <c r="Q745" s="144"/>
      <c r="R745" s="144"/>
      <c r="S745" s="144"/>
      <c r="T745" s="144"/>
      <c r="U745" s="144"/>
      <c r="V745" s="144"/>
      <c r="W745" s="144"/>
      <c r="X745" s="144"/>
      <c r="Y745" s="144"/>
      <c r="Z745" s="144"/>
      <c r="AC745" s="158"/>
      <c r="AD745" s="158"/>
      <c r="AE745" s="158"/>
      <c r="AF745" s="158"/>
      <c r="AG745" s="158"/>
    </row>
    <row r="746" spans="2:33" ht="66" x14ac:dyDescent="0.25">
      <c r="B746" s="47" t="s">
        <v>141</v>
      </c>
      <c r="C746" s="48" t="s">
        <v>142</v>
      </c>
      <c r="D746" s="44"/>
      <c r="E746" s="470" t="s">
        <v>143</v>
      </c>
      <c r="F746" s="471"/>
      <c r="G746" s="157" t="s">
        <v>144</v>
      </c>
      <c r="H746" s="157" t="s">
        <v>145</v>
      </c>
      <c r="I746" s="385" t="s">
        <v>146</v>
      </c>
      <c r="J746" s="49" t="s">
        <v>147</v>
      </c>
      <c r="K746" s="50" t="s">
        <v>148</v>
      </c>
      <c r="L746" s="385" t="s">
        <v>149</v>
      </c>
      <c r="M746" s="49" t="s">
        <v>150</v>
      </c>
      <c r="N746" s="51"/>
      <c r="O746" s="386"/>
      <c r="P746" s="147"/>
      <c r="Q746" s="144"/>
      <c r="R746" s="144"/>
      <c r="S746" s="145"/>
      <c r="T746" s="145"/>
      <c r="U746" s="145"/>
      <c r="V746" s="145"/>
      <c r="W746" s="145"/>
      <c r="X746" s="145"/>
      <c r="Y746" s="145"/>
      <c r="Z746" s="145"/>
      <c r="AC746" s="165"/>
      <c r="AD746" s="165"/>
      <c r="AE746" s="165">
        <f>SUM(AE747:AE751)</f>
        <v>0</v>
      </c>
      <c r="AF746" s="165"/>
      <c r="AG746" s="165">
        <f>SUM(AG747:AG751)</f>
        <v>0</v>
      </c>
    </row>
    <row r="747" spans="2:33" ht="25.5" customHeight="1" x14ac:dyDescent="0.25">
      <c r="B747" s="200"/>
      <c r="C747" s="53">
        <v>8</v>
      </c>
      <c r="D747" s="54"/>
      <c r="E747" s="55"/>
      <c r="F747" s="55">
        <v>1</v>
      </c>
      <c r="G747" s="143" t="str">
        <f>Z747</f>
        <v/>
      </c>
      <c r="H747" s="143" t="str">
        <f>Z752</f>
        <v/>
      </c>
      <c r="I747" s="202"/>
      <c r="J747" s="203"/>
      <c r="K747" s="56">
        <v>23</v>
      </c>
      <c r="L747" s="204"/>
      <c r="M747" s="205"/>
      <c r="N747" s="164">
        <f>IF(G747="",0,IF(H747="",0,(ROUND(((H747-G747)/30),0))))</f>
        <v>0</v>
      </c>
      <c r="O747" s="21"/>
      <c r="P747" s="148">
        <v>1</v>
      </c>
      <c r="Q747" s="144">
        <v>1</v>
      </c>
      <c r="R747" s="144">
        <v>1</v>
      </c>
      <c r="S747" s="144" t="str">
        <f>VLOOKUP(P747,'WORKINGS MATRIX'!$B$200:$C$351,2,FALSE)</f>
        <v>Year</v>
      </c>
      <c r="T747" s="144">
        <f t="shared" ref="T747:U751" si="65">Q747-1</f>
        <v>0</v>
      </c>
      <c r="U747" s="144">
        <f t="shared" si="65"/>
        <v>0</v>
      </c>
      <c r="V747" s="144" t="str">
        <f t="shared" ref="V747:V756" si="66">IF(S747="year","",S747)</f>
        <v/>
      </c>
      <c r="W747" s="144" t="str">
        <f t="shared" ref="W747:X751" si="67">IF(T747=0,"",T747)</f>
        <v/>
      </c>
      <c r="X747" s="144" t="str">
        <f t="shared" si="67"/>
        <v/>
      </c>
      <c r="Y747" s="144" t="str">
        <f t="shared" ref="Y747:Y756" si="68">IF(V747="","",IF(W747="",(V747&amp;"/"&amp;"1"&amp;"/"&amp;"1"),IF(X747="",(V747&amp;"/"&amp;W747&amp;"/"&amp;"1"),(V747&amp;"/"&amp;W747&amp;"/"&amp;X747))))</f>
        <v/>
      </c>
      <c r="Z747" s="144" t="str">
        <f t="shared" ref="Z747:Z756" si="69">IF(Y747="//","",Y747)</f>
        <v/>
      </c>
      <c r="AC747" s="172">
        <f>IF(B747="",0,1)</f>
        <v>0</v>
      </c>
      <c r="AD747" s="172">
        <f>IF(B747="",0,IF(N747&gt;0,1,IF(N747&lt;0,2,0)))</f>
        <v>0</v>
      </c>
      <c r="AE747" s="172">
        <f>IF(AC747=AD747,0,IF(AC747&gt;AD747,2,1))</f>
        <v>0</v>
      </c>
      <c r="AF747" s="172">
        <f>IF(B747="",0,IF(N747=0,0,H747-$F$125))</f>
        <v>0</v>
      </c>
      <c r="AG747" s="172">
        <f>IF(AF747&gt;0,1,0)</f>
        <v>0</v>
      </c>
    </row>
    <row r="748" spans="2:33" ht="25.5" customHeight="1" x14ac:dyDescent="0.25">
      <c r="B748" s="200"/>
      <c r="C748" s="53">
        <v>8</v>
      </c>
      <c r="D748" s="54"/>
      <c r="E748" s="55"/>
      <c r="F748" s="55">
        <v>1</v>
      </c>
      <c r="G748" s="143" t="str">
        <f>Z748</f>
        <v/>
      </c>
      <c r="H748" s="143" t="str">
        <f>Z753</f>
        <v/>
      </c>
      <c r="I748" s="202"/>
      <c r="J748" s="203"/>
      <c r="K748" s="56">
        <v>23</v>
      </c>
      <c r="L748" s="204"/>
      <c r="M748" s="205"/>
      <c r="N748" s="164">
        <f>IF(G748="",0,IF(H748="",0,(ROUND(((H748-G748)/30),0))))</f>
        <v>0</v>
      </c>
      <c r="O748" s="21"/>
      <c r="P748" s="148">
        <v>1</v>
      </c>
      <c r="Q748" s="144">
        <v>1</v>
      </c>
      <c r="R748" s="144">
        <v>1</v>
      </c>
      <c r="S748" s="144" t="str">
        <f>VLOOKUP(P748,'WORKINGS MATRIX'!$B$200:$C$351,2,FALSE)</f>
        <v>Year</v>
      </c>
      <c r="T748" s="144">
        <f t="shared" si="65"/>
        <v>0</v>
      </c>
      <c r="U748" s="144">
        <f t="shared" si="65"/>
        <v>0</v>
      </c>
      <c r="V748" s="144" t="str">
        <f t="shared" si="66"/>
        <v/>
      </c>
      <c r="W748" s="144" t="str">
        <f t="shared" si="67"/>
        <v/>
      </c>
      <c r="X748" s="144" t="str">
        <f t="shared" si="67"/>
        <v/>
      </c>
      <c r="Y748" s="144" t="str">
        <f t="shared" si="68"/>
        <v/>
      </c>
      <c r="Z748" s="144" t="str">
        <f t="shared" si="69"/>
        <v/>
      </c>
      <c r="AC748" s="172">
        <f>IF(B748="",0,1)</f>
        <v>0</v>
      </c>
      <c r="AD748" s="172">
        <f>IF(B748="",0,IF(N748&gt;0,1,IF(N748&lt;0,2,0)))</f>
        <v>0</v>
      </c>
      <c r="AE748" s="172">
        <f>IF(AC748=AD748,0,IF(AC748&gt;AD748,2,1))</f>
        <v>0</v>
      </c>
      <c r="AF748" s="172">
        <f>IF(B748="",0,IF(N748=0,0,H748-$F$125))</f>
        <v>0</v>
      </c>
      <c r="AG748" s="172">
        <f>IF(AF748&gt;0,1,0)</f>
        <v>0</v>
      </c>
    </row>
    <row r="749" spans="2:33" ht="25.5" customHeight="1" x14ac:dyDescent="0.25">
      <c r="B749" s="200"/>
      <c r="C749" s="53">
        <v>8</v>
      </c>
      <c r="D749" s="54"/>
      <c r="E749" s="55"/>
      <c r="F749" s="55">
        <v>1</v>
      </c>
      <c r="G749" s="143" t="str">
        <f>Z749</f>
        <v/>
      </c>
      <c r="H749" s="143" t="str">
        <f>Z754</f>
        <v/>
      </c>
      <c r="I749" s="202"/>
      <c r="J749" s="203"/>
      <c r="K749" s="56">
        <v>23</v>
      </c>
      <c r="L749" s="204"/>
      <c r="M749" s="205"/>
      <c r="N749" s="164">
        <f>IF(G749="",0,IF(H749="",0,(ROUND(((H749-G749)/30),0))))</f>
        <v>0</v>
      </c>
      <c r="O749" s="21"/>
      <c r="P749" s="148">
        <v>1</v>
      </c>
      <c r="Q749" s="144">
        <v>1</v>
      </c>
      <c r="R749" s="144">
        <v>1</v>
      </c>
      <c r="S749" s="144" t="str">
        <f>VLOOKUP(P749,'WORKINGS MATRIX'!$B$200:$C$351,2,FALSE)</f>
        <v>Year</v>
      </c>
      <c r="T749" s="144">
        <f t="shared" si="65"/>
        <v>0</v>
      </c>
      <c r="U749" s="144">
        <f t="shared" si="65"/>
        <v>0</v>
      </c>
      <c r="V749" s="144" t="str">
        <f t="shared" si="66"/>
        <v/>
      </c>
      <c r="W749" s="144" t="str">
        <f t="shared" si="67"/>
        <v/>
      </c>
      <c r="X749" s="144" t="str">
        <f t="shared" si="67"/>
        <v/>
      </c>
      <c r="Y749" s="144" t="str">
        <f t="shared" si="68"/>
        <v/>
      </c>
      <c r="Z749" s="144" t="str">
        <f t="shared" si="69"/>
        <v/>
      </c>
      <c r="AC749" s="172">
        <f>IF(B749="",0,1)</f>
        <v>0</v>
      </c>
      <c r="AD749" s="172">
        <f>IF(B749="",0,IF(N749&gt;0,1,IF(N749&lt;0,2,0)))</f>
        <v>0</v>
      </c>
      <c r="AE749" s="172">
        <f>IF(AC749=AD749,0,IF(AC749&gt;AD749,2,1))</f>
        <v>0</v>
      </c>
      <c r="AF749" s="172">
        <f>IF(B749="",0,IF(N749=0,0,H749-$F$125))</f>
        <v>0</v>
      </c>
      <c r="AG749" s="172">
        <f>IF(AF749&gt;0,1,0)</f>
        <v>0</v>
      </c>
    </row>
    <row r="750" spans="2:33" ht="25.5" customHeight="1" x14ac:dyDescent="0.25">
      <c r="B750" s="255"/>
      <c r="C750" s="255"/>
      <c r="D750" s="255"/>
      <c r="E750" s="255"/>
      <c r="F750" s="255"/>
      <c r="G750" s="255"/>
      <c r="H750" s="255"/>
      <c r="I750" s="255"/>
      <c r="J750" s="255"/>
      <c r="K750" s="255"/>
      <c r="L750" s="255"/>
      <c r="M750" s="255"/>
      <c r="N750" s="164">
        <f>IF(G750="",0,IF(H750="",0,(ROUND(((H750-G750)/30),0))))</f>
        <v>0</v>
      </c>
      <c r="O750" s="21"/>
      <c r="P750" s="148">
        <v>1</v>
      </c>
      <c r="Q750" s="144">
        <v>1</v>
      </c>
      <c r="R750" s="144">
        <v>1</v>
      </c>
      <c r="S750" s="144" t="str">
        <f>VLOOKUP(P750,'WORKINGS MATRIX'!$B$200:$C$351,2,FALSE)</f>
        <v>Year</v>
      </c>
      <c r="T750" s="144">
        <f t="shared" si="65"/>
        <v>0</v>
      </c>
      <c r="U750" s="144">
        <f t="shared" si="65"/>
        <v>0</v>
      </c>
      <c r="V750" s="144" t="str">
        <f t="shared" si="66"/>
        <v/>
      </c>
      <c r="W750" s="144" t="str">
        <f t="shared" si="67"/>
        <v/>
      </c>
      <c r="X750" s="144" t="str">
        <f t="shared" si="67"/>
        <v/>
      </c>
      <c r="Y750" s="144" t="str">
        <f t="shared" si="68"/>
        <v/>
      </c>
      <c r="Z750" s="144" t="str">
        <f t="shared" si="69"/>
        <v/>
      </c>
      <c r="AC750" s="172">
        <f>IF(B750="",0,1)</f>
        <v>0</v>
      </c>
      <c r="AD750" s="172">
        <f>IF(B750="",0,IF(N750&gt;0,1,IF(N750&lt;0,2,0)))</f>
        <v>0</v>
      </c>
      <c r="AE750" s="172">
        <f>IF(AC750=AD750,0,IF(AC750&gt;AD750,2,1))</f>
        <v>0</v>
      </c>
      <c r="AF750" s="172">
        <f>IF(B750="",0,IF(N750=0,0,H750-$F$125))</f>
        <v>0</v>
      </c>
      <c r="AG750" s="172">
        <f>IF(AF750&gt;0,1,0)</f>
        <v>0</v>
      </c>
    </row>
    <row r="751" spans="2:33" ht="25.5" customHeight="1" x14ac:dyDescent="0.25">
      <c r="B751" s="149"/>
      <c r="C751" s="149"/>
      <c r="D751" s="149"/>
      <c r="E751" s="149"/>
      <c r="F751" s="149"/>
      <c r="G751" s="149"/>
      <c r="H751" s="149"/>
      <c r="I751" s="149"/>
      <c r="J751" s="149"/>
      <c r="K751" s="149"/>
      <c r="L751" s="149"/>
      <c r="M751" s="149"/>
      <c r="N751" s="164">
        <f>IF(G751="",0,IF(H751="",0,(ROUND(((H751-G751)/30),0))))</f>
        <v>0</v>
      </c>
      <c r="O751" s="21"/>
      <c r="P751" s="148">
        <v>1</v>
      </c>
      <c r="Q751" s="144">
        <v>1</v>
      </c>
      <c r="R751" s="144">
        <v>1</v>
      </c>
      <c r="S751" s="144" t="str">
        <f>VLOOKUP(P751,'WORKINGS MATRIX'!$B$200:$C$351,2,FALSE)</f>
        <v>Year</v>
      </c>
      <c r="T751" s="144">
        <f t="shared" si="65"/>
        <v>0</v>
      </c>
      <c r="U751" s="144">
        <f t="shared" si="65"/>
        <v>0</v>
      </c>
      <c r="V751" s="144" t="str">
        <f t="shared" si="66"/>
        <v/>
      </c>
      <c r="W751" s="144" t="str">
        <f t="shared" si="67"/>
        <v/>
      </c>
      <c r="X751" s="144" t="str">
        <f t="shared" si="67"/>
        <v/>
      </c>
      <c r="Y751" s="144" t="str">
        <f t="shared" si="68"/>
        <v/>
      </c>
      <c r="Z751" s="144" t="str">
        <f t="shared" si="69"/>
        <v/>
      </c>
      <c r="AC751" s="172">
        <f>IF(B751="",0,1)</f>
        <v>0</v>
      </c>
      <c r="AD751" s="172">
        <f>IF(B751="",0,IF(N751&gt;0,1,IF(N751&lt;0,2,0)))</f>
        <v>0</v>
      </c>
      <c r="AE751" s="172">
        <f>IF(AC751=AD751,0,IF(AC751&gt;AD751,2,1))</f>
        <v>0</v>
      </c>
      <c r="AF751" s="172">
        <f>IF(B751="",0,IF(N751=0,0,H751-$F$125))</f>
        <v>0</v>
      </c>
      <c r="AG751" s="172">
        <f>IF(AF751&gt;0,1,0)</f>
        <v>0</v>
      </c>
    </row>
    <row r="752" spans="2:33" x14ac:dyDescent="0.25">
      <c r="D752" s="57"/>
      <c r="H752" s="58"/>
      <c r="K752" s="21"/>
      <c r="N752" s="38"/>
      <c r="O752" s="58"/>
      <c r="P752" s="134">
        <v>1</v>
      </c>
      <c r="Q752" s="144">
        <v>1</v>
      </c>
      <c r="R752" s="144">
        <v>1</v>
      </c>
      <c r="S752" s="144" t="str">
        <f>VLOOKUP(P752,'WORKINGS MATRIX'!$B$200:$C$351,2,FALSE)</f>
        <v>Year</v>
      </c>
      <c r="T752" s="144">
        <f t="shared" ref="T752:U756" si="70">Q752-1</f>
        <v>0</v>
      </c>
      <c r="U752" s="144">
        <f t="shared" si="70"/>
        <v>0</v>
      </c>
      <c r="V752" s="144" t="str">
        <f t="shared" si="66"/>
        <v/>
      </c>
      <c r="W752" s="144" t="str">
        <f t="shared" ref="W752:X756" si="71">IF(T752=0,"",T752)</f>
        <v/>
      </c>
      <c r="X752" s="144" t="str">
        <f t="shared" si="71"/>
        <v/>
      </c>
      <c r="Y752" s="144" t="str">
        <f t="shared" si="68"/>
        <v/>
      </c>
      <c r="Z752" s="144" t="str">
        <f t="shared" si="69"/>
        <v/>
      </c>
      <c r="AC752" s="158"/>
      <c r="AD752" s="158"/>
      <c r="AE752" s="158"/>
      <c r="AF752" s="158"/>
      <c r="AG752" s="158"/>
    </row>
    <row r="753" spans="2:26" x14ac:dyDescent="0.25">
      <c r="B753" t="s">
        <v>152</v>
      </c>
      <c r="D753" s="57"/>
      <c r="H753" s="58"/>
      <c r="K753" s="21"/>
      <c r="N753" s="38"/>
      <c r="O753" s="58"/>
      <c r="P753" s="144">
        <v>1</v>
      </c>
      <c r="Q753" s="144">
        <v>1</v>
      </c>
      <c r="R753" s="144">
        <v>1</v>
      </c>
      <c r="S753" s="144" t="str">
        <f>VLOOKUP(P753,'WORKINGS MATRIX'!$B$200:$C$351,2,FALSE)</f>
        <v>Year</v>
      </c>
      <c r="T753" s="144">
        <f t="shared" si="70"/>
        <v>0</v>
      </c>
      <c r="U753" s="144">
        <f t="shared" si="70"/>
        <v>0</v>
      </c>
      <c r="V753" s="144" t="str">
        <f t="shared" si="66"/>
        <v/>
      </c>
      <c r="W753" s="144" t="str">
        <f t="shared" si="71"/>
        <v/>
      </c>
      <c r="X753" s="144" t="str">
        <f t="shared" si="71"/>
        <v/>
      </c>
      <c r="Y753" s="144" t="str">
        <f t="shared" si="68"/>
        <v/>
      </c>
      <c r="Z753" s="144" t="str">
        <f t="shared" si="69"/>
        <v/>
      </c>
    </row>
    <row r="754" spans="2:26" x14ac:dyDescent="0.25">
      <c r="B754" s="429"/>
      <c r="C754" s="430"/>
      <c r="D754" s="430"/>
      <c r="E754" s="430"/>
      <c r="F754" s="430"/>
      <c r="G754" s="430"/>
      <c r="H754" s="430"/>
      <c r="I754" s="430"/>
      <c r="J754" s="430"/>
      <c r="K754" s="430"/>
      <c r="L754" s="430"/>
      <c r="M754" s="431"/>
      <c r="N754" s="38"/>
      <c r="O754" s="58"/>
      <c r="P754" s="144">
        <v>1</v>
      </c>
      <c r="Q754" s="144">
        <v>1</v>
      </c>
      <c r="R754" s="144">
        <v>1</v>
      </c>
      <c r="S754" s="144" t="str">
        <f>VLOOKUP(P754,'WORKINGS MATRIX'!$B$200:$C$351,2,FALSE)</f>
        <v>Year</v>
      </c>
      <c r="T754" s="144">
        <f t="shared" si="70"/>
        <v>0</v>
      </c>
      <c r="U754" s="144">
        <f t="shared" si="70"/>
        <v>0</v>
      </c>
      <c r="V754" s="144" t="str">
        <f t="shared" si="66"/>
        <v/>
      </c>
      <c r="W754" s="144" t="str">
        <f t="shared" si="71"/>
        <v/>
      </c>
      <c r="X754" s="144" t="str">
        <f t="shared" si="71"/>
        <v/>
      </c>
      <c r="Y754" s="144" t="str">
        <f t="shared" si="68"/>
        <v/>
      </c>
      <c r="Z754" s="144" t="str">
        <f t="shared" si="69"/>
        <v/>
      </c>
    </row>
    <row r="755" spans="2:26" x14ac:dyDescent="0.25">
      <c r="B755" s="432"/>
      <c r="C755" s="433"/>
      <c r="D755" s="433"/>
      <c r="E755" s="433"/>
      <c r="F755" s="433"/>
      <c r="G755" s="433"/>
      <c r="H755" s="433"/>
      <c r="I755" s="433"/>
      <c r="J755" s="433"/>
      <c r="K755" s="433"/>
      <c r="L755" s="433"/>
      <c r="M755" s="434"/>
      <c r="N755" s="38"/>
      <c r="O755" s="58"/>
      <c r="P755" s="144">
        <v>1</v>
      </c>
      <c r="Q755" s="144">
        <v>1</v>
      </c>
      <c r="R755" s="144">
        <v>1</v>
      </c>
      <c r="S755" s="144" t="str">
        <f>VLOOKUP(P755,'WORKINGS MATRIX'!$B$200:$C$351,2,FALSE)</f>
        <v>Year</v>
      </c>
      <c r="T755" s="144">
        <f t="shared" si="70"/>
        <v>0</v>
      </c>
      <c r="U755" s="144">
        <f t="shared" si="70"/>
        <v>0</v>
      </c>
      <c r="V755" s="144" t="str">
        <f t="shared" si="66"/>
        <v/>
      </c>
      <c r="W755" s="144" t="str">
        <f t="shared" si="71"/>
        <v/>
      </c>
      <c r="X755" s="144" t="str">
        <f t="shared" si="71"/>
        <v/>
      </c>
      <c r="Y755" s="144" t="str">
        <f t="shared" si="68"/>
        <v/>
      </c>
      <c r="Z755" s="144" t="str">
        <f t="shared" si="69"/>
        <v/>
      </c>
    </row>
    <row r="756" spans="2:26" x14ac:dyDescent="0.25">
      <c r="B756" s="432"/>
      <c r="C756" s="433"/>
      <c r="D756" s="433"/>
      <c r="E756" s="433"/>
      <c r="F756" s="433"/>
      <c r="G756" s="433"/>
      <c r="H756" s="433"/>
      <c r="I756" s="433"/>
      <c r="J756" s="433"/>
      <c r="K756" s="433"/>
      <c r="L756" s="433"/>
      <c r="M756" s="434"/>
      <c r="N756" s="38"/>
      <c r="O756" s="58"/>
      <c r="P756" s="144">
        <v>1</v>
      </c>
      <c r="Q756" s="144">
        <v>1</v>
      </c>
      <c r="R756" s="144">
        <v>1</v>
      </c>
      <c r="S756" s="144" t="str">
        <f>VLOOKUP(P756,'WORKINGS MATRIX'!$B$200:$C$351,2,FALSE)</f>
        <v>Year</v>
      </c>
      <c r="T756" s="144">
        <f t="shared" si="70"/>
        <v>0</v>
      </c>
      <c r="U756" s="144">
        <f t="shared" si="70"/>
        <v>0</v>
      </c>
      <c r="V756" s="144" t="str">
        <f t="shared" si="66"/>
        <v/>
      </c>
      <c r="W756" s="144" t="str">
        <f t="shared" si="71"/>
        <v/>
      </c>
      <c r="X756" s="144" t="str">
        <f t="shared" si="71"/>
        <v/>
      </c>
      <c r="Y756" s="144" t="str">
        <f t="shared" si="68"/>
        <v/>
      </c>
      <c r="Z756" s="144" t="str">
        <f t="shared" si="69"/>
        <v/>
      </c>
    </row>
    <row r="757" spans="2:26" x14ac:dyDescent="0.25">
      <c r="B757" s="435"/>
      <c r="C757" s="436"/>
      <c r="D757" s="436"/>
      <c r="E757" s="436"/>
      <c r="F757" s="436"/>
      <c r="G757" s="436"/>
      <c r="H757" s="436"/>
      <c r="I757" s="436"/>
      <c r="J757" s="436"/>
      <c r="K757" s="436"/>
      <c r="L757" s="436"/>
      <c r="M757" s="437"/>
      <c r="N757" s="38"/>
      <c r="O757" s="58"/>
      <c r="P757" s="144"/>
      <c r="Q757" s="144"/>
      <c r="R757" s="144"/>
      <c r="S757" s="144"/>
      <c r="T757" s="144"/>
      <c r="U757" s="144"/>
      <c r="V757" s="144"/>
      <c r="W757" s="144"/>
      <c r="X757" s="144"/>
      <c r="Y757" s="144"/>
      <c r="Z757" s="144"/>
    </row>
    <row r="758" spans="2:26" x14ac:dyDescent="0.25">
      <c r="B758" s="15" t="s">
        <v>153</v>
      </c>
      <c r="D758" s="57"/>
      <c r="H758" s="58"/>
      <c r="K758" s="21"/>
      <c r="N758" s="38"/>
      <c r="O758" s="58"/>
      <c r="P758" s="144"/>
      <c r="Q758" s="144"/>
      <c r="R758" s="144"/>
      <c r="S758" s="144"/>
      <c r="T758" s="144"/>
      <c r="U758" s="144"/>
      <c r="V758" s="144"/>
      <c r="W758" s="144"/>
      <c r="X758" s="144"/>
      <c r="Y758" s="144"/>
      <c r="Z758" s="144"/>
    </row>
    <row r="759" spans="2:26" x14ac:dyDescent="0.25">
      <c r="B759" s="15" t="s">
        <v>154</v>
      </c>
      <c r="D759" s="57"/>
      <c r="H759" s="58"/>
      <c r="K759" s="21"/>
      <c r="N759" s="38"/>
      <c r="O759" s="58"/>
      <c r="P759" s="144"/>
      <c r="Q759" s="144"/>
      <c r="R759" s="144"/>
      <c r="S759" s="144"/>
      <c r="T759" s="144"/>
      <c r="U759" s="144"/>
      <c r="V759" s="144"/>
      <c r="W759" s="144"/>
      <c r="X759" s="144"/>
      <c r="Y759" s="144"/>
      <c r="Z759" s="144"/>
    </row>
    <row r="760" spans="2:26" x14ac:dyDescent="0.25">
      <c r="D760" s="57"/>
      <c r="H760" s="58"/>
      <c r="K760" s="21"/>
      <c r="N760" s="38"/>
      <c r="O760" s="58"/>
      <c r="P760" s="144"/>
      <c r="Q760" s="144"/>
      <c r="R760" s="144"/>
      <c r="S760" s="144"/>
      <c r="T760" s="144"/>
      <c r="U760" s="144"/>
      <c r="V760" s="144"/>
      <c r="W760" s="144"/>
      <c r="X760" s="144"/>
      <c r="Y760" s="144"/>
      <c r="Z760" s="144"/>
    </row>
    <row r="761" spans="2:26" x14ac:dyDescent="0.25">
      <c r="D761" s="57"/>
      <c r="E761" s="149"/>
      <c r="F761" s="149"/>
      <c r="G761" s="149"/>
      <c r="H761" s="149"/>
      <c r="I761" s="149"/>
      <c r="K761" s="21"/>
      <c r="N761" s="38"/>
      <c r="O761" s="58"/>
      <c r="P761" s="144"/>
      <c r="Q761" s="144"/>
      <c r="R761" s="144"/>
      <c r="S761" s="144"/>
      <c r="T761" s="144"/>
      <c r="U761" s="144"/>
      <c r="V761" s="144"/>
      <c r="W761" s="144"/>
      <c r="X761" s="144"/>
      <c r="Y761" s="144"/>
      <c r="Z761" s="144"/>
    </row>
    <row r="762" spans="2:26" x14ac:dyDescent="0.25">
      <c r="D762" s="57"/>
      <c r="E762" s="149"/>
      <c r="F762" s="149"/>
      <c r="G762" s="149"/>
      <c r="H762" s="149"/>
      <c r="I762" s="149"/>
      <c r="K762" s="438" t="s">
        <v>155</v>
      </c>
      <c r="L762" s="438"/>
      <c r="M762" s="438"/>
      <c r="N762" s="38"/>
      <c r="O762" s="58"/>
      <c r="P762" s="144"/>
      <c r="Q762" s="144"/>
      <c r="R762" s="144"/>
      <c r="S762" s="144"/>
      <c r="T762" s="144"/>
      <c r="U762" s="144"/>
      <c r="V762" s="144"/>
      <c r="W762" s="144"/>
      <c r="X762" s="144"/>
      <c r="Y762" s="144"/>
      <c r="Z762" s="144"/>
    </row>
    <row r="763" spans="2:26" x14ac:dyDescent="0.25">
      <c r="D763" s="57"/>
      <c r="H763" s="58"/>
      <c r="K763" s="438"/>
      <c r="L763" s="438"/>
      <c r="M763" s="438"/>
      <c r="N763" s="38"/>
      <c r="O763" s="58"/>
      <c r="P763" s="144"/>
      <c r="Q763" s="144"/>
      <c r="R763" s="144"/>
      <c r="S763" s="144"/>
      <c r="T763" s="144"/>
      <c r="U763" s="144"/>
      <c r="V763" s="144"/>
      <c r="W763" s="144"/>
      <c r="X763" s="144"/>
      <c r="Y763" s="144"/>
      <c r="Z763" s="144"/>
    </row>
    <row r="764" spans="2:26" x14ac:dyDescent="0.25">
      <c r="D764" s="57"/>
      <c r="E764" s="149"/>
      <c r="F764" s="149"/>
      <c r="G764" s="149"/>
      <c r="H764" s="149"/>
      <c r="I764" s="149"/>
      <c r="K764" s="438"/>
      <c r="L764" s="438"/>
      <c r="M764" s="438"/>
      <c r="N764" s="38"/>
      <c r="O764" s="58"/>
      <c r="P764" s="144"/>
      <c r="Q764" s="144"/>
      <c r="R764" s="144"/>
      <c r="S764" s="144"/>
      <c r="T764" s="144"/>
      <c r="U764" s="144"/>
      <c r="V764" s="144"/>
      <c r="W764" s="144"/>
      <c r="X764" s="144"/>
      <c r="Y764" s="144"/>
      <c r="Z764" s="144"/>
    </row>
    <row r="765" spans="2:26" x14ac:dyDescent="0.25">
      <c r="D765" s="57"/>
      <c r="E765" s="149"/>
      <c r="F765" s="149"/>
      <c r="G765" s="149"/>
      <c r="H765" s="149"/>
      <c r="I765" s="149"/>
      <c r="K765" s="438"/>
      <c r="L765" s="438"/>
      <c r="M765" s="438"/>
      <c r="N765" s="38"/>
      <c r="O765" s="58"/>
      <c r="P765" s="144"/>
      <c r="Q765" s="144"/>
      <c r="R765" s="144"/>
      <c r="S765" s="144"/>
      <c r="T765" s="144"/>
      <c r="U765" s="144"/>
      <c r="V765" s="144"/>
      <c r="W765" s="144"/>
      <c r="X765" s="144"/>
      <c r="Y765" s="144"/>
      <c r="Z765" s="144"/>
    </row>
    <row r="766" spans="2:26" ht="13.8" thickBot="1" x14ac:dyDescent="0.3">
      <c r="B766" s="60"/>
      <c r="C766" s="60"/>
      <c r="D766" s="61"/>
      <c r="E766" s="60"/>
      <c r="F766" s="60"/>
      <c r="G766" s="60"/>
      <c r="H766" s="62"/>
      <c r="I766" s="60"/>
      <c r="J766" s="60"/>
      <c r="K766" s="63"/>
      <c r="L766" s="60"/>
      <c r="M766" s="60"/>
      <c r="N766" s="64"/>
      <c r="O766" s="58"/>
      <c r="P766" s="144"/>
      <c r="Q766" s="144"/>
      <c r="R766" s="144"/>
      <c r="S766" s="144"/>
      <c r="T766" s="144"/>
      <c r="U766" s="144"/>
      <c r="V766" s="144"/>
      <c r="W766" s="144"/>
      <c r="X766" s="144"/>
      <c r="Y766" s="144"/>
      <c r="Z766" s="144"/>
    </row>
    <row r="767" spans="2:26" ht="14.4" thickTop="1" thickBot="1" x14ac:dyDescent="0.3">
      <c r="D767" s="57"/>
      <c r="H767" s="58"/>
      <c r="K767" s="21"/>
      <c r="O767" s="58"/>
      <c r="P767" s="144"/>
      <c r="Q767" s="144"/>
      <c r="R767" s="144"/>
      <c r="S767" s="144"/>
      <c r="T767" s="144"/>
      <c r="U767" s="144"/>
      <c r="V767" s="144"/>
      <c r="W767" s="144"/>
      <c r="X767" s="144"/>
      <c r="Y767" s="144"/>
      <c r="Z767" s="144"/>
    </row>
    <row r="768" spans="2:26" ht="13.8" thickTop="1" x14ac:dyDescent="0.25">
      <c r="B768" s="27" t="s">
        <v>156</v>
      </c>
      <c r="C768" s="29"/>
      <c r="D768" s="28"/>
      <c r="E768" s="65"/>
      <c r="F768" s="65"/>
      <c r="G768" s="65"/>
      <c r="H768" s="28"/>
      <c r="I768" s="28"/>
      <c r="J768" s="28"/>
      <c r="K768" s="28"/>
      <c r="L768" s="31" t="s">
        <v>157</v>
      </c>
      <c r="M768" s="28"/>
      <c r="N768" s="32"/>
      <c r="P768" s="144"/>
      <c r="Q768" s="144"/>
      <c r="R768" s="144"/>
      <c r="S768" s="144"/>
      <c r="T768" s="144"/>
      <c r="U768" s="144"/>
      <c r="V768" s="144"/>
      <c r="W768" s="144"/>
      <c r="X768" s="144"/>
      <c r="Y768" s="144"/>
      <c r="Z768" s="144"/>
    </row>
    <row r="769" spans="2:26" x14ac:dyDescent="0.25">
      <c r="E769" s="134">
        <v>5</v>
      </c>
      <c r="F769" s="12"/>
      <c r="N769" s="38"/>
      <c r="P769" s="144"/>
      <c r="Q769" s="144"/>
      <c r="R769" s="144"/>
      <c r="S769" s="144"/>
      <c r="T769" s="144"/>
      <c r="U769" s="144"/>
      <c r="V769" s="144"/>
      <c r="W769" s="144"/>
      <c r="X769" s="144"/>
      <c r="Y769" s="144"/>
      <c r="Z769" s="144"/>
    </row>
    <row r="770" spans="2:26" x14ac:dyDescent="0.25">
      <c r="B770" t="s">
        <v>134</v>
      </c>
      <c r="L770" s="465" t="str">
        <f>$L$39</f>
        <v>X.002-218-2024(NT)&amp;N.004-116-2024(T)</v>
      </c>
      <c r="M770" s="465"/>
      <c r="N770" s="38"/>
      <c r="P770" s="144"/>
      <c r="Q770" s="144"/>
      <c r="R770" s="144"/>
      <c r="S770" s="144"/>
      <c r="T770" s="144"/>
      <c r="U770" s="144"/>
      <c r="V770" s="144"/>
      <c r="W770" s="144"/>
      <c r="X770" s="144"/>
      <c r="Y770" s="144"/>
      <c r="Z770" s="144"/>
    </row>
    <row r="771" spans="2:26" x14ac:dyDescent="0.25">
      <c r="B771" s="39" t="s">
        <v>135</v>
      </c>
      <c r="C771" s="40"/>
      <c r="D771" s="41"/>
      <c r="E771" s="448" t="s">
        <v>158</v>
      </c>
      <c r="F771" s="449"/>
      <c r="G771" s="466" t="s">
        <v>159</v>
      </c>
      <c r="H771" s="449"/>
      <c r="L771" s="465"/>
      <c r="M771" s="465"/>
      <c r="N771" s="38"/>
      <c r="P771" s="144"/>
      <c r="Q771" s="144"/>
      <c r="R771" s="144"/>
      <c r="S771" s="144"/>
      <c r="T771" s="144"/>
      <c r="U771" s="144"/>
      <c r="V771" s="144"/>
      <c r="W771" s="144"/>
      <c r="X771" s="144"/>
      <c r="Y771" s="144"/>
      <c r="Z771" s="144"/>
    </row>
    <row r="772" spans="2:26" ht="18" customHeight="1" x14ac:dyDescent="0.25">
      <c r="B772" s="66">
        <f>B741</f>
        <v>0</v>
      </c>
      <c r="C772" s="67"/>
      <c r="D772" s="68"/>
      <c r="E772" s="441" t="str">
        <f>G741</f>
        <v/>
      </c>
      <c r="F772" s="441"/>
      <c r="G772" s="42"/>
      <c r="H772" s="12">
        <v>1</v>
      </c>
      <c r="N772" s="38"/>
      <c r="P772" s="144"/>
      <c r="Q772" s="144"/>
      <c r="R772" s="144"/>
      <c r="S772" s="144"/>
      <c r="T772" s="144"/>
      <c r="U772" s="144"/>
      <c r="V772" s="144"/>
      <c r="W772" s="144"/>
      <c r="X772" s="144"/>
      <c r="Y772" s="144"/>
      <c r="Z772" s="144"/>
    </row>
    <row r="773" spans="2:26" x14ac:dyDescent="0.25">
      <c r="N773" s="38"/>
      <c r="P773" s="144"/>
      <c r="Q773" s="144"/>
      <c r="R773" s="144"/>
      <c r="S773" s="144"/>
      <c r="T773" s="144"/>
      <c r="U773" s="144"/>
      <c r="V773" s="144"/>
      <c r="W773" s="144"/>
      <c r="X773" s="144"/>
      <c r="Y773" s="144"/>
      <c r="Z773" s="144"/>
    </row>
    <row r="774" spans="2:26" x14ac:dyDescent="0.25">
      <c r="B774" t="s">
        <v>161</v>
      </c>
      <c r="N774" s="38"/>
      <c r="P774" s="144"/>
      <c r="Q774" s="144"/>
      <c r="R774" s="144"/>
      <c r="S774" s="144"/>
      <c r="T774" s="144"/>
      <c r="U774" s="144"/>
      <c r="V774" s="144"/>
      <c r="W774" s="144"/>
      <c r="X774" s="144"/>
      <c r="Y774" s="144"/>
      <c r="Z774" s="144"/>
    </row>
    <row r="775" spans="2:26" ht="18" customHeight="1" x14ac:dyDescent="0.25">
      <c r="B775" s="468" t="s">
        <v>162</v>
      </c>
      <c r="C775" s="468"/>
      <c r="D775" s="469" t="s">
        <v>163</v>
      </c>
      <c r="E775" s="469"/>
      <c r="F775" s="461" t="s">
        <v>164</v>
      </c>
      <c r="G775" s="462"/>
      <c r="H775" s="467" t="s">
        <v>165</v>
      </c>
      <c r="I775" s="462"/>
      <c r="J775" s="467" t="s">
        <v>165</v>
      </c>
      <c r="K775" s="462"/>
      <c r="L775" s="125" t="s">
        <v>166</v>
      </c>
      <c r="M775" s="125" t="s">
        <v>167</v>
      </c>
      <c r="N775" s="38"/>
      <c r="P775" s="144">
        <v>1</v>
      </c>
      <c r="Q775" s="144">
        <v>1</v>
      </c>
      <c r="R775" s="144">
        <v>1</v>
      </c>
      <c r="S775" s="144" t="str">
        <f>VLOOKUP(P775,'WORKINGS MATRIX'!$B$200:$C$351,2,FALSE)</f>
        <v>Year</v>
      </c>
      <c r="T775" s="144">
        <f t="shared" ref="T775:U779" si="72">Q775-1</f>
        <v>0</v>
      </c>
      <c r="U775" s="144">
        <f t="shared" si="72"/>
        <v>0</v>
      </c>
      <c r="V775" s="144" t="str">
        <f>IF(S775="year","",S775)</f>
        <v/>
      </c>
      <c r="W775" s="144" t="str">
        <f t="shared" ref="W775:X779" si="73">IF(T775=0,"",T775)</f>
        <v/>
      </c>
      <c r="X775" s="144" t="str">
        <f t="shared" si="73"/>
        <v/>
      </c>
      <c r="Y775" s="144" t="str">
        <f>IF(V775="","",IF(W775="",(V775&amp;"/"&amp;"12"&amp;"/"&amp;"1"),IF(X775="",(V775&amp;"/"&amp;W775&amp;"/"&amp;"1"),(V775&amp;"/"&amp;W775&amp;"/"&amp;X775))))</f>
        <v/>
      </c>
      <c r="Z775" s="144" t="str">
        <f>IF(Y775="//","",Y775)</f>
        <v/>
      </c>
    </row>
    <row r="776" spans="2:26" ht="18" customHeight="1" x14ac:dyDescent="0.25">
      <c r="B776" s="441" t="s">
        <v>168</v>
      </c>
      <c r="C776" s="441"/>
      <c r="D776" s="439">
        <v>10</v>
      </c>
      <c r="E776" s="440"/>
      <c r="F776" s="442"/>
      <c r="G776" s="443"/>
      <c r="H776" s="463">
        <v>1</v>
      </c>
      <c r="I776" s="464"/>
      <c r="J776" s="450"/>
      <c r="K776" s="443"/>
      <c r="L776" s="206"/>
      <c r="M776" s="143" t="str">
        <f>Z775</f>
        <v/>
      </c>
      <c r="N776" s="38"/>
      <c r="P776" s="144">
        <v>1</v>
      </c>
      <c r="Q776" s="144">
        <v>1</v>
      </c>
      <c r="R776" s="144">
        <v>1</v>
      </c>
      <c r="S776" s="144" t="str">
        <f>VLOOKUP(P776,'WORKINGS MATRIX'!$B$200:$C$351,2,FALSE)</f>
        <v>Year</v>
      </c>
      <c r="T776" s="144">
        <f t="shared" si="72"/>
        <v>0</v>
      </c>
      <c r="U776" s="144">
        <f t="shared" si="72"/>
        <v>0</v>
      </c>
      <c r="V776" s="144" t="str">
        <f>IF(S776="year","",S776)</f>
        <v/>
      </c>
      <c r="W776" s="144" t="str">
        <f t="shared" si="73"/>
        <v/>
      </c>
      <c r="X776" s="144" t="str">
        <f t="shared" si="73"/>
        <v/>
      </c>
      <c r="Y776" s="144" t="str">
        <f>IF(V776="","",IF(W776="",(V776&amp;"/"&amp;"12"&amp;"/"&amp;"1"),IF(X776="",(V776&amp;"/"&amp;W776&amp;"/"&amp;"1"),(V776&amp;"/"&amp;W776&amp;"/"&amp;X776))))</f>
        <v/>
      </c>
      <c r="Z776" s="144" t="str">
        <f>IF(Y776="//","",Y776)</f>
        <v/>
      </c>
    </row>
    <row r="777" spans="2:26" ht="18" customHeight="1" x14ac:dyDescent="0.25">
      <c r="B777" s="441" t="s">
        <v>169</v>
      </c>
      <c r="C777" s="441"/>
      <c r="D777" s="442"/>
      <c r="E777" s="443"/>
      <c r="F777" s="442"/>
      <c r="G777" s="443"/>
      <c r="H777" s="451" t="s">
        <v>170</v>
      </c>
      <c r="I777" s="452"/>
      <c r="J777" s="451" t="s">
        <v>171</v>
      </c>
      <c r="K777" s="452"/>
      <c r="L777" s="125" t="s">
        <v>166</v>
      </c>
      <c r="M777" s="125" t="s">
        <v>167</v>
      </c>
      <c r="N777" s="38"/>
      <c r="P777" s="144">
        <v>1</v>
      </c>
      <c r="Q777" s="144">
        <v>1</v>
      </c>
      <c r="R777" s="144">
        <v>1</v>
      </c>
      <c r="S777" s="144" t="str">
        <f>VLOOKUP(P777,'WORKINGS MATRIX'!$B$200:$C$351,2,FALSE)</f>
        <v>Year</v>
      </c>
      <c r="T777" s="144">
        <f t="shared" si="72"/>
        <v>0</v>
      </c>
      <c r="U777" s="144">
        <f t="shared" si="72"/>
        <v>0</v>
      </c>
      <c r="V777" s="144" t="str">
        <f>IF(S777="year","",S777)</f>
        <v/>
      </c>
      <c r="W777" s="144" t="str">
        <f t="shared" si="73"/>
        <v/>
      </c>
      <c r="X777" s="144" t="str">
        <f t="shared" si="73"/>
        <v/>
      </c>
      <c r="Y777" s="144" t="str">
        <f>IF(V777="","",IF(W777="",(V777&amp;"/"&amp;"1"&amp;"/"&amp;"1"),IF(X777="",(V777&amp;"/"&amp;W777&amp;"/"&amp;"1"),(V777&amp;"/"&amp;W777&amp;"/"&amp;X777))))</f>
        <v/>
      </c>
      <c r="Z777" s="144" t="str">
        <f>IF(Y777="//","",Y777)</f>
        <v/>
      </c>
    </row>
    <row r="778" spans="2:26" ht="18" customHeight="1" x14ac:dyDescent="0.25">
      <c r="B778" s="441" t="s">
        <v>172</v>
      </c>
      <c r="C778" s="441"/>
      <c r="D778" s="444" t="str">
        <f>Z777</f>
        <v/>
      </c>
      <c r="E778" s="445"/>
      <c r="F778" s="444" t="str">
        <f>Z778</f>
        <v/>
      </c>
      <c r="G778" s="445"/>
      <c r="H778" s="446">
        <v>1</v>
      </c>
      <c r="I778" s="447"/>
      <c r="J778" s="450"/>
      <c r="K778" s="443"/>
      <c r="L778" s="206"/>
      <c r="M778" s="143" t="str">
        <f>Z776</f>
        <v/>
      </c>
      <c r="N778" s="38"/>
      <c r="P778" s="144">
        <v>1</v>
      </c>
      <c r="Q778" s="144">
        <v>1</v>
      </c>
      <c r="R778" s="144">
        <v>1</v>
      </c>
      <c r="S778" s="144" t="str">
        <f>VLOOKUP(P778,'WORKINGS MATRIX'!$B$200:$C$351,2,FALSE)</f>
        <v>Year</v>
      </c>
      <c r="T778" s="144">
        <f t="shared" si="72"/>
        <v>0</v>
      </c>
      <c r="U778" s="144">
        <f t="shared" si="72"/>
        <v>0</v>
      </c>
      <c r="V778" s="144" t="str">
        <f>IF(S778="year","",S778)</f>
        <v/>
      </c>
      <c r="W778" s="144" t="str">
        <f t="shared" si="73"/>
        <v/>
      </c>
      <c r="X778" s="144" t="str">
        <f t="shared" si="73"/>
        <v/>
      </c>
      <c r="Y778" s="144" t="str">
        <f>IF(V778="","",IF(W778="",(V778&amp;"/"&amp;"1"&amp;"/"&amp;"1"),IF(X778="",(V778&amp;"/"&amp;W778&amp;"/"&amp;"1"),(V778&amp;"/"&amp;W778&amp;"/"&amp;X778))))</f>
        <v/>
      </c>
      <c r="Z778" s="144" t="str">
        <f>IF(Y778="//","",Y778)</f>
        <v/>
      </c>
    </row>
    <row r="779" spans="2:26" x14ac:dyDescent="0.25">
      <c r="N779" s="38"/>
      <c r="P779" s="144">
        <v>1</v>
      </c>
      <c r="Q779" s="144">
        <v>1</v>
      </c>
      <c r="R779" s="144">
        <v>1</v>
      </c>
      <c r="S779" s="144" t="str">
        <f>VLOOKUP(P779,'WORKINGS MATRIX'!$B$200:$C$351,2,FALSE)</f>
        <v>Year</v>
      </c>
      <c r="T779" s="144">
        <f t="shared" si="72"/>
        <v>0</v>
      </c>
      <c r="U779" s="144">
        <f t="shared" si="72"/>
        <v>0</v>
      </c>
      <c r="V779" s="144" t="str">
        <f>IF(S779="year","",S779)</f>
        <v/>
      </c>
      <c r="W779" s="144" t="str">
        <f t="shared" si="73"/>
        <v/>
      </c>
      <c r="X779" s="144" t="str">
        <f t="shared" si="73"/>
        <v/>
      </c>
      <c r="Y779" s="144" t="str">
        <f>IF(V779="","",IF(W779="",(V779&amp;"/"&amp;"1"&amp;"/"&amp;"1"),IF(X779="",(V779&amp;"/"&amp;W779&amp;"/"&amp;"1"),(V779&amp;"/"&amp;W779&amp;"/"&amp;X779))))</f>
        <v/>
      </c>
      <c r="Z779" s="144" t="str">
        <f>IF(Y779="//","",Y779)</f>
        <v/>
      </c>
    </row>
    <row r="788" spans="2:13" x14ac:dyDescent="0.25">
      <c r="B788" t="s">
        <v>152</v>
      </c>
      <c r="D788" s="57"/>
      <c r="H788" s="58"/>
      <c r="K788" s="21"/>
    </row>
    <row r="789" spans="2:13" x14ac:dyDescent="0.25">
      <c r="B789" s="429"/>
      <c r="C789" s="430"/>
      <c r="D789" s="430"/>
      <c r="E789" s="430"/>
      <c r="F789" s="430"/>
      <c r="G789" s="430"/>
      <c r="H789" s="430"/>
      <c r="I789" s="430"/>
      <c r="J789" s="430"/>
      <c r="K789" s="430"/>
      <c r="L789" s="430"/>
      <c r="M789" s="431"/>
    </row>
    <row r="790" spans="2:13" x14ac:dyDescent="0.25">
      <c r="B790" s="432"/>
      <c r="C790" s="433"/>
      <c r="D790" s="433"/>
      <c r="E790" s="433"/>
      <c r="F790" s="433"/>
      <c r="G790" s="433"/>
      <c r="H790" s="433"/>
      <c r="I790" s="433"/>
      <c r="J790" s="433"/>
      <c r="K790" s="433"/>
      <c r="L790" s="433"/>
      <c r="M790" s="434"/>
    </row>
    <row r="791" spans="2:13" x14ac:dyDescent="0.25">
      <c r="B791" s="432"/>
      <c r="C791" s="433"/>
      <c r="D791" s="433"/>
      <c r="E791" s="433"/>
      <c r="F791" s="433"/>
      <c r="G791" s="433"/>
      <c r="H791" s="433"/>
      <c r="I791" s="433"/>
      <c r="J791" s="433"/>
      <c r="K791" s="433"/>
      <c r="L791" s="433"/>
      <c r="M791" s="434"/>
    </row>
    <row r="792" spans="2:13" x14ac:dyDescent="0.25">
      <c r="B792" s="435"/>
      <c r="C792" s="436"/>
      <c r="D792" s="436"/>
      <c r="E792" s="436"/>
      <c r="F792" s="436"/>
      <c r="G792" s="436"/>
      <c r="H792" s="436"/>
      <c r="I792" s="436"/>
      <c r="J792" s="436"/>
      <c r="K792" s="436"/>
      <c r="L792" s="436"/>
      <c r="M792" s="437"/>
    </row>
    <row r="793" spans="2:13" x14ac:dyDescent="0.25">
      <c r="B793" s="15"/>
      <c r="D793" s="57"/>
      <c r="H793" s="58"/>
      <c r="K793" s="21"/>
    </row>
    <row r="794" spans="2:13" x14ac:dyDescent="0.25">
      <c r="D794" s="57"/>
      <c r="H794" s="58"/>
      <c r="K794" s="21"/>
    </row>
    <row r="795" spans="2:13" x14ac:dyDescent="0.25">
      <c r="D795" s="57"/>
      <c r="H795" s="58"/>
      <c r="K795" s="21"/>
    </row>
    <row r="796" spans="2:13" x14ac:dyDescent="0.25">
      <c r="D796" s="57"/>
      <c r="E796" s="149"/>
      <c r="F796" s="149"/>
      <c r="G796" s="149"/>
      <c r="H796" s="149"/>
      <c r="I796" s="149"/>
      <c r="K796" s="21"/>
    </row>
    <row r="797" spans="2:13" x14ac:dyDescent="0.25">
      <c r="D797" s="57"/>
      <c r="E797" s="149"/>
      <c r="F797" s="149"/>
      <c r="G797" s="149"/>
      <c r="H797" s="149"/>
      <c r="I797" s="149"/>
      <c r="K797" s="438" t="s">
        <v>155</v>
      </c>
      <c r="L797" s="438"/>
      <c r="M797" s="438"/>
    </row>
    <row r="798" spans="2:13" x14ac:dyDescent="0.25">
      <c r="D798" s="57"/>
      <c r="H798" s="58"/>
      <c r="K798" s="438"/>
      <c r="L798" s="438"/>
      <c r="M798" s="438"/>
    </row>
    <row r="799" spans="2:13" x14ac:dyDescent="0.25">
      <c r="D799" s="57"/>
      <c r="E799" s="149"/>
      <c r="F799" s="149"/>
      <c r="G799" s="149"/>
      <c r="H799" s="149"/>
      <c r="I799" s="149"/>
      <c r="K799" s="438"/>
      <c r="L799" s="438"/>
      <c r="M799" s="438"/>
    </row>
    <row r="800" spans="2:13" x14ac:dyDescent="0.25">
      <c r="D800" s="57"/>
      <c r="E800" s="149"/>
      <c r="F800" s="149"/>
      <c r="G800" s="149"/>
      <c r="H800" s="149"/>
      <c r="I800" s="149"/>
      <c r="K800" s="438"/>
      <c r="L800" s="438"/>
      <c r="M800" s="438"/>
    </row>
    <row r="803" spans="2:2" x14ac:dyDescent="0.25">
      <c r="B803" s="24" t="s">
        <v>128</v>
      </c>
    </row>
    <row r="836" spans="2:33" ht="13.8" thickBot="1" x14ac:dyDescent="0.3">
      <c r="B836">
        <f>$D$1</f>
        <v>0</v>
      </c>
      <c r="C836" s="73" t="s">
        <v>128</v>
      </c>
      <c r="D836" s="25" t="s">
        <v>129</v>
      </c>
      <c r="P836" s="144"/>
      <c r="Q836" s="144"/>
      <c r="R836" s="144"/>
      <c r="S836" s="144"/>
      <c r="T836" s="144"/>
      <c r="U836" s="144"/>
      <c r="V836" s="144"/>
      <c r="W836" s="144"/>
      <c r="X836" s="144"/>
      <c r="Y836" s="144"/>
      <c r="Z836" s="144"/>
      <c r="AC836" s="158"/>
      <c r="AD836" s="158"/>
      <c r="AE836" s="158"/>
      <c r="AF836" s="158"/>
      <c r="AG836" s="158"/>
    </row>
    <row r="837" spans="2:33" ht="13.8" thickTop="1" x14ac:dyDescent="0.25">
      <c r="B837" s="27" t="s">
        <v>131</v>
      </c>
      <c r="C837" s="28"/>
      <c r="D837" s="29" t="s">
        <v>132</v>
      </c>
      <c r="E837" s="27" t="str">
        <f>J118</f>
        <v/>
      </c>
      <c r="F837" s="30" t="str">
        <f>IF(L118=0,"NOT REQUIRED", IF(L118="Man","MANAGERIAL POSITION","NON-MANAGERIAL POSITION"))</f>
        <v>NON-MANAGERIAL POSITION</v>
      </c>
      <c r="G837" s="28"/>
      <c r="H837" s="28"/>
      <c r="I837" s="31"/>
      <c r="J837" s="27"/>
      <c r="K837" s="28"/>
      <c r="L837" s="31" t="s">
        <v>133</v>
      </c>
      <c r="M837" s="28"/>
      <c r="N837" s="32"/>
      <c r="P837" s="144"/>
      <c r="Q837" s="144"/>
      <c r="R837" s="144"/>
      <c r="S837" s="144"/>
      <c r="T837" s="144"/>
      <c r="U837" s="144"/>
      <c r="V837" s="144"/>
      <c r="W837" s="144"/>
      <c r="X837" s="144"/>
      <c r="Y837" s="144"/>
      <c r="Z837" s="144"/>
      <c r="AC837" s="158"/>
      <c r="AD837" s="158"/>
      <c r="AE837" s="158"/>
      <c r="AF837" s="158"/>
      <c r="AG837" s="158"/>
    </row>
    <row r="838" spans="2:33" x14ac:dyDescent="0.25">
      <c r="E838" s="34"/>
      <c r="F838" s="35"/>
      <c r="G838" s="36"/>
      <c r="I838" s="10"/>
      <c r="J838" s="37"/>
      <c r="N838" s="38"/>
      <c r="P838" s="144"/>
      <c r="Q838" s="144"/>
      <c r="R838" s="144"/>
      <c r="S838" s="144"/>
      <c r="T838" s="144"/>
      <c r="U838" s="144"/>
      <c r="V838" s="144"/>
      <c r="W838" s="144"/>
      <c r="X838" s="144"/>
      <c r="Y838" s="144"/>
      <c r="Z838" s="144"/>
      <c r="AC838" s="158"/>
      <c r="AD838" s="158"/>
      <c r="AE838" s="158"/>
      <c r="AF838" s="158"/>
      <c r="AG838" s="158"/>
    </row>
    <row r="839" spans="2:33" x14ac:dyDescent="0.25">
      <c r="B839" t="s">
        <v>134</v>
      </c>
      <c r="L839" s="465" t="str">
        <f>$L$39</f>
        <v>X.002-218-2024(NT)&amp;N.004-116-2024(T)</v>
      </c>
      <c r="M839" s="465"/>
      <c r="N839" s="38"/>
      <c r="P839" s="144"/>
      <c r="Q839" s="144"/>
      <c r="R839" s="144"/>
      <c r="S839" s="144"/>
      <c r="T839" s="144"/>
      <c r="U839" s="144"/>
      <c r="V839" s="144"/>
      <c r="W839" s="144"/>
      <c r="X839" s="144"/>
      <c r="Y839" s="144"/>
      <c r="Z839" s="144"/>
      <c r="AC839" s="158"/>
      <c r="AD839" s="158"/>
      <c r="AE839" s="158"/>
      <c r="AF839" s="158"/>
      <c r="AG839" s="158"/>
    </row>
    <row r="840" spans="2:33" ht="24.75" customHeight="1" x14ac:dyDescent="0.25">
      <c r="B840" s="39" t="s">
        <v>135</v>
      </c>
      <c r="C840" s="40"/>
      <c r="D840" s="41"/>
      <c r="E840" s="427" t="s">
        <v>136</v>
      </c>
      <c r="F840" s="428"/>
      <c r="G840" s="39" t="s">
        <v>137</v>
      </c>
      <c r="H840" s="41"/>
      <c r="I840" s="39" t="s">
        <v>138</v>
      </c>
      <c r="J840" s="41"/>
      <c r="K840" s="42"/>
      <c r="L840" s="465"/>
      <c r="M840" s="465"/>
      <c r="N840" s="38"/>
      <c r="P840" s="144"/>
      <c r="Q840" s="144"/>
      <c r="R840" s="144"/>
      <c r="S840" s="144"/>
      <c r="T840" s="144"/>
      <c r="U840" s="144"/>
      <c r="V840" s="144"/>
      <c r="W840" s="144"/>
      <c r="X840" s="144"/>
      <c r="Y840" s="144"/>
      <c r="Z840" s="144"/>
      <c r="AC840" s="158"/>
      <c r="AD840" s="158"/>
      <c r="AE840" s="158"/>
      <c r="AF840" s="158"/>
      <c r="AG840" s="158"/>
    </row>
    <row r="841" spans="2:33" ht="18" customHeight="1" x14ac:dyDescent="0.25">
      <c r="B841" s="194"/>
      <c r="C841" s="195"/>
      <c r="D841" s="196"/>
      <c r="E841" s="425"/>
      <c r="F841" s="426"/>
      <c r="G841" s="159" t="str">
        <f>K118</f>
        <v/>
      </c>
      <c r="H841" s="44"/>
      <c r="I841" s="197"/>
      <c r="J841" s="198"/>
      <c r="K841" s="45"/>
      <c r="N841" s="38"/>
      <c r="P841" s="144">
        <v>1</v>
      </c>
      <c r="Q841" s="144">
        <v>1</v>
      </c>
      <c r="R841" s="144">
        <v>1</v>
      </c>
      <c r="S841" s="144" t="str">
        <f>VLOOKUP(P841,'WORKINGS MATRIX'!$H$200:$I$351,2,FALSE)</f>
        <v>Year</v>
      </c>
      <c r="T841" s="144">
        <f>Q841-1</f>
        <v>0</v>
      </c>
      <c r="U841" s="144">
        <f>R841-1</f>
        <v>0</v>
      </c>
      <c r="V841" s="144" t="str">
        <f>IF(S841="year","",S841)</f>
        <v/>
      </c>
      <c r="W841" s="144" t="str">
        <f>IF(T841=0,"",T841)</f>
        <v/>
      </c>
      <c r="X841" s="144" t="str">
        <f>IF(U841=0,"",U841)</f>
        <v/>
      </c>
      <c r="Y841" s="144" t="str">
        <f>IF(V841="","",IF(W841="",(V841&amp;"/"&amp;"1"&amp;"/"&amp;"1"),IF(X841="",(V841&amp;"/"&amp;W841&amp;"/"&amp;"1"),(V841&amp;"/"&amp;W841&amp;"/"&amp;X841))))</f>
        <v/>
      </c>
      <c r="Z841" s="144" t="str">
        <f>IF(Y841="//","",Y841)</f>
        <v/>
      </c>
      <c r="AC841" s="158"/>
      <c r="AD841" s="158"/>
      <c r="AE841" s="158"/>
      <c r="AF841" s="158"/>
      <c r="AG841" s="158"/>
    </row>
    <row r="842" spans="2:33" x14ac:dyDescent="0.25">
      <c r="E842" t="str">
        <f>IF(E841="","",IF(LEN(E841)=13,"","ID NUMBER SHOULD BE 13 DIGITS"))</f>
        <v/>
      </c>
      <c r="N842" s="38"/>
      <c r="P842" s="144"/>
      <c r="Q842" s="144"/>
      <c r="R842" s="144"/>
      <c r="S842" s="144"/>
      <c r="T842" s="144"/>
      <c r="U842" s="144"/>
      <c r="V842" s="144"/>
      <c r="W842" s="144"/>
      <c r="X842" s="144"/>
      <c r="Y842" s="144"/>
      <c r="Z842" s="144"/>
      <c r="AC842" s="158"/>
      <c r="AD842" s="158"/>
      <c r="AE842" s="158"/>
      <c r="AF842" s="158"/>
      <c r="AG842" s="158"/>
    </row>
    <row r="843" spans="2:33" x14ac:dyDescent="0.25">
      <c r="G843" s="170" t="str">
        <f>IF(AG846=0,"","DATES BEYOND TENDER CLOSING DATE - PLEASE CHECK")</f>
        <v/>
      </c>
      <c r="N843" s="38"/>
      <c r="P843" s="144"/>
      <c r="Q843" s="144"/>
      <c r="R843" s="144"/>
      <c r="S843" s="144"/>
      <c r="T843" s="144"/>
      <c r="U843" s="144"/>
      <c r="V843" s="144"/>
      <c r="W843" s="144"/>
      <c r="X843" s="144"/>
      <c r="Y843" s="144"/>
      <c r="Z843" s="144"/>
      <c r="AC843" s="158"/>
      <c r="AD843" s="158"/>
      <c r="AE843" s="158"/>
      <c r="AF843" s="158"/>
      <c r="AG843" s="158"/>
    </row>
    <row r="844" spans="2:33" x14ac:dyDescent="0.25">
      <c r="B844" t="s">
        <v>139</v>
      </c>
      <c r="G844" s="170" t="str">
        <f>IF(AE846=0,"","DATES INCORRECT OR INCOMPLETE - PLEASE CHECK")</f>
        <v/>
      </c>
      <c r="N844" s="38"/>
      <c r="P844" s="144"/>
      <c r="Q844" s="144"/>
      <c r="R844" s="144"/>
      <c r="S844" s="144"/>
      <c r="T844" s="144"/>
      <c r="U844" s="144"/>
      <c r="V844" s="144"/>
      <c r="W844" s="144"/>
      <c r="X844" s="144"/>
      <c r="Y844" s="144"/>
      <c r="Z844" s="144"/>
      <c r="AC844" s="158"/>
      <c r="AD844" s="158"/>
      <c r="AE844" s="158"/>
      <c r="AF844" s="158"/>
      <c r="AG844" s="158"/>
    </row>
    <row r="845" spans="2:33" x14ac:dyDescent="0.25">
      <c r="B845" s="15" t="s">
        <v>140</v>
      </c>
      <c r="N845" s="38"/>
      <c r="P845" s="144"/>
      <c r="Q845" s="144"/>
      <c r="R845" s="144"/>
      <c r="S845" s="144"/>
      <c r="T845" s="144"/>
      <c r="U845" s="144"/>
      <c r="V845" s="144"/>
      <c r="W845" s="144"/>
      <c r="X845" s="144"/>
      <c r="Y845" s="144"/>
      <c r="Z845" s="144"/>
      <c r="AC845" s="158"/>
      <c r="AD845" s="158"/>
      <c r="AE845" s="158"/>
      <c r="AF845" s="158"/>
      <c r="AG845" s="158"/>
    </row>
    <row r="846" spans="2:33" ht="66" x14ac:dyDescent="0.25">
      <c r="B846" s="47" t="s">
        <v>141</v>
      </c>
      <c r="C846" s="48" t="s">
        <v>142</v>
      </c>
      <c r="D846" s="44"/>
      <c r="E846" s="470" t="s">
        <v>143</v>
      </c>
      <c r="F846" s="471"/>
      <c r="G846" s="157" t="s">
        <v>144</v>
      </c>
      <c r="H846" s="157" t="s">
        <v>145</v>
      </c>
      <c r="I846" s="385" t="s">
        <v>146</v>
      </c>
      <c r="J846" s="49" t="s">
        <v>147</v>
      </c>
      <c r="K846" s="50" t="s">
        <v>148</v>
      </c>
      <c r="L846" s="385" t="s">
        <v>149</v>
      </c>
      <c r="M846" s="49" t="s">
        <v>150</v>
      </c>
      <c r="N846" s="51"/>
      <c r="O846" s="386"/>
      <c r="P846" s="147"/>
      <c r="Q846" s="144"/>
      <c r="R846" s="144"/>
      <c r="S846" s="145"/>
      <c r="T846" s="145"/>
      <c r="U846" s="145"/>
      <c r="V846" s="145"/>
      <c r="W846" s="145"/>
      <c r="X846" s="145"/>
      <c r="Y846" s="145"/>
      <c r="Z846" s="145"/>
      <c r="AC846" s="165"/>
      <c r="AD846" s="165"/>
      <c r="AE846" s="165">
        <f>SUM(AE847:AE851)</f>
        <v>0</v>
      </c>
      <c r="AF846" s="165"/>
      <c r="AG846" s="165">
        <f>SUM(AG847:AG851)</f>
        <v>0</v>
      </c>
    </row>
    <row r="847" spans="2:33" ht="25.5" customHeight="1" x14ac:dyDescent="0.25">
      <c r="B847" s="200"/>
      <c r="C847" s="53">
        <v>8</v>
      </c>
      <c r="D847" s="54"/>
      <c r="E847" s="55"/>
      <c r="F847" s="55">
        <v>1</v>
      </c>
      <c r="G847" s="143" t="str">
        <f>Z847</f>
        <v/>
      </c>
      <c r="H847" s="143" t="str">
        <f>Z852</f>
        <v/>
      </c>
      <c r="I847" s="202"/>
      <c r="J847" s="203"/>
      <c r="K847" s="56">
        <v>23</v>
      </c>
      <c r="L847" s="204"/>
      <c r="M847" s="205"/>
      <c r="N847" s="164">
        <f>IF(G847="",0,IF(H847="",0,(ROUND(((H847-G847)/30),0))))</f>
        <v>0</v>
      </c>
      <c r="O847" s="21"/>
      <c r="P847" s="148">
        <v>1</v>
      </c>
      <c r="Q847" s="144">
        <v>1</v>
      </c>
      <c r="R847" s="144">
        <v>1</v>
      </c>
      <c r="S847" s="144" t="str">
        <f>VLOOKUP(P847,'WORKINGS MATRIX'!$B$200:$C$351,2,FALSE)</f>
        <v>Year</v>
      </c>
      <c r="T847" s="144">
        <f t="shared" ref="T847:U851" si="74">Q847-1</f>
        <v>0</v>
      </c>
      <c r="U847" s="144">
        <f t="shared" si="74"/>
        <v>0</v>
      </c>
      <c r="V847" s="144" t="str">
        <f t="shared" ref="V847:V856" si="75">IF(S847="year","",S847)</f>
        <v/>
      </c>
      <c r="W847" s="144" t="str">
        <f t="shared" ref="W847:X851" si="76">IF(T847=0,"",T847)</f>
        <v/>
      </c>
      <c r="X847" s="144" t="str">
        <f t="shared" si="76"/>
        <v/>
      </c>
      <c r="Y847" s="144" t="str">
        <f t="shared" ref="Y847:Y856" si="77">IF(V847="","",IF(W847="",(V847&amp;"/"&amp;"1"&amp;"/"&amp;"1"),IF(X847="",(V847&amp;"/"&amp;W847&amp;"/"&amp;"1"),(V847&amp;"/"&amp;W847&amp;"/"&amp;X847))))</f>
        <v/>
      </c>
      <c r="Z847" s="144" t="str">
        <f t="shared" ref="Z847:Z856" si="78">IF(Y847="//","",Y847)</f>
        <v/>
      </c>
      <c r="AC847" s="172">
        <f>IF(B847="",0,1)</f>
        <v>0</v>
      </c>
      <c r="AD847" s="172">
        <f>IF(B847="",0,IF(N847&gt;0,1,IF(N847&lt;0,2,0)))</f>
        <v>0</v>
      </c>
      <c r="AE847" s="172">
        <f>IF(AC847=AD847,0,IF(AC847&gt;AD847,2,1))</f>
        <v>0</v>
      </c>
      <c r="AF847" s="172">
        <f>IF(B847="",0,IF(N847=0,0,H847-$F$125))</f>
        <v>0</v>
      </c>
      <c r="AG847" s="172">
        <f>IF(AF847&gt;0,1,0)</f>
        <v>0</v>
      </c>
    </row>
    <row r="848" spans="2:33" ht="25.5" customHeight="1" x14ac:dyDescent="0.25">
      <c r="B848" s="200"/>
      <c r="C848" s="53">
        <v>8</v>
      </c>
      <c r="D848" s="54"/>
      <c r="E848" s="55"/>
      <c r="F848" s="55">
        <v>1</v>
      </c>
      <c r="G848" s="143" t="str">
        <f>Z848</f>
        <v/>
      </c>
      <c r="H848" s="143" t="str">
        <f>Z853</f>
        <v/>
      </c>
      <c r="I848" s="202"/>
      <c r="J848" s="203"/>
      <c r="K848" s="56">
        <v>23</v>
      </c>
      <c r="L848" s="204"/>
      <c r="M848" s="205"/>
      <c r="N848" s="164">
        <f>IF(G848="",0,IF(H848="",0,(ROUND(((H848-G848)/30),0))))</f>
        <v>0</v>
      </c>
      <c r="O848" s="21"/>
      <c r="P848" s="148">
        <v>1</v>
      </c>
      <c r="Q848" s="144">
        <v>1</v>
      </c>
      <c r="R848" s="144">
        <v>1</v>
      </c>
      <c r="S848" s="144" t="str">
        <f>VLOOKUP(P848,'WORKINGS MATRIX'!$B$200:$C$351,2,FALSE)</f>
        <v>Year</v>
      </c>
      <c r="T848" s="144">
        <f t="shared" si="74"/>
        <v>0</v>
      </c>
      <c r="U848" s="144">
        <f t="shared" si="74"/>
        <v>0</v>
      </c>
      <c r="V848" s="144" t="str">
        <f t="shared" si="75"/>
        <v/>
      </c>
      <c r="W848" s="144" t="str">
        <f t="shared" si="76"/>
        <v/>
      </c>
      <c r="X848" s="144" t="str">
        <f t="shared" si="76"/>
        <v/>
      </c>
      <c r="Y848" s="144" t="str">
        <f t="shared" si="77"/>
        <v/>
      </c>
      <c r="Z848" s="144" t="str">
        <f t="shared" si="78"/>
        <v/>
      </c>
      <c r="AC848" s="172">
        <f>IF(B848="",0,1)</f>
        <v>0</v>
      </c>
      <c r="AD848" s="172">
        <f>IF(B848="",0,IF(N848&gt;0,1,IF(N848&lt;0,2,0)))</f>
        <v>0</v>
      </c>
      <c r="AE848" s="172">
        <f>IF(AC848=AD848,0,IF(AC848&gt;AD848,2,1))</f>
        <v>0</v>
      </c>
      <c r="AF848" s="172">
        <f>IF(B848="",0,IF(N848=0,0,H848-$F$125))</f>
        <v>0</v>
      </c>
      <c r="AG848" s="172">
        <f>IF(AF848&gt;0,1,0)</f>
        <v>0</v>
      </c>
    </row>
    <row r="849" spans="2:33" ht="25.5" customHeight="1" x14ac:dyDescent="0.25">
      <c r="B849" s="200"/>
      <c r="C849" s="53">
        <v>8</v>
      </c>
      <c r="D849" s="54"/>
      <c r="E849" s="55"/>
      <c r="F849" s="55">
        <v>1</v>
      </c>
      <c r="G849" s="143" t="str">
        <f>Z849</f>
        <v/>
      </c>
      <c r="H849" s="143" t="str">
        <f>Z854</f>
        <v/>
      </c>
      <c r="I849" s="202"/>
      <c r="J849" s="203"/>
      <c r="K849" s="56">
        <v>23</v>
      </c>
      <c r="L849" s="204"/>
      <c r="M849" s="205"/>
      <c r="N849" s="164">
        <f>IF(G849="",0,IF(H849="",0,(ROUND(((H849-G849)/30),0))))</f>
        <v>0</v>
      </c>
      <c r="O849" s="21"/>
      <c r="P849" s="148">
        <v>1</v>
      </c>
      <c r="Q849" s="144">
        <v>1</v>
      </c>
      <c r="R849" s="144">
        <v>1</v>
      </c>
      <c r="S849" s="144" t="str">
        <f>VLOOKUP(P849,'WORKINGS MATRIX'!$B$200:$C$351,2,FALSE)</f>
        <v>Year</v>
      </c>
      <c r="T849" s="144">
        <f t="shared" si="74"/>
        <v>0</v>
      </c>
      <c r="U849" s="144">
        <f t="shared" si="74"/>
        <v>0</v>
      </c>
      <c r="V849" s="144" t="str">
        <f t="shared" si="75"/>
        <v/>
      </c>
      <c r="W849" s="144" t="str">
        <f t="shared" si="76"/>
        <v/>
      </c>
      <c r="X849" s="144" t="str">
        <f t="shared" si="76"/>
        <v/>
      </c>
      <c r="Y849" s="144" t="str">
        <f t="shared" si="77"/>
        <v/>
      </c>
      <c r="Z849" s="144" t="str">
        <f t="shared" si="78"/>
        <v/>
      </c>
      <c r="AC849" s="172">
        <f>IF(B849="",0,1)</f>
        <v>0</v>
      </c>
      <c r="AD849" s="172">
        <f>IF(B849="",0,IF(N849&gt;0,1,IF(N849&lt;0,2,0)))</f>
        <v>0</v>
      </c>
      <c r="AE849" s="172">
        <f>IF(AC849=AD849,0,IF(AC849&gt;AD849,2,1))</f>
        <v>0</v>
      </c>
      <c r="AF849" s="172">
        <f>IF(B849="",0,IF(N849=0,0,H849-$F$125))</f>
        <v>0</v>
      </c>
      <c r="AG849" s="172">
        <f>IF(AF849&gt;0,1,0)</f>
        <v>0</v>
      </c>
    </row>
    <row r="850" spans="2:33" ht="25.5" customHeight="1" x14ac:dyDescent="0.25">
      <c r="B850" s="255"/>
      <c r="C850" s="255"/>
      <c r="D850" s="255"/>
      <c r="E850" s="255"/>
      <c r="F850" s="255"/>
      <c r="G850" s="255"/>
      <c r="H850" s="255"/>
      <c r="I850" s="255"/>
      <c r="J850" s="255"/>
      <c r="K850" s="255"/>
      <c r="L850" s="255"/>
      <c r="M850" s="255"/>
      <c r="N850" s="164">
        <f>IF(G850="",0,IF(H850="",0,(ROUND(((H850-G850)/30),0))))</f>
        <v>0</v>
      </c>
      <c r="O850" s="21"/>
      <c r="P850" s="148">
        <v>1</v>
      </c>
      <c r="Q850" s="144">
        <v>1</v>
      </c>
      <c r="R850" s="144">
        <v>1</v>
      </c>
      <c r="S850" s="144" t="str">
        <f>VLOOKUP(P850,'WORKINGS MATRIX'!$B$200:$C$351,2,FALSE)</f>
        <v>Year</v>
      </c>
      <c r="T850" s="144">
        <f t="shared" si="74"/>
        <v>0</v>
      </c>
      <c r="U850" s="144">
        <f t="shared" si="74"/>
        <v>0</v>
      </c>
      <c r="V850" s="144" t="str">
        <f t="shared" si="75"/>
        <v/>
      </c>
      <c r="W850" s="144" t="str">
        <f t="shared" si="76"/>
        <v/>
      </c>
      <c r="X850" s="144" t="str">
        <f t="shared" si="76"/>
        <v/>
      </c>
      <c r="Y850" s="144" t="str">
        <f t="shared" si="77"/>
        <v/>
      </c>
      <c r="Z850" s="144" t="str">
        <f t="shared" si="78"/>
        <v/>
      </c>
      <c r="AC850" s="172">
        <f>IF(B850="",0,1)</f>
        <v>0</v>
      </c>
      <c r="AD850" s="172">
        <f>IF(B850="",0,IF(N850&gt;0,1,IF(N850&lt;0,2,0)))</f>
        <v>0</v>
      </c>
      <c r="AE850" s="172">
        <f>IF(AC850=AD850,0,IF(AC850&gt;AD850,2,1))</f>
        <v>0</v>
      </c>
      <c r="AF850" s="172">
        <f>IF(B850="",0,IF(N850=0,0,H850-$F$125))</f>
        <v>0</v>
      </c>
      <c r="AG850" s="172">
        <f>IF(AF850&gt;0,1,0)</f>
        <v>0</v>
      </c>
    </row>
    <row r="851" spans="2:33" ht="25.5" customHeight="1" x14ac:dyDescent="0.25">
      <c r="B851" s="149"/>
      <c r="C851" s="149"/>
      <c r="D851" s="149"/>
      <c r="E851" s="149"/>
      <c r="F851" s="149"/>
      <c r="G851" s="149"/>
      <c r="H851" s="149"/>
      <c r="I851" s="149"/>
      <c r="J851" s="149"/>
      <c r="K851" s="149"/>
      <c r="L851" s="149"/>
      <c r="M851" s="149"/>
      <c r="N851" s="164">
        <f>IF(G851="",0,IF(H851="",0,(ROUND(((H851-G851)/30),0))))</f>
        <v>0</v>
      </c>
      <c r="O851" s="21"/>
      <c r="P851" s="148">
        <v>1</v>
      </c>
      <c r="Q851" s="144">
        <v>1</v>
      </c>
      <c r="R851" s="144">
        <v>1</v>
      </c>
      <c r="S851" s="144" t="str">
        <f>VLOOKUP(P851,'WORKINGS MATRIX'!$B$200:$C$351,2,FALSE)</f>
        <v>Year</v>
      </c>
      <c r="T851" s="144">
        <f t="shared" si="74"/>
        <v>0</v>
      </c>
      <c r="U851" s="144">
        <f t="shared" si="74"/>
        <v>0</v>
      </c>
      <c r="V851" s="144" t="str">
        <f t="shared" si="75"/>
        <v/>
      </c>
      <c r="W851" s="144" t="str">
        <f t="shared" si="76"/>
        <v/>
      </c>
      <c r="X851" s="144" t="str">
        <f t="shared" si="76"/>
        <v/>
      </c>
      <c r="Y851" s="144" t="str">
        <f t="shared" si="77"/>
        <v/>
      </c>
      <c r="Z851" s="144" t="str">
        <f t="shared" si="78"/>
        <v/>
      </c>
      <c r="AC851" s="172">
        <f>IF(B851="",0,1)</f>
        <v>0</v>
      </c>
      <c r="AD851" s="172">
        <f>IF(B851="",0,IF(N851&gt;0,1,IF(N851&lt;0,2,0)))</f>
        <v>0</v>
      </c>
      <c r="AE851" s="172">
        <f>IF(AC851=AD851,0,IF(AC851&gt;AD851,2,1))</f>
        <v>0</v>
      </c>
      <c r="AF851" s="172">
        <f>IF(B851="",0,IF(N851=0,0,H851-$F$125))</f>
        <v>0</v>
      </c>
      <c r="AG851" s="172">
        <f>IF(AF851&gt;0,1,0)</f>
        <v>0</v>
      </c>
    </row>
    <row r="852" spans="2:33" x14ac:dyDescent="0.25">
      <c r="D852" s="57"/>
      <c r="H852" s="58"/>
      <c r="K852" s="21"/>
      <c r="N852" s="38"/>
      <c r="O852" s="58"/>
      <c r="P852" s="134">
        <v>1</v>
      </c>
      <c r="Q852" s="144">
        <v>1</v>
      </c>
      <c r="R852" s="144">
        <v>1</v>
      </c>
      <c r="S852" s="144" t="str">
        <f>VLOOKUP(P852,'WORKINGS MATRIX'!$B$200:$C$351,2,FALSE)</f>
        <v>Year</v>
      </c>
      <c r="T852" s="144">
        <f t="shared" ref="T852:U856" si="79">Q852-1</f>
        <v>0</v>
      </c>
      <c r="U852" s="144">
        <f t="shared" si="79"/>
        <v>0</v>
      </c>
      <c r="V852" s="144" t="str">
        <f t="shared" si="75"/>
        <v/>
      </c>
      <c r="W852" s="144" t="str">
        <f t="shared" ref="W852:X856" si="80">IF(T852=0,"",T852)</f>
        <v/>
      </c>
      <c r="X852" s="144" t="str">
        <f t="shared" si="80"/>
        <v/>
      </c>
      <c r="Y852" s="144" t="str">
        <f t="shared" si="77"/>
        <v/>
      </c>
      <c r="Z852" s="144" t="str">
        <f t="shared" si="78"/>
        <v/>
      </c>
      <c r="AC852" s="158"/>
      <c r="AD852" s="158"/>
      <c r="AE852" s="158"/>
      <c r="AF852" s="158"/>
      <c r="AG852" s="158"/>
    </row>
    <row r="853" spans="2:33" x14ac:dyDescent="0.25">
      <c r="B853" t="s">
        <v>152</v>
      </c>
      <c r="D853" s="57"/>
      <c r="H853" s="58"/>
      <c r="K853" s="21"/>
      <c r="N853" s="38"/>
      <c r="O853" s="58"/>
      <c r="P853" s="144">
        <v>1</v>
      </c>
      <c r="Q853" s="144">
        <v>1</v>
      </c>
      <c r="R853" s="144">
        <v>1</v>
      </c>
      <c r="S853" s="144" t="str">
        <f>VLOOKUP(P853,'WORKINGS MATRIX'!$B$200:$C$351,2,FALSE)</f>
        <v>Year</v>
      </c>
      <c r="T853" s="144">
        <f t="shared" si="79"/>
        <v>0</v>
      </c>
      <c r="U853" s="144">
        <f t="shared" si="79"/>
        <v>0</v>
      </c>
      <c r="V853" s="144" t="str">
        <f t="shared" si="75"/>
        <v/>
      </c>
      <c r="W853" s="144" t="str">
        <f t="shared" si="80"/>
        <v/>
      </c>
      <c r="X853" s="144" t="str">
        <f t="shared" si="80"/>
        <v/>
      </c>
      <c r="Y853" s="144" t="str">
        <f t="shared" si="77"/>
        <v/>
      </c>
      <c r="Z853" s="144" t="str">
        <f t="shared" si="78"/>
        <v/>
      </c>
      <c r="AC853" s="158"/>
      <c r="AD853" s="158"/>
      <c r="AE853" s="158"/>
      <c r="AF853" s="158"/>
      <c r="AG853" s="158"/>
    </row>
    <row r="854" spans="2:33" x14ac:dyDescent="0.25">
      <c r="B854" s="429"/>
      <c r="C854" s="430"/>
      <c r="D854" s="430"/>
      <c r="E854" s="430"/>
      <c r="F854" s="430"/>
      <c r="G854" s="430"/>
      <c r="H854" s="430"/>
      <c r="I854" s="430"/>
      <c r="J854" s="430"/>
      <c r="K854" s="430"/>
      <c r="L854" s="430"/>
      <c r="M854" s="431"/>
      <c r="N854" s="38"/>
      <c r="O854" s="58"/>
      <c r="P854" s="144">
        <v>1</v>
      </c>
      <c r="Q854" s="144">
        <v>1</v>
      </c>
      <c r="R854" s="144">
        <v>1</v>
      </c>
      <c r="S854" s="144" t="str">
        <f>VLOOKUP(P854,'WORKINGS MATRIX'!$B$200:$C$351,2,FALSE)</f>
        <v>Year</v>
      </c>
      <c r="T854" s="144">
        <f t="shared" si="79"/>
        <v>0</v>
      </c>
      <c r="U854" s="144">
        <f t="shared" si="79"/>
        <v>0</v>
      </c>
      <c r="V854" s="144" t="str">
        <f t="shared" si="75"/>
        <v/>
      </c>
      <c r="W854" s="144" t="str">
        <f t="shared" si="80"/>
        <v/>
      </c>
      <c r="X854" s="144" t="str">
        <f t="shared" si="80"/>
        <v/>
      </c>
      <c r="Y854" s="144" t="str">
        <f t="shared" si="77"/>
        <v/>
      </c>
      <c r="Z854" s="144" t="str">
        <f t="shared" si="78"/>
        <v/>
      </c>
      <c r="AC854" s="158"/>
      <c r="AD854" s="158"/>
      <c r="AE854" s="158"/>
      <c r="AF854" s="158"/>
      <c r="AG854" s="158"/>
    </row>
    <row r="855" spans="2:33" x14ac:dyDescent="0.25">
      <c r="B855" s="432"/>
      <c r="C855" s="433"/>
      <c r="D855" s="433"/>
      <c r="E855" s="433"/>
      <c r="F855" s="433"/>
      <c r="G855" s="433"/>
      <c r="H855" s="433"/>
      <c r="I855" s="433"/>
      <c r="J855" s="433"/>
      <c r="K855" s="433"/>
      <c r="L855" s="433"/>
      <c r="M855" s="434"/>
      <c r="N855" s="38"/>
      <c r="O855" s="58"/>
      <c r="P855" s="144">
        <v>1</v>
      </c>
      <c r="Q855" s="144">
        <v>1</v>
      </c>
      <c r="R855" s="144">
        <v>1</v>
      </c>
      <c r="S855" s="144" t="str">
        <f>VLOOKUP(P855,'WORKINGS MATRIX'!$B$200:$C$351,2,FALSE)</f>
        <v>Year</v>
      </c>
      <c r="T855" s="144">
        <f t="shared" si="79"/>
        <v>0</v>
      </c>
      <c r="U855" s="144">
        <f t="shared" si="79"/>
        <v>0</v>
      </c>
      <c r="V855" s="144" t="str">
        <f t="shared" si="75"/>
        <v/>
      </c>
      <c r="W855" s="144" t="str">
        <f t="shared" si="80"/>
        <v/>
      </c>
      <c r="X855" s="144" t="str">
        <f t="shared" si="80"/>
        <v/>
      </c>
      <c r="Y855" s="144" t="str">
        <f t="shared" si="77"/>
        <v/>
      </c>
      <c r="Z855" s="144" t="str">
        <f t="shared" si="78"/>
        <v/>
      </c>
      <c r="AC855" s="158"/>
      <c r="AD855" s="158"/>
      <c r="AE855" s="158"/>
      <c r="AF855" s="158"/>
      <c r="AG855" s="158"/>
    </row>
    <row r="856" spans="2:33" x14ac:dyDescent="0.25">
      <c r="B856" s="432"/>
      <c r="C856" s="433"/>
      <c r="D856" s="433"/>
      <c r="E856" s="433"/>
      <c r="F856" s="433"/>
      <c r="G856" s="433"/>
      <c r="H856" s="433"/>
      <c r="I856" s="433"/>
      <c r="J856" s="433"/>
      <c r="K856" s="433"/>
      <c r="L856" s="433"/>
      <c r="M856" s="434"/>
      <c r="N856" s="38"/>
      <c r="O856" s="58"/>
      <c r="P856" s="144">
        <v>1</v>
      </c>
      <c r="Q856" s="144">
        <v>1</v>
      </c>
      <c r="R856" s="144">
        <v>1</v>
      </c>
      <c r="S856" s="144" t="str">
        <f>VLOOKUP(P856,'WORKINGS MATRIX'!$B$200:$C$351,2,FALSE)</f>
        <v>Year</v>
      </c>
      <c r="T856" s="144">
        <f t="shared" si="79"/>
        <v>0</v>
      </c>
      <c r="U856" s="144">
        <f t="shared" si="79"/>
        <v>0</v>
      </c>
      <c r="V856" s="144" t="str">
        <f t="shared" si="75"/>
        <v/>
      </c>
      <c r="W856" s="144" t="str">
        <f t="shared" si="80"/>
        <v/>
      </c>
      <c r="X856" s="144" t="str">
        <f t="shared" si="80"/>
        <v/>
      </c>
      <c r="Y856" s="144" t="str">
        <f t="shared" si="77"/>
        <v/>
      </c>
      <c r="Z856" s="144" t="str">
        <f t="shared" si="78"/>
        <v/>
      </c>
      <c r="AC856" s="158"/>
      <c r="AD856" s="158"/>
      <c r="AE856" s="158"/>
      <c r="AF856" s="158"/>
      <c r="AG856" s="158"/>
    </row>
    <row r="857" spans="2:33" x14ac:dyDescent="0.25">
      <c r="B857" s="435"/>
      <c r="C857" s="436"/>
      <c r="D857" s="436"/>
      <c r="E857" s="436"/>
      <c r="F857" s="436"/>
      <c r="G857" s="436"/>
      <c r="H857" s="436"/>
      <c r="I857" s="436"/>
      <c r="J857" s="436"/>
      <c r="K857" s="436"/>
      <c r="L857" s="436"/>
      <c r="M857" s="437"/>
      <c r="N857" s="38"/>
      <c r="O857" s="58"/>
      <c r="P857" s="144"/>
      <c r="Q857" s="144"/>
      <c r="R857" s="144"/>
      <c r="S857" s="144"/>
      <c r="T857" s="144"/>
      <c r="U857" s="144"/>
      <c r="V857" s="144"/>
      <c r="W857" s="144"/>
      <c r="X857" s="144"/>
      <c r="Y857" s="144"/>
      <c r="Z857" s="144"/>
      <c r="AC857" s="158"/>
      <c r="AD857" s="158"/>
      <c r="AE857" s="158"/>
      <c r="AF857" s="158"/>
      <c r="AG857" s="158"/>
    </row>
    <row r="858" spans="2:33" x14ac:dyDescent="0.25">
      <c r="B858" s="15" t="s">
        <v>153</v>
      </c>
      <c r="D858" s="57"/>
      <c r="H858" s="58"/>
      <c r="K858" s="21"/>
      <c r="N858" s="38"/>
      <c r="O858" s="58"/>
      <c r="P858" s="144"/>
      <c r="Q858" s="144"/>
      <c r="R858" s="144"/>
      <c r="S858" s="144"/>
      <c r="T858" s="144"/>
      <c r="U858" s="144"/>
      <c r="V858" s="144"/>
      <c r="W858" s="144"/>
      <c r="X858" s="144"/>
      <c r="Y858" s="144"/>
      <c r="Z858" s="144"/>
      <c r="AC858" s="158"/>
      <c r="AD858" s="158"/>
      <c r="AE858" s="158"/>
      <c r="AF858" s="158"/>
      <c r="AG858" s="158"/>
    </row>
    <row r="859" spans="2:33" x14ac:dyDescent="0.25">
      <c r="B859" s="15" t="s">
        <v>154</v>
      </c>
      <c r="D859" s="57"/>
      <c r="H859" s="58"/>
      <c r="K859" s="21"/>
      <c r="N859" s="38"/>
      <c r="O859" s="58"/>
      <c r="P859" s="144"/>
      <c r="Q859" s="144"/>
      <c r="R859" s="144"/>
      <c r="S859" s="144"/>
      <c r="T859" s="144"/>
      <c r="U859" s="144"/>
      <c r="V859" s="144"/>
      <c r="W859" s="144"/>
      <c r="X859" s="144"/>
      <c r="Y859" s="144"/>
      <c r="Z859" s="144"/>
      <c r="AC859" s="158"/>
      <c r="AD859" s="158"/>
      <c r="AE859" s="158"/>
      <c r="AF859" s="158"/>
      <c r="AG859" s="158"/>
    </row>
    <row r="860" spans="2:33" x14ac:dyDescent="0.25">
      <c r="D860" s="57"/>
      <c r="H860" s="58"/>
      <c r="K860" s="21"/>
      <c r="N860" s="38"/>
      <c r="O860" s="58"/>
      <c r="P860" s="144"/>
      <c r="Q860" s="144"/>
      <c r="R860" s="144"/>
      <c r="S860" s="144"/>
      <c r="T860" s="144"/>
      <c r="U860" s="144"/>
      <c r="V860" s="144"/>
      <c r="W860" s="144"/>
      <c r="X860" s="144"/>
      <c r="Y860" s="144"/>
      <c r="Z860" s="144"/>
      <c r="AC860" s="158"/>
      <c r="AD860" s="158"/>
      <c r="AE860" s="158"/>
      <c r="AF860" s="158"/>
      <c r="AG860" s="158"/>
    </row>
    <row r="861" spans="2:33" x14ac:dyDescent="0.25">
      <c r="D861" s="57"/>
      <c r="E861" s="149"/>
      <c r="F861" s="149"/>
      <c r="G861" s="149"/>
      <c r="H861" s="149"/>
      <c r="I861" s="149"/>
      <c r="K861" s="21"/>
      <c r="N861" s="38"/>
      <c r="O861" s="58"/>
      <c r="P861" s="144"/>
      <c r="Q861" s="144"/>
      <c r="R861" s="144"/>
      <c r="S861" s="144"/>
      <c r="T861" s="144"/>
      <c r="U861" s="144"/>
      <c r="V861" s="144"/>
      <c r="W861" s="144"/>
      <c r="X861" s="144"/>
      <c r="Y861" s="144"/>
      <c r="Z861" s="144"/>
      <c r="AC861" s="158"/>
      <c r="AD861" s="158"/>
      <c r="AE861" s="158"/>
      <c r="AF861" s="158"/>
      <c r="AG861" s="158"/>
    </row>
    <row r="862" spans="2:33" x14ac:dyDescent="0.25">
      <c r="D862" s="57"/>
      <c r="E862" s="149"/>
      <c r="F862" s="149"/>
      <c r="G862" s="149"/>
      <c r="H862" s="149"/>
      <c r="I862" s="149"/>
      <c r="K862" s="438" t="s">
        <v>155</v>
      </c>
      <c r="L862" s="438"/>
      <c r="M862" s="438"/>
      <c r="N862" s="38"/>
      <c r="O862" s="58"/>
      <c r="P862" s="144"/>
      <c r="Q862" s="144"/>
      <c r="R862" s="144"/>
      <c r="S862" s="144"/>
      <c r="T862" s="144"/>
      <c r="U862" s="144"/>
      <c r="V862" s="144"/>
      <c r="W862" s="144"/>
      <c r="X862" s="144"/>
      <c r="Y862" s="144"/>
      <c r="Z862" s="144"/>
      <c r="AC862" s="158"/>
      <c r="AD862" s="158"/>
      <c r="AE862" s="158"/>
      <c r="AF862" s="158"/>
      <c r="AG862" s="158"/>
    </row>
    <row r="863" spans="2:33" x14ac:dyDescent="0.25">
      <c r="D863" s="57"/>
      <c r="H863" s="58"/>
      <c r="K863" s="438"/>
      <c r="L863" s="438"/>
      <c r="M863" s="438"/>
      <c r="N863" s="38"/>
      <c r="O863" s="58"/>
      <c r="P863" s="144"/>
      <c r="Q863" s="144"/>
      <c r="R863" s="144"/>
      <c r="S863" s="144"/>
      <c r="T863" s="144"/>
      <c r="U863" s="144"/>
      <c r="V863" s="144"/>
      <c r="W863" s="144"/>
      <c r="X863" s="144"/>
      <c r="Y863" s="144"/>
      <c r="Z863" s="144"/>
      <c r="AC863" s="158"/>
      <c r="AD863" s="158"/>
      <c r="AE863" s="158"/>
      <c r="AF863" s="158"/>
      <c r="AG863" s="158"/>
    </row>
    <row r="864" spans="2:33" x14ac:dyDescent="0.25">
      <c r="D864" s="57"/>
      <c r="E864" s="149"/>
      <c r="F864" s="149"/>
      <c r="G864" s="149"/>
      <c r="H864" s="149"/>
      <c r="I864" s="149"/>
      <c r="K864" s="438"/>
      <c r="L864" s="438"/>
      <c r="M864" s="438"/>
      <c r="N864" s="38"/>
      <c r="O864" s="58"/>
      <c r="P864" s="144"/>
      <c r="Q864" s="144"/>
      <c r="R864" s="144"/>
      <c r="S864" s="144"/>
      <c r="T864" s="144"/>
      <c r="U864" s="144"/>
      <c r="V864" s="144"/>
      <c r="W864" s="144"/>
      <c r="X864" s="144"/>
      <c r="Y864" s="144"/>
      <c r="Z864" s="144"/>
      <c r="AC864" s="158"/>
      <c r="AD864" s="158"/>
      <c r="AE864" s="158"/>
      <c r="AF864" s="158"/>
      <c r="AG864" s="158"/>
    </row>
    <row r="865" spans="2:26" x14ac:dyDescent="0.25">
      <c r="D865" s="57"/>
      <c r="E865" s="149"/>
      <c r="F865" s="149"/>
      <c r="G865" s="149"/>
      <c r="H865" s="149"/>
      <c r="I865" s="149"/>
      <c r="K865" s="438"/>
      <c r="L865" s="438"/>
      <c r="M865" s="438"/>
      <c r="N865" s="38"/>
      <c r="O865" s="58"/>
      <c r="P865" s="144"/>
      <c r="Q865" s="144"/>
      <c r="R865" s="144"/>
      <c r="S865" s="144"/>
      <c r="T865" s="144"/>
      <c r="U865" s="144"/>
      <c r="V865" s="144"/>
      <c r="W865" s="144"/>
      <c r="X865" s="144"/>
      <c r="Y865" s="144"/>
      <c r="Z865" s="144"/>
    </row>
    <row r="866" spans="2:26" ht="13.8" thickBot="1" x14ac:dyDescent="0.3">
      <c r="B866" s="60"/>
      <c r="C866" s="60"/>
      <c r="D866" s="61"/>
      <c r="E866" s="60"/>
      <c r="F866" s="60"/>
      <c r="G866" s="60"/>
      <c r="H866" s="62"/>
      <c r="I866" s="60"/>
      <c r="J866" s="60"/>
      <c r="K866" s="63"/>
      <c r="L866" s="60"/>
      <c r="M866" s="60"/>
      <c r="N866" s="64"/>
      <c r="O866" s="58"/>
      <c r="P866" s="144"/>
      <c r="Q866" s="144"/>
      <c r="R866" s="144"/>
      <c r="S866" s="144"/>
      <c r="T866" s="144"/>
      <c r="U866" s="144"/>
      <c r="V866" s="144"/>
      <c r="W866" s="144"/>
      <c r="X866" s="144"/>
      <c r="Y866" s="144"/>
      <c r="Z866" s="144"/>
    </row>
    <row r="867" spans="2:26" ht="14.4" thickTop="1" thickBot="1" x14ac:dyDescent="0.3">
      <c r="D867" s="57"/>
      <c r="H867" s="58"/>
      <c r="K867" s="21"/>
      <c r="O867" s="58"/>
      <c r="P867" s="144"/>
      <c r="Q867" s="144"/>
      <c r="R867" s="144"/>
      <c r="S867" s="144"/>
      <c r="T867" s="144"/>
      <c r="U867" s="144"/>
      <c r="V867" s="144"/>
      <c r="W867" s="144"/>
      <c r="X867" s="144"/>
      <c r="Y867" s="144"/>
      <c r="Z867" s="144"/>
    </row>
    <row r="868" spans="2:26" ht="13.8" thickTop="1" x14ac:dyDescent="0.25">
      <c r="B868" s="27" t="s">
        <v>156</v>
      </c>
      <c r="C868" s="29"/>
      <c r="D868" s="28"/>
      <c r="E868" s="65"/>
      <c r="F868" s="65"/>
      <c r="G868" s="65"/>
      <c r="H868" s="28"/>
      <c r="I868" s="28"/>
      <c r="J868" s="28"/>
      <c r="K868" s="28"/>
      <c r="L868" s="31" t="s">
        <v>157</v>
      </c>
      <c r="M868" s="28"/>
      <c r="N868" s="32"/>
      <c r="P868" s="144"/>
      <c r="Q868" s="144"/>
      <c r="R868" s="144"/>
      <c r="S868" s="144"/>
      <c r="T868" s="144"/>
      <c r="U868" s="144"/>
      <c r="V868" s="144"/>
      <c r="W868" s="144"/>
      <c r="X868" s="144"/>
      <c r="Y868" s="144"/>
      <c r="Z868" s="144"/>
    </row>
    <row r="869" spans="2:26" x14ac:dyDescent="0.25">
      <c r="E869" s="134">
        <v>5</v>
      </c>
      <c r="F869" s="12"/>
      <c r="N869" s="38"/>
      <c r="P869" s="144"/>
      <c r="Q869" s="144"/>
      <c r="R869" s="144"/>
      <c r="S869" s="144"/>
      <c r="T869" s="144"/>
      <c r="U869" s="144"/>
      <c r="V869" s="144"/>
      <c r="W869" s="144"/>
      <c r="X869" s="144"/>
      <c r="Y869" s="144"/>
      <c r="Z869" s="144"/>
    </row>
    <row r="870" spans="2:26" x14ac:dyDescent="0.25">
      <c r="B870" t="s">
        <v>134</v>
      </c>
      <c r="L870" s="465" t="str">
        <f>$L$39</f>
        <v>X.002-218-2024(NT)&amp;N.004-116-2024(T)</v>
      </c>
      <c r="M870" s="465"/>
      <c r="N870" s="38"/>
      <c r="P870" s="144"/>
      <c r="Q870" s="144"/>
      <c r="R870" s="144"/>
      <c r="S870" s="144"/>
      <c r="T870" s="144"/>
      <c r="U870" s="144"/>
      <c r="V870" s="144"/>
      <c r="W870" s="144"/>
      <c r="X870" s="144"/>
      <c r="Y870" s="144"/>
      <c r="Z870" s="144"/>
    </row>
    <row r="871" spans="2:26" x14ac:dyDescent="0.25">
      <c r="B871" s="39" t="s">
        <v>135</v>
      </c>
      <c r="C871" s="40"/>
      <c r="D871" s="41"/>
      <c r="E871" s="448" t="s">
        <v>158</v>
      </c>
      <c r="F871" s="449"/>
      <c r="G871" s="466" t="s">
        <v>159</v>
      </c>
      <c r="H871" s="449"/>
      <c r="L871" s="465"/>
      <c r="M871" s="465"/>
      <c r="N871" s="38"/>
      <c r="P871" s="144"/>
      <c r="Q871" s="144"/>
      <c r="R871" s="144"/>
      <c r="S871" s="144"/>
      <c r="T871" s="144"/>
      <c r="U871" s="144"/>
      <c r="V871" s="144"/>
      <c r="W871" s="144"/>
      <c r="X871" s="144"/>
      <c r="Y871" s="144"/>
      <c r="Z871" s="144"/>
    </row>
    <row r="872" spans="2:26" ht="18" customHeight="1" x14ac:dyDescent="0.25">
      <c r="B872" s="66">
        <f>B841</f>
        <v>0</v>
      </c>
      <c r="C872" s="67"/>
      <c r="D872" s="68"/>
      <c r="E872" s="441" t="str">
        <f>G841</f>
        <v/>
      </c>
      <c r="F872" s="441"/>
      <c r="G872" s="42"/>
      <c r="H872" s="12">
        <v>1</v>
      </c>
      <c r="N872" s="38"/>
      <c r="P872" s="144"/>
      <c r="Q872" s="144"/>
      <c r="R872" s="144"/>
      <c r="S872" s="144"/>
      <c r="T872" s="144"/>
      <c r="U872" s="144"/>
      <c r="V872" s="144"/>
      <c r="W872" s="144"/>
      <c r="X872" s="144"/>
      <c r="Y872" s="144"/>
      <c r="Z872" s="144"/>
    </row>
    <row r="873" spans="2:26" x14ac:dyDescent="0.25">
      <c r="N873" s="38"/>
      <c r="P873" s="144"/>
      <c r="Q873" s="144"/>
      <c r="R873" s="144"/>
      <c r="S873" s="144"/>
      <c r="T873" s="144"/>
      <c r="U873" s="144"/>
      <c r="V873" s="144"/>
      <c r="W873" s="144"/>
      <c r="X873" s="144"/>
      <c r="Y873" s="144"/>
      <c r="Z873" s="144"/>
    </row>
    <row r="874" spans="2:26" x14ac:dyDescent="0.25">
      <c r="B874" t="s">
        <v>161</v>
      </c>
      <c r="N874" s="38"/>
      <c r="P874" s="144"/>
      <c r="Q874" s="144"/>
      <c r="R874" s="144"/>
      <c r="S874" s="144"/>
      <c r="T874" s="144"/>
      <c r="U874" s="144"/>
      <c r="V874" s="144"/>
      <c r="W874" s="144"/>
      <c r="X874" s="144"/>
      <c r="Y874" s="144"/>
      <c r="Z874" s="144"/>
    </row>
    <row r="875" spans="2:26" ht="18" customHeight="1" x14ac:dyDescent="0.25">
      <c r="B875" s="468" t="s">
        <v>162</v>
      </c>
      <c r="C875" s="468"/>
      <c r="D875" s="469" t="s">
        <v>163</v>
      </c>
      <c r="E875" s="469"/>
      <c r="F875" s="461" t="s">
        <v>164</v>
      </c>
      <c r="G875" s="462"/>
      <c r="H875" s="467" t="s">
        <v>165</v>
      </c>
      <c r="I875" s="462"/>
      <c r="J875" s="467" t="s">
        <v>165</v>
      </c>
      <c r="K875" s="462"/>
      <c r="L875" s="125" t="s">
        <v>166</v>
      </c>
      <c r="M875" s="125" t="s">
        <v>167</v>
      </c>
      <c r="N875" s="38"/>
      <c r="P875" s="144">
        <v>1</v>
      </c>
      <c r="Q875" s="144">
        <v>1</v>
      </c>
      <c r="R875" s="144">
        <v>1</v>
      </c>
      <c r="S875" s="144" t="str">
        <f>VLOOKUP(P875,'WORKINGS MATRIX'!$B$200:$C$351,2,FALSE)</f>
        <v>Year</v>
      </c>
      <c r="T875" s="144">
        <f t="shared" ref="T875:U879" si="81">Q875-1</f>
        <v>0</v>
      </c>
      <c r="U875" s="144">
        <f t="shared" si="81"/>
        <v>0</v>
      </c>
      <c r="V875" s="144" t="str">
        <f>IF(S875="year","",S875)</f>
        <v/>
      </c>
      <c r="W875" s="144" t="str">
        <f t="shared" ref="W875:X879" si="82">IF(T875=0,"",T875)</f>
        <v/>
      </c>
      <c r="X875" s="144" t="str">
        <f t="shared" si="82"/>
        <v/>
      </c>
      <c r="Y875" s="144" t="str">
        <f>IF(V875="","",IF(W875="",(V875&amp;"/"&amp;"12"&amp;"/"&amp;"1"),IF(X875="",(V875&amp;"/"&amp;W875&amp;"/"&amp;"1"),(V875&amp;"/"&amp;W875&amp;"/"&amp;X875))))</f>
        <v/>
      </c>
      <c r="Z875" s="144" t="str">
        <f>IF(Y875="//","",Y875)</f>
        <v/>
      </c>
    </row>
    <row r="876" spans="2:26" ht="18" customHeight="1" x14ac:dyDescent="0.25">
      <c r="B876" s="441" t="s">
        <v>168</v>
      </c>
      <c r="C876" s="441"/>
      <c r="D876" s="439">
        <v>10</v>
      </c>
      <c r="E876" s="440"/>
      <c r="F876" s="442"/>
      <c r="G876" s="443"/>
      <c r="H876" s="463">
        <v>1</v>
      </c>
      <c r="I876" s="464"/>
      <c r="J876" s="450"/>
      <c r="K876" s="443"/>
      <c r="L876" s="206"/>
      <c r="M876" s="143" t="str">
        <f>Z875</f>
        <v/>
      </c>
      <c r="N876" s="38"/>
      <c r="P876" s="144">
        <v>1</v>
      </c>
      <c r="Q876" s="144">
        <v>1</v>
      </c>
      <c r="R876" s="144">
        <v>1</v>
      </c>
      <c r="S876" s="144" t="str">
        <f>VLOOKUP(P876,'WORKINGS MATRIX'!$B$200:$C$351,2,FALSE)</f>
        <v>Year</v>
      </c>
      <c r="T876" s="144">
        <f t="shared" si="81"/>
        <v>0</v>
      </c>
      <c r="U876" s="144">
        <f t="shared" si="81"/>
        <v>0</v>
      </c>
      <c r="V876" s="144" t="str">
        <f>IF(S876="year","",S876)</f>
        <v/>
      </c>
      <c r="W876" s="144" t="str">
        <f t="shared" si="82"/>
        <v/>
      </c>
      <c r="X876" s="144" t="str">
        <f t="shared" si="82"/>
        <v/>
      </c>
      <c r="Y876" s="144" t="str">
        <f>IF(V876="","",IF(W876="",(V876&amp;"/"&amp;"12"&amp;"/"&amp;"1"),IF(X876="",(V876&amp;"/"&amp;W876&amp;"/"&amp;"1"),(V876&amp;"/"&amp;W876&amp;"/"&amp;X876))))</f>
        <v/>
      </c>
      <c r="Z876" s="144" t="str">
        <f>IF(Y876="//","",Y876)</f>
        <v/>
      </c>
    </row>
    <row r="877" spans="2:26" ht="18" customHeight="1" x14ac:dyDescent="0.25">
      <c r="B877" s="441" t="s">
        <v>169</v>
      </c>
      <c r="C877" s="441"/>
      <c r="D877" s="442"/>
      <c r="E877" s="443"/>
      <c r="F877" s="442"/>
      <c r="G877" s="443"/>
      <c r="H877" s="451" t="s">
        <v>170</v>
      </c>
      <c r="I877" s="452"/>
      <c r="J877" s="451" t="s">
        <v>171</v>
      </c>
      <c r="K877" s="452"/>
      <c r="L877" s="125" t="s">
        <v>166</v>
      </c>
      <c r="M877" s="125" t="s">
        <v>167</v>
      </c>
      <c r="N877" s="38"/>
      <c r="P877" s="144">
        <v>1</v>
      </c>
      <c r="Q877" s="144">
        <v>1</v>
      </c>
      <c r="R877" s="144">
        <v>1</v>
      </c>
      <c r="S877" s="144" t="str">
        <f>VLOOKUP(P877,'WORKINGS MATRIX'!$B$200:$C$351,2,FALSE)</f>
        <v>Year</v>
      </c>
      <c r="T877" s="144">
        <f t="shared" si="81"/>
        <v>0</v>
      </c>
      <c r="U877" s="144">
        <f t="shared" si="81"/>
        <v>0</v>
      </c>
      <c r="V877" s="144" t="str">
        <f>IF(S877="year","",S877)</f>
        <v/>
      </c>
      <c r="W877" s="144" t="str">
        <f t="shared" si="82"/>
        <v/>
      </c>
      <c r="X877" s="144" t="str">
        <f t="shared" si="82"/>
        <v/>
      </c>
      <c r="Y877" s="144" t="str">
        <f>IF(V877="","",IF(W877="",(V877&amp;"/"&amp;"1"&amp;"/"&amp;"1"),IF(X877="",(V877&amp;"/"&amp;W877&amp;"/"&amp;"1"),(V877&amp;"/"&amp;W877&amp;"/"&amp;X877))))</f>
        <v/>
      </c>
      <c r="Z877" s="144" t="str">
        <f>IF(Y877="//","",Y877)</f>
        <v/>
      </c>
    </row>
    <row r="878" spans="2:26" ht="18" customHeight="1" x14ac:dyDescent="0.25">
      <c r="B878" s="441" t="s">
        <v>172</v>
      </c>
      <c r="C878" s="441"/>
      <c r="D878" s="444" t="str">
        <f>Z877</f>
        <v/>
      </c>
      <c r="E878" s="445"/>
      <c r="F878" s="444" t="str">
        <f>Z878</f>
        <v/>
      </c>
      <c r="G878" s="445"/>
      <c r="H878" s="446">
        <v>1</v>
      </c>
      <c r="I878" s="447"/>
      <c r="J878" s="450"/>
      <c r="K878" s="443"/>
      <c r="L878" s="206"/>
      <c r="M878" s="143" t="str">
        <f>Z876</f>
        <v/>
      </c>
      <c r="N878" s="38"/>
      <c r="P878" s="144">
        <v>1</v>
      </c>
      <c r="Q878" s="144">
        <v>1</v>
      </c>
      <c r="R878" s="144">
        <v>1</v>
      </c>
      <c r="S878" s="144" t="str">
        <f>VLOOKUP(P878,'WORKINGS MATRIX'!$B$200:$C$351,2,FALSE)</f>
        <v>Year</v>
      </c>
      <c r="T878" s="144">
        <f t="shared" si="81"/>
        <v>0</v>
      </c>
      <c r="U878" s="144">
        <f t="shared" si="81"/>
        <v>0</v>
      </c>
      <c r="V878" s="144" t="str">
        <f>IF(S878="year","",S878)</f>
        <v/>
      </c>
      <c r="W878" s="144" t="str">
        <f t="shared" si="82"/>
        <v/>
      </c>
      <c r="X878" s="144" t="str">
        <f t="shared" si="82"/>
        <v/>
      </c>
      <c r="Y878" s="144" t="str">
        <f>IF(V878="","",IF(W878="",(V878&amp;"/"&amp;"1"&amp;"/"&amp;"1"),IF(X878="",(V878&amp;"/"&amp;W878&amp;"/"&amp;"1"),(V878&amp;"/"&amp;W878&amp;"/"&amp;X878))))</f>
        <v/>
      </c>
      <c r="Z878" s="144" t="str">
        <f>IF(Y878="//","",Y878)</f>
        <v/>
      </c>
    </row>
    <row r="879" spans="2:26" x14ac:dyDescent="0.25">
      <c r="N879" s="38"/>
      <c r="P879" s="144">
        <v>1</v>
      </c>
      <c r="Q879" s="144">
        <v>1</v>
      </c>
      <c r="R879" s="144">
        <v>1</v>
      </c>
      <c r="S879" s="144" t="str">
        <f>VLOOKUP(P879,'WORKINGS MATRIX'!$B$200:$C$351,2,FALSE)</f>
        <v>Year</v>
      </c>
      <c r="T879" s="144">
        <f t="shared" si="81"/>
        <v>0</v>
      </c>
      <c r="U879" s="144">
        <f t="shared" si="81"/>
        <v>0</v>
      </c>
      <c r="V879" s="144" t="str">
        <f>IF(S879="year","",S879)</f>
        <v/>
      </c>
      <c r="W879" s="144" t="str">
        <f t="shared" si="82"/>
        <v/>
      </c>
      <c r="X879" s="144" t="str">
        <f t="shared" si="82"/>
        <v/>
      </c>
      <c r="Y879" s="144" t="str">
        <f>IF(V879="","",IF(W879="",(V879&amp;"/"&amp;"1"&amp;"/"&amp;"1"),IF(X879="",(V879&amp;"/"&amp;W879&amp;"/"&amp;"1"),(V879&amp;"/"&amp;W879&amp;"/"&amp;X879))))</f>
        <v/>
      </c>
      <c r="Z879" s="144" t="str">
        <f>IF(Y879="//","",Y879)</f>
        <v/>
      </c>
    </row>
    <row r="888" spans="2:13" x14ac:dyDescent="0.25">
      <c r="B888" t="s">
        <v>152</v>
      </c>
      <c r="D888" s="57"/>
      <c r="H888" s="58"/>
      <c r="K888" s="21"/>
    </row>
    <row r="889" spans="2:13" x14ac:dyDescent="0.25">
      <c r="B889" s="429"/>
      <c r="C889" s="430"/>
      <c r="D889" s="430"/>
      <c r="E889" s="430"/>
      <c r="F889" s="430"/>
      <c r="G889" s="430"/>
      <c r="H889" s="430"/>
      <c r="I889" s="430"/>
      <c r="J889" s="430"/>
      <c r="K889" s="430"/>
      <c r="L889" s="430"/>
      <c r="M889" s="431"/>
    </row>
    <row r="890" spans="2:13" x14ac:dyDescent="0.25">
      <c r="B890" s="432"/>
      <c r="C890" s="433"/>
      <c r="D890" s="433"/>
      <c r="E890" s="433"/>
      <c r="F890" s="433"/>
      <c r="G890" s="433"/>
      <c r="H890" s="433"/>
      <c r="I890" s="433"/>
      <c r="J890" s="433"/>
      <c r="K890" s="433"/>
      <c r="L890" s="433"/>
      <c r="M890" s="434"/>
    </row>
    <row r="891" spans="2:13" x14ac:dyDescent="0.25">
      <c r="B891" s="432"/>
      <c r="C891" s="433"/>
      <c r="D891" s="433"/>
      <c r="E891" s="433"/>
      <c r="F891" s="433"/>
      <c r="G891" s="433"/>
      <c r="H891" s="433"/>
      <c r="I891" s="433"/>
      <c r="J891" s="433"/>
      <c r="K891" s="433"/>
      <c r="L891" s="433"/>
      <c r="M891" s="434"/>
    </row>
    <row r="892" spans="2:13" x14ac:dyDescent="0.25">
      <c r="B892" s="435"/>
      <c r="C892" s="436"/>
      <c r="D892" s="436"/>
      <c r="E892" s="436"/>
      <c r="F892" s="436"/>
      <c r="G892" s="436"/>
      <c r="H892" s="436"/>
      <c r="I892" s="436"/>
      <c r="J892" s="436"/>
      <c r="K892" s="436"/>
      <c r="L892" s="436"/>
      <c r="M892" s="437"/>
    </row>
    <row r="897" spans="2:13" x14ac:dyDescent="0.25">
      <c r="D897" s="57"/>
      <c r="E897" s="149"/>
      <c r="F897" s="149"/>
      <c r="G897" s="149"/>
      <c r="H897" s="149"/>
      <c r="I897" s="149"/>
      <c r="K897" s="438" t="s">
        <v>155</v>
      </c>
      <c r="L897" s="438"/>
      <c r="M897" s="438"/>
    </row>
    <row r="898" spans="2:13" x14ac:dyDescent="0.25">
      <c r="D898" s="57"/>
      <c r="H898" s="58"/>
      <c r="K898" s="438"/>
      <c r="L898" s="438"/>
      <c r="M898" s="438"/>
    </row>
    <row r="899" spans="2:13" x14ac:dyDescent="0.25">
      <c r="D899" s="57"/>
      <c r="E899" s="149"/>
      <c r="F899" s="149"/>
      <c r="G899" s="149"/>
      <c r="H899" s="149"/>
      <c r="I899" s="149"/>
      <c r="K899" s="438"/>
      <c r="L899" s="438"/>
      <c r="M899" s="438"/>
    </row>
    <row r="900" spans="2:13" x14ac:dyDescent="0.25">
      <c r="D900" s="57"/>
      <c r="E900" s="149"/>
      <c r="F900" s="149"/>
      <c r="G900" s="149"/>
      <c r="H900" s="149"/>
      <c r="I900" s="149"/>
      <c r="K900" s="438"/>
      <c r="L900" s="438"/>
      <c r="M900" s="438"/>
    </row>
    <row r="901" spans="2:13" ht="13.8" thickBot="1" x14ac:dyDescent="0.3">
      <c r="B901" s="60"/>
      <c r="C901" s="60"/>
      <c r="D901" s="60"/>
      <c r="E901" s="60"/>
      <c r="F901" s="60"/>
      <c r="G901" s="60"/>
      <c r="H901" s="60"/>
      <c r="I901" s="60"/>
      <c r="J901" s="60"/>
      <c r="K901" s="60"/>
      <c r="L901" s="60"/>
      <c r="M901" s="60"/>
    </row>
    <row r="902" spans="2:13" ht="13.8" thickTop="1" x14ac:dyDescent="0.25"/>
    <row r="903" spans="2:13" x14ac:dyDescent="0.25">
      <c r="B903" s="24" t="s">
        <v>128</v>
      </c>
    </row>
    <row r="936" spans="2:26" ht="13.8" thickBot="1" x14ac:dyDescent="0.3">
      <c r="B936">
        <f>$D$1</f>
        <v>0</v>
      </c>
      <c r="C936" s="73" t="s">
        <v>128</v>
      </c>
      <c r="D936" s="25" t="s">
        <v>129</v>
      </c>
      <c r="P936" s="144"/>
      <c r="Q936" s="144"/>
      <c r="R936" s="144"/>
      <c r="S936" s="144"/>
      <c r="T936" s="144"/>
      <c r="U936" s="144"/>
      <c r="V936" s="144"/>
      <c r="W936" s="144"/>
      <c r="X936" s="144"/>
      <c r="Y936" s="144"/>
      <c r="Z936" s="144"/>
    </row>
    <row r="937" spans="2:26" ht="13.8" thickTop="1" x14ac:dyDescent="0.25">
      <c r="B937" s="27" t="s">
        <v>131</v>
      </c>
      <c r="C937" s="28"/>
      <c r="D937" s="29" t="s">
        <v>132</v>
      </c>
      <c r="E937" s="27" t="str">
        <f>J119</f>
        <v/>
      </c>
      <c r="F937" s="30" t="str">
        <f>IF(L119=0,"NOT REQUIRED", IF(L119="Man","MANAGERIAL POSITION","NON-MANAGERIAL POSITION"))</f>
        <v>NON-MANAGERIAL POSITION</v>
      </c>
      <c r="G937" s="28"/>
      <c r="H937" s="28"/>
      <c r="I937" s="31"/>
      <c r="J937" s="27"/>
      <c r="K937" s="28"/>
      <c r="L937" s="31" t="s">
        <v>133</v>
      </c>
      <c r="M937" s="28"/>
      <c r="N937" s="32"/>
      <c r="P937" s="144"/>
      <c r="Q937" s="144"/>
      <c r="R937" s="144"/>
      <c r="S937" s="144"/>
      <c r="T937" s="144"/>
      <c r="U937" s="144"/>
      <c r="V937" s="144"/>
      <c r="W937" s="144"/>
      <c r="X937" s="144"/>
      <c r="Y937" s="144"/>
      <c r="Z937" s="144"/>
    </row>
    <row r="938" spans="2:26" x14ac:dyDescent="0.25">
      <c r="E938" s="34"/>
      <c r="F938" s="35"/>
      <c r="G938" s="36"/>
      <c r="I938" s="10"/>
      <c r="J938" s="37"/>
      <c r="N938" s="38"/>
      <c r="P938" s="144"/>
      <c r="Q938" s="144"/>
      <c r="R938" s="144"/>
      <c r="S938" s="144"/>
      <c r="T938" s="144"/>
      <c r="U938" s="144"/>
      <c r="V938" s="144"/>
      <c r="W938" s="144"/>
      <c r="X938" s="144"/>
      <c r="Y938" s="144"/>
      <c r="Z938" s="144"/>
    </row>
    <row r="939" spans="2:26" x14ac:dyDescent="0.25">
      <c r="B939" t="s">
        <v>134</v>
      </c>
      <c r="L939" s="465" t="str">
        <f>$L$39</f>
        <v>X.002-218-2024(NT)&amp;N.004-116-2024(T)</v>
      </c>
      <c r="M939" s="465"/>
      <c r="N939" s="38"/>
      <c r="P939" s="144"/>
      <c r="Q939" s="144"/>
      <c r="R939" s="144"/>
      <c r="S939" s="144"/>
      <c r="T939" s="144"/>
      <c r="U939" s="144"/>
      <c r="V939" s="144"/>
      <c r="W939" s="144"/>
      <c r="X939" s="144"/>
      <c r="Y939" s="144"/>
      <c r="Z939" s="144"/>
    </row>
    <row r="940" spans="2:26" ht="24.75" customHeight="1" x14ac:dyDescent="0.25">
      <c r="B940" s="39" t="s">
        <v>135</v>
      </c>
      <c r="C940" s="40"/>
      <c r="D940" s="41"/>
      <c r="E940" s="427" t="s">
        <v>136</v>
      </c>
      <c r="F940" s="428"/>
      <c r="G940" s="39" t="s">
        <v>137</v>
      </c>
      <c r="H940" s="41"/>
      <c r="I940" s="39" t="s">
        <v>138</v>
      </c>
      <c r="J940" s="40"/>
      <c r="K940" s="41"/>
      <c r="L940" s="465"/>
      <c r="M940" s="465"/>
      <c r="N940" s="38"/>
      <c r="P940" s="144"/>
      <c r="Q940" s="144"/>
      <c r="R940" s="144"/>
      <c r="S940" s="144"/>
      <c r="T940" s="144"/>
      <c r="U940" s="144"/>
      <c r="V940" s="144"/>
      <c r="W940" s="144"/>
      <c r="X940" s="144"/>
      <c r="Y940" s="144"/>
      <c r="Z940" s="144"/>
    </row>
    <row r="941" spans="2:26" ht="18" customHeight="1" x14ac:dyDescent="0.25">
      <c r="B941" s="194"/>
      <c r="C941" s="195"/>
      <c r="D941" s="196"/>
      <c r="E941" s="425"/>
      <c r="F941" s="426"/>
      <c r="G941" s="43" t="str">
        <f>K119</f>
        <v/>
      </c>
      <c r="H941" s="44"/>
      <c r="I941" s="187"/>
      <c r="J941" s="186"/>
      <c r="K941" s="188"/>
      <c r="N941" s="38"/>
      <c r="P941" s="144">
        <v>1</v>
      </c>
      <c r="Q941" s="144">
        <v>1</v>
      </c>
      <c r="R941" s="144">
        <v>1</v>
      </c>
      <c r="S941" s="144" t="str">
        <f>VLOOKUP(P941,'WORKINGS MATRIX'!$H$200:$I$351,2,FALSE)</f>
        <v>Year</v>
      </c>
      <c r="T941" s="144">
        <f>Q941-1</f>
        <v>0</v>
      </c>
      <c r="U941" s="144">
        <f>R941-1</f>
        <v>0</v>
      </c>
      <c r="V941" s="144" t="str">
        <f>IF(S941="year","",S941)</f>
        <v/>
      </c>
      <c r="W941" s="144" t="str">
        <f>IF(T941=0,"",T941)</f>
        <v/>
      </c>
      <c r="X941" s="144" t="str">
        <f>IF(U941=0,"",U941)</f>
        <v/>
      </c>
      <c r="Y941" s="144" t="str">
        <f>IF(V941="","",IF(W941="",(V941&amp;"/"&amp;"1"&amp;"/"&amp;"1"),IF(X941="",(V941&amp;"/"&amp;W941&amp;"/"&amp;"1"),(V941&amp;"/"&amp;W941&amp;"/"&amp;X941))))</f>
        <v/>
      </c>
      <c r="Z941" s="144" t="str">
        <f>IF(Y941="//","",Y941)</f>
        <v/>
      </c>
    </row>
    <row r="942" spans="2:26" x14ac:dyDescent="0.25">
      <c r="E942" t="str">
        <f>IF(E941="","",IF(LEN(E941)=13,"","ID NUMBER SHOULD BE 13 DIGITS"))</f>
        <v/>
      </c>
      <c r="N942" s="38"/>
      <c r="P942" s="144"/>
      <c r="Q942" s="144"/>
      <c r="R942" s="144"/>
      <c r="S942" s="144"/>
      <c r="T942" s="144"/>
      <c r="U942" s="144"/>
      <c r="V942" s="144"/>
      <c r="W942" s="144"/>
      <c r="X942" s="144"/>
      <c r="Y942" s="144"/>
      <c r="Z942" s="144"/>
    </row>
    <row r="943" spans="2:26" x14ac:dyDescent="0.25">
      <c r="G943" s="170" t="str">
        <f>IF(AG946=0,"","DATES BEYOND TENDER CLOSING DATE - PLEASE CHECK")</f>
        <v/>
      </c>
      <c r="N943" s="38"/>
      <c r="P943" s="144"/>
      <c r="Q943" s="144"/>
      <c r="R943" s="144"/>
      <c r="S943" s="144"/>
      <c r="T943" s="144"/>
      <c r="U943" s="144"/>
      <c r="V943" s="144"/>
      <c r="W943" s="144"/>
      <c r="X943" s="144"/>
      <c r="Y943" s="144"/>
      <c r="Z943" s="144"/>
    </row>
    <row r="944" spans="2:26" x14ac:dyDescent="0.25">
      <c r="B944" t="s">
        <v>139</v>
      </c>
      <c r="G944" s="170" t="str">
        <f>IF(AE946=0,"","DATES INCORRECT OR INCOMPLETE - PLEASE CHECK")</f>
        <v/>
      </c>
      <c r="N944" s="38"/>
      <c r="P944" s="144"/>
      <c r="Q944" s="144"/>
      <c r="R944" s="144"/>
      <c r="S944" s="144"/>
      <c r="T944" s="144"/>
      <c r="U944" s="144"/>
      <c r="V944" s="144"/>
      <c r="W944" s="144"/>
      <c r="X944" s="144"/>
      <c r="Y944" s="144"/>
      <c r="Z944" s="144"/>
    </row>
    <row r="945" spans="2:33" x14ac:dyDescent="0.25">
      <c r="B945" s="15" t="s">
        <v>140</v>
      </c>
      <c r="N945" s="38"/>
      <c r="P945" s="144"/>
      <c r="Q945" s="144"/>
      <c r="R945" s="144"/>
      <c r="S945" s="144"/>
      <c r="T945" s="144"/>
      <c r="U945" s="144"/>
      <c r="V945" s="144"/>
      <c r="W945" s="144"/>
      <c r="X945" s="144"/>
      <c r="Y945" s="144"/>
      <c r="Z945" s="144"/>
      <c r="AC945" s="158"/>
      <c r="AD945" s="158"/>
      <c r="AE945" s="158"/>
      <c r="AF945" s="158"/>
      <c r="AG945" s="158"/>
    </row>
    <row r="946" spans="2:33" ht="66" x14ac:dyDescent="0.25">
      <c r="B946" s="47" t="s">
        <v>141</v>
      </c>
      <c r="C946" s="48" t="s">
        <v>142</v>
      </c>
      <c r="D946" s="44"/>
      <c r="E946" s="470" t="s">
        <v>143</v>
      </c>
      <c r="F946" s="471"/>
      <c r="G946" s="157" t="s">
        <v>144</v>
      </c>
      <c r="H946" s="157" t="s">
        <v>145</v>
      </c>
      <c r="I946" s="385" t="s">
        <v>146</v>
      </c>
      <c r="J946" s="49" t="s">
        <v>147</v>
      </c>
      <c r="K946" s="50" t="s">
        <v>148</v>
      </c>
      <c r="L946" s="385" t="s">
        <v>149</v>
      </c>
      <c r="M946" s="49" t="s">
        <v>150</v>
      </c>
      <c r="N946" s="51"/>
      <c r="O946" s="386"/>
      <c r="P946" s="147"/>
      <c r="Q946" s="144"/>
      <c r="R946" s="144"/>
      <c r="S946" s="145"/>
      <c r="T946" s="145"/>
      <c r="U946" s="145"/>
      <c r="V946" s="145"/>
      <c r="W946" s="145"/>
      <c r="X946" s="145"/>
      <c r="Y946" s="145"/>
      <c r="Z946" s="145"/>
      <c r="AC946" s="165"/>
      <c r="AD946" s="165"/>
      <c r="AE946" s="165">
        <f>SUM(AE947:AE951)</f>
        <v>0</v>
      </c>
      <c r="AF946" s="165"/>
      <c r="AG946" s="165">
        <f>SUM(AG947:AG951)</f>
        <v>0</v>
      </c>
    </row>
    <row r="947" spans="2:33" ht="25.5" customHeight="1" x14ac:dyDescent="0.25">
      <c r="B947" s="200"/>
      <c r="C947" s="53">
        <v>8</v>
      </c>
      <c r="D947" s="54"/>
      <c r="E947" s="55"/>
      <c r="F947" s="55">
        <v>1</v>
      </c>
      <c r="G947" s="143" t="str">
        <f>Z947</f>
        <v/>
      </c>
      <c r="H947" s="143" t="str">
        <f>Z952</f>
        <v/>
      </c>
      <c r="I947" s="202"/>
      <c r="J947" s="203"/>
      <c r="K947" s="56">
        <v>23</v>
      </c>
      <c r="L947" s="204"/>
      <c r="M947" s="205"/>
      <c r="N947" s="164">
        <f>IF(G947="",0,IF(H947="",0,(ROUND(((H947-G947)/30),0))))</f>
        <v>0</v>
      </c>
      <c r="O947" s="21"/>
      <c r="P947" s="148">
        <v>1</v>
      </c>
      <c r="Q947" s="144">
        <v>1</v>
      </c>
      <c r="R947" s="144">
        <v>1</v>
      </c>
      <c r="S947" s="144" t="str">
        <f>VLOOKUP(P947,'WORKINGS MATRIX'!$B$200:$C$351,2,FALSE)</f>
        <v>Year</v>
      </c>
      <c r="T947" s="144">
        <f t="shared" ref="T947:U951" si="83">Q947-1</f>
        <v>0</v>
      </c>
      <c r="U947" s="144">
        <f t="shared" si="83"/>
        <v>0</v>
      </c>
      <c r="V947" s="144" t="str">
        <f t="shared" ref="V947:V956" si="84">IF(S947="year","",S947)</f>
        <v/>
      </c>
      <c r="W947" s="144" t="str">
        <f t="shared" ref="W947:X951" si="85">IF(T947=0,"",T947)</f>
        <v/>
      </c>
      <c r="X947" s="144" t="str">
        <f t="shared" si="85"/>
        <v/>
      </c>
      <c r="Y947" s="144" t="str">
        <f t="shared" ref="Y947:Y956" si="86">IF(V947="","",IF(W947="",(V947&amp;"/"&amp;"1"&amp;"/"&amp;"1"),IF(X947="",(V947&amp;"/"&amp;W947&amp;"/"&amp;"1"),(V947&amp;"/"&amp;W947&amp;"/"&amp;X947))))</f>
        <v/>
      </c>
      <c r="Z947" s="144" t="str">
        <f t="shared" ref="Z947:Z956" si="87">IF(Y947="//","",Y947)</f>
        <v/>
      </c>
      <c r="AC947" s="172">
        <f>IF(B947="",0,1)</f>
        <v>0</v>
      </c>
      <c r="AD947" s="172">
        <f>IF(B947="",0,IF(N947&gt;0,1,IF(N947&lt;0,2,0)))</f>
        <v>0</v>
      </c>
      <c r="AE947" s="172">
        <f>IF(AC947=AD947,0,IF(AC947&gt;AD947,2,1))</f>
        <v>0</v>
      </c>
      <c r="AF947" s="172">
        <f>IF(B947="",0,IF(N947=0,0,H947-$F$125))</f>
        <v>0</v>
      </c>
      <c r="AG947" s="172">
        <f>IF(AF947&gt;0,1,0)</f>
        <v>0</v>
      </c>
    </row>
    <row r="948" spans="2:33" ht="25.5" customHeight="1" x14ac:dyDescent="0.25">
      <c r="B948" s="200"/>
      <c r="C948" s="53">
        <v>8</v>
      </c>
      <c r="D948" s="54"/>
      <c r="E948" s="55"/>
      <c r="F948" s="55">
        <v>1</v>
      </c>
      <c r="G948" s="143" t="str">
        <f>Z948</f>
        <v/>
      </c>
      <c r="H948" s="143" t="str">
        <f>Z953</f>
        <v/>
      </c>
      <c r="I948" s="202"/>
      <c r="J948" s="203"/>
      <c r="K948" s="56">
        <v>23</v>
      </c>
      <c r="L948" s="204"/>
      <c r="M948" s="205"/>
      <c r="N948" s="164">
        <f>IF(G948="",0,IF(H948="",0,(ROUND(((H948-G948)/30),0))))</f>
        <v>0</v>
      </c>
      <c r="O948" s="21"/>
      <c r="P948" s="148">
        <v>1</v>
      </c>
      <c r="Q948" s="144">
        <v>1</v>
      </c>
      <c r="R948" s="144">
        <v>1</v>
      </c>
      <c r="S948" s="144" t="str">
        <f>VLOOKUP(P948,'WORKINGS MATRIX'!$B$200:$C$351,2,FALSE)</f>
        <v>Year</v>
      </c>
      <c r="T948" s="144">
        <f t="shared" si="83"/>
        <v>0</v>
      </c>
      <c r="U948" s="144">
        <f t="shared" si="83"/>
        <v>0</v>
      </c>
      <c r="V948" s="144" t="str">
        <f t="shared" si="84"/>
        <v/>
      </c>
      <c r="W948" s="144" t="str">
        <f t="shared" si="85"/>
        <v/>
      </c>
      <c r="X948" s="144" t="str">
        <f t="shared" si="85"/>
        <v/>
      </c>
      <c r="Y948" s="144" t="str">
        <f t="shared" si="86"/>
        <v/>
      </c>
      <c r="Z948" s="144" t="str">
        <f t="shared" si="87"/>
        <v/>
      </c>
      <c r="AC948" s="172">
        <f>IF(B948="",0,1)</f>
        <v>0</v>
      </c>
      <c r="AD948" s="172">
        <f>IF(B948="",0,IF(N948&gt;0,1,IF(N948&lt;0,2,0)))</f>
        <v>0</v>
      </c>
      <c r="AE948" s="172">
        <f>IF(AC948=AD948,0,IF(AC948&gt;AD948,2,1))</f>
        <v>0</v>
      </c>
      <c r="AF948" s="172">
        <f>IF(B948="",0,IF(N948=0,0,H948-$F$125))</f>
        <v>0</v>
      </c>
      <c r="AG948" s="172">
        <f>IF(AF948&gt;0,1,0)</f>
        <v>0</v>
      </c>
    </row>
    <row r="949" spans="2:33" ht="25.5" customHeight="1" x14ac:dyDescent="0.25">
      <c r="B949" s="200"/>
      <c r="C949" s="53">
        <v>8</v>
      </c>
      <c r="D949" s="54"/>
      <c r="E949" s="55"/>
      <c r="F949" s="55">
        <v>1</v>
      </c>
      <c r="G949" s="143" t="str">
        <f>Z949</f>
        <v/>
      </c>
      <c r="H949" s="143" t="str">
        <f>Z954</f>
        <v/>
      </c>
      <c r="I949" s="202"/>
      <c r="J949" s="203"/>
      <c r="K949" s="56">
        <v>23</v>
      </c>
      <c r="L949" s="204"/>
      <c r="M949" s="205"/>
      <c r="N949" s="164">
        <f>IF(G949="",0,IF(H949="",0,(ROUND(((H949-G949)/30),0))))</f>
        <v>0</v>
      </c>
      <c r="O949" s="21"/>
      <c r="P949" s="148">
        <v>1</v>
      </c>
      <c r="Q949" s="144">
        <v>1</v>
      </c>
      <c r="R949" s="144">
        <v>1</v>
      </c>
      <c r="S949" s="144" t="str">
        <f>VLOOKUP(P949,'WORKINGS MATRIX'!$B$200:$C$351,2,FALSE)</f>
        <v>Year</v>
      </c>
      <c r="T949" s="144">
        <f t="shared" si="83"/>
        <v>0</v>
      </c>
      <c r="U949" s="144">
        <f t="shared" si="83"/>
        <v>0</v>
      </c>
      <c r="V949" s="144" t="str">
        <f t="shared" si="84"/>
        <v/>
      </c>
      <c r="W949" s="144" t="str">
        <f t="shared" si="85"/>
        <v/>
      </c>
      <c r="X949" s="144" t="str">
        <f t="shared" si="85"/>
        <v/>
      </c>
      <c r="Y949" s="144" t="str">
        <f t="shared" si="86"/>
        <v/>
      </c>
      <c r="Z949" s="144" t="str">
        <f t="shared" si="87"/>
        <v/>
      </c>
      <c r="AC949" s="172">
        <f>IF(B949="",0,1)</f>
        <v>0</v>
      </c>
      <c r="AD949" s="172">
        <f>IF(B949="",0,IF(N949&gt;0,1,IF(N949&lt;0,2,0)))</f>
        <v>0</v>
      </c>
      <c r="AE949" s="172">
        <f>IF(AC949=AD949,0,IF(AC949&gt;AD949,2,1))</f>
        <v>0</v>
      </c>
      <c r="AF949" s="172">
        <f>IF(B949="",0,IF(N949=0,0,H949-$F$125))</f>
        <v>0</v>
      </c>
      <c r="AG949" s="172">
        <f>IF(AF949&gt;0,1,0)</f>
        <v>0</v>
      </c>
    </row>
    <row r="950" spans="2:33" ht="25.5" customHeight="1" x14ac:dyDescent="0.25">
      <c r="B950" s="255"/>
      <c r="C950" s="255"/>
      <c r="D950" s="255"/>
      <c r="E950" s="255"/>
      <c r="F950" s="255"/>
      <c r="G950" s="255"/>
      <c r="H950" s="255"/>
      <c r="I950" s="255"/>
      <c r="J950" s="255"/>
      <c r="K950" s="255"/>
      <c r="L950" s="255"/>
      <c r="M950" s="255"/>
      <c r="N950" s="164">
        <f>IF(G950="",0,IF(H950="",0,(ROUND(((H950-G950)/30),0))))</f>
        <v>0</v>
      </c>
      <c r="O950" s="21"/>
      <c r="P950" s="148">
        <v>1</v>
      </c>
      <c r="Q950" s="144">
        <v>1</v>
      </c>
      <c r="R950" s="144">
        <v>1</v>
      </c>
      <c r="S950" s="144" t="str">
        <f>VLOOKUP(P950,'WORKINGS MATRIX'!$B$200:$C$351,2,FALSE)</f>
        <v>Year</v>
      </c>
      <c r="T950" s="144">
        <f t="shared" si="83"/>
        <v>0</v>
      </c>
      <c r="U950" s="144">
        <f t="shared" si="83"/>
        <v>0</v>
      </c>
      <c r="V950" s="144" t="str">
        <f t="shared" si="84"/>
        <v/>
      </c>
      <c r="W950" s="144" t="str">
        <f t="shared" si="85"/>
        <v/>
      </c>
      <c r="X950" s="144" t="str">
        <f t="shared" si="85"/>
        <v/>
      </c>
      <c r="Y950" s="144" t="str">
        <f t="shared" si="86"/>
        <v/>
      </c>
      <c r="Z950" s="144" t="str">
        <f t="shared" si="87"/>
        <v/>
      </c>
      <c r="AC950" s="172">
        <f>IF(B950="",0,1)</f>
        <v>0</v>
      </c>
      <c r="AD950" s="172">
        <f>IF(B950="",0,IF(N950&gt;0,1,IF(N950&lt;0,2,0)))</f>
        <v>0</v>
      </c>
      <c r="AE950" s="172">
        <f>IF(AC950=AD950,0,IF(AC950&gt;AD950,2,1))</f>
        <v>0</v>
      </c>
      <c r="AF950" s="172">
        <f>IF(B950="",0,IF(N950=0,0,H950-$F$125))</f>
        <v>0</v>
      </c>
      <c r="AG950" s="172">
        <f>IF(AF950&gt;0,1,0)</f>
        <v>0</v>
      </c>
    </row>
    <row r="951" spans="2:33" ht="25.5" customHeight="1" x14ac:dyDescent="0.25">
      <c r="B951" s="149"/>
      <c r="C951" s="149"/>
      <c r="D951" s="149"/>
      <c r="E951" s="149"/>
      <c r="F951" s="149"/>
      <c r="G951" s="149"/>
      <c r="H951" s="149"/>
      <c r="I951" s="149"/>
      <c r="J951" s="149"/>
      <c r="K951" s="149"/>
      <c r="L951" s="149"/>
      <c r="M951" s="149"/>
      <c r="N951" s="164">
        <f>IF(G951="",0,IF(H951="",0,(ROUND(((H951-G951)/30),0))))</f>
        <v>0</v>
      </c>
      <c r="O951" s="21"/>
      <c r="P951" s="148">
        <v>1</v>
      </c>
      <c r="Q951" s="144">
        <v>1</v>
      </c>
      <c r="R951" s="144">
        <v>1</v>
      </c>
      <c r="S951" s="144" t="str">
        <f>VLOOKUP(P951,'WORKINGS MATRIX'!$B$200:$C$351,2,FALSE)</f>
        <v>Year</v>
      </c>
      <c r="T951" s="144">
        <f t="shared" si="83"/>
        <v>0</v>
      </c>
      <c r="U951" s="144">
        <f t="shared" si="83"/>
        <v>0</v>
      </c>
      <c r="V951" s="144" t="str">
        <f t="shared" si="84"/>
        <v/>
      </c>
      <c r="W951" s="144" t="str">
        <f t="shared" si="85"/>
        <v/>
      </c>
      <c r="X951" s="144" t="str">
        <f t="shared" si="85"/>
        <v/>
      </c>
      <c r="Y951" s="144" t="str">
        <f t="shared" si="86"/>
        <v/>
      </c>
      <c r="Z951" s="144" t="str">
        <f t="shared" si="87"/>
        <v/>
      </c>
      <c r="AC951" s="172">
        <f>IF(B951="",0,1)</f>
        <v>0</v>
      </c>
      <c r="AD951" s="172">
        <f>IF(B951="",0,IF(N951&gt;0,1,IF(N951&lt;0,2,0)))</f>
        <v>0</v>
      </c>
      <c r="AE951" s="172">
        <f>IF(AC951=AD951,0,IF(AC951&gt;AD951,2,1))</f>
        <v>0</v>
      </c>
      <c r="AF951" s="172">
        <f>IF(B951="",0,IF(N951=0,0,H951-$F$125))</f>
        <v>0</v>
      </c>
      <c r="AG951" s="172">
        <f>IF(AF951&gt;0,1,0)</f>
        <v>0</v>
      </c>
    </row>
    <row r="952" spans="2:33" x14ac:dyDescent="0.25">
      <c r="D952" s="57"/>
      <c r="H952" s="58"/>
      <c r="K952" s="21"/>
      <c r="N952" s="38"/>
      <c r="O952" s="58"/>
      <c r="P952" s="134">
        <v>1</v>
      </c>
      <c r="Q952" s="144">
        <v>1</v>
      </c>
      <c r="R952" s="144">
        <v>1</v>
      </c>
      <c r="S952" s="144" t="str">
        <f>VLOOKUP(P952,'WORKINGS MATRIX'!$B$200:$C$351,2,FALSE)</f>
        <v>Year</v>
      </c>
      <c r="T952" s="144">
        <f t="shared" ref="T952:U956" si="88">Q952-1</f>
        <v>0</v>
      </c>
      <c r="U952" s="144">
        <f t="shared" si="88"/>
        <v>0</v>
      </c>
      <c r="V952" s="144" t="str">
        <f t="shared" si="84"/>
        <v/>
      </c>
      <c r="W952" s="144" t="str">
        <f t="shared" ref="W952:X956" si="89">IF(T952=0,"",T952)</f>
        <v/>
      </c>
      <c r="X952" s="144" t="str">
        <f t="shared" si="89"/>
        <v/>
      </c>
      <c r="Y952" s="144" t="str">
        <f t="shared" si="86"/>
        <v/>
      </c>
      <c r="Z952" s="144" t="str">
        <f t="shared" si="87"/>
        <v/>
      </c>
      <c r="AC952" s="158"/>
      <c r="AD952" s="158"/>
      <c r="AE952" s="158"/>
      <c r="AF952" s="158"/>
      <c r="AG952" s="158"/>
    </row>
    <row r="953" spans="2:33" x14ac:dyDescent="0.25">
      <c r="B953" t="s">
        <v>152</v>
      </c>
      <c r="D953" s="57"/>
      <c r="H953" s="58"/>
      <c r="K953" s="21"/>
      <c r="N953" s="38"/>
      <c r="O953" s="58"/>
      <c r="P953" s="144">
        <v>1</v>
      </c>
      <c r="Q953" s="144">
        <v>1</v>
      </c>
      <c r="R953" s="144">
        <v>1</v>
      </c>
      <c r="S953" s="144" t="str">
        <f>VLOOKUP(P953,'WORKINGS MATRIX'!$B$200:$C$351,2,FALSE)</f>
        <v>Year</v>
      </c>
      <c r="T953" s="144">
        <f t="shared" si="88"/>
        <v>0</v>
      </c>
      <c r="U953" s="144">
        <f t="shared" si="88"/>
        <v>0</v>
      </c>
      <c r="V953" s="144" t="str">
        <f t="shared" si="84"/>
        <v/>
      </c>
      <c r="W953" s="144" t="str">
        <f t="shared" si="89"/>
        <v/>
      </c>
      <c r="X953" s="144" t="str">
        <f t="shared" si="89"/>
        <v/>
      </c>
      <c r="Y953" s="144" t="str">
        <f t="shared" si="86"/>
        <v/>
      </c>
      <c r="Z953" s="144" t="str">
        <f t="shared" si="87"/>
        <v/>
      </c>
      <c r="AC953" s="158"/>
      <c r="AD953" s="158"/>
      <c r="AE953" s="158"/>
      <c r="AF953" s="158"/>
      <c r="AG953" s="158"/>
    </row>
    <row r="954" spans="2:33" x14ac:dyDescent="0.25">
      <c r="B954" s="429"/>
      <c r="C954" s="430"/>
      <c r="D954" s="430"/>
      <c r="E954" s="430"/>
      <c r="F954" s="430"/>
      <c r="G954" s="430"/>
      <c r="H954" s="430"/>
      <c r="I954" s="430"/>
      <c r="J954" s="430"/>
      <c r="K954" s="430"/>
      <c r="L954" s="430"/>
      <c r="M954" s="431"/>
      <c r="N954" s="38"/>
      <c r="O954" s="58"/>
      <c r="P954" s="144">
        <v>1</v>
      </c>
      <c r="Q954" s="144">
        <v>1</v>
      </c>
      <c r="R954" s="144">
        <v>1</v>
      </c>
      <c r="S954" s="144" t="str">
        <f>VLOOKUP(P954,'WORKINGS MATRIX'!$B$200:$C$351,2,FALSE)</f>
        <v>Year</v>
      </c>
      <c r="T954" s="144">
        <f t="shared" si="88"/>
        <v>0</v>
      </c>
      <c r="U954" s="144">
        <f t="shared" si="88"/>
        <v>0</v>
      </c>
      <c r="V954" s="144" t="str">
        <f t="shared" si="84"/>
        <v/>
      </c>
      <c r="W954" s="144" t="str">
        <f t="shared" si="89"/>
        <v/>
      </c>
      <c r="X954" s="144" t="str">
        <f t="shared" si="89"/>
        <v/>
      </c>
      <c r="Y954" s="144" t="str">
        <f t="shared" si="86"/>
        <v/>
      </c>
      <c r="Z954" s="144" t="str">
        <f t="shared" si="87"/>
        <v/>
      </c>
      <c r="AC954" s="158"/>
      <c r="AD954" s="158"/>
      <c r="AE954" s="158"/>
      <c r="AF954" s="158"/>
      <c r="AG954" s="158"/>
    </row>
    <row r="955" spans="2:33" x14ac:dyDescent="0.25">
      <c r="B955" s="432"/>
      <c r="C955" s="433"/>
      <c r="D955" s="433"/>
      <c r="E955" s="433"/>
      <c r="F955" s="433"/>
      <c r="G955" s="433"/>
      <c r="H955" s="433"/>
      <c r="I955" s="433"/>
      <c r="J955" s="433"/>
      <c r="K955" s="433"/>
      <c r="L955" s="433"/>
      <c r="M955" s="434"/>
      <c r="N955" s="38"/>
      <c r="O955" s="58"/>
      <c r="P955" s="144">
        <v>1</v>
      </c>
      <c r="Q955" s="144">
        <v>1</v>
      </c>
      <c r="R955" s="144">
        <v>1</v>
      </c>
      <c r="S955" s="144" t="str">
        <f>VLOOKUP(P955,'WORKINGS MATRIX'!$B$200:$C$351,2,FALSE)</f>
        <v>Year</v>
      </c>
      <c r="T955" s="144">
        <f t="shared" si="88"/>
        <v>0</v>
      </c>
      <c r="U955" s="144">
        <f t="shared" si="88"/>
        <v>0</v>
      </c>
      <c r="V955" s="144" t="str">
        <f t="shared" si="84"/>
        <v/>
      </c>
      <c r="W955" s="144" t="str">
        <f t="shared" si="89"/>
        <v/>
      </c>
      <c r="X955" s="144" t="str">
        <f t="shared" si="89"/>
        <v/>
      </c>
      <c r="Y955" s="144" t="str">
        <f t="shared" si="86"/>
        <v/>
      </c>
      <c r="Z955" s="144" t="str">
        <f t="shared" si="87"/>
        <v/>
      </c>
      <c r="AC955" s="158"/>
      <c r="AD955" s="158"/>
      <c r="AE955" s="158"/>
      <c r="AF955" s="158"/>
      <c r="AG955" s="158"/>
    </row>
    <row r="956" spans="2:33" x14ac:dyDescent="0.25">
      <c r="B956" s="432"/>
      <c r="C956" s="433"/>
      <c r="D956" s="433"/>
      <c r="E956" s="433"/>
      <c r="F956" s="433"/>
      <c r="G956" s="433"/>
      <c r="H956" s="433"/>
      <c r="I956" s="433"/>
      <c r="J956" s="433"/>
      <c r="K956" s="433"/>
      <c r="L956" s="433"/>
      <c r="M956" s="434"/>
      <c r="N956" s="38"/>
      <c r="O956" s="58"/>
      <c r="P956" s="144">
        <v>1</v>
      </c>
      <c r="Q956" s="144">
        <v>1</v>
      </c>
      <c r="R956" s="144">
        <v>1</v>
      </c>
      <c r="S956" s="144" t="str">
        <f>VLOOKUP(P956,'WORKINGS MATRIX'!$B$200:$C$351,2,FALSE)</f>
        <v>Year</v>
      </c>
      <c r="T956" s="144">
        <f t="shared" si="88"/>
        <v>0</v>
      </c>
      <c r="U956" s="144">
        <f t="shared" si="88"/>
        <v>0</v>
      </c>
      <c r="V956" s="144" t="str">
        <f t="shared" si="84"/>
        <v/>
      </c>
      <c r="W956" s="144" t="str">
        <f t="shared" si="89"/>
        <v/>
      </c>
      <c r="X956" s="144" t="str">
        <f t="shared" si="89"/>
        <v/>
      </c>
      <c r="Y956" s="144" t="str">
        <f t="shared" si="86"/>
        <v/>
      </c>
      <c r="Z956" s="144" t="str">
        <f t="shared" si="87"/>
        <v/>
      </c>
      <c r="AC956" s="158"/>
      <c r="AD956" s="158"/>
      <c r="AE956" s="158"/>
      <c r="AF956" s="158"/>
      <c r="AG956" s="158"/>
    </row>
    <row r="957" spans="2:33" x14ac:dyDescent="0.25">
      <c r="B957" s="435"/>
      <c r="C957" s="436"/>
      <c r="D957" s="436"/>
      <c r="E957" s="436"/>
      <c r="F957" s="436"/>
      <c r="G957" s="436"/>
      <c r="H957" s="436"/>
      <c r="I957" s="436"/>
      <c r="J957" s="436"/>
      <c r="K957" s="436"/>
      <c r="L957" s="436"/>
      <c r="M957" s="437"/>
      <c r="N957" s="38"/>
      <c r="O957" s="58"/>
      <c r="P957" s="144"/>
      <c r="Q957" s="144"/>
      <c r="R957" s="144"/>
      <c r="S957" s="144"/>
      <c r="T957" s="144"/>
      <c r="U957" s="144"/>
      <c r="V957" s="144"/>
      <c r="W957" s="144"/>
      <c r="X957" s="144"/>
      <c r="Y957" s="144"/>
      <c r="Z957" s="144"/>
      <c r="AC957" s="158"/>
      <c r="AD957" s="158"/>
      <c r="AE957" s="158"/>
      <c r="AF957" s="158"/>
      <c r="AG957" s="158"/>
    </row>
    <row r="958" spans="2:33" x14ac:dyDescent="0.25">
      <c r="B958" s="15" t="s">
        <v>153</v>
      </c>
      <c r="D958" s="57"/>
      <c r="H958" s="58"/>
      <c r="K958" s="21"/>
      <c r="N958" s="38"/>
      <c r="O958" s="58"/>
      <c r="P958" s="144"/>
      <c r="Q958" s="144"/>
      <c r="R958" s="144"/>
      <c r="S958" s="144"/>
      <c r="T958" s="144"/>
      <c r="U958" s="144"/>
      <c r="V958" s="144"/>
      <c r="W958" s="144"/>
      <c r="X958" s="144"/>
      <c r="Y958" s="144"/>
      <c r="Z958" s="144"/>
      <c r="AC958" s="158"/>
      <c r="AD958" s="158"/>
      <c r="AE958" s="158"/>
      <c r="AF958" s="158"/>
      <c r="AG958" s="158"/>
    </row>
    <row r="959" spans="2:33" x14ac:dyDescent="0.25">
      <c r="B959" s="15" t="s">
        <v>154</v>
      </c>
      <c r="D959" s="57"/>
      <c r="H959" s="58"/>
      <c r="K959" s="21"/>
      <c r="N959" s="38"/>
      <c r="O959" s="58"/>
      <c r="P959" s="144"/>
      <c r="Q959" s="144"/>
      <c r="R959" s="144"/>
      <c r="S959" s="144"/>
      <c r="T959" s="144"/>
      <c r="U959" s="144"/>
      <c r="V959" s="144"/>
      <c r="W959" s="144"/>
      <c r="X959" s="144"/>
      <c r="Y959" s="144"/>
      <c r="Z959" s="144"/>
      <c r="AC959" s="158"/>
      <c r="AD959" s="158"/>
      <c r="AE959" s="158"/>
      <c r="AF959" s="158"/>
      <c r="AG959" s="158"/>
    </row>
    <row r="962" spans="2:26" x14ac:dyDescent="0.25">
      <c r="D962" s="57"/>
      <c r="E962" s="149"/>
      <c r="F962" s="149"/>
      <c r="G962" s="149"/>
      <c r="H962" s="149"/>
      <c r="I962" s="149"/>
      <c r="K962" s="438" t="s">
        <v>155</v>
      </c>
      <c r="L962" s="438"/>
      <c r="M962" s="438"/>
      <c r="N962" s="38"/>
      <c r="O962" s="58"/>
      <c r="P962" s="144"/>
      <c r="Q962" s="144"/>
      <c r="R962" s="144"/>
      <c r="S962" s="144"/>
      <c r="T962" s="144"/>
      <c r="U962" s="144"/>
      <c r="V962" s="144"/>
      <c r="W962" s="144"/>
      <c r="X962" s="144"/>
      <c r="Y962" s="144"/>
      <c r="Z962" s="144"/>
    </row>
    <row r="963" spans="2:26" x14ac:dyDescent="0.25">
      <c r="D963" s="57"/>
      <c r="H963" s="58"/>
      <c r="K963" s="438"/>
      <c r="L963" s="438"/>
      <c r="M963" s="438"/>
      <c r="N963" s="38"/>
      <c r="O963" s="58"/>
      <c r="P963" s="144"/>
      <c r="Q963" s="144"/>
      <c r="R963" s="144"/>
      <c r="S963" s="144"/>
      <c r="T963" s="144"/>
      <c r="U963" s="144"/>
      <c r="V963" s="144"/>
      <c r="W963" s="144"/>
      <c r="X963" s="144"/>
      <c r="Y963" s="144"/>
      <c r="Z963" s="144"/>
    </row>
    <row r="964" spans="2:26" x14ac:dyDescent="0.25">
      <c r="D964" s="57"/>
      <c r="E964" s="149"/>
      <c r="F964" s="149"/>
      <c r="G964" s="149"/>
      <c r="H964" s="149"/>
      <c r="I964" s="149"/>
      <c r="K964" s="438"/>
      <c r="L964" s="438"/>
      <c r="M964" s="438"/>
      <c r="N964" s="38"/>
      <c r="O964" s="58"/>
      <c r="P964" s="144"/>
      <c r="Q964" s="144"/>
      <c r="R964" s="144"/>
      <c r="S964" s="144"/>
      <c r="T964" s="144"/>
      <c r="U964" s="144"/>
      <c r="V964" s="144"/>
      <c r="W964" s="144"/>
      <c r="X964" s="144"/>
      <c r="Y964" s="144"/>
      <c r="Z964" s="144"/>
    </row>
    <row r="965" spans="2:26" x14ac:dyDescent="0.25">
      <c r="D965" s="57"/>
      <c r="E965" s="149"/>
      <c r="F965" s="149"/>
      <c r="G965" s="149"/>
      <c r="H965" s="149"/>
      <c r="I965" s="149"/>
      <c r="K965" s="438"/>
      <c r="L965" s="438"/>
      <c r="M965" s="438"/>
      <c r="N965" s="38"/>
      <c r="O965" s="58"/>
      <c r="P965" s="144"/>
      <c r="Q965" s="144"/>
      <c r="R965" s="144"/>
      <c r="S965" s="144"/>
      <c r="T965" s="144"/>
      <c r="U965" s="144"/>
      <c r="V965" s="144"/>
      <c r="W965" s="144"/>
      <c r="X965" s="144"/>
      <c r="Y965" s="144"/>
      <c r="Z965" s="144"/>
    </row>
    <row r="966" spans="2:26" ht="13.8" thickBot="1" x14ac:dyDescent="0.3">
      <c r="B966" s="60"/>
      <c r="C966" s="60"/>
      <c r="D966" s="61"/>
      <c r="E966" s="60"/>
      <c r="F966" s="60"/>
      <c r="G966" s="60"/>
      <c r="H966" s="62"/>
      <c r="I966" s="60"/>
      <c r="J966" s="60"/>
      <c r="K966" s="63"/>
      <c r="L966" s="60"/>
      <c r="M966" s="60"/>
      <c r="N966" s="64"/>
      <c r="O966" s="58"/>
      <c r="P966" s="144"/>
      <c r="Q966" s="144"/>
      <c r="R966" s="144"/>
      <c r="S966" s="144"/>
      <c r="T966" s="144"/>
      <c r="U966" s="144"/>
      <c r="V966" s="144"/>
      <c r="W966" s="144"/>
      <c r="X966" s="144"/>
      <c r="Y966" s="144"/>
      <c r="Z966" s="144"/>
    </row>
    <row r="967" spans="2:26" ht="14.4" thickTop="1" thickBot="1" x14ac:dyDescent="0.3">
      <c r="D967" s="57"/>
      <c r="H967" s="58"/>
      <c r="K967" s="21"/>
      <c r="O967" s="58"/>
      <c r="P967" s="144"/>
      <c r="Q967" s="144"/>
      <c r="R967" s="144"/>
      <c r="S967" s="144"/>
      <c r="T967" s="144"/>
      <c r="U967" s="144"/>
      <c r="V967" s="144"/>
      <c r="W967" s="144"/>
      <c r="X967" s="144"/>
      <c r="Y967" s="144"/>
      <c r="Z967" s="144"/>
    </row>
    <row r="968" spans="2:26" ht="13.8" thickTop="1" x14ac:dyDescent="0.25">
      <c r="B968" s="27" t="s">
        <v>156</v>
      </c>
      <c r="C968" s="29"/>
      <c r="D968" s="28"/>
      <c r="E968" s="65"/>
      <c r="F968" s="65"/>
      <c r="G968" s="65"/>
      <c r="H968" s="28"/>
      <c r="I968" s="28"/>
      <c r="J968" s="28"/>
      <c r="K968" s="28"/>
      <c r="L968" s="31" t="s">
        <v>157</v>
      </c>
      <c r="M968" s="28"/>
      <c r="N968" s="32"/>
      <c r="P968" s="144"/>
      <c r="Q968" s="144"/>
      <c r="R968" s="144"/>
      <c r="S968" s="144"/>
      <c r="T968" s="144"/>
      <c r="U968" s="144"/>
      <c r="V968" s="144"/>
      <c r="W968" s="144"/>
      <c r="X968" s="144"/>
      <c r="Y968" s="144"/>
      <c r="Z968" s="144"/>
    </row>
    <row r="969" spans="2:26" x14ac:dyDescent="0.25">
      <c r="E969" s="134">
        <v>5</v>
      </c>
      <c r="F969" s="12"/>
      <c r="N969" s="38"/>
      <c r="P969" s="144"/>
      <c r="Q969" s="144"/>
      <c r="R969" s="144"/>
      <c r="S969" s="144"/>
      <c r="T969" s="144"/>
      <c r="U969" s="144"/>
      <c r="V969" s="144"/>
      <c r="W969" s="144"/>
      <c r="X969" s="144"/>
      <c r="Y969" s="144"/>
      <c r="Z969" s="144"/>
    </row>
    <row r="970" spans="2:26" x14ac:dyDescent="0.25">
      <c r="B970" t="s">
        <v>134</v>
      </c>
      <c r="L970" s="465" t="str">
        <f>$L$39</f>
        <v>X.002-218-2024(NT)&amp;N.004-116-2024(T)</v>
      </c>
      <c r="M970" s="465"/>
      <c r="N970" s="38"/>
      <c r="P970" s="144"/>
      <c r="Q970" s="144"/>
      <c r="R970" s="144"/>
      <c r="S970" s="144"/>
      <c r="T970" s="144"/>
      <c r="U970" s="144"/>
      <c r="V970" s="144"/>
      <c r="W970" s="144"/>
      <c r="X970" s="144"/>
      <c r="Y970" s="144"/>
      <c r="Z970" s="144"/>
    </row>
    <row r="971" spans="2:26" x14ac:dyDescent="0.25">
      <c r="B971" s="39" t="s">
        <v>135</v>
      </c>
      <c r="C971" s="40"/>
      <c r="D971" s="41"/>
      <c r="E971" s="448" t="s">
        <v>158</v>
      </c>
      <c r="F971" s="449"/>
      <c r="G971" s="466" t="s">
        <v>159</v>
      </c>
      <c r="H971" s="449"/>
      <c r="L971" s="465"/>
      <c r="M971" s="465"/>
      <c r="N971" s="38"/>
      <c r="P971" s="144"/>
      <c r="Q971" s="144"/>
      <c r="R971" s="144"/>
      <c r="S971" s="144"/>
      <c r="T971" s="144"/>
      <c r="U971" s="144"/>
      <c r="V971" s="144"/>
      <c r="W971" s="144"/>
      <c r="X971" s="144"/>
      <c r="Y971" s="144"/>
      <c r="Z971" s="144"/>
    </row>
    <row r="972" spans="2:26" ht="18" customHeight="1" x14ac:dyDescent="0.25">
      <c r="B972" s="66">
        <f>B941</f>
        <v>0</v>
      </c>
      <c r="C972" s="67"/>
      <c r="D972" s="68"/>
      <c r="E972" s="441" t="str">
        <f>G941</f>
        <v/>
      </c>
      <c r="F972" s="441"/>
      <c r="G972" s="42"/>
      <c r="H972" s="12">
        <v>1</v>
      </c>
      <c r="N972" s="38"/>
      <c r="P972" s="144"/>
      <c r="Q972" s="144"/>
      <c r="R972" s="144"/>
      <c r="S972" s="144"/>
      <c r="T972" s="144"/>
      <c r="U972" s="144"/>
      <c r="V972" s="144"/>
      <c r="W972" s="144"/>
      <c r="X972" s="144"/>
      <c r="Y972" s="144"/>
      <c r="Z972" s="144"/>
    </row>
    <row r="973" spans="2:26" x14ac:dyDescent="0.25">
      <c r="N973" s="38"/>
      <c r="P973" s="144"/>
      <c r="Q973" s="144"/>
      <c r="R973" s="144"/>
      <c r="S973" s="144"/>
      <c r="T973" s="144"/>
      <c r="U973" s="144"/>
      <c r="V973" s="144"/>
      <c r="W973" s="144"/>
      <c r="X973" s="144"/>
      <c r="Y973" s="144"/>
      <c r="Z973" s="144"/>
    </row>
    <row r="974" spans="2:26" x14ac:dyDescent="0.25">
      <c r="B974" t="s">
        <v>161</v>
      </c>
      <c r="N974" s="38"/>
      <c r="P974" s="144"/>
      <c r="Q974" s="144"/>
      <c r="R974" s="144"/>
      <c r="S974" s="144"/>
      <c r="T974" s="144"/>
      <c r="U974" s="144"/>
      <c r="V974" s="144"/>
      <c r="W974" s="144"/>
      <c r="X974" s="144"/>
      <c r="Y974" s="144"/>
      <c r="Z974" s="144"/>
    </row>
    <row r="975" spans="2:26" ht="18" customHeight="1" x14ac:dyDescent="0.25">
      <c r="B975" s="468" t="s">
        <v>162</v>
      </c>
      <c r="C975" s="468"/>
      <c r="D975" s="469" t="s">
        <v>163</v>
      </c>
      <c r="E975" s="469"/>
      <c r="F975" s="461"/>
      <c r="G975" s="462"/>
      <c r="H975" s="467" t="s">
        <v>165</v>
      </c>
      <c r="I975" s="462"/>
      <c r="J975" s="467" t="s">
        <v>165</v>
      </c>
      <c r="K975" s="462"/>
      <c r="L975" s="125" t="s">
        <v>166</v>
      </c>
      <c r="M975" s="125" t="s">
        <v>167</v>
      </c>
      <c r="N975" s="38"/>
      <c r="P975" s="144">
        <v>1</v>
      </c>
      <c r="Q975" s="144">
        <v>1</v>
      </c>
      <c r="R975" s="144">
        <v>1</v>
      </c>
      <c r="S975" s="144" t="str">
        <f>VLOOKUP(P975,'WORKINGS MATRIX'!$B$200:$C$351,2,FALSE)</f>
        <v>Year</v>
      </c>
      <c r="T975" s="144">
        <f t="shared" ref="T975:U979" si="90">Q975-1</f>
        <v>0</v>
      </c>
      <c r="U975" s="144">
        <f t="shared" si="90"/>
        <v>0</v>
      </c>
      <c r="V975" s="144" t="str">
        <f>IF(S975="year","",S975)</f>
        <v/>
      </c>
      <c r="W975" s="144" t="str">
        <f t="shared" ref="W975:X979" si="91">IF(T975=0,"",T975)</f>
        <v/>
      </c>
      <c r="X975" s="144" t="str">
        <f t="shared" si="91"/>
        <v/>
      </c>
      <c r="Y975" s="144" t="str">
        <f>IF(V975="","",IF(W975="",(V975&amp;"/"&amp;"12"&amp;"/"&amp;"1"),IF(X975="",(V975&amp;"/"&amp;W975&amp;"/"&amp;"1"),(V975&amp;"/"&amp;W975&amp;"/"&amp;X975))))</f>
        <v/>
      </c>
      <c r="Z975" s="144" t="str">
        <f>IF(Y975="//","",Y975)</f>
        <v/>
      </c>
    </row>
    <row r="976" spans="2:26" ht="18" customHeight="1" x14ac:dyDescent="0.25">
      <c r="B976" s="441" t="s">
        <v>168</v>
      </c>
      <c r="C976" s="441"/>
      <c r="D976" s="439">
        <v>10</v>
      </c>
      <c r="E976" s="440"/>
      <c r="F976" s="442"/>
      <c r="G976" s="443"/>
      <c r="H976" s="463">
        <v>1</v>
      </c>
      <c r="I976" s="464"/>
      <c r="J976" s="450"/>
      <c r="K976" s="443"/>
      <c r="L976" s="206"/>
      <c r="M976" s="143" t="str">
        <f>Z975</f>
        <v/>
      </c>
      <c r="N976" s="38"/>
      <c r="P976" s="144">
        <v>1</v>
      </c>
      <c r="Q976" s="144">
        <v>1</v>
      </c>
      <c r="R976" s="144">
        <v>1</v>
      </c>
      <c r="S976" s="144" t="str">
        <f>VLOOKUP(P976,'WORKINGS MATRIX'!$B$200:$C$351,2,FALSE)</f>
        <v>Year</v>
      </c>
      <c r="T976" s="144">
        <f t="shared" si="90"/>
        <v>0</v>
      </c>
      <c r="U976" s="144">
        <f t="shared" si="90"/>
        <v>0</v>
      </c>
      <c r="V976" s="144" t="str">
        <f>IF(S976="year","",S976)</f>
        <v/>
      </c>
      <c r="W976" s="144" t="str">
        <f t="shared" si="91"/>
        <v/>
      </c>
      <c r="X976" s="144" t="str">
        <f t="shared" si="91"/>
        <v/>
      </c>
      <c r="Y976" s="144" t="str">
        <f>IF(V976="","",IF(W976="",(V976&amp;"/"&amp;"12"&amp;"/"&amp;"1"),IF(X976="",(V976&amp;"/"&amp;W976&amp;"/"&amp;"1"),(V976&amp;"/"&amp;W976&amp;"/"&amp;X976))))</f>
        <v/>
      </c>
      <c r="Z976" s="144" t="str">
        <f>IF(Y976="//","",Y976)</f>
        <v/>
      </c>
    </row>
    <row r="977" spans="2:26" ht="18" customHeight="1" x14ac:dyDescent="0.25">
      <c r="B977" s="441" t="s">
        <v>169</v>
      </c>
      <c r="C977" s="441"/>
      <c r="D977" s="442"/>
      <c r="E977" s="443"/>
      <c r="F977" s="442"/>
      <c r="G977" s="443"/>
      <c r="H977" s="451" t="s">
        <v>170</v>
      </c>
      <c r="I977" s="452"/>
      <c r="J977" s="451" t="s">
        <v>171</v>
      </c>
      <c r="K977" s="452"/>
      <c r="L977" s="125" t="s">
        <v>166</v>
      </c>
      <c r="M977" s="125" t="s">
        <v>167</v>
      </c>
      <c r="N977" s="38"/>
      <c r="P977" s="144">
        <v>1</v>
      </c>
      <c r="Q977" s="144">
        <v>1</v>
      </c>
      <c r="R977" s="144">
        <v>1</v>
      </c>
      <c r="S977" s="144" t="str">
        <f>VLOOKUP(P977,'WORKINGS MATRIX'!$B$200:$C$351,2,FALSE)</f>
        <v>Year</v>
      </c>
      <c r="T977" s="144">
        <f t="shared" si="90"/>
        <v>0</v>
      </c>
      <c r="U977" s="144">
        <f t="shared" si="90"/>
        <v>0</v>
      </c>
      <c r="V977" s="144" t="str">
        <f>IF(S977="year","",S977)</f>
        <v/>
      </c>
      <c r="W977" s="144" t="str">
        <f t="shared" si="91"/>
        <v/>
      </c>
      <c r="X977" s="144" t="str">
        <f t="shared" si="91"/>
        <v/>
      </c>
      <c r="Y977" s="144" t="str">
        <f>IF(V977="","",IF(W977="",(V977&amp;"/"&amp;"1"&amp;"/"&amp;"1"),IF(X977="",(V977&amp;"/"&amp;W977&amp;"/"&amp;"1"),(V977&amp;"/"&amp;W977&amp;"/"&amp;X977))))</f>
        <v/>
      </c>
      <c r="Z977" s="144" t="str">
        <f>IF(Y977="//","",Y977)</f>
        <v/>
      </c>
    </row>
    <row r="978" spans="2:26" ht="18" customHeight="1" x14ac:dyDescent="0.25">
      <c r="B978" s="441" t="s">
        <v>172</v>
      </c>
      <c r="C978" s="441"/>
      <c r="D978" s="444" t="str">
        <f>Z977</f>
        <v/>
      </c>
      <c r="E978" s="445"/>
      <c r="F978" s="444" t="str">
        <f>Z978</f>
        <v/>
      </c>
      <c r="G978" s="445"/>
      <c r="H978" s="446">
        <v>1</v>
      </c>
      <c r="I978" s="447"/>
      <c r="J978" s="450"/>
      <c r="K978" s="443"/>
      <c r="L978" s="206"/>
      <c r="M978" s="143" t="str">
        <f>Z976</f>
        <v/>
      </c>
      <c r="N978" s="38"/>
      <c r="P978" s="144">
        <v>1</v>
      </c>
      <c r="Q978" s="144">
        <v>1</v>
      </c>
      <c r="R978" s="144">
        <v>1</v>
      </c>
      <c r="S978" s="144" t="str">
        <f>VLOOKUP(P978,'WORKINGS MATRIX'!$B$200:$C$351,2,FALSE)</f>
        <v>Year</v>
      </c>
      <c r="T978" s="144">
        <f t="shared" si="90"/>
        <v>0</v>
      </c>
      <c r="U978" s="144">
        <f t="shared" si="90"/>
        <v>0</v>
      </c>
      <c r="V978" s="144" t="str">
        <f>IF(S978="year","",S978)</f>
        <v/>
      </c>
      <c r="W978" s="144" t="str">
        <f t="shared" si="91"/>
        <v/>
      </c>
      <c r="X978" s="144" t="str">
        <f t="shared" si="91"/>
        <v/>
      </c>
      <c r="Y978" s="144" t="str">
        <f>IF(V978="","",IF(W978="",(V978&amp;"/"&amp;"1"&amp;"/"&amp;"1"),IF(X978="",(V978&amp;"/"&amp;W978&amp;"/"&amp;"1"),(V978&amp;"/"&amp;W978&amp;"/"&amp;X978))))</f>
        <v/>
      </c>
      <c r="Z978" s="144" t="str">
        <f>IF(Y978="//","",Y978)</f>
        <v/>
      </c>
    </row>
    <row r="979" spans="2:26" x14ac:dyDescent="0.25">
      <c r="N979" s="38"/>
      <c r="P979" s="144">
        <v>1</v>
      </c>
      <c r="Q979" s="144">
        <v>1</v>
      </c>
      <c r="R979" s="144">
        <v>1</v>
      </c>
      <c r="S979" s="144" t="str">
        <f>VLOOKUP(P979,'WORKINGS MATRIX'!$B$200:$C$351,2,FALSE)</f>
        <v>Year</v>
      </c>
      <c r="T979" s="144">
        <f t="shared" si="90"/>
        <v>0</v>
      </c>
      <c r="U979" s="144">
        <f t="shared" si="90"/>
        <v>0</v>
      </c>
      <c r="V979" s="144" t="str">
        <f>IF(S979="year","",S979)</f>
        <v/>
      </c>
      <c r="W979" s="144" t="str">
        <f t="shared" si="91"/>
        <v/>
      </c>
      <c r="X979" s="144" t="str">
        <f t="shared" si="91"/>
        <v/>
      </c>
      <c r="Y979" s="144" t="str">
        <f>IF(V979="","",IF(W979="",(V979&amp;"/"&amp;"1"&amp;"/"&amp;"1"),IF(X979="",(V979&amp;"/"&amp;W979&amp;"/"&amp;"1"),(V979&amp;"/"&amp;W979&amp;"/"&amp;X979))))</f>
        <v/>
      </c>
      <c r="Z979" s="144" t="str">
        <f>IF(Y979="//","",Y979)</f>
        <v/>
      </c>
    </row>
    <row r="980" spans="2:26" x14ac:dyDescent="0.25">
      <c r="M980" s="217"/>
      <c r="N980" s="38"/>
      <c r="P980" s="144"/>
      <c r="Q980" s="144"/>
      <c r="R980" s="144"/>
      <c r="S980" s="144"/>
      <c r="T980" s="144"/>
      <c r="U980" s="144"/>
      <c r="V980" s="144"/>
      <c r="W980" s="144"/>
      <c r="X980" s="144"/>
      <c r="Y980" s="144"/>
      <c r="Z980" s="144"/>
    </row>
    <row r="981" spans="2:26" x14ac:dyDescent="0.25">
      <c r="B981" s="21"/>
      <c r="C981" s="77"/>
      <c r="D981" s="216"/>
      <c r="E981" s="21"/>
      <c r="F981" s="10"/>
      <c r="G981" s="10"/>
      <c r="H981" s="10"/>
      <c r="I981" s="10"/>
      <c r="J981" s="21"/>
      <c r="K981" s="21"/>
      <c r="L981" s="21"/>
      <c r="M981" s="217"/>
      <c r="N981" s="387"/>
      <c r="O981" s="21"/>
      <c r="P981" s="144"/>
      <c r="Q981" s="144"/>
      <c r="R981" s="144"/>
      <c r="S981" s="145"/>
      <c r="T981" s="145"/>
      <c r="U981" s="145"/>
      <c r="V981" s="145"/>
      <c r="W981" s="145"/>
      <c r="X981" s="145"/>
      <c r="Y981" s="145"/>
      <c r="Z981" s="145"/>
    </row>
    <row r="982" spans="2:26" ht="26.25" customHeight="1" x14ac:dyDescent="0.25">
      <c r="B982" s="149"/>
      <c r="C982" s="149"/>
      <c r="D982" s="3"/>
      <c r="E982" s="149"/>
      <c r="F982" s="149"/>
      <c r="G982" s="3"/>
      <c r="H982" s="149"/>
      <c r="I982" s="3"/>
      <c r="J982" s="213"/>
      <c r="K982" s="214"/>
      <c r="L982" s="149"/>
      <c r="M982" s="70"/>
      <c r="N982" s="71"/>
      <c r="O982" s="10"/>
      <c r="P982" s="144"/>
      <c r="Q982" s="144"/>
      <c r="R982" s="144"/>
      <c r="S982" s="144"/>
      <c r="T982" s="144"/>
      <c r="U982" s="144"/>
      <c r="V982" s="144"/>
      <c r="W982" s="144"/>
      <c r="X982" s="144"/>
      <c r="Y982" s="144"/>
      <c r="Z982" s="144"/>
    </row>
    <row r="983" spans="2:26" ht="26.25" customHeight="1" x14ac:dyDescent="0.25">
      <c r="B983" s="149"/>
      <c r="C983" s="149"/>
      <c r="D983" s="3"/>
      <c r="E983" s="149"/>
      <c r="F983" s="149"/>
      <c r="G983" s="3"/>
      <c r="H983" s="149"/>
      <c r="I983" s="3"/>
      <c r="J983" s="213"/>
      <c r="K983" s="214"/>
      <c r="L983" s="149"/>
      <c r="M983" s="70"/>
      <c r="N983" s="71"/>
      <c r="O983" s="10"/>
      <c r="P983" s="144"/>
      <c r="Q983" s="144"/>
      <c r="R983" s="144"/>
      <c r="S983" s="144"/>
      <c r="T983" s="144"/>
      <c r="U983" s="144"/>
      <c r="V983" s="144"/>
      <c r="W983" s="144"/>
      <c r="X983" s="144"/>
      <c r="Y983" s="144"/>
      <c r="Z983" s="144"/>
    </row>
    <row r="984" spans="2:26" ht="26.25" customHeight="1" x14ac:dyDescent="0.25">
      <c r="B984" s="149"/>
      <c r="C984" s="149"/>
      <c r="D984" s="3"/>
      <c r="E984" s="149"/>
      <c r="F984" s="149"/>
      <c r="G984" s="3"/>
      <c r="H984" s="149"/>
      <c r="I984" s="3"/>
      <c r="J984" s="213"/>
      <c r="K984" s="214"/>
      <c r="L984" s="149"/>
      <c r="M984" s="70"/>
      <c r="N984" s="71"/>
      <c r="O984" s="10"/>
      <c r="P984" s="144"/>
      <c r="Q984" s="144"/>
      <c r="R984" s="144"/>
      <c r="S984" s="144"/>
      <c r="T984" s="144"/>
      <c r="U984" s="144"/>
      <c r="V984" s="144"/>
      <c r="W984" s="144"/>
      <c r="X984" s="144"/>
      <c r="Y984" s="144"/>
      <c r="Z984" s="144"/>
    </row>
    <row r="985" spans="2:26" ht="26.25" customHeight="1" x14ac:dyDescent="0.25">
      <c r="B985" s="149"/>
      <c r="C985" s="149"/>
      <c r="D985" s="3"/>
      <c r="E985" s="149"/>
      <c r="F985" s="149"/>
      <c r="G985" s="3"/>
      <c r="H985" s="149"/>
      <c r="I985" s="3"/>
      <c r="J985" s="213"/>
      <c r="K985" s="214"/>
      <c r="L985" s="149"/>
      <c r="M985" s="70"/>
      <c r="N985" s="71"/>
      <c r="O985" s="10"/>
      <c r="P985" s="144"/>
      <c r="Q985" s="144"/>
      <c r="R985" s="144"/>
      <c r="S985" s="144"/>
      <c r="T985" s="144"/>
      <c r="U985" s="144"/>
      <c r="V985" s="144"/>
      <c r="W985" s="144"/>
      <c r="X985" s="144"/>
      <c r="Y985" s="144"/>
      <c r="Z985" s="144"/>
    </row>
    <row r="986" spans="2:26" ht="26.25" customHeight="1" x14ac:dyDescent="0.25">
      <c r="B986" s="149"/>
      <c r="C986" s="149"/>
      <c r="D986" s="3"/>
      <c r="E986" s="149"/>
      <c r="F986" s="149"/>
      <c r="G986" s="3"/>
      <c r="H986" s="149"/>
      <c r="I986" s="3"/>
      <c r="J986" s="213"/>
      <c r="K986" s="214"/>
      <c r="L986" s="149"/>
      <c r="M986" s="70"/>
      <c r="N986" s="71"/>
      <c r="O986" s="10"/>
      <c r="P986" s="144"/>
      <c r="Q986" s="144"/>
      <c r="R986" s="144"/>
      <c r="S986" s="144"/>
      <c r="T986" s="144"/>
      <c r="U986" s="144"/>
      <c r="V986" s="144"/>
      <c r="W986" s="144"/>
      <c r="X986" s="144"/>
      <c r="Y986" s="144"/>
      <c r="Z986" s="144"/>
    </row>
    <row r="987" spans="2:26" x14ac:dyDescent="0.25">
      <c r="D987" s="3"/>
      <c r="G987" s="3"/>
      <c r="I987" s="3"/>
      <c r="N987" s="71"/>
      <c r="P987" s="144"/>
      <c r="Q987" s="144"/>
      <c r="R987" s="144"/>
      <c r="S987" s="144"/>
      <c r="T987" s="144"/>
      <c r="U987" s="144"/>
      <c r="V987" s="144"/>
      <c r="W987" s="144"/>
      <c r="X987" s="144"/>
      <c r="Y987" s="144"/>
      <c r="Z987" s="144"/>
    </row>
    <row r="988" spans="2:26" x14ac:dyDescent="0.25">
      <c r="B988" t="s">
        <v>152</v>
      </c>
      <c r="D988" s="57"/>
      <c r="H988" s="58"/>
      <c r="K988" s="21"/>
      <c r="N988" s="38"/>
      <c r="P988" s="144"/>
      <c r="Q988" s="144"/>
      <c r="R988" s="144"/>
      <c r="S988" s="144"/>
      <c r="T988" s="144"/>
      <c r="U988" s="144"/>
      <c r="V988" s="144"/>
      <c r="W988" s="144"/>
      <c r="X988" s="144"/>
      <c r="Y988" s="144"/>
      <c r="Z988" s="144"/>
    </row>
    <row r="989" spans="2:26" x14ac:dyDescent="0.25">
      <c r="B989" s="429"/>
      <c r="C989" s="430"/>
      <c r="D989" s="430"/>
      <c r="E989" s="430"/>
      <c r="F989" s="430"/>
      <c r="G989" s="430"/>
      <c r="H989" s="430"/>
      <c r="I989" s="430"/>
      <c r="J989" s="430"/>
      <c r="K989" s="430"/>
      <c r="L989" s="430"/>
      <c r="M989" s="431"/>
      <c r="N989" s="38"/>
      <c r="P989" s="144"/>
      <c r="Q989" s="144"/>
      <c r="R989" s="144"/>
      <c r="S989" s="144"/>
      <c r="T989" s="144"/>
      <c r="U989" s="144"/>
      <c r="V989" s="144"/>
      <c r="W989" s="144"/>
      <c r="X989" s="144"/>
      <c r="Y989" s="144"/>
      <c r="Z989" s="144"/>
    </row>
    <row r="990" spans="2:26" x14ac:dyDescent="0.25">
      <c r="B990" s="432"/>
      <c r="C990" s="433"/>
      <c r="D990" s="433"/>
      <c r="E990" s="433"/>
      <c r="F990" s="433"/>
      <c r="G990" s="433"/>
      <c r="H990" s="433"/>
      <c r="I990" s="433"/>
      <c r="J990" s="433"/>
      <c r="K990" s="433"/>
      <c r="L990" s="433"/>
      <c r="M990" s="434"/>
      <c r="N990" s="38"/>
      <c r="P990" s="144"/>
      <c r="Q990" s="144"/>
      <c r="R990" s="144"/>
      <c r="S990" s="144"/>
      <c r="T990" s="144"/>
      <c r="U990" s="144"/>
      <c r="V990" s="144"/>
      <c r="W990" s="144"/>
      <c r="X990" s="144"/>
      <c r="Y990" s="144"/>
      <c r="Z990" s="144"/>
    </row>
    <row r="991" spans="2:26" x14ac:dyDescent="0.25">
      <c r="B991" s="432"/>
      <c r="C991" s="433"/>
      <c r="D991" s="433"/>
      <c r="E991" s="433"/>
      <c r="F991" s="433"/>
      <c r="G991" s="433"/>
      <c r="H991" s="433"/>
      <c r="I991" s="433"/>
      <c r="J991" s="433"/>
      <c r="K991" s="433"/>
      <c r="L991" s="433"/>
      <c r="M991" s="434"/>
      <c r="N991" s="38"/>
      <c r="P991" s="144"/>
      <c r="Q991" s="144"/>
      <c r="R991" s="144"/>
      <c r="S991" s="144"/>
      <c r="T991" s="144"/>
      <c r="U991" s="144"/>
      <c r="V991" s="144"/>
      <c r="W991" s="144"/>
      <c r="X991" s="144"/>
      <c r="Y991" s="144"/>
      <c r="Z991" s="144"/>
    </row>
    <row r="992" spans="2:26" x14ac:dyDescent="0.25">
      <c r="B992" s="435"/>
      <c r="C992" s="436"/>
      <c r="D992" s="436"/>
      <c r="E992" s="436"/>
      <c r="F992" s="436"/>
      <c r="G992" s="436"/>
      <c r="H992" s="436"/>
      <c r="I992" s="436"/>
      <c r="J992" s="436"/>
      <c r="K992" s="436"/>
      <c r="L992" s="436"/>
      <c r="M992" s="437"/>
      <c r="N992" s="38"/>
      <c r="P992" s="144"/>
      <c r="Q992" s="144"/>
      <c r="R992" s="144"/>
      <c r="S992" s="144"/>
      <c r="T992" s="144"/>
      <c r="U992" s="144"/>
      <c r="V992" s="144"/>
      <c r="W992" s="144"/>
      <c r="X992" s="144"/>
      <c r="Y992" s="144"/>
      <c r="Z992" s="144"/>
    </row>
    <row r="993" spans="2:13" x14ac:dyDescent="0.25">
      <c r="B993" s="15" t="s">
        <v>198</v>
      </c>
      <c r="D993" s="57"/>
      <c r="H993" s="58"/>
      <c r="K993" s="21"/>
    </row>
    <row r="994" spans="2:13" x14ac:dyDescent="0.25">
      <c r="D994" s="57"/>
      <c r="H994" s="58"/>
      <c r="K994" s="21"/>
    </row>
    <row r="995" spans="2:13" x14ac:dyDescent="0.25">
      <c r="D995" s="57"/>
      <c r="H995" s="58"/>
      <c r="K995" s="21"/>
    </row>
    <row r="996" spans="2:13" x14ac:dyDescent="0.25">
      <c r="D996" s="57"/>
      <c r="E996" s="149"/>
      <c r="F996" s="149"/>
      <c r="G996" s="149"/>
      <c r="H996" s="149"/>
      <c r="I996" s="149"/>
      <c r="K996" s="21"/>
    </row>
    <row r="997" spans="2:13" x14ac:dyDescent="0.25">
      <c r="D997" s="57"/>
      <c r="E997" s="149"/>
      <c r="F997" s="149"/>
      <c r="G997" s="149"/>
      <c r="H997" s="149"/>
      <c r="I997" s="149"/>
      <c r="K997" s="438" t="s">
        <v>155</v>
      </c>
      <c r="L997" s="438"/>
      <c r="M997" s="438"/>
    </row>
    <row r="998" spans="2:13" x14ac:dyDescent="0.25">
      <c r="D998" s="57"/>
      <c r="H998" s="58"/>
      <c r="K998" s="438"/>
      <c r="L998" s="438"/>
      <c r="M998" s="438"/>
    </row>
    <row r="999" spans="2:13" x14ac:dyDescent="0.25">
      <c r="D999" s="57"/>
      <c r="E999" s="149"/>
      <c r="F999" s="149"/>
      <c r="G999" s="149"/>
      <c r="H999" s="149"/>
      <c r="I999" s="149"/>
      <c r="K999" s="438"/>
      <c r="L999" s="438"/>
      <c r="M999" s="438"/>
    </row>
    <row r="1000" spans="2:13" x14ac:dyDescent="0.25">
      <c r="D1000" s="57"/>
      <c r="E1000" s="149"/>
      <c r="F1000" s="149"/>
      <c r="G1000" s="149"/>
      <c r="H1000" s="149"/>
      <c r="I1000" s="149"/>
      <c r="K1000" s="438"/>
      <c r="L1000" s="438"/>
      <c r="M1000" s="438"/>
    </row>
    <row r="1001" spans="2:13" ht="13.8" thickBot="1" x14ac:dyDescent="0.3">
      <c r="B1001" s="60"/>
      <c r="C1001" s="60"/>
      <c r="D1001" s="60"/>
      <c r="E1001" s="60"/>
      <c r="F1001" s="60"/>
      <c r="G1001" s="60"/>
      <c r="H1001" s="60"/>
      <c r="I1001" s="60"/>
      <c r="J1001" s="60"/>
      <c r="K1001" s="60"/>
      <c r="L1001" s="60"/>
      <c r="M1001" s="60"/>
    </row>
    <row r="1002" spans="2:13" ht="13.8" thickTop="1" x14ac:dyDescent="0.25"/>
    <row r="1003" spans="2:13" x14ac:dyDescent="0.25">
      <c r="B1003" s="24" t="s">
        <v>128</v>
      </c>
    </row>
    <row r="1036" spans="2:13" ht="13.8" thickBot="1" x14ac:dyDescent="0.3">
      <c r="B1036">
        <f>$D$1</f>
        <v>0</v>
      </c>
      <c r="C1036" s="73" t="s">
        <v>128</v>
      </c>
      <c r="D1036" s="25" t="s">
        <v>129</v>
      </c>
    </row>
    <row r="1037" spans="2:13" ht="13.8" thickTop="1" x14ac:dyDescent="0.25">
      <c r="B1037" s="27" t="s">
        <v>131</v>
      </c>
      <c r="C1037" s="28"/>
      <c r="D1037" s="29" t="s">
        <v>132</v>
      </c>
      <c r="E1037" s="27" t="str">
        <f>J120</f>
        <v>PL (RIMS)</v>
      </c>
      <c r="F1037" s="30" t="str">
        <f>IF(L120=0,"NOT REQUIRED", IF(L120="Man","MANAGERIAL POSITION","NON-MANAGERIAL POSITION"))</f>
        <v>MANAGERIAL POSITION</v>
      </c>
      <c r="G1037" s="28"/>
      <c r="H1037" s="308" t="s">
        <v>199</v>
      </c>
      <c r="I1037" s="31"/>
      <c r="J1037" s="27"/>
      <c r="K1037" s="28"/>
      <c r="L1037" s="31" t="s">
        <v>133</v>
      </c>
      <c r="M1037" s="28"/>
    </row>
    <row r="1038" spans="2:13" x14ac:dyDescent="0.25">
      <c r="E1038" s="34"/>
      <c r="F1038" s="35"/>
      <c r="G1038" s="36"/>
      <c r="I1038" s="10"/>
      <c r="J1038" s="37"/>
    </row>
    <row r="1039" spans="2:13" x14ac:dyDescent="0.25">
      <c r="B1039" t="s">
        <v>134</v>
      </c>
      <c r="L1039" s="465" t="str">
        <f>$L$39</f>
        <v>X.002-218-2024(NT)&amp;N.004-116-2024(T)</v>
      </c>
      <c r="M1039" s="465"/>
    </row>
    <row r="1040" spans="2:13" ht="25.5" customHeight="1" x14ac:dyDescent="0.25">
      <c r="B1040" s="39" t="s">
        <v>135</v>
      </c>
      <c r="C1040" s="40"/>
      <c r="D1040" s="41"/>
      <c r="E1040" s="427" t="s">
        <v>136</v>
      </c>
      <c r="F1040" s="428"/>
      <c r="G1040" s="39" t="s">
        <v>137</v>
      </c>
      <c r="H1040" s="41"/>
      <c r="I1040" s="39" t="s">
        <v>138</v>
      </c>
      <c r="J1040" s="40"/>
      <c r="K1040" s="41"/>
      <c r="L1040" s="465"/>
      <c r="M1040" s="465"/>
    </row>
    <row r="1041" spans="2:33" ht="18" customHeight="1" x14ac:dyDescent="0.25">
      <c r="B1041" s="194"/>
      <c r="C1041" s="195"/>
      <c r="D1041" s="196"/>
      <c r="E1041" s="425"/>
      <c r="F1041" s="426"/>
      <c r="G1041" s="43" t="str">
        <f>K120</f>
        <v>Project Leader (RIMS)</v>
      </c>
      <c r="H1041" s="44"/>
      <c r="I1041" s="187"/>
      <c r="J1041" s="186"/>
      <c r="K1041" s="188"/>
      <c r="N1041" s="38"/>
      <c r="P1041" s="144">
        <v>1</v>
      </c>
      <c r="Q1041" s="144">
        <v>1</v>
      </c>
      <c r="R1041" s="144">
        <v>1</v>
      </c>
      <c r="S1041" s="144" t="str">
        <f>VLOOKUP(P1041,'WORKINGS MATRIX'!$H$200:$I$351,2,FALSE)</f>
        <v>Year</v>
      </c>
      <c r="T1041" s="144">
        <f>Q1041-1</f>
        <v>0</v>
      </c>
      <c r="U1041" s="144">
        <f>R1041-1</f>
        <v>0</v>
      </c>
      <c r="V1041" s="144" t="str">
        <f>IF(S1041="year","",S1041)</f>
        <v/>
      </c>
      <c r="W1041" s="144" t="str">
        <f>IF(T1041=0,"",T1041)</f>
        <v/>
      </c>
      <c r="X1041" s="144" t="str">
        <f>IF(U1041=0,"",U1041)</f>
        <v/>
      </c>
      <c r="Y1041" s="144" t="str">
        <f>IF(V1041="","",IF(W1041="",(V1041&amp;"/"&amp;"1"&amp;"/"&amp;"1"),IF(X1041="",(V1041&amp;"/"&amp;W1041&amp;"/"&amp;"1"),(V1041&amp;"/"&amp;W1041&amp;"/"&amp;X1041))))</f>
        <v/>
      </c>
      <c r="Z1041" s="144" t="str">
        <f>IF(Y1041="//","",Y1041)</f>
        <v/>
      </c>
      <c r="AC1041" s="158"/>
      <c r="AD1041" s="158"/>
      <c r="AE1041" s="158"/>
      <c r="AF1041" s="158"/>
      <c r="AG1041" s="158"/>
    </row>
    <row r="1042" spans="2:33" x14ac:dyDescent="0.25">
      <c r="E1042" t="str">
        <f>IF(E1041="","",IF(LEN(E1041)=13,"","ID NUMBER SHOULD BE 13 DIGITS"))</f>
        <v/>
      </c>
      <c r="N1042" s="38"/>
      <c r="P1042" s="144"/>
      <c r="Q1042" s="144"/>
      <c r="R1042" s="144"/>
      <c r="S1042" s="144"/>
      <c r="T1042" s="144"/>
      <c r="U1042" s="144"/>
      <c r="V1042" s="144"/>
      <c r="W1042" s="144"/>
      <c r="X1042" s="144"/>
      <c r="Y1042" s="144"/>
      <c r="Z1042" s="144"/>
      <c r="AC1042" s="158"/>
      <c r="AD1042" s="158"/>
      <c r="AE1042" s="158"/>
      <c r="AF1042" s="158"/>
      <c r="AG1042" s="158"/>
    </row>
    <row r="1043" spans="2:33" x14ac:dyDescent="0.25">
      <c r="G1043" s="170" t="str">
        <f>IF(AG1046=0,"","DATES BEYOND TENDER CLOSING DATE - PLEASE CHECK")</f>
        <v/>
      </c>
      <c r="N1043" s="38"/>
      <c r="P1043" s="144"/>
      <c r="Q1043" s="144"/>
      <c r="R1043" s="144"/>
      <c r="S1043" s="144"/>
      <c r="T1043" s="144"/>
      <c r="U1043" s="144"/>
      <c r="V1043" s="144"/>
      <c r="W1043" s="144"/>
      <c r="X1043" s="144"/>
      <c r="Y1043" s="144"/>
      <c r="Z1043" s="144"/>
      <c r="AC1043" s="158"/>
      <c r="AD1043" s="158"/>
      <c r="AE1043" s="158"/>
      <c r="AF1043" s="158"/>
      <c r="AG1043" s="158"/>
    </row>
    <row r="1044" spans="2:33" x14ac:dyDescent="0.25">
      <c r="B1044" t="s">
        <v>139</v>
      </c>
      <c r="G1044" s="170" t="str">
        <f>IF(AE1046=0,"","DATES INCORRECT OR INCOMPLETE - PLEASE CHECK")</f>
        <v/>
      </c>
      <c r="N1044" s="38"/>
      <c r="P1044" s="144"/>
      <c r="Q1044" s="144"/>
      <c r="R1044" s="144"/>
      <c r="S1044" s="144"/>
      <c r="T1044" s="144"/>
      <c r="U1044" s="144"/>
      <c r="V1044" s="144"/>
      <c r="W1044" s="144"/>
      <c r="X1044" s="144"/>
      <c r="Y1044" s="144"/>
      <c r="Z1044" s="144"/>
      <c r="AC1044" s="158"/>
      <c r="AD1044" s="158"/>
      <c r="AE1044" s="158"/>
      <c r="AF1044" s="158"/>
      <c r="AG1044" s="158"/>
    </row>
    <row r="1045" spans="2:33" x14ac:dyDescent="0.25">
      <c r="B1045" s="15" t="s">
        <v>140</v>
      </c>
      <c r="N1045" s="38"/>
      <c r="P1045" s="144"/>
      <c r="Q1045" s="144"/>
      <c r="R1045" s="144"/>
      <c r="S1045" s="144"/>
      <c r="T1045" s="144"/>
      <c r="U1045" s="144"/>
      <c r="V1045" s="144"/>
      <c r="W1045" s="144"/>
      <c r="X1045" s="144"/>
      <c r="Y1045" s="144"/>
      <c r="Z1045" s="144"/>
      <c r="AC1045" s="158"/>
      <c r="AD1045" s="158"/>
      <c r="AE1045" s="158"/>
      <c r="AF1045" s="158"/>
      <c r="AG1045" s="158"/>
    </row>
    <row r="1046" spans="2:33" ht="66" x14ac:dyDescent="0.25">
      <c r="B1046" s="47" t="s">
        <v>141</v>
      </c>
      <c r="C1046" s="48" t="s">
        <v>142</v>
      </c>
      <c r="D1046" s="44"/>
      <c r="E1046" s="470" t="s">
        <v>143</v>
      </c>
      <c r="F1046" s="471"/>
      <c r="G1046" s="157" t="s">
        <v>144</v>
      </c>
      <c r="H1046" s="157" t="s">
        <v>145</v>
      </c>
      <c r="I1046" s="385" t="s">
        <v>146</v>
      </c>
      <c r="J1046" s="49" t="s">
        <v>147</v>
      </c>
      <c r="K1046" s="50" t="s">
        <v>148</v>
      </c>
      <c r="L1046" s="385" t="s">
        <v>149</v>
      </c>
      <c r="M1046" s="49" t="s">
        <v>150</v>
      </c>
      <c r="N1046" s="51"/>
      <c r="O1046" s="386"/>
      <c r="P1046" s="147"/>
      <c r="Q1046" s="144"/>
      <c r="R1046" s="144"/>
      <c r="S1046" s="145"/>
      <c r="T1046" s="145"/>
      <c r="U1046" s="145"/>
      <c r="V1046" s="145"/>
      <c r="W1046" s="145"/>
      <c r="X1046" s="145"/>
      <c r="Y1046" s="145"/>
      <c r="Z1046" s="145"/>
      <c r="AC1046" s="165"/>
      <c r="AD1046" s="165"/>
      <c r="AE1046" s="165">
        <f>SUM(AE1047:AE1051)</f>
        <v>0</v>
      </c>
      <c r="AF1046" s="165"/>
      <c r="AG1046" s="165">
        <f>SUM(AG1047:AG1051)</f>
        <v>0</v>
      </c>
    </row>
    <row r="1047" spans="2:33" ht="25.5" customHeight="1" x14ac:dyDescent="0.25">
      <c r="B1047" s="200"/>
      <c r="C1047" s="53">
        <v>8</v>
      </c>
      <c r="D1047" s="54"/>
      <c r="E1047" s="55"/>
      <c r="F1047" s="55">
        <v>1</v>
      </c>
      <c r="G1047" s="143" t="str">
        <f>Z1047</f>
        <v/>
      </c>
      <c r="H1047" s="143" t="str">
        <f>Z1052</f>
        <v/>
      </c>
      <c r="I1047" s="202"/>
      <c r="J1047" s="203"/>
      <c r="K1047" s="56">
        <v>23</v>
      </c>
      <c r="L1047" s="204"/>
      <c r="M1047" s="205"/>
      <c r="N1047" s="164">
        <f>IF(G1047="",0,IF(H1047="",0,(ROUND(((H1047-G1047)/30),0))))</f>
        <v>0</v>
      </c>
      <c r="O1047" s="21"/>
      <c r="P1047" s="148">
        <v>1</v>
      </c>
      <c r="Q1047" s="144">
        <v>1</v>
      </c>
      <c r="R1047" s="144">
        <v>1</v>
      </c>
      <c r="S1047" s="144" t="str">
        <f>VLOOKUP(P1047,'WORKINGS MATRIX'!$B$200:$C$351,2,FALSE)</f>
        <v>Year</v>
      </c>
      <c r="T1047" s="144">
        <f t="shared" ref="T1047:U1051" si="92">Q1047-1</f>
        <v>0</v>
      </c>
      <c r="U1047" s="144">
        <f t="shared" si="92"/>
        <v>0</v>
      </c>
      <c r="V1047" s="144" t="str">
        <f t="shared" ref="V1047:V1056" si="93">IF(S1047="year","",S1047)</f>
        <v/>
      </c>
      <c r="W1047" s="144" t="str">
        <f t="shared" ref="W1047:X1051" si="94">IF(T1047=0,"",T1047)</f>
        <v/>
      </c>
      <c r="X1047" s="144" t="str">
        <f t="shared" si="94"/>
        <v/>
      </c>
      <c r="Y1047" s="144" t="str">
        <f t="shared" ref="Y1047:Y1056" si="95">IF(V1047="","",IF(W1047="",(V1047&amp;"/"&amp;"1"&amp;"/"&amp;"1"),IF(X1047="",(V1047&amp;"/"&amp;W1047&amp;"/"&amp;"1"),(V1047&amp;"/"&amp;W1047&amp;"/"&amp;X1047))))</f>
        <v/>
      </c>
      <c r="Z1047" s="144" t="str">
        <f t="shared" ref="Z1047:Z1056" si="96">IF(Y1047="//","",Y1047)</f>
        <v/>
      </c>
      <c r="AC1047" s="172">
        <f>IF(B1047="",0,1)</f>
        <v>0</v>
      </c>
      <c r="AD1047" s="172">
        <f>IF(B1047="",0,IF(N1047&gt;0,1,IF(N1047&lt;0,2,0)))</f>
        <v>0</v>
      </c>
      <c r="AE1047" s="172">
        <f>IF(AC1047=AD1047,0,IF(AC1047&gt;AD1047,2,1))</f>
        <v>0</v>
      </c>
      <c r="AF1047" s="172">
        <f>IF(B1047="",0,IF(N1047=0,0,H1047-$F$125))</f>
        <v>0</v>
      </c>
      <c r="AG1047" s="172">
        <f>IF(AF1047&gt;0,1,0)</f>
        <v>0</v>
      </c>
    </row>
    <row r="1048" spans="2:33" ht="25.5" customHeight="1" x14ac:dyDescent="0.25">
      <c r="B1048" s="200"/>
      <c r="C1048" s="53">
        <v>8</v>
      </c>
      <c r="D1048" s="54"/>
      <c r="E1048" s="55"/>
      <c r="F1048" s="55">
        <v>1</v>
      </c>
      <c r="G1048" s="143" t="str">
        <f>Z1048</f>
        <v/>
      </c>
      <c r="H1048" s="143" t="str">
        <f>Z1053</f>
        <v/>
      </c>
      <c r="I1048" s="202"/>
      <c r="J1048" s="203"/>
      <c r="K1048" s="56">
        <v>23</v>
      </c>
      <c r="L1048" s="204"/>
      <c r="M1048" s="205"/>
      <c r="N1048" s="164">
        <f>IF(G1048="",0,IF(H1048="",0,(ROUND(((H1048-G1048)/30),0))))</f>
        <v>0</v>
      </c>
      <c r="O1048" s="21"/>
      <c r="P1048" s="148">
        <v>1</v>
      </c>
      <c r="Q1048" s="144">
        <v>1</v>
      </c>
      <c r="R1048" s="144">
        <v>1</v>
      </c>
      <c r="S1048" s="144" t="str">
        <f>VLOOKUP(P1048,'WORKINGS MATRIX'!$B$200:$C$351,2,FALSE)</f>
        <v>Year</v>
      </c>
      <c r="T1048" s="144">
        <f t="shared" si="92"/>
        <v>0</v>
      </c>
      <c r="U1048" s="144">
        <f t="shared" si="92"/>
        <v>0</v>
      </c>
      <c r="V1048" s="144" t="str">
        <f t="shared" si="93"/>
        <v/>
      </c>
      <c r="W1048" s="144" t="str">
        <f t="shared" si="94"/>
        <v/>
      </c>
      <c r="X1048" s="144" t="str">
        <f t="shared" si="94"/>
        <v/>
      </c>
      <c r="Y1048" s="144" t="str">
        <f t="shared" si="95"/>
        <v/>
      </c>
      <c r="Z1048" s="144" t="str">
        <f t="shared" si="96"/>
        <v/>
      </c>
      <c r="AC1048" s="172">
        <f>IF(B1048="",0,1)</f>
        <v>0</v>
      </c>
      <c r="AD1048" s="172">
        <f>IF(B1048="",0,IF(N1048&gt;0,1,IF(N1048&lt;0,2,0)))</f>
        <v>0</v>
      </c>
      <c r="AE1048" s="172">
        <f>IF(AC1048=AD1048,0,IF(AC1048&gt;AD1048,2,1))</f>
        <v>0</v>
      </c>
      <c r="AF1048" s="172">
        <f>IF(B1048="",0,IF(N1048=0,0,H1048-$F$125))</f>
        <v>0</v>
      </c>
      <c r="AG1048" s="172">
        <f>IF(AF1048&gt;0,1,0)</f>
        <v>0</v>
      </c>
    </row>
    <row r="1049" spans="2:33" ht="25.5" customHeight="1" x14ac:dyDescent="0.25">
      <c r="B1049" s="200"/>
      <c r="C1049" s="53">
        <v>8</v>
      </c>
      <c r="D1049" s="54"/>
      <c r="E1049" s="55"/>
      <c r="F1049" s="55">
        <v>1</v>
      </c>
      <c r="G1049" s="143" t="str">
        <f>Z1049</f>
        <v/>
      </c>
      <c r="H1049" s="143" t="str">
        <f>Z1054</f>
        <v/>
      </c>
      <c r="I1049" s="202"/>
      <c r="J1049" s="203"/>
      <c r="K1049" s="56">
        <v>23</v>
      </c>
      <c r="L1049" s="204"/>
      <c r="M1049" s="205"/>
      <c r="N1049" s="164">
        <f>IF(G1049="",0,IF(H1049="",0,(ROUND(((H1049-G1049)/30),0))))</f>
        <v>0</v>
      </c>
      <c r="O1049" s="21"/>
      <c r="P1049" s="148">
        <v>1</v>
      </c>
      <c r="Q1049" s="144">
        <v>1</v>
      </c>
      <c r="R1049" s="144">
        <v>1</v>
      </c>
      <c r="S1049" s="144" t="str">
        <f>VLOOKUP(P1049,'WORKINGS MATRIX'!$B$200:$C$351,2,FALSE)</f>
        <v>Year</v>
      </c>
      <c r="T1049" s="144">
        <f t="shared" si="92"/>
        <v>0</v>
      </c>
      <c r="U1049" s="144">
        <f t="shared" si="92"/>
        <v>0</v>
      </c>
      <c r="V1049" s="144" t="str">
        <f t="shared" si="93"/>
        <v/>
      </c>
      <c r="W1049" s="144" t="str">
        <f t="shared" si="94"/>
        <v/>
      </c>
      <c r="X1049" s="144" t="str">
        <f t="shared" si="94"/>
        <v/>
      </c>
      <c r="Y1049" s="144" t="str">
        <f t="shared" si="95"/>
        <v/>
      </c>
      <c r="Z1049" s="144" t="str">
        <f t="shared" si="96"/>
        <v/>
      </c>
      <c r="AC1049" s="172">
        <f>IF(B1049="",0,1)</f>
        <v>0</v>
      </c>
      <c r="AD1049" s="172">
        <f>IF(B1049="",0,IF(N1049&gt;0,1,IF(N1049&lt;0,2,0)))</f>
        <v>0</v>
      </c>
      <c r="AE1049" s="172">
        <f>IF(AC1049=AD1049,0,IF(AC1049&gt;AD1049,2,1))</f>
        <v>0</v>
      </c>
      <c r="AF1049" s="172">
        <f>IF(B1049="",0,IF(N1049=0,0,H1049-$F$125))</f>
        <v>0</v>
      </c>
      <c r="AG1049" s="172">
        <f>IF(AF1049&gt;0,1,0)</f>
        <v>0</v>
      </c>
    </row>
    <row r="1050" spans="2:33" ht="25.5" customHeight="1" x14ac:dyDescent="0.25">
      <c r="B1050" s="255"/>
      <c r="C1050" s="255"/>
      <c r="D1050" s="255"/>
      <c r="E1050" s="255"/>
      <c r="F1050" s="255"/>
      <c r="G1050" s="255"/>
      <c r="H1050" s="255"/>
      <c r="I1050" s="255"/>
      <c r="J1050" s="255"/>
      <c r="K1050" s="255"/>
      <c r="L1050" s="255"/>
      <c r="M1050" s="255"/>
      <c r="N1050" s="164">
        <f>IF(G1050="",0,IF(H1050="",0,(ROUND(((H1050-G1050)/30),0))))</f>
        <v>0</v>
      </c>
      <c r="O1050" s="21"/>
      <c r="P1050" s="148">
        <v>1</v>
      </c>
      <c r="Q1050" s="144">
        <v>1</v>
      </c>
      <c r="R1050" s="144">
        <v>1</v>
      </c>
      <c r="S1050" s="144" t="str">
        <f>VLOOKUP(P1050,'WORKINGS MATRIX'!$B$200:$C$351,2,FALSE)</f>
        <v>Year</v>
      </c>
      <c r="T1050" s="144">
        <f t="shared" si="92"/>
        <v>0</v>
      </c>
      <c r="U1050" s="144">
        <f t="shared" si="92"/>
        <v>0</v>
      </c>
      <c r="V1050" s="144" t="str">
        <f t="shared" si="93"/>
        <v/>
      </c>
      <c r="W1050" s="144" t="str">
        <f t="shared" si="94"/>
        <v/>
      </c>
      <c r="X1050" s="144" t="str">
        <f t="shared" si="94"/>
        <v/>
      </c>
      <c r="Y1050" s="144" t="str">
        <f t="shared" si="95"/>
        <v/>
      </c>
      <c r="Z1050" s="144" t="str">
        <f t="shared" si="96"/>
        <v/>
      </c>
      <c r="AC1050" s="172">
        <f>IF(B1050="",0,1)</f>
        <v>0</v>
      </c>
      <c r="AD1050" s="172">
        <f>IF(B1050="",0,IF(N1050&gt;0,1,IF(N1050&lt;0,2,0)))</f>
        <v>0</v>
      </c>
      <c r="AE1050" s="172">
        <f>IF(AC1050=AD1050,0,IF(AC1050&gt;AD1050,2,1))</f>
        <v>0</v>
      </c>
      <c r="AF1050" s="172">
        <f>IF(B1050="",0,IF(N1050=0,0,H1050-$F$125))</f>
        <v>0</v>
      </c>
      <c r="AG1050" s="172">
        <f>IF(AF1050&gt;0,1,0)</f>
        <v>0</v>
      </c>
    </row>
    <row r="1051" spans="2:33" ht="25.5" customHeight="1" x14ac:dyDescent="0.25">
      <c r="B1051" s="149"/>
      <c r="C1051" s="149"/>
      <c r="D1051" s="149"/>
      <c r="E1051" s="149"/>
      <c r="F1051" s="149"/>
      <c r="G1051" s="149"/>
      <c r="H1051" s="149"/>
      <c r="I1051" s="149"/>
      <c r="J1051" s="149"/>
      <c r="K1051" s="149"/>
      <c r="L1051" s="149"/>
      <c r="M1051" s="149"/>
      <c r="N1051" s="164">
        <f>IF(G1051="",0,IF(H1051="",0,(ROUND(((H1051-G1051)/30),0))))</f>
        <v>0</v>
      </c>
      <c r="O1051" s="21"/>
      <c r="P1051" s="148">
        <v>1</v>
      </c>
      <c r="Q1051" s="144">
        <v>1</v>
      </c>
      <c r="R1051" s="144">
        <v>1</v>
      </c>
      <c r="S1051" s="144" t="str">
        <f>VLOOKUP(P1051,'WORKINGS MATRIX'!$B$200:$C$351,2,FALSE)</f>
        <v>Year</v>
      </c>
      <c r="T1051" s="144">
        <f t="shared" si="92"/>
        <v>0</v>
      </c>
      <c r="U1051" s="144">
        <f t="shared" si="92"/>
        <v>0</v>
      </c>
      <c r="V1051" s="144" t="str">
        <f t="shared" si="93"/>
        <v/>
      </c>
      <c r="W1051" s="144" t="str">
        <f t="shared" si="94"/>
        <v/>
      </c>
      <c r="X1051" s="144" t="str">
        <f t="shared" si="94"/>
        <v/>
      </c>
      <c r="Y1051" s="144" t="str">
        <f t="shared" si="95"/>
        <v/>
      </c>
      <c r="Z1051" s="144" t="str">
        <f t="shared" si="96"/>
        <v/>
      </c>
      <c r="AC1051" s="172">
        <f>IF(B1051="",0,1)</f>
        <v>0</v>
      </c>
      <c r="AD1051" s="172">
        <f>IF(B1051="",0,IF(N1051&gt;0,1,IF(N1051&lt;0,2,0)))</f>
        <v>0</v>
      </c>
      <c r="AE1051" s="172">
        <f>IF(AC1051=AD1051,0,IF(AC1051&gt;AD1051,2,1))</f>
        <v>0</v>
      </c>
      <c r="AF1051" s="172">
        <f>IF(B1051="",0,IF(N1051=0,0,H1051-$F$125))</f>
        <v>0</v>
      </c>
      <c r="AG1051" s="172">
        <f>IF(AF1051&gt;0,1,0)</f>
        <v>0</v>
      </c>
    </row>
    <row r="1052" spans="2:33" x14ac:dyDescent="0.25">
      <c r="D1052" s="57"/>
      <c r="H1052" s="58"/>
      <c r="K1052" s="21"/>
      <c r="N1052" s="38"/>
      <c r="O1052" s="58"/>
      <c r="P1052" s="134">
        <v>1</v>
      </c>
      <c r="Q1052" s="144">
        <v>1</v>
      </c>
      <c r="R1052" s="144">
        <v>1</v>
      </c>
      <c r="S1052" s="144" t="str">
        <f>VLOOKUP(P1052,'WORKINGS MATRIX'!$B$200:$C$351,2,FALSE)</f>
        <v>Year</v>
      </c>
      <c r="T1052" s="144">
        <f t="shared" ref="T1052:U1056" si="97">Q1052-1</f>
        <v>0</v>
      </c>
      <c r="U1052" s="144">
        <f t="shared" si="97"/>
        <v>0</v>
      </c>
      <c r="V1052" s="144" t="str">
        <f t="shared" si="93"/>
        <v/>
      </c>
      <c r="W1052" s="144" t="str">
        <f t="shared" ref="W1052:X1056" si="98">IF(T1052=0,"",T1052)</f>
        <v/>
      </c>
      <c r="X1052" s="144" t="str">
        <f t="shared" si="98"/>
        <v/>
      </c>
      <c r="Y1052" s="144" t="str">
        <f t="shared" si="95"/>
        <v/>
      </c>
      <c r="Z1052" s="144" t="str">
        <f t="shared" si="96"/>
        <v/>
      </c>
      <c r="AC1052" s="158"/>
      <c r="AD1052" s="158"/>
      <c r="AE1052" s="158"/>
      <c r="AF1052" s="158"/>
      <c r="AG1052" s="158"/>
    </row>
    <row r="1053" spans="2:33" x14ac:dyDescent="0.25">
      <c r="B1053" t="s">
        <v>152</v>
      </c>
      <c r="D1053" s="57"/>
      <c r="H1053" s="58"/>
      <c r="K1053" s="21"/>
      <c r="N1053" s="38"/>
      <c r="O1053" s="58"/>
      <c r="P1053" s="144">
        <v>1</v>
      </c>
      <c r="Q1053" s="144">
        <v>1</v>
      </c>
      <c r="R1053" s="144">
        <v>1</v>
      </c>
      <c r="S1053" s="144" t="str">
        <f>VLOOKUP(P1053,'WORKINGS MATRIX'!$B$200:$C$351,2,FALSE)</f>
        <v>Year</v>
      </c>
      <c r="T1053" s="144">
        <f t="shared" si="97"/>
        <v>0</v>
      </c>
      <c r="U1053" s="144">
        <f t="shared" si="97"/>
        <v>0</v>
      </c>
      <c r="V1053" s="144" t="str">
        <f t="shared" si="93"/>
        <v/>
      </c>
      <c r="W1053" s="144" t="str">
        <f t="shared" si="98"/>
        <v/>
      </c>
      <c r="X1053" s="144" t="str">
        <f t="shared" si="98"/>
        <v/>
      </c>
      <c r="Y1053" s="144" t="str">
        <f t="shared" si="95"/>
        <v/>
      </c>
      <c r="Z1053" s="144" t="str">
        <f t="shared" si="96"/>
        <v/>
      </c>
      <c r="AC1053" s="158"/>
      <c r="AD1053" s="158"/>
      <c r="AE1053" s="158"/>
      <c r="AF1053" s="158"/>
      <c r="AG1053" s="158"/>
    </row>
    <row r="1054" spans="2:33" x14ac:dyDescent="0.25">
      <c r="B1054" s="429"/>
      <c r="C1054" s="430"/>
      <c r="D1054" s="430"/>
      <c r="E1054" s="430"/>
      <c r="F1054" s="430"/>
      <c r="G1054" s="430"/>
      <c r="H1054" s="430"/>
      <c r="I1054" s="430"/>
      <c r="J1054" s="430"/>
      <c r="K1054" s="430"/>
      <c r="L1054" s="430"/>
      <c r="M1054" s="431"/>
      <c r="N1054" s="38"/>
      <c r="O1054" s="58"/>
      <c r="P1054" s="144">
        <v>1</v>
      </c>
      <c r="Q1054" s="144">
        <v>1</v>
      </c>
      <c r="R1054" s="144">
        <v>1</v>
      </c>
      <c r="S1054" s="144" t="str">
        <f>VLOOKUP(P1054,'WORKINGS MATRIX'!$B$200:$C$351,2,FALSE)</f>
        <v>Year</v>
      </c>
      <c r="T1054" s="144">
        <f t="shared" si="97"/>
        <v>0</v>
      </c>
      <c r="U1054" s="144">
        <f t="shared" si="97"/>
        <v>0</v>
      </c>
      <c r="V1054" s="144" t="str">
        <f t="shared" si="93"/>
        <v/>
      </c>
      <c r="W1054" s="144" t="str">
        <f t="shared" si="98"/>
        <v/>
      </c>
      <c r="X1054" s="144" t="str">
        <f t="shared" si="98"/>
        <v/>
      </c>
      <c r="Y1054" s="144" t="str">
        <f t="shared" si="95"/>
        <v/>
      </c>
      <c r="Z1054" s="144" t="str">
        <f t="shared" si="96"/>
        <v/>
      </c>
      <c r="AC1054" s="158"/>
      <c r="AD1054" s="158"/>
      <c r="AE1054" s="158"/>
      <c r="AF1054" s="158"/>
      <c r="AG1054" s="158"/>
    </row>
    <row r="1055" spans="2:33" x14ac:dyDescent="0.25">
      <c r="B1055" s="432"/>
      <c r="C1055" s="433"/>
      <c r="D1055" s="433"/>
      <c r="E1055" s="433"/>
      <c r="F1055" s="433"/>
      <c r="G1055" s="433"/>
      <c r="H1055" s="433"/>
      <c r="I1055" s="433"/>
      <c r="J1055" s="433"/>
      <c r="K1055" s="433"/>
      <c r="L1055" s="433"/>
      <c r="M1055" s="434"/>
      <c r="N1055" s="38"/>
      <c r="O1055" s="58"/>
      <c r="P1055" s="144">
        <v>1</v>
      </c>
      <c r="Q1055" s="144">
        <v>1</v>
      </c>
      <c r="R1055" s="144">
        <v>1</v>
      </c>
      <c r="S1055" s="144" t="str">
        <f>VLOOKUP(P1055,'WORKINGS MATRIX'!$B$200:$C$351,2,FALSE)</f>
        <v>Year</v>
      </c>
      <c r="T1055" s="144">
        <f t="shared" si="97"/>
        <v>0</v>
      </c>
      <c r="U1055" s="144">
        <f t="shared" si="97"/>
        <v>0</v>
      </c>
      <c r="V1055" s="144" t="str">
        <f t="shared" si="93"/>
        <v/>
      </c>
      <c r="W1055" s="144" t="str">
        <f t="shared" si="98"/>
        <v/>
      </c>
      <c r="X1055" s="144" t="str">
        <f t="shared" si="98"/>
        <v/>
      </c>
      <c r="Y1055" s="144" t="str">
        <f t="shared" si="95"/>
        <v/>
      </c>
      <c r="Z1055" s="144" t="str">
        <f t="shared" si="96"/>
        <v/>
      </c>
      <c r="AC1055" s="158"/>
      <c r="AD1055" s="158"/>
      <c r="AE1055" s="158"/>
      <c r="AF1055" s="158"/>
      <c r="AG1055" s="158"/>
    </row>
    <row r="1056" spans="2:33" x14ac:dyDescent="0.25">
      <c r="B1056" s="432"/>
      <c r="C1056" s="433"/>
      <c r="D1056" s="433"/>
      <c r="E1056" s="433"/>
      <c r="F1056" s="433"/>
      <c r="G1056" s="433"/>
      <c r="H1056" s="433"/>
      <c r="I1056" s="433"/>
      <c r="J1056" s="433"/>
      <c r="K1056" s="433"/>
      <c r="L1056" s="433"/>
      <c r="M1056" s="434"/>
      <c r="N1056" s="38"/>
      <c r="O1056" s="58"/>
      <c r="P1056" s="144">
        <v>1</v>
      </c>
      <c r="Q1056" s="144">
        <v>1</v>
      </c>
      <c r="R1056" s="144">
        <v>1</v>
      </c>
      <c r="S1056" s="144" t="str">
        <f>VLOOKUP(P1056,'WORKINGS MATRIX'!$B$200:$C$351,2,FALSE)</f>
        <v>Year</v>
      </c>
      <c r="T1056" s="144">
        <f t="shared" si="97"/>
        <v>0</v>
      </c>
      <c r="U1056" s="144">
        <f t="shared" si="97"/>
        <v>0</v>
      </c>
      <c r="V1056" s="144" t="str">
        <f t="shared" si="93"/>
        <v/>
      </c>
      <c r="W1056" s="144" t="str">
        <f t="shared" si="98"/>
        <v/>
      </c>
      <c r="X1056" s="144" t="str">
        <f t="shared" si="98"/>
        <v/>
      </c>
      <c r="Y1056" s="144" t="str">
        <f t="shared" si="95"/>
        <v/>
      </c>
      <c r="Z1056" s="144" t="str">
        <f t="shared" si="96"/>
        <v/>
      </c>
      <c r="AC1056" s="158"/>
      <c r="AD1056" s="158"/>
      <c r="AE1056" s="158"/>
      <c r="AF1056" s="158"/>
      <c r="AG1056" s="158"/>
    </row>
    <row r="1057" spans="2:13" x14ac:dyDescent="0.25">
      <c r="B1057" s="435"/>
      <c r="C1057" s="436"/>
      <c r="D1057" s="436"/>
      <c r="E1057" s="436"/>
      <c r="F1057" s="436"/>
      <c r="G1057" s="436"/>
      <c r="H1057" s="436"/>
      <c r="I1057" s="436"/>
      <c r="J1057" s="436"/>
      <c r="K1057" s="436"/>
      <c r="L1057" s="436"/>
      <c r="M1057" s="437"/>
    </row>
    <row r="1058" spans="2:13" x14ac:dyDescent="0.25">
      <c r="B1058" s="15" t="s">
        <v>153</v>
      </c>
      <c r="D1058" s="57"/>
      <c r="H1058" s="58"/>
      <c r="K1058" s="21"/>
    </row>
    <row r="1059" spans="2:13" x14ac:dyDescent="0.25">
      <c r="B1059" s="15" t="s">
        <v>154</v>
      </c>
      <c r="D1059" s="57"/>
      <c r="H1059" s="58"/>
      <c r="K1059" s="21"/>
    </row>
    <row r="1060" spans="2:13" x14ac:dyDescent="0.25">
      <c r="D1060" s="57"/>
      <c r="H1060" s="58"/>
      <c r="K1060" s="21"/>
    </row>
    <row r="1061" spans="2:13" x14ac:dyDescent="0.25">
      <c r="D1061" s="57"/>
      <c r="E1061" s="149"/>
      <c r="F1061" s="149"/>
      <c r="G1061" s="149"/>
      <c r="H1061" s="149"/>
      <c r="I1061" s="149"/>
      <c r="K1061" s="21"/>
    </row>
    <row r="1062" spans="2:13" x14ac:dyDescent="0.25">
      <c r="D1062" s="57"/>
      <c r="E1062" s="149"/>
      <c r="F1062" s="149"/>
      <c r="G1062" s="149"/>
      <c r="H1062" s="149"/>
      <c r="I1062" s="149"/>
      <c r="K1062" s="438" t="s">
        <v>155</v>
      </c>
      <c r="L1062" s="438"/>
      <c r="M1062" s="438"/>
    </row>
    <row r="1063" spans="2:13" x14ac:dyDescent="0.25">
      <c r="D1063" s="57"/>
      <c r="H1063" s="58"/>
      <c r="K1063" s="438"/>
      <c r="L1063" s="438"/>
      <c r="M1063" s="438"/>
    </row>
    <row r="1064" spans="2:13" x14ac:dyDescent="0.25">
      <c r="D1064" s="57"/>
      <c r="E1064" s="149"/>
      <c r="F1064" s="149"/>
      <c r="G1064" s="149"/>
      <c r="H1064" s="149"/>
      <c r="I1064" s="149"/>
      <c r="K1064" s="438"/>
      <c r="L1064" s="438"/>
      <c r="M1064" s="438"/>
    </row>
    <row r="1065" spans="2:13" x14ac:dyDescent="0.25">
      <c r="D1065" s="57"/>
      <c r="E1065" s="149"/>
      <c r="F1065" s="149"/>
      <c r="G1065" s="149"/>
      <c r="H1065" s="149"/>
      <c r="I1065" s="149"/>
      <c r="K1065" s="438"/>
      <c r="L1065" s="438"/>
      <c r="M1065" s="438"/>
    </row>
    <row r="1066" spans="2:13" ht="13.8" thickBot="1" x14ac:dyDescent="0.3">
      <c r="B1066" s="60"/>
      <c r="C1066" s="60"/>
      <c r="D1066" s="61"/>
      <c r="E1066" s="60"/>
      <c r="F1066" s="60"/>
      <c r="G1066" s="60"/>
      <c r="H1066" s="62"/>
      <c r="I1066" s="60"/>
      <c r="J1066" s="60"/>
      <c r="K1066" s="63"/>
      <c r="L1066" s="60"/>
      <c r="M1066" s="60"/>
    </row>
    <row r="1067" spans="2:13" ht="14.4" thickTop="1" thickBot="1" x14ac:dyDescent="0.3">
      <c r="D1067" s="57"/>
      <c r="H1067" s="58"/>
      <c r="K1067" s="21"/>
    </row>
    <row r="1068" spans="2:13" ht="13.8" thickTop="1" x14ac:dyDescent="0.25">
      <c r="B1068" s="27" t="s">
        <v>156</v>
      </c>
      <c r="C1068" s="29"/>
      <c r="D1068" s="28"/>
      <c r="E1068" s="65"/>
      <c r="F1068" s="65"/>
      <c r="G1068" s="65"/>
      <c r="H1068" s="28"/>
      <c r="I1068" s="28"/>
      <c r="J1068" s="28"/>
      <c r="K1068" s="28"/>
      <c r="L1068" s="31" t="s">
        <v>157</v>
      </c>
      <c r="M1068" s="28"/>
    </row>
    <row r="1069" spans="2:13" x14ac:dyDescent="0.25">
      <c r="E1069" s="134">
        <v>5</v>
      </c>
      <c r="F1069" s="12"/>
    </row>
    <row r="1070" spans="2:13" x14ac:dyDescent="0.25">
      <c r="B1070" t="s">
        <v>134</v>
      </c>
      <c r="L1070" s="465" t="str">
        <f>$L$39</f>
        <v>X.002-218-2024(NT)&amp;N.004-116-2024(T)</v>
      </c>
      <c r="M1070" s="465"/>
    </row>
    <row r="1071" spans="2:13" x14ac:dyDescent="0.25">
      <c r="B1071" s="39" t="s">
        <v>135</v>
      </c>
      <c r="C1071" s="40"/>
      <c r="D1071" s="41"/>
      <c r="E1071" s="448" t="s">
        <v>158</v>
      </c>
      <c r="F1071" s="449"/>
      <c r="G1071" s="466" t="s">
        <v>159</v>
      </c>
      <c r="H1071" s="449"/>
      <c r="L1071" s="465"/>
      <c r="M1071" s="465"/>
    </row>
    <row r="1072" spans="2:13" ht="18" customHeight="1" x14ac:dyDescent="0.25">
      <c r="B1072" s="66">
        <f>B1041</f>
        <v>0</v>
      </c>
      <c r="C1072" s="67"/>
      <c r="D1072" s="68"/>
      <c r="E1072" s="441" t="str">
        <f>G1041</f>
        <v>Project Leader (RIMS)</v>
      </c>
      <c r="F1072" s="441"/>
      <c r="G1072" s="42"/>
      <c r="H1072" s="12">
        <v>1</v>
      </c>
      <c r="I1072" s="377" t="s">
        <v>160</v>
      </c>
      <c r="J1072" s="377"/>
      <c r="K1072" s="377"/>
      <c r="L1072" s="377"/>
    </row>
    <row r="1074" spans="2:26" x14ac:dyDescent="0.25">
      <c r="B1074" t="s">
        <v>161</v>
      </c>
      <c r="N1074" s="38"/>
      <c r="P1074" s="144"/>
      <c r="Q1074" s="144"/>
      <c r="R1074" s="144"/>
      <c r="S1074" s="144"/>
      <c r="T1074" s="144"/>
      <c r="U1074" s="144"/>
      <c r="V1074" s="144"/>
      <c r="W1074" s="144"/>
      <c r="X1074" s="144"/>
      <c r="Y1074" s="144"/>
      <c r="Z1074" s="144"/>
    </row>
    <row r="1075" spans="2:26" ht="18" customHeight="1" x14ac:dyDescent="0.25">
      <c r="B1075" s="468" t="s">
        <v>162</v>
      </c>
      <c r="C1075" s="468"/>
      <c r="D1075" s="469" t="s">
        <v>163</v>
      </c>
      <c r="E1075" s="469"/>
      <c r="F1075" s="461" t="s">
        <v>164</v>
      </c>
      <c r="G1075" s="462"/>
      <c r="H1075" s="467" t="s">
        <v>165</v>
      </c>
      <c r="I1075" s="462"/>
      <c r="J1075" s="467" t="s">
        <v>165</v>
      </c>
      <c r="K1075" s="462"/>
      <c r="L1075" s="125" t="s">
        <v>166</v>
      </c>
      <c r="M1075" s="125" t="s">
        <v>167</v>
      </c>
      <c r="N1075" s="38"/>
      <c r="P1075" s="144">
        <v>1</v>
      </c>
      <c r="Q1075" s="144">
        <v>1</v>
      </c>
      <c r="R1075" s="144">
        <v>1</v>
      </c>
      <c r="S1075" s="144" t="str">
        <f>VLOOKUP(P1075,'WORKINGS MATRIX'!$B$200:$C$351,2,FALSE)</f>
        <v>Year</v>
      </c>
      <c r="T1075" s="144">
        <f t="shared" ref="T1075:U1079" si="99">Q1075-1</f>
        <v>0</v>
      </c>
      <c r="U1075" s="144">
        <f t="shared" si="99"/>
        <v>0</v>
      </c>
      <c r="V1075" s="144" t="str">
        <f>IF(S1075="year","",S1075)</f>
        <v/>
      </c>
      <c r="W1075" s="144" t="str">
        <f t="shared" ref="W1075:X1079" si="100">IF(T1075=0,"",T1075)</f>
        <v/>
      </c>
      <c r="X1075" s="144" t="str">
        <f t="shared" si="100"/>
        <v/>
      </c>
      <c r="Y1075" s="144" t="str">
        <f>IF(V1075="","",IF(W1075="",(V1075&amp;"/"&amp;"12"&amp;"/"&amp;"1"),IF(X1075="",(V1075&amp;"/"&amp;W1075&amp;"/"&amp;"1"),(V1075&amp;"/"&amp;W1075&amp;"/"&amp;X1075))))</f>
        <v/>
      </c>
      <c r="Z1075" s="144" t="str">
        <f>IF(Y1075="//","",Y1075)</f>
        <v/>
      </c>
    </row>
    <row r="1076" spans="2:26" ht="18" customHeight="1" x14ac:dyDescent="0.25">
      <c r="B1076" s="441" t="s">
        <v>168</v>
      </c>
      <c r="C1076" s="441"/>
      <c r="D1076" s="439">
        <v>10</v>
      </c>
      <c r="E1076" s="440"/>
      <c r="F1076" s="442"/>
      <c r="G1076" s="443"/>
      <c r="H1076" s="463">
        <v>1</v>
      </c>
      <c r="I1076" s="464"/>
      <c r="J1076" s="450"/>
      <c r="K1076" s="443"/>
      <c r="L1076" s="206"/>
      <c r="M1076" s="143" t="str">
        <f>Z1075</f>
        <v/>
      </c>
      <c r="N1076" s="38"/>
      <c r="P1076" s="144">
        <v>1</v>
      </c>
      <c r="Q1076" s="144">
        <v>1</v>
      </c>
      <c r="R1076" s="144">
        <v>1</v>
      </c>
      <c r="S1076" s="144" t="str">
        <f>VLOOKUP(P1076,'WORKINGS MATRIX'!$B$200:$C$351,2,FALSE)</f>
        <v>Year</v>
      </c>
      <c r="T1076" s="144">
        <f t="shared" si="99"/>
        <v>0</v>
      </c>
      <c r="U1076" s="144">
        <f t="shared" si="99"/>
        <v>0</v>
      </c>
      <c r="V1076" s="144" t="str">
        <f>IF(S1076="year","",S1076)</f>
        <v/>
      </c>
      <c r="W1076" s="144" t="str">
        <f t="shared" si="100"/>
        <v/>
      </c>
      <c r="X1076" s="144" t="str">
        <f t="shared" si="100"/>
        <v/>
      </c>
      <c r="Y1076" s="144" t="str">
        <f>IF(V1076="","",IF(W1076="",(V1076&amp;"/"&amp;"12"&amp;"/"&amp;"1"),IF(X1076="",(V1076&amp;"/"&amp;W1076&amp;"/"&amp;"1"),(V1076&amp;"/"&amp;W1076&amp;"/"&amp;X1076))))</f>
        <v/>
      </c>
      <c r="Z1076" s="144" t="str">
        <f>IF(Y1076="//","",Y1076)</f>
        <v/>
      </c>
    </row>
    <row r="1077" spans="2:26" ht="18" customHeight="1" x14ac:dyDescent="0.25">
      <c r="B1077" s="441" t="s">
        <v>169</v>
      </c>
      <c r="C1077" s="441"/>
      <c r="D1077" s="442"/>
      <c r="E1077" s="443"/>
      <c r="F1077" s="442"/>
      <c r="G1077" s="443"/>
      <c r="H1077" s="451" t="s">
        <v>170</v>
      </c>
      <c r="I1077" s="452"/>
      <c r="J1077" s="451" t="s">
        <v>171</v>
      </c>
      <c r="K1077" s="452"/>
      <c r="L1077" s="125" t="s">
        <v>166</v>
      </c>
      <c r="M1077" s="125" t="s">
        <v>167</v>
      </c>
      <c r="N1077" s="38"/>
      <c r="P1077" s="144">
        <v>1</v>
      </c>
      <c r="Q1077" s="144">
        <v>1</v>
      </c>
      <c r="R1077" s="144">
        <v>1</v>
      </c>
      <c r="S1077" s="144" t="str">
        <f>VLOOKUP(P1077,'WORKINGS MATRIX'!$B$200:$C$351,2,FALSE)</f>
        <v>Year</v>
      </c>
      <c r="T1077" s="144">
        <f t="shared" si="99"/>
        <v>0</v>
      </c>
      <c r="U1077" s="144">
        <f t="shared" si="99"/>
        <v>0</v>
      </c>
      <c r="V1077" s="144" t="str">
        <f>IF(S1077="year","",S1077)</f>
        <v/>
      </c>
      <c r="W1077" s="144" t="str">
        <f t="shared" si="100"/>
        <v/>
      </c>
      <c r="X1077" s="144" t="str">
        <f t="shared" si="100"/>
        <v/>
      </c>
      <c r="Y1077" s="144" t="str">
        <f>IF(V1077="","",IF(W1077="",(V1077&amp;"/"&amp;"1"&amp;"/"&amp;"1"),IF(X1077="",(V1077&amp;"/"&amp;W1077&amp;"/"&amp;"1"),(V1077&amp;"/"&amp;W1077&amp;"/"&amp;X1077))))</f>
        <v/>
      </c>
      <c r="Z1077" s="144" t="str">
        <f>IF(Y1077="//","",Y1077)</f>
        <v/>
      </c>
    </row>
    <row r="1078" spans="2:26" ht="18" customHeight="1" x14ac:dyDescent="0.25">
      <c r="B1078" s="441" t="s">
        <v>172</v>
      </c>
      <c r="C1078" s="441"/>
      <c r="D1078" s="444" t="str">
        <f>Z1077</f>
        <v/>
      </c>
      <c r="E1078" s="445"/>
      <c r="F1078" s="444" t="str">
        <f>Z1078</f>
        <v/>
      </c>
      <c r="G1078" s="445"/>
      <c r="H1078" s="446">
        <v>1</v>
      </c>
      <c r="I1078" s="447"/>
      <c r="J1078" s="450"/>
      <c r="K1078" s="443"/>
      <c r="L1078" s="206"/>
      <c r="M1078" s="143" t="str">
        <f>Z1076</f>
        <v/>
      </c>
      <c r="N1078" s="38"/>
      <c r="P1078" s="144">
        <v>1</v>
      </c>
      <c r="Q1078" s="144">
        <v>1</v>
      </c>
      <c r="R1078" s="144">
        <v>1</v>
      </c>
      <c r="S1078" s="144" t="str">
        <f>VLOOKUP(P1078,'WORKINGS MATRIX'!$B$200:$C$351,2,FALSE)</f>
        <v>Year</v>
      </c>
      <c r="T1078" s="144">
        <f t="shared" si="99"/>
        <v>0</v>
      </c>
      <c r="U1078" s="144">
        <f t="shared" si="99"/>
        <v>0</v>
      </c>
      <c r="V1078" s="144" t="str">
        <f>IF(S1078="year","",S1078)</f>
        <v/>
      </c>
      <c r="W1078" s="144" t="str">
        <f t="shared" si="100"/>
        <v/>
      </c>
      <c r="X1078" s="144" t="str">
        <f t="shared" si="100"/>
        <v/>
      </c>
      <c r="Y1078" s="144" t="str">
        <f>IF(V1078="","",IF(W1078="",(V1078&amp;"/"&amp;"1"&amp;"/"&amp;"1"),IF(X1078="",(V1078&amp;"/"&amp;W1078&amp;"/"&amp;"1"),(V1078&amp;"/"&amp;W1078&amp;"/"&amp;X1078))))</f>
        <v/>
      </c>
      <c r="Z1078" s="144" t="str">
        <f>IF(Y1078="//","",Y1078)</f>
        <v/>
      </c>
    </row>
    <row r="1079" spans="2:26" x14ac:dyDescent="0.25">
      <c r="N1079" s="38"/>
      <c r="P1079" s="144">
        <v>1</v>
      </c>
      <c r="Q1079" s="144">
        <v>1</v>
      </c>
      <c r="R1079" s="144">
        <v>1</v>
      </c>
      <c r="S1079" s="144" t="str">
        <f>VLOOKUP(P1079,'WORKINGS MATRIX'!$B$200:$C$351,2,FALSE)</f>
        <v>Year</v>
      </c>
      <c r="T1079" s="144">
        <f t="shared" si="99"/>
        <v>0</v>
      </c>
      <c r="U1079" s="144">
        <f t="shared" si="99"/>
        <v>0</v>
      </c>
      <c r="V1079" s="144" t="str">
        <f>IF(S1079="year","",S1079)</f>
        <v/>
      </c>
      <c r="W1079" s="144" t="str">
        <f t="shared" si="100"/>
        <v/>
      </c>
      <c r="X1079" s="144" t="str">
        <f t="shared" si="100"/>
        <v/>
      </c>
      <c r="Y1079" s="144" t="str">
        <f>IF(V1079="","",IF(W1079="",(V1079&amp;"/"&amp;"1"&amp;"/"&amp;"1"),IF(X1079="",(V1079&amp;"/"&amp;W1079&amp;"/"&amp;"1"),(V1079&amp;"/"&amp;W1079&amp;"/"&amp;X1079))))</f>
        <v/>
      </c>
      <c r="Z1079" s="144" t="str">
        <f>IF(Y1079="//","",Y1079)</f>
        <v/>
      </c>
    </row>
    <row r="1080" spans="2:26" x14ac:dyDescent="0.25">
      <c r="M1080" s="217"/>
      <c r="N1080" s="38"/>
      <c r="P1080" s="144"/>
      <c r="Q1080" s="144"/>
      <c r="R1080" s="144"/>
      <c r="S1080" s="144"/>
      <c r="T1080" s="144"/>
      <c r="U1080" s="144"/>
      <c r="V1080" s="144"/>
      <c r="W1080" s="144"/>
      <c r="X1080" s="144"/>
      <c r="Y1080" s="144"/>
      <c r="Z1080" s="144"/>
    </row>
    <row r="1081" spans="2:26" x14ac:dyDescent="0.25">
      <c r="B1081" s="21"/>
      <c r="C1081" s="77"/>
      <c r="D1081" s="216"/>
      <c r="E1081" s="21"/>
      <c r="F1081" s="10"/>
      <c r="G1081" s="10"/>
      <c r="H1081" s="10"/>
      <c r="I1081" s="10"/>
      <c r="J1081" s="21"/>
      <c r="K1081" s="21"/>
      <c r="L1081" s="21"/>
      <c r="M1081" s="217"/>
      <c r="N1081" s="387"/>
      <c r="O1081" s="21"/>
      <c r="P1081" s="144"/>
      <c r="Q1081" s="144"/>
      <c r="R1081" s="144"/>
      <c r="S1081" s="145"/>
      <c r="T1081" s="145"/>
      <c r="U1081" s="145"/>
      <c r="V1081" s="145"/>
      <c r="W1081" s="145"/>
      <c r="X1081" s="145"/>
      <c r="Y1081" s="145"/>
      <c r="Z1081" s="145"/>
    </row>
    <row r="1082" spans="2:26" ht="26.25" customHeight="1" x14ac:dyDescent="0.25">
      <c r="B1082" s="149"/>
      <c r="C1082" s="149"/>
      <c r="D1082" s="3"/>
      <c r="E1082" s="149"/>
      <c r="F1082" s="149"/>
      <c r="G1082" s="3"/>
      <c r="H1082" s="149"/>
      <c r="I1082" s="3"/>
      <c r="J1082" s="213"/>
      <c r="K1082" s="214"/>
      <c r="L1082" s="149"/>
      <c r="M1082" s="70"/>
      <c r="N1082" s="71"/>
      <c r="O1082" s="10"/>
      <c r="P1082" s="144"/>
      <c r="Q1082" s="144"/>
      <c r="R1082" s="144"/>
      <c r="S1082" s="144"/>
      <c r="T1082" s="144"/>
      <c r="U1082" s="144"/>
      <c r="V1082" s="144"/>
      <c r="W1082" s="144"/>
      <c r="X1082" s="144"/>
      <c r="Y1082" s="144"/>
      <c r="Z1082" s="144"/>
    </row>
    <row r="1083" spans="2:26" ht="26.25" customHeight="1" x14ac:dyDescent="0.25">
      <c r="B1083" s="149"/>
      <c r="C1083" s="149"/>
      <c r="D1083" s="3"/>
      <c r="E1083" s="149"/>
      <c r="F1083" s="149"/>
      <c r="G1083" s="3"/>
      <c r="H1083" s="149"/>
      <c r="I1083" s="3"/>
      <c r="J1083" s="213"/>
      <c r="K1083" s="214"/>
      <c r="L1083" s="149"/>
      <c r="M1083" s="70"/>
      <c r="N1083" s="71"/>
      <c r="O1083" s="10"/>
      <c r="P1083" s="144"/>
      <c r="Q1083" s="144"/>
      <c r="R1083" s="144"/>
      <c r="S1083" s="144"/>
      <c r="T1083" s="144"/>
      <c r="U1083" s="144"/>
      <c r="V1083" s="144"/>
      <c r="W1083" s="144"/>
      <c r="X1083" s="144"/>
      <c r="Y1083" s="144"/>
      <c r="Z1083" s="144"/>
    </row>
    <row r="1084" spans="2:26" ht="26.25" customHeight="1" x14ac:dyDescent="0.25">
      <c r="B1084" s="149"/>
      <c r="C1084" s="149"/>
      <c r="D1084" s="3"/>
      <c r="E1084" s="149"/>
      <c r="F1084" s="149"/>
      <c r="G1084" s="3"/>
      <c r="H1084" s="149"/>
      <c r="I1084" s="3"/>
      <c r="J1084" s="213"/>
      <c r="K1084" s="214"/>
      <c r="L1084" s="149"/>
      <c r="M1084" s="70"/>
      <c r="N1084" s="71"/>
      <c r="O1084" s="10"/>
      <c r="P1084" s="144"/>
      <c r="Q1084" s="144"/>
      <c r="R1084" s="144"/>
      <c r="S1084" s="144"/>
      <c r="T1084" s="144"/>
      <c r="U1084" s="144"/>
      <c r="V1084" s="144"/>
      <c r="W1084" s="144"/>
      <c r="X1084" s="144"/>
      <c r="Y1084" s="144"/>
      <c r="Z1084" s="144"/>
    </row>
    <row r="1085" spans="2:26" ht="26.25" customHeight="1" x14ac:dyDescent="0.25">
      <c r="B1085" s="149"/>
      <c r="C1085" s="149"/>
      <c r="D1085" s="3"/>
      <c r="E1085" s="149"/>
      <c r="F1085" s="149"/>
      <c r="G1085" s="3"/>
      <c r="H1085" s="149"/>
      <c r="I1085" s="3"/>
      <c r="J1085" s="213"/>
      <c r="K1085" s="214"/>
      <c r="L1085" s="149"/>
      <c r="M1085" s="70"/>
      <c r="N1085" s="71"/>
      <c r="O1085" s="10"/>
      <c r="P1085" s="144"/>
      <c r="Q1085" s="144"/>
      <c r="R1085" s="144"/>
      <c r="S1085" s="144"/>
      <c r="T1085" s="144"/>
      <c r="U1085" s="144"/>
      <c r="V1085" s="144"/>
      <c r="W1085" s="144"/>
      <c r="X1085" s="144"/>
      <c r="Y1085" s="144"/>
      <c r="Z1085" s="144"/>
    </row>
    <row r="1086" spans="2:26" ht="26.25" customHeight="1" x14ac:dyDescent="0.25">
      <c r="B1086" s="149"/>
      <c r="C1086" s="149"/>
      <c r="D1086" s="3"/>
      <c r="E1086" s="149"/>
      <c r="F1086" s="149"/>
      <c r="G1086" s="3"/>
      <c r="H1086" s="149"/>
      <c r="I1086" s="3"/>
      <c r="J1086" s="213"/>
      <c r="K1086" s="214"/>
      <c r="L1086" s="149"/>
      <c r="M1086" s="70"/>
      <c r="N1086" s="71"/>
      <c r="O1086" s="10"/>
      <c r="P1086" s="144"/>
      <c r="Q1086" s="144"/>
      <c r="R1086" s="144"/>
      <c r="S1086" s="144"/>
      <c r="T1086" s="144"/>
      <c r="U1086" s="144"/>
      <c r="V1086" s="144"/>
      <c r="W1086" s="144"/>
      <c r="X1086" s="144"/>
      <c r="Y1086" s="144"/>
      <c r="Z1086" s="144"/>
    </row>
    <row r="1087" spans="2:26" x14ac:dyDescent="0.25">
      <c r="D1087" s="3"/>
      <c r="G1087" s="3"/>
      <c r="I1087" s="3"/>
      <c r="N1087" s="71"/>
      <c r="P1087" s="144"/>
      <c r="Q1087" s="144"/>
      <c r="R1087" s="144"/>
      <c r="S1087" s="144"/>
      <c r="T1087" s="144"/>
      <c r="U1087" s="144"/>
      <c r="V1087" s="144"/>
      <c r="W1087" s="144"/>
      <c r="X1087" s="144"/>
      <c r="Y1087" s="144"/>
      <c r="Z1087" s="144"/>
    </row>
    <row r="1088" spans="2:26" x14ac:dyDescent="0.25">
      <c r="B1088" t="s">
        <v>152</v>
      </c>
      <c r="D1088" s="57"/>
      <c r="H1088" s="58"/>
      <c r="K1088" s="21"/>
      <c r="N1088" s="38"/>
      <c r="P1088" s="144"/>
      <c r="Q1088" s="144"/>
      <c r="R1088" s="144"/>
      <c r="S1088" s="144"/>
      <c r="T1088" s="144"/>
      <c r="U1088" s="144"/>
      <c r="V1088" s="144"/>
      <c r="W1088" s="144"/>
      <c r="X1088" s="144"/>
      <c r="Y1088" s="144"/>
      <c r="Z1088" s="144"/>
    </row>
    <row r="1089" spans="2:13" x14ac:dyDescent="0.25">
      <c r="B1089" s="429"/>
      <c r="C1089" s="430"/>
      <c r="D1089" s="430"/>
      <c r="E1089" s="430"/>
      <c r="F1089" s="430"/>
      <c r="G1089" s="430"/>
      <c r="H1089" s="430"/>
      <c r="I1089" s="430"/>
      <c r="J1089" s="430"/>
      <c r="K1089" s="430"/>
      <c r="L1089" s="430"/>
      <c r="M1089" s="431"/>
    </row>
    <row r="1090" spans="2:13" x14ac:dyDescent="0.25">
      <c r="B1090" s="432"/>
      <c r="C1090" s="433"/>
      <c r="D1090" s="433"/>
      <c r="E1090" s="433"/>
      <c r="F1090" s="433"/>
      <c r="G1090" s="433"/>
      <c r="H1090" s="433"/>
      <c r="I1090" s="433"/>
      <c r="J1090" s="433"/>
      <c r="K1090" s="433"/>
      <c r="L1090" s="433"/>
      <c r="M1090" s="434"/>
    </row>
    <row r="1091" spans="2:13" x14ac:dyDescent="0.25">
      <c r="B1091" s="432"/>
      <c r="C1091" s="433"/>
      <c r="D1091" s="433"/>
      <c r="E1091" s="433"/>
      <c r="F1091" s="433"/>
      <c r="G1091" s="433"/>
      <c r="H1091" s="433"/>
      <c r="I1091" s="433"/>
      <c r="J1091" s="433"/>
      <c r="K1091" s="433"/>
      <c r="L1091" s="433"/>
      <c r="M1091" s="434"/>
    </row>
    <row r="1092" spans="2:13" x14ac:dyDescent="0.25">
      <c r="B1092" s="435"/>
      <c r="C1092" s="436"/>
      <c r="D1092" s="436"/>
      <c r="E1092" s="436"/>
      <c r="F1092" s="436"/>
      <c r="G1092" s="436"/>
      <c r="H1092" s="436"/>
      <c r="I1092" s="436"/>
      <c r="J1092" s="436"/>
      <c r="K1092" s="436"/>
      <c r="L1092" s="436"/>
      <c r="M1092" s="437"/>
    </row>
    <row r="1093" spans="2:13" x14ac:dyDescent="0.25">
      <c r="B1093" s="15"/>
      <c r="D1093" s="57"/>
      <c r="H1093" s="58"/>
      <c r="K1093" s="21"/>
    </row>
    <row r="1094" spans="2:13" x14ac:dyDescent="0.25">
      <c r="D1094" s="57"/>
      <c r="H1094" s="58"/>
      <c r="K1094" s="21"/>
    </row>
    <row r="1095" spans="2:13" x14ac:dyDescent="0.25">
      <c r="D1095" s="57"/>
      <c r="H1095" s="58"/>
      <c r="K1095" s="21"/>
    </row>
    <row r="1096" spans="2:13" x14ac:dyDescent="0.25">
      <c r="D1096" s="57"/>
      <c r="E1096" s="149"/>
      <c r="F1096" s="149"/>
      <c r="G1096" s="149"/>
      <c r="H1096" s="149"/>
      <c r="I1096" s="149"/>
      <c r="K1096" s="21"/>
    </row>
    <row r="1097" spans="2:13" x14ac:dyDescent="0.25">
      <c r="D1097" s="57"/>
      <c r="E1097" s="149"/>
      <c r="F1097" s="149"/>
      <c r="G1097" s="149"/>
      <c r="H1097" s="149"/>
      <c r="I1097" s="149"/>
      <c r="K1097" s="438" t="s">
        <v>155</v>
      </c>
      <c r="L1097" s="438"/>
      <c r="M1097" s="438"/>
    </row>
    <row r="1098" spans="2:13" x14ac:dyDescent="0.25">
      <c r="D1098" s="57"/>
      <c r="H1098" s="58"/>
      <c r="K1098" s="438"/>
      <c r="L1098" s="438"/>
      <c r="M1098" s="438"/>
    </row>
    <row r="1099" spans="2:13" x14ac:dyDescent="0.25">
      <c r="D1099" s="57"/>
      <c r="E1099" s="149"/>
      <c r="F1099" s="149"/>
      <c r="G1099" s="149"/>
      <c r="H1099" s="149"/>
      <c r="I1099" s="149"/>
      <c r="K1099" s="438"/>
      <c r="L1099" s="438"/>
      <c r="M1099" s="438"/>
    </row>
    <row r="1100" spans="2:13" x14ac:dyDescent="0.25">
      <c r="D1100" s="57"/>
      <c r="E1100" s="149"/>
      <c r="F1100" s="149"/>
      <c r="G1100" s="149"/>
      <c r="H1100" s="149"/>
      <c r="I1100" s="149"/>
      <c r="K1100" s="438"/>
      <c r="L1100" s="438"/>
      <c r="M1100" s="438"/>
    </row>
    <row r="1101" spans="2:13" ht="13.8" thickBot="1" x14ac:dyDescent="0.3">
      <c r="B1101" s="60"/>
      <c r="C1101" s="60"/>
      <c r="D1101" s="60"/>
      <c r="E1101" s="60"/>
      <c r="F1101" s="60"/>
      <c r="G1101" s="60"/>
      <c r="H1101" s="60"/>
      <c r="I1101" s="60"/>
      <c r="J1101" s="60"/>
      <c r="K1101" s="60"/>
      <c r="L1101" s="60"/>
      <c r="M1101" s="60"/>
    </row>
    <row r="1102" spans="2:13" ht="13.8" thickTop="1" x14ac:dyDescent="0.25"/>
    <row r="1103" spans="2:13" x14ac:dyDescent="0.25">
      <c r="B1103" s="24" t="s">
        <v>128</v>
      </c>
    </row>
    <row r="1136" spans="2:4" ht="13.8" thickBot="1" x14ac:dyDescent="0.3">
      <c r="B1136">
        <f>$D$1</f>
        <v>0</v>
      </c>
      <c r="C1136" s="73" t="s">
        <v>128</v>
      </c>
      <c r="D1136" s="25" t="s">
        <v>129</v>
      </c>
    </row>
    <row r="1137" spans="2:33" ht="13.8" thickTop="1" x14ac:dyDescent="0.25">
      <c r="B1137" s="27" t="s">
        <v>131</v>
      </c>
      <c r="C1137" s="28"/>
      <c r="D1137" s="29" t="s">
        <v>132</v>
      </c>
      <c r="E1137" s="27" t="str">
        <f>J121</f>
        <v>DS RSE</v>
      </c>
      <c r="F1137" s="30" t="str">
        <f>IF(L121=0,"NOT REQUIRED", IF(L121="Man","MANAGERIAL POSITION","NON-MANAGERIAL POSITION"))</f>
        <v>NON-MANAGERIAL POSITION</v>
      </c>
      <c r="G1137" s="28"/>
      <c r="H1137" s="308" t="s">
        <v>199</v>
      </c>
      <c r="I1137" s="31"/>
      <c r="J1137" s="27"/>
      <c r="K1137" s="28"/>
      <c r="L1137" s="31" t="s">
        <v>133</v>
      </c>
      <c r="M1137" s="28"/>
      <c r="N1137" s="32"/>
      <c r="P1137" s="144"/>
      <c r="Q1137" s="144"/>
      <c r="R1137" s="144"/>
      <c r="S1137" s="144"/>
      <c r="T1137" s="144"/>
      <c r="U1137" s="144"/>
      <c r="V1137" s="144"/>
      <c r="W1137" s="144"/>
      <c r="X1137" s="144"/>
      <c r="Y1137" s="144"/>
      <c r="Z1137" s="144"/>
      <c r="AC1137" s="158"/>
      <c r="AD1137" s="158"/>
      <c r="AE1137" s="158"/>
      <c r="AF1137" s="158"/>
      <c r="AG1137" s="158"/>
    </row>
    <row r="1138" spans="2:33" x14ac:dyDescent="0.25">
      <c r="E1138" s="34"/>
      <c r="F1138" s="35"/>
      <c r="G1138" s="36"/>
      <c r="I1138" s="10"/>
      <c r="J1138" s="37"/>
      <c r="N1138" s="38"/>
      <c r="P1138" s="144"/>
      <c r="Q1138" s="144"/>
      <c r="R1138" s="144"/>
      <c r="S1138" s="144"/>
      <c r="T1138" s="144"/>
      <c r="U1138" s="144"/>
      <c r="V1138" s="144"/>
      <c r="W1138" s="144"/>
      <c r="X1138" s="144"/>
      <c r="Y1138" s="144"/>
      <c r="Z1138" s="144"/>
      <c r="AC1138" s="158"/>
      <c r="AD1138" s="158"/>
      <c r="AE1138" s="158"/>
      <c r="AF1138" s="158"/>
      <c r="AG1138" s="158"/>
    </row>
    <row r="1139" spans="2:33" x14ac:dyDescent="0.25">
      <c r="B1139" t="s">
        <v>134</v>
      </c>
      <c r="L1139" s="465" t="str">
        <f>$L$39</f>
        <v>X.002-218-2024(NT)&amp;N.004-116-2024(T)</v>
      </c>
      <c r="M1139" s="465"/>
      <c r="N1139" s="38"/>
      <c r="P1139" s="144"/>
      <c r="Q1139" s="144"/>
      <c r="R1139" s="144"/>
      <c r="S1139" s="144"/>
      <c r="T1139" s="144"/>
      <c r="U1139" s="144"/>
      <c r="V1139" s="144"/>
      <c r="W1139" s="144"/>
      <c r="X1139" s="144"/>
      <c r="Y1139" s="144"/>
      <c r="Z1139" s="144"/>
      <c r="AC1139" s="158"/>
      <c r="AD1139" s="158"/>
      <c r="AE1139" s="158"/>
      <c r="AF1139" s="158"/>
      <c r="AG1139" s="158"/>
    </row>
    <row r="1140" spans="2:33" ht="24.75" customHeight="1" x14ac:dyDescent="0.25">
      <c r="B1140" s="39" t="s">
        <v>135</v>
      </c>
      <c r="C1140" s="40"/>
      <c r="D1140" s="41"/>
      <c r="E1140" s="427" t="s">
        <v>136</v>
      </c>
      <c r="F1140" s="428"/>
      <c r="G1140" s="39" t="s">
        <v>137</v>
      </c>
      <c r="H1140" s="41"/>
      <c r="I1140" s="39" t="s">
        <v>138</v>
      </c>
      <c r="J1140" s="40"/>
      <c r="K1140" s="41"/>
      <c r="L1140" s="465"/>
      <c r="M1140" s="465"/>
      <c r="N1140" s="38"/>
      <c r="P1140" s="144"/>
      <c r="Q1140" s="144"/>
      <c r="R1140" s="144"/>
      <c r="S1140" s="144"/>
      <c r="T1140" s="144"/>
      <c r="U1140" s="144"/>
      <c r="V1140" s="144"/>
      <c r="W1140" s="144"/>
      <c r="X1140" s="144"/>
      <c r="Y1140" s="144"/>
      <c r="Z1140" s="144"/>
      <c r="AC1140" s="158"/>
      <c r="AD1140" s="158"/>
      <c r="AE1140" s="158"/>
      <c r="AF1140" s="158"/>
      <c r="AG1140" s="158"/>
    </row>
    <row r="1141" spans="2:33" ht="18" customHeight="1" x14ac:dyDescent="0.25">
      <c r="B1141" s="194"/>
      <c r="C1141" s="195"/>
      <c r="D1141" s="196"/>
      <c r="E1141" s="425"/>
      <c r="F1141" s="426"/>
      <c r="G1141" s="43" t="str">
        <f>K121</f>
        <v>Design Specialist: Road Safety Engineer/ Auditor</v>
      </c>
      <c r="H1141" s="44"/>
      <c r="I1141" s="187"/>
      <c r="J1141" s="186"/>
      <c r="K1141" s="188"/>
      <c r="N1141" s="38"/>
      <c r="P1141" s="144">
        <v>1</v>
      </c>
      <c r="Q1141" s="144">
        <v>1</v>
      </c>
      <c r="R1141" s="144">
        <v>1</v>
      </c>
      <c r="S1141" s="144" t="str">
        <f>VLOOKUP(P1141,'WORKINGS MATRIX'!$H$200:$I$351,2,FALSE)</f>
        <v>Year</v>
      </c>
      <c r="T1141" s="144">
        <f>Q1141-1</f>
        <v>0</v>
      </c>
      <c r="U1141" s="144">
        <f>R1141-1</f>
        <v>0</v>
      </c>
      <c r="V1141" s="144" t="str">
        <f>IF(S1141="year","",S1141)</f>
        <v/>
      </c>
      <c r="W1141" s="144" t="str">
        <f>IF(T1141=0,"",T1141)</f>
        <v/>
      </c>
      <c r="X1141" s="144" t="str">
        <f>IF(U1141=0,"",U1141)</f>
        <v/>
      </c>
      <c r="Y1141" s="144" t="str">
        <f>IF(V1141="","",IF(W1141="",(V1141&amp;"/"&amp;"1"&amp;"/"&amp;"1"),IF(X1141="",(V1141&amp;"/"&amp;W1141&amp;"/"&amp;"1"),(V1141&amp;"/"&amp;W1141&amp;"/"&amp;X1141))))</f>
        <v/>
      </c>
      <c r="Z1141" s="144" t="str">
        <f>IF(Y1141="//","",Y1141)</f>
        <v/>
      </c>
      <c r="AC1141" s="158"/>
      <c r="AD1141" s="158"/>
      <c r="AE1141" s="158"/>
      <c r="AF1141" s="158"/>
      <c r="AG1141" s="158"/>
    </row>
    <row r="1142" spans="2:33" x14ac:dyDescent="0.25">
      <c r="E1142" t="str">
        <f>IF(E1141="","",IF(LEN(E1141)=13,"","ID NUMBER SHOULD BE 13 DIGITS"))</f>
        <v/>
      </c>
      <c r="N1142" s="38"/>
      <c r="P1142" s="144"/>
      <c r="Q1142" s="144"/>
      <c r="R1142" s="144"/>
      <c r="S1142" s="144"/>
      <c r="T1142" s="144"/>
      <c r="U1142" s="144"/>
      <c r="V1142" s="144"/>
      <c r="W1142" s="144"/>
      <c r="X1142" s="144"/>
      <c r="Y1142" s="144"/>
      <c r="Z1142" s="144"/>
      <c r="AC1142" s="158"/>
      <c r="AD1142" s="158"/>
      <c r="AE1142" s="158"/>
      <c r="AF1142" s="158"/>
      <c r="AG1142" s="158"/>
    </row>
    <row r="1143" spans="2:33" x14ac:dyDescent="0.25">
      <c r="G1143" s="170" t="str">
        <f>IF(AG1146=0,"","DATES BEYOND TENDER CLOSING DATE - PLEASE CHECK")</f>
        <v/>
      </c>
      <c r="N1143" s="38"/>
      <c r="P1143" s="144"/>
      <c r="Q1143" s="144"/>
      <c r="R1143" s="144"/>
      <c r="S1143" s="144"/>
      <c r="T1143" s="144"/>
      <c r="U1143" s="144"/>
      <c r="V1143" s="144"/>
      <c r="W1143" s="144"/>
      <c r="X1143" s="144"/>
      <c r="Y1143" s="144"/>
      <c r="Z1143" s="144"/>
      <c r="AC1143" s="158"/>
      <c r="AD1143" s="158"/>
      <c r="AE1143" s="158"/>
      <c r="AF1143" s="158"/>
      <c r="AG1143" s="158"/>
    </row>
    <row r="1144" spans="2:33" x14ac:dyDescent="0.25">
      <c r="B1144" t="s">
        <v>139</v>
      </c>
      <c r="G1144" s="170" t="str">
        <f>IF(AE1146=0,"","DATES INCORRECT OR INCOMPLETE - PLEASE CHECK")</f>
        <v/>
      </c>
      <c r="N1144" s="38"/>
      <c r="P1144" s="144"/>
      <c r="Q1144" s="144"/>
      <c r="R1144" s="144"/>
      <c r="S1144" s="144"/>
      <c r="T1144" s="144"/>
      <c r="U1144" s="144"/>
      <c r="V1144" s="144"/>
      <c r="W1144" s="144"/>
      <c r="X1144" s="144"/>
      <c r="Y1144" s="144"/>
      <c r="Z1144" s="144"/>
      <c r="AC1144" s="158"/>
      <c r="AD1144" s="158"/>
      <c r="AE1144" s="158"/>
      <c r="AF1144" s="158"/>
      <c r="AG1144" s="158"/>
    </row>
    <row r="1145" spans="2:33" x14ac:dyDescent="0.25">
      <c r="B1145" s="15" t="s">
        <v>140</v>
      </c>
      <c r="N1145" s="38"/>
      <c r="P1145" s="144"/>
      <c r="Q1145" s="144"/>
      <c r="R1145" s="144"/>
      <c r="S1145" s="144"/>
      <c r="T1145" s="144"/>
      <c r="U1145" s="144"/>
      <c r="V1145" s="144"/>
      <c r="W1145" s="144"/>
      <c r="X1145" s="144"/>
      <c r="Y1145" s="144"/>
      <c r="Z1145" s="144"/>
      <c r="AC1145" s="158"/>
      <c r="AD1145" s="158"/>
      <c r="AE1145" s="158"/>
      <c r="AF1145" s="158"/>
      <c r="AG1145" s="158"/>
    </row>
    <row r="1146" spans="2:33" ht="66" x14ac:dyDescent="0.25">
      <c r="B1146" s="47" t="s">
        <v>141</v>
      </c>
      <c r="C1146" s="48" t="s">
        <v>142</v>
      </c>
      <c r="D1146" s="44"/>
      <c r="E1146" s="470" t="s">
        <v>143</v>
      </c>
      <c r="F1146" s="471"/>
      <c r="G1146" s="157" t="s">
        <v>144</v>
      </c>
      <c r="H1146" s="157" t="s">
        <v>145</v>
      </c>
      <c r="I1146" s="385" t="s">
        <v>146</v>
      </c>
      <c r="J1146" s="49" t="s">
        <v>147</v>
      </c>
      <c r="K1146" s="50" t="s">
        <v>148</v>
      </c>
      <c r="L1146" s="385" t="s">
        <v>149</v>
      </c>
      <c r="M1146" s="49" t="s">
        <v>150</v>
      </c>
      <c r="N1146" s="51"/>
      <c r="O1146" s="386"/>
      <c r="P1146" s="147"/>
      <c r="Q1146" s="144"/>
      <c r="R1146" s="144"/>
      <c r="S1146" s="145"/>
      <c r="T1146" s="145"/>
      <c r="U1146" s="145"/>
      <c r="V1146" s="145"/>
      <c r="W1146" s="145"/>
      <c r="X1146" s="145"/>
      <c r="Y1146" s="145"/>
      <c r="Z1146" s="145"/>
      <c r="AC1146" s="165"/>
      <c r="AD1146" s="165"/>
      <c r="AE1146" s="165">
        <f>SUM(AE1147:AE1151)</f>
        <v>0</v>
      </c>
      <c r="AF1146" s="165"/>
      <c r="AG1146" s="165">
        <f>SUM(AG1147:AG1151)</f>
        <v>0</v>
      </c>
    </row>
    <row r="1147" spans="2:33" ht="25.5" customHeight="1" x14ac:dyDescent="0.25">
      <c r="B1147" s="200"/>
      <c r="C1147" s="53">
        <v>8</v>
      </c>
      <c r="D1147" s="54"/>
      <c r="E1147" s="55"/>
      <c r="F1147" s="55">
        <v>1</v>
      </c>
      <c r="G1147" s="143" t="str">
        <f>Z1147</f>
        <v/>
      </c>
      <c r="H1147" s="143" t="str">
        <f>Z1152</f>
        <v/>
      </c>
      <c r="I1147" s="202"/>
      <c r="J1147" s="203"/>
      <c r="K1147" s="56">
        <v>23</v>
      </c>
      <c r="L1147" s="204"/>
      <c r="M1147" s="205"/>
      <c r="N1147" s="164">
        <f>IF(G1147="",0,IF(H1147="",0,(ROUND(((H1147-G1147)/30),0))))</f>
        <v>0</v>
      </c>
      <c r="O1147" s="21"/>
      <c r="P1147" s="148">
        <v>1</v>
      </c>
      <c r="Q1147" s="144">
        <v>1</v>
      </c>
      <c r="R1147" s="144">
        <v>1</v>
      </c>
      <c r="S1147" s="144" t="str">
        <f>VLOOKUP(P1147,'WORKINGS MATRIX'!$B$200:$C$351,2,FALSE)</f>
        <v>Year</v>
      </c>
      <c r="T1147" s="144">
        <f t="shared" ref="T1147:U1151" si="101">Q1147-1</f>
        <v>0</v>
      </c>
      <c r="U1147" s="144">
        <f t="shared" si="101"/>
        <v>0</v>
      </c>
      <c r="V1147" s="144" t="str">
        <f t="shared" ref="V1147:V1156" si="102">IF(S1147="year","",S1147)</f>
        <v/>
      </c>
      <c r="W1147" s="144" t="str">
        <f t="shared" ref="W1147:X1151" si="103">IF(T1147=0,"",T1147)</f>
        <v/>
      </c>
      <c r="X1147" s="144" t="str">
        <f t="shared" si="103"/>
        <v/>
      </c>
      <c r="Y1147" s="144" t="str">
        <f t="shared" ref="Y1147:Y1156" si="104">IF(V1147="","",IF(W1147="",(V1147&amp;"/"&amp;"1"&amp;"/"&amp;"1"),IF(X1147="",(V1147&amp;"/"&amp;W1147&amp;"/"&amp;"1"),(V1147&amp;"/"&amp;W1147&amp;"/"&amp;X1147))))</f>
        <v/>
      </c>
      <c r="Z1147" s="144" t="str">
        <f t="shared" ref="Z1147:Z1156" si="105">IF(Y1147="//","",Y1147)</f>
        <v/>
      </c>
      <c r="AC1147" s="172">
        <f>IF(B1147="",0,1)</f>
        <v>0</v>
      </c>
      <c r="AD1147" s="172">
        <f>IF(B1147="",0,IF(N1147&gt;0,1,IF(N1147&lt;0,2,0)))</f>
        <v>0</v>
      </c>
      <c r="AE1147" s="172">
        <f>IF(AC1147=AD1147,0,IF(AC1147&gt;AD1147,2,1))</f>
        <v>0</v>
      </c>
      <c r="AF1147" s="172">
        <f>IF(B1147="",0,IF(N1147=0,0,H1147-$F$125))</f>
        <v>0</v>
      </c>
      <c r="AG1147" s="172">
        <f>IF(AF1147&gt;0,1,0)</f>
        <v>0</v>
      </c>
    </row>
    <row r="1148" spans="2:33" ht="25.5" customHeight="1" x14ac:dyDescent="0.25">
      <c r="B1148" s="200"/>
      <c r="C1148" s="53">
        <v>8</v>
      </c>
      <c r="D1148" s="54"/>
      <c r="E1148" s="55"/>
      <c r="F1148" s="55">
        <v>1</v>
      </c>
      <c r="G1148" s="143" t="str">
        <f>Z1148</f>
        <v/>
      </c>
      <c r="H1148" s="143" t="str">
        <f>Z1153</f>
        <v/>
      </c>
      <c r="I1148" s="202"/>
      <c r="J1148" s="203"/>
      <c r="K1148" s="56">
        <v>23</v>
      </c>
      <c r="L1148" s="204"/>
      <c r="M1148" s="205"/>
      <c r="N1148" s="164">
        <f>IF(G1148="",0,IF(H1148="",0,(ROUND(((H1148-G1148)/30),0))))</f>
        <v>0</v>
      </c>
      <c r="O1148" s="21"/>
      <c r="P1148" s="148">
        <v>1</v>
      </c>
      <c r="Q1148" s="144">
        <v>1</v>
      </c>
      <c r="R1148" s="144">
        <v>1</v>
      </c>
      <c r="S1148" s="144" t="str">
        <f>VLOOKUP(P1148,'WORKINGS MATRIX'!$B$200:$C$351,2,FALSE)</f>
        <v>Year</v>
      </c>
      <c r="T1148" s="144">
        <f t="shared" si="101"/>
        <v>0</v>
      </c>
      <c r="U1148" s="144">
        <f t="shared" si="101"/>
        <v>0</v>
      </c>
      <c r="V1148" s="144" t="str">
        <f t="shared" si="102"/>
        <v/>
      </c>
      <c r="W1148" s="144" t="str">
        <f t="shared" si="103"/>
        <v/>
      </c>
      <c r="X1148" s="144" t="str">
        <f t="shared" si="103"/>
        <v/>
      </c>
      <c r="Y1148" s="144" t="str">
        <f t="shared" si="104"/>
        <v/>
      </c>
      <c r="Z1148" s="144" t="str">
        <f t="shared" si="105"/>
        <v/>
      </c>
      <c r="AC1148" s="172">
        <f>IF(B1148="",0,1)</f>
        <v>0</v>
      </c>
      <c r="AD1148" s="172">
        <f>IF(B1148="",0,IF(N1148&gt;0,1,IF(N1148&lt;0,2,0)))</f>
        <v>0</v>
      </c>
      <c r="AE1148" s="172">
        <f>IF(AC1148=AD1148,0,IF(AC1148&gt;AD1148,2,1))</f>
        <v>0</v>
      </c>
      <c r="AF1148" s="172">
        <f>IF(B1148="",0,IF(N1148=0,0,H1148-$F$125))</f>
        <v>0</v>
      </c>
      <c r="AG1148" s="172">
        <f>IF(AF1148&gt;0,1,0)</f>
        <v>0</v>
      </c>
    </row>
    <row r="1149" spans="2:33" ht="25.5" customHeight="1" x14ac:dyDescent="0.25">
      <c r="B1149" s="200"/>
      <c r="C1149" s="53">
        <v>8</v>
      </c>
      <c r="D1149" s="54"/>
      <c r="E1149" s="55"/>
      <c r="F1149" s="55">
        <v>1</v>
      </c>
      <c r="G1149" s="143" t="str">
        <f>Z1149</f>
        <v/>
      </c>
      <c r="H1149" s="143" t="str">
        <f>Z1154</f>
        <v/>
      </c>
      <c r="I1149" s="202"/>
      <c r="J1149" s="203"/>
      <c r="K1149" s="56">
        <v>23</v>
      </c>
      <c r="L1149" s="204"/>
      <c r="M1149" s="205"/>
      <c r="N1149" s="164">
        <f>IF(G1149="",0,IF(H1149="",0,(ROUND(((H1149-G1149)/30),0))))</f>
        <v>0</v>
      </c>
      <c r="O1149" s="21"/>
      <c r="P1149" s="148">
        <v>1</v>
      </c>
      <c r="Q1149" s="144">
        <v>1</v>
      </c>
      <c r="R1149" s="144">
        <v>1</v>
      </c>
      <c r="S1149" s="144" t="str">
        <f>VLOOKUP(P1149,'WORKINGS MATRIX'!$B$200:$C$351,2,FALSE)</f>
        <v>Year</v>
      </c>
      <c r="T1149" s="144">
        <f t="shared" si="101"/>
        <v>0</v>
      </c>
      <c r="U1149" s="144">
        <f t="shared" si="101"/>
        <v>0</v>
      </c>
      <c r="V1149" s="144" t="str">
        <f t="shared" si="102"/>
        <v/>
      </c>
      <c r="W1149" s="144" t="str">
        <f t="shared" si="103"/>
        <v/>
      </c>
      <c r="X1149" s="144" t="str">
        <f t="shared" si="103"/>
        <v/>
      </c>
      <c r="Y1149" s="144" t="str">
        <f t="shared" si="104"/>
        <v/>
      </c>
      <c r="Z1149" s="144" t="str">
        <f t="shared" si="105"/>
        <v/>
      </c>
      <c r="AC1149" s="172">
        <f>IF(B1149="",0,1)</f>
        <v>0</v>
      </c>
      <c r="AD1149" s="172">
        <f>IF(B1149="",0,IF(N1149&gt;0,1,IF(N1149&lt;0,2,0)))</f>
        <v>0</v>
      </c>
      <c r="AE1149" s="172">
        <f>IF(AC1149=AD1149,0,IF(AC1149&gt;AD1149,2,1))</f>
        <v>0</v>
      </c>
      <c r="AF1149" s="172">
        <f>IF(B1149="",0,IF(N1149=0,0,H1149-$F$125))</f>
        <v>0</v>
      </c>
      <c r="AG1149" s="172">
        <f>IF(AF1149&gt;0,1,0)</f>
        <v>0</v>
      </c>
    </row>
    <row r="1150" spans="2:33" ht="25.5" customHeight="1" x14ac:dyDescent="0.25">
      <c r="B1150" s="255"/>
      <c r="C1150" s="255"/>
      <c r="D1150" s="255"/>
      <c r="E1150" s="255"/>
      <c r="F1150" s="255"/>
      <c r="G1150" s="255"/>
      <c r="H1150" s="255"/>
      <c r="I1150" s="255"/>
      <c r="J1150" s="255"/>
      <c r="K1150" s="255"/>
      <c r="L1150" s="255"/>
      <c r="M1150" s="255"/>
      <c r="N1150" s="164">
        <f>IF(G1150="",0,IF(H1150="",0,(ROUND(((H1150-G1150)/30),0))))</f>
        <v>0</v>
      </c>
      <c r="O1150" s="21"/>
      <c r="P1150" s="148">
        <v>1</v>
      </c>
      <c r="Q1150" s="144">
        <v>1</v>
      </c>
      <c r="R1150" s="144">
        <v>1</v>
      </c>
      <c r="S1150" s="144" t="str">
        <f>VLOOKUP(P1150,'WORKINGS MATRIX'!$B$200:$C$351,2,FALSE)</f>
        <v>Year</v>
      </c>
      <c r="T1150" s="144">
        <f t="shared" si="101"/>
        <v>0</v>
      </c>
      <c r="U1150" s="144">
        <f t="shared" si="101"/>
        <v>0</v>
      </c>
      <c r="V1150" s="144" t="str">
        <f t="shared" si="102"/>
        <v/>
      </c>
      <c r="W1150" s="144" t="str">
        <f t="shared" si="103"/>
        <v/>
      </c>
      <c r="X1150" s="144" t="str">
        <f t="shared" si="103"/>
        <v/>
      </c>
      <c r="Y1150" s="144" t="str">
        <f t="shared" si="104"/>
        <v/>
      </c>
      <c r="Z1150" s="144" t="str">
        <f t="shared" si="105"/>
        <v/>
      </c>
      <c r="AC1150" s="172">
        <f>IF(B1150="",0,1)</f>
        <v>0</v>
      </c>
      <c r="AD1150" s="172">
        <f>IF(B1150="",0,IF(N1150&gt;0,1,IF(N1150&lt;0,2,0)))</f>
        <v>0</v>
      </c>
      <c r="AE1150" s="172">
        <f>IF(AC1150=AD1150,0,IF(AC1150&gt;AD1150,2,1))</f>
        <v>0</v>
      </c>
      <c r="AF1150" s="172">
        <f>IF(B1150="",0,IF(N1150=0,0,H1150-$F$125))</f>
        <v>0</v>
      </c>
      <c r="AG1150" s="172">
        <f>IF(AF1150&gt;0,1,0)</f>
        <v>0</v>
      </c>
    </row>
    <row r="1151" spans="2:33" ht="25.5" customHeight="1" x14ac:dyDescent="0.25">
      <c r="B1151" s="149"/>
      <c r="C1151" s="149"/>
      <c r="D1151" s="149"/>
      <c r="E1151" s="149"/>
      <c r="F1151" s="149"/>
      <c r="G1151" s="149"/>
      <c r="H1151" s="149"/>
      <c r="I1151" s="149"/>
      <c r="J1151" s="149"/>
      <c r="K1151" s="149"/>
      <c r="L1151" s="149"/>
      <c r="M1151" s="149"/>
      <c r="N1151" s="164">
        <f>IF(G1151="",0,IF(H1151="",0,(ROUND(((H1151-G1151)/30),0))))</f>
        <v>0</v>
      </c>
      <c r="O1151" s="21"/>
      <c r="P1151" s="148">
        <v>1</v>
      </c>
      <c r="Q1151" s="144">
        <v>1</v>
      </c>
      <c r="R1151" s="144">
        <v>1</v>
      </c>
      <c r="S1151" s="144" t="str">
        <f>VLOOKUP(P1151,'WORKINGS MATRIX'!$B$200:$C$351,2,FALSE)</f>
        <v>Year</v>
      </c>
      <c r="T1151" s="144">
        <f t="shared" si="101"/>
        <v>0</v>
      </c>
      <c r="U1151" s="144">
        <f t="shared" si="101"/>
        <v>0</v>
      </c>
      <c r="V1151" s="144" t="str">
        <f t="shared" si="102"/>
        <v/>
      </c>
      <c r="W1151" s="144" t="str">
        <f t="shared" si="103"/>
        <v/>
      </c>
      <c r="X1151" s="144" t="str">
        <f t="shared" si="103"/>
        <v/>
      </c>
      <c r="Y1151" s="144" t="str">
        <f t="shared" si="104"/>
        <v/>
      </c>
      <c r="Z1151" s="144" t="str">
        <f t="shared" si="105"/>
        <v/>
      </c>
      <c r="AC1151" s="172">
        <f>IF(B1151="",0,1)</f>
        <v>0</v>
      </c>
      <c r="AD1151" s="172">
        <f>IF(B1151="",0,IF(N1151&gt;0,1,IF(N1151&lt;0,2,0)))</f>
        <v>0</v>
      </c>
      <c r="AE1151" s="172">
        <f>IF(AC1151=AD1151,0,IF(AC1151&gt;AD1151,2,1))</f>
        <v>0</v>
      </c>
      <c r="AF1151" s="172">
        <f>IF(B1151="",0,IF(N1151=0,0,H1151-$F$125))</f>
        <v>0</v>
      </c>
      <c r="AG1151" s="172">
        <f>IF(AF1151&gt;0,1,0)</f>
        <v>0</v>
      </c>
    </row>
    <row r="1152" spans="2:33" x14ac:dyDescent="0.25">
      <c r="D1152" s="57"/>
      <c r="H1152" s="58"/>
      <c r="K1152" s="21"/>
      <c r="N1152" s="38"/>
      <c r="O1152" s="58"/>
      <c r="P1152" s="134">
        <v>1</v>
      </c>
      <c r="Q1152" s="144">
        <v>1</v>
      </c>
      <c r="R1152" s="144">
        <v>1</v>
      </c>
      <c r="S1152" s="144" t="str">
        <f>VLOOKUP(P1152,'WORKINGS MATRIX'!$B$200:$C$351,2,FALSE)</f>
        <v>Year</v>
      </c>
      <c r="T1152" s="144">
        <f t="shared" ref="T1152:U1156" si="106">Q1152-1</f>
        <v>0</v>
      </c>
      <c r="U1152" s="144">
        <f t="shared" si="106"/>
        <v>0</v>
      </c>
      <c r="V1152" s="144" t="str">
        <f t="shared" si="102"/>
        <v/>
      </c>
      <c r="W1152" s="144" t="str">
        <f t="shared" ref="W1152:X1156" si="107">IF(T1152=0,"",T1152)</f>
        <v/>
      </c>
      <c r="X1152" s="144" t="str">
        <f t="shared" si="107"/>
        <v/>
      </c>
      <c r="Y1152" s="144" t="str">
        <f t="shared" si="104"/>
        <v/>
      </c>
      <c r="Z1152" s="144" t="str">
        <f t="shared" si="105"/>
        <v/>
      </c>
      <c r="AC1152" s="158"/>
      <c r="AD1152" s="158"/>
      <c r="AE1152" s="158"/>
      <c r="AF1152" s="158"/>
      <c r="AG1152" s="158"/>
    </row>
    <row r="1153" spans="2:26" x14ac:dyDescent="0.25">
      <c r="B1153" t="s">
        <v>152</v>
      </c>
      <c r="D1153" s="57"/>
      <c r="H1153" s="58"/>
      <c r="K1153" s="21"/>
      <c r="N1153" s="38"/>
      <c r="O1153" s="58"/>
      <c r="P1153" s="144">
        <v>1</v>
      </c>
      <c r="Q1153" s="144">
        <v>1</v>
      </c>
      <c r="R1153" s="144">
        <v>1</v>
      </c>
      <c r="S1153" s="144" t="str">
        <f>VLOOKUP(P1153,'WORKINGS MATRIX'!$B$200:$C$351,2,FALSE)</f>
        <v>Year</v>
      </c>
      <c r="T1153" s="144">
        <f t="shared" si="106"/>
        <v>0</v>
      </c>
      <c r="U1153" s="144">
        <f t="shared" si="106"/>
        <v>0</v>
      </c>
      <c r="V1153" s="144" t="str">
        <f t="shared" si="102"/>
        <v/>
      </c>
      <c r="W1153" s="144" t="str">
        <f t="shared" si="107"/>
        <v/>
      </c>
      <c r="X1153" s="144" t="str">
        <f t="shared" si="107"/>
        <v/>
      </c>
      <c r="Y1153" s="144" t="str">
        <f t="shared" si="104"/>
        <v/>
      </c>
      <c r="Z1153" s="144" t="str">
        <f t="shared" si="105"/>
        <v/>
      </c>
    </row>
    <row r="1154" spans="2:26" x14ac:dyDescent="0.25">
      <c r="B1154" s="429"/>
      <c r="C1154" s="430"/>
      <c r="D1154" s="430"/>
      <c r="E1154" s="430"/>
      <c r="F1154" s="430"/>
      <c r="G1154" s="430"/>
      <c r="H1154" s="430"/>
      <c r="I1154" s="430"/>
      <c r="J1154" s="430"/>
      <c r="K1154" s="430"/>
      <c r="L1154" s="430"/>
      <c r="M1154" s="431"/>
      <c r="N1154" s="38"/>
      <c r="O1154" s="58"/>
      <c r="P1154" s="144">
        <v>1</v>
      </c>
      <c r="Q1154" s="144">
        <v>1</v>
      </c>
      <c r="R1154" s="144">
        <v>1</v>
      </c>
      <c r="S1154" s="144" t="str">
        <f>VLOOKUP(P1154,'WORKINGS MATRIX'!$B$200:$C$351,2,FALSE)</f>
        <v>Year</v>
      </c>
      <c r="T1154" s="144">
        <f t="shared" si="106"/>
        <v>0</v>
      </c>
      <c r="U1154" s="144">
        <f t="shared" si="106"/>
        <v>0</v>
      </c>
      <c r="V1154" s="144" t="str">
        <f t="shared" si="102"/>
        <v/>
      </c>
      <c r="W1154" s="144" t="str">
        <f t="shared" si="107"/>
        <v/>
      </c>
      <c r="X1154" s="144" t="str">
        <f t="shared" si="107"/>
        <v/>
      </c>
      <c r="Y1154" s="144" t="str">
        <f t="shared" si="104"/>
        <v/>
      </c>
      <c r="Z1154" s="144" t="str">
        <f t="shared" si="105"/>
        <v/>
      </c>
    </row>
    <row r="1155" spans="2:26" x14ac:dyDescent="0.25">
      <c r="B1155" s="432"/>
      <c r="C1155" s="433"/>
      <c r="D1155" s="433"/>
      <c r="E1155" s="433"/>
      <c r="F1155" s="433"/>
      <c r="G1155" s="433"/>
      <c r="H1155" s="433"/>
      <c r="I1155" s="433"/>
      <c r="J1155" s="433"/>
      <c r="K1155" s="433"/>
      <c r="L1155" s="433"/>
      <c r="M1155" s="434"/>
      <c r="N1155" s="38"/>
      <c r="O1155" s="58"/>
      <c r="P1155" s="144">
        <v>1</v>
      </c>
      <c r="Q1155" s="144">
        <v>1</v>
      </c>
      <c r="R1155" s="144">
        <v>1</v>
      </c>
      <c r="S1155" s="144" t="str">
        <f>VLOOKUP(P1155,'WORKINGS MATRIX'!$B$200:$C$351,2,FALSE)</f>
        <v>Year</v>
      </c>
      <c r="T1155" s="144">
        <f t="shared" si="106"/>
        <v>0</v>
      </c>
      <c r="U1155" s="144">
        <f t="shared" si="106"/>
        <v>0</v>
      </c>
      <c r="V1155" s="144" t="str">
        <f t="shared" si="102"/>
        <v/>
      </c>
      <c r="W1155" s="144" t="str">
        <f t="shared" si="107"/>
        <v/>
      </c>
      <c r="X1155" s="144" t="str">
        <f t="shared" si="107"/>
        <v/>
      </c>
      <c r="Y1155" s="144" t="str">
        <f t="shared" si="104"/>
        <v/>
      </c>
      <c r="Z1155" s="144" t="str">
        <f t="shared" si="105"/>
        <v/>
      </c>
    </row>
    <row r="1156" spans="2:26" x14ac:dyDescent="0.25">
      <c r="B1156" s="432"/>
      <c r="C1156" s="433"/>
      <c r="D1156" s="433"/>
      <c r="E1156" s="433"/>
      <c r="F1156" s="433"/>
      <c r="G1156" s="433"/>
      <c r="H1156" s="433"/>
      <c r="I1156" s="433"/>
      <c r="J1156" s="433"/>
      <c r="K1156" s="433"/>
      <c r="L1156" s="433"/>
      <c r="M1156" s="434"/>
      <c r="N1156" s="38"/>
      <c r="O1156" s="58"/>
      <c r="P1156" s="144">
        <v>1</v>
      </c>
      <c r="Q1156" s="144">
        <v>1</v>
      </c>
      <c r="R1156" s="144">
        <v>1</v>
      </c>
      <c r="S1156" s="144" t="str">
        <f>VLOOKUP(P1156,'WORKINGS MATRIX'!$B$200:$C$351,2,FALSE)</f>
        <v>Year</v>
      </c>
      <c r="T1156" s="144">
        <f t="shared" si="106"/>
        <v>0</v>
      </c>
      <c r="U1156" s="144">
        <f t="shared" si="106"/>
        <v>0</v>
      </c>
      <c r="V1156" s="144" t="str">
        <f t="shared" si="102"/>
        <v/>
      </c>
      <c r="W1156" s="144" t="str">
        <f t="shared" si="107"/>
        <v/>
      </c>
      <c r="X1156" s="144" t="str">
        <f t="shared" si="107"/>
        <v/>
      </c>
      <c r="Y1156" s="144" t="str">
        <f t="shared" si="104"/>
        <v/>
      </c>
      <c r="Z1156" s="144" t="str">
        <f t="shared" si="105"/>
        <v/>
      </c>
    </row>
    <row r="1157" spans="2:26" x14ac:dyDescent="0.25">
      <c r="B1157" s="435"/>
      <c r="C1157" s="436"/>
      <c r="D1157" s="436"/>
      <c r="E1157" s="436"/>
      <c r="F1157" s="436"/>
      <c r="G1157" s="436"/>
      <c r="H1157" s="436"/>
      <c r="I1157" s="436"/>
      <c r="J1157" s="436"/>
      <c r="K1157" s="436"/>
      <c r="L1157" s="436"/>
      <c r="M1157" s="437"/>
      <c r="N1157" s="38"/>
      <c r="O1157" s="58"/>
      <c r="P1157" s="144"/>
      <c r="Q1157" s="144"/>
      <c r="R1157" s="144"/>
      <c r="S1157" s="144"/>
      <c r="T1157" s="144"/>
      <c r="U1157" s="144"/>
      <c r="V1157" s="144"/>
      <c r="W1157" s="144"/>
      <c r="X1157" s="144"/>
      <c r="Y1157" s="144"/>
      <c r="Z1157" s="144"/>
    </row>
    <row r="1158" spans="2:26" x14ac:dyDescent="0.25">
      <c r="B1158" s="15" t="s">
        <v>153</v>
      </c>
      <c r="D1158" s="57"/>
      <c r="H1158" s="58"/>
      <c r="K1158" s="21"/>
      <c r="N1158" s="38"/>
      <c r="O1158" s="58"/>
      <c r="P1158" s="144"/>
      <c r="Q1158" s="144"/>
      <c r="R1158" s="144"/>
      <c r="S1158" s="144"/>
      <c r="T1158" s="144"/>
      <c r="U1158" s="144"/>
      <c r="V1158" s="144"/>
      <c r="W1158" s="144"/>
      <c r="X1158" s="144"/>
      <c r="Y1158" s="144"/>
      <c r="Z1158" s="144"/>
    </row>
    <row r="1159" spans="2:26" x14ac:dyDescent="0.25">
      <c r="B1159" s="15" t="s">
        <v>154</v>
      </c>
      <c r="D1159" s="57"/>
      <c r="H1159" s="58"/>
      <c r="K1159" s="21"/>
      <c r="N1159" s="38"/>
      <c r="O1159" s="58"/>
      <c r="P1159" s="144"/>
      <c r="Q1159" s="144"/>
      <c r="R1159" s="144"/>
      <c r="S1159" s="144"/>
      <c r="T1159" s="144"/>
      <c r="U1159" s="144"/>
      <c r="V1159" s="144"/>
      <c r="W1159" s="144"/>
      <c r="X1159" s="144"/>
      <c r="Y1159" s="144"/>
      <c r="Z1159" s="144"/>
    </row>
    <row r="1160" spans="2:26" x14ac:dyDescent="0.25">
      <c r="D1160" s="57"/>
      <c r="H1160" s="58"/>
      <c r="K1160" s="21"/>
      <c r="N1160" s="38"/>
      <c r="O1160" s="58"/>
      <c r="P1160" s="144"/>
      <c r="Q1160" s="144"/>
      <c r="R1160" s="144"/>
      <c r="S1160" s="144"/>
      <c r="T1160" s="144"/>
      <c r="U1160" s="144"/>
      <c r="V1160" s="144"/>
      <c r="W1160" s="144"/>
      <c r="X1160" s="144"/>
      <c r="Y1160" s="144"/>
      <c r="Z1160" s="144"/>
    </row>
    <row r="1161" spans="2:26" x14ac:dyDescent="0.25">
      <c r="D1161" s="57"/>
      <c r="E1161" s="149"/>
      <c r="F1161" s="149"/>
      <c r="G1161" s="149"/>
      <c r="H1161" s="149"/>
      <c r="I1161" s="149"/>
      <c r="K1161" s="21"/>
      <c r="N1161" s="38"/>
      <c r="O1161" s="58"/>
      <c r="P1161" s="144"/>
      <c r="Q1161" s="144"/>
      <c r="R1161" s="144"/>
      <c r="S1161" s="144"/>
      <c r="T1161" s="144"/>
      <c r="U1161" s="144"/>
      <c r="V1161" s="144"/>
      <c r="W1161" s="144"/>
      <c r="X1161" s="144"/>
      <c r="Y1161" s="144"/>
      <c r="Z1161" s="144"/>
    </row>
    <row r="1162" spans="2:26" x14ac:dyDescent="0.25">
      <c r="D1162" s="57"/>
      <c r="E1162" s="149"/>
      <c r="F1162" s="149"/>
      <c r="G1162" s="149"/>
      <c r="H1162" s="149"/>
      <c r="I1162" s="149"/>
      <c r="K1162" s="438" t="s">
        <v>155</v>
      </c>
      <c r="L1162" s="438"/>
      <c r="M1162" s="438"/>
      <c r="N1162" s="38"/>
      <c r="O1162" s="58"/>
      <c r="P1162" s="144"/>
      <c r="Q1162" s="144"/>
      <c r="R1162" s="144"/>
      <c r="S1162" s="144"/>
      <c r="T1162" s="144"/>
      <c r="U1162" s="144"/>
      <c r="V1162" s="144"/>
      <c r="W1162" s="144"/>
      <c r="X1162" s="144"/>
      <c r="Y1162" s="144"/>
      <c r="Z1162" s="144"/>
    </row>
    <row r="1163" spans="2:26" x14ac:dyDescent="0.25">
      <c r="D1163" s="57"/>
      <c r="H1163" s="58"/>
      <c r="K1163" s="438"/>
      <c r="L1163" s="438"/>
      <c r="M1163" s="438"/>
      <c r="N1163" s="38"/>
      <c r="O1163" s="58"/>
      <c r="P1163" s="144"/>
      <c r="Q1163" s="144"/>
      <c r="R1163" s="144"/>
      <c r="S1163" s="144"/>
      <c r="T1163" s="144"/>
      <c r="U1163" s="144"/>
      <c r="V1163" s="144"/>
      <c r="W1163" s="144"/>
      <c r="X1163" s="144"/>
      <c r="Y1163" s="144"/>
      <c r="Z1163" s="144"/>
    </row>
    <row r="1164" spans="2:26" x14ac:dyDescent="0.25">
      <c r="D1164" s="57"/>
      <c r="E1164" s="149"/>
      <c r="F1164" s="149"/>
      <c r="G1164" s="149"/>
      <c r="H1164" s="149"/>
      <c r="I1164" s="149"/>
      <c r="K1164" s="438"/>
      <c r="L1164" s="438"/>
      <c r="M1164" s="438"/>
      <c r="N1164" s="38"/>
      <c r="O1164" s="58"/>
      <c r="P1164" s="144"/>
      <c r="Q1164" s="144"/>
      <c r="R1164" s="144"/>
      <c r="S1164" s="144"/>
      <c r="T1164" s="144"/>
      <c r="U1164" s="144"/>
      <c r="V1164" s="144"/>
      <c r="W1164" s="144"/>
      <c r="X1164" s="144"/>
      <c r="Y1164" s="144"/>
      <c r="Z1164" s="144"/>
    </row>
    <row r="1165" spans="2:26" x14ac:dyDescent="0.25">
      <c r="D1165" s="57"/>
      <c r="E1165" s="149"/>
      <c r="F1165" s="149"/>
      <c r="G1165" s="149"/>
      <c r="H1165" s="149"/>
      <c r="I1165" s="149"/>
      <c r="K1165" s="438"/>
      <c r="L1165" s="438"/>
      <c r="M1165" s="438"/>
      <c r="N1165" s="38"/>
      <c r="O1165" s="58"/>
      <c r="P1165" s="144"/>
      <c r="Q1165" s="144"/>
      <c r="R1165" s="144"/>
      <c r="S1165" s="144"/>
      <c r="T1165" s="144"/>
      <c r="U1165" s="144"/>
      <c r="V1165" s="144"/>
      <c r="W1165" s="144"/>
      <c r="X1165" s="144"/>
      <c r="Y1165" s="144"/>
      <c r="Z1165" s="144"/>
    </row>
    <row r="1166" spans="2:26" ht="13.8" thickBot="1" x14ac:dyDescent="0.3">
      <c r="B1166" s="60"/>
      <c r="C1166" s="60"/>
      <c r="D1166" s="61"/>
      <c r="E1166" s="60"/>
      <c r="F1166" s="60"/>
      <c r="G1166" s="60"/>
      <c r="H1166" s="62"/>
      <c r="I1166" s="60"/>
      <c r="J1166" s="60"/>
      <c r="K1166" s="63"/>
      <c r="L1166" s="60"/>
      <c r="M1166" s="60"/>
      <c r="N1166" s="64"/>
      <c r="O1166" s="58"/>
      <c r="P1166" s="144"/>
      <c r="Q1166" s="144"/>
      <c r="R1166" s="144"/>
      <c r="S1166" s="144"/>
      <c r="T1166" s="144"/>
      <c r="U1166" s="144"/>
      <c r="V1166" s="144"/>
      <c r="W1166" s="144"/>
      <c r="X1166" s="144"/>
      <c r="Y1166" s="144"/>
      <c r="Z1166" s="144"/>
    </row>
    <row r="1167" spans="2:26" ht="14.4" thickTop="1" thickBot="1" x14ac:dyDescent="0.3">
      <c r="D1167" s="57"/>
      <c r="H1167" s="58"/>
      <c r="K1167" s="21"/>
      <c r="O1167" s="58"/>
      <c r="P1167" s="144"/>
      <c r="Q1167" s="144"/>
      <c r="R1167" s="144"/>
      <c r="S1167" s="144"/>
      <c r="T1167" s="144"/>
      <c r="U1167" s="144"/>
      <c r="V1167" s="144"/>
      <c r="W1167" s="144"/>
      <c r="X1167" s="144"/>
      <c r="Y1167" s="144"/>
      <c r="Z1167" s="144"/>
    </row>
    <row r="1168" spans="2:26" ht="13.8" thickTop="1" x14ac:dyDescent="0.25">
      <c r="B1168" s="27" t="s">
        <v>156</v>
      </c>
      <c r="C1168" s="29"/>
      <c r="D1168" s="28"/>
      <c r="E1168" s="65"/>
      <c r="F1168" s="65"/>
      <c r="G1168" s="65"/>
      <c r="H1168" s="28"/>
      <c r="I1168" s="28"/>
      <c r="J1168" s="28"/>
      <c r="K1168" s="28"/>
      <c r="L1168" s="31" t="s">
        <v>157</v>
      </c>
      <c r="M1168" s="28"/>
      <c r="N1168" s="32"/>
      <c r="P1168" s="144"/>
      <c r="Q1168" s="144"/>
      <c r="R1168" s="144"/>
      <c r="S1168" s="144"/>
      <c r="T1168" s="144"/>
      <c r="U1168" s="144"/>
      <c r="V1168" s="144"/>
      <c r="W1168" s="144"/>
      <c r="X1168" s="144"/>
      <c r="Y1168" s="144"/>
      <c r="Z1168" s="144"/>
    </row>
    <row r="1169" spans="2:26" x14ac:dyDescent="0.25">
      <c r="E1169" s="134">
        <v>5</v>
      </c>
      <c r="F1169" s="12"/>
      <c r="N1169" s="38"/>
      <c r="P1169" s="144"/>
      <c r="Q1169" s="144"/>
      <c r="R1169" s="144"/>
      <c r="S1169" s="144"/>
      <c r="T1169" s="144"/>
      <c r="U1169" s="144"/>
      <c r="V1169" s="144"/>
      <c r="W1169" s="144"/>
      <c r="X1169" s="144"/>
      <c r="Y1169" s="144"/>
      <c r="Z1169" s="144"/>
    </row>
    <row r="1170" spans="2:26" x14ac:dyDescent="0.25">
      <c r="B1170" t="s">
        <v>134</v>
      </c>
      <c r="L1170" s="465" t="str">
        <f>$L$39</f>
        <v>X.002-218-2024(NT)&amp;N.004-116-2024(T)</v>
      </c>
      <c r="M1170" s="465"/>
      <c r="N1170" s="38"/>
      <c r="P1170" s="144"/>
      <c r="Q1170" s="144"/>
      <c r="R1170" s="144"/>
      <c r="S1170" s="144"/>
      <c r="T1170" s="144"/>
      <c r="U1170" s="144"/>
      <c r="V1170" s="144"/>
      <c r="W1170" s="144"/>
      <c r="X1170" s="144"/>
      <c r="Y1170" s="144"/>
      <c r="Z1170" s="144"/>
    </row>
    <row r="1171" spans="2:26" x14ac:dyDescent="0.25">
      <c r="B1171" s="39" t="s">
        <v>135</v>
      </c>
      <c r="C1171" s="40"/>
      <c r="D1171" s="41"/>
      <c r="E1171" s="448" t="s">
        <v>158</v>
      </c>
      <c r="F1171" s="449"/>
      <c r="G1171" s="466" t="s">
        <v>159</v>
      </c>
      <c r="H1171" s="449"/>
      <c r="L1171" s="465"/>
      <c r="M1171" s="465"/>
      <c r="N1171" s="38"/>
      <c r="P1171" s="144"/>
      <c r="Q1171" s="144"/>
      <c r="R1171" s="144"/>
      <c r="S1171" s="144"/>
      <c r="T1171" s="144"/>
      <c r="U1171" s="144"/>
      <c r="V1171" s="144"/>
      <c r="W1171" s="144"/>
      <c r="X1171" s="144"/>
      <c r="Y1171" s="144"/>
      <c r="Z1171" s="144"/>
    </row>
    <row r="1172" spans="2:26" ht="18" customHeight="1" x14ac:dyDescent="0.25">
      <c r="B1172" s="66">
        <f>B1141</f>
        <v>0</v>
      </c>
      <c r="C1172" s="67"/>
      <c r="D1172" s="68"/>
      <c r="E1172" s="441" t="str">
        <f>G1141</f>
        <v>Design Specialist: Road Safety Engineer/ Auditor</v>
      </c>
      <c r="F1172" s="441"/>
      <c r="G1172" s="42"/>
      <c r="H1172" s="12">
        <v>1</v>
      </c>
      <c r="I1172" s="377" t="s">
        <v>160</v>
      </c>
      <c r="J1172" s="377"/>
      <c r="K1172" s="377"/>
      <c r="L1172" s="377"/>
      <c r="N1172" s="38"/>
      <c r="P1172" s="144"/>
      <c r="Q1172" s="144"/>
      <c r="R1172" s="144"/>
      <c r="S1172" s="144"/>
      <c r="T1172" s="144"/>
      <c r="U1172" s="144"/>
      <c r="V1172" s="144"/>
      <c r="W1172" s="144"/>
      <c r="X1172" s="144"/>
      <c r="Y1172" s="144"/>
      <c r="Z1172" s="144"/>
    </row>
    <row r="1173" spans="2:26" x14ac:dyDescent="0.25">
      <c r="N1173" s="38"/>
      <c r="P1173" s="144"/>
      <c r="Q1173" s="144"/>
      <c r="R1173" s="144"/>
      <c r="S1173" s="144"/>
      <c r="T1173" s="144"/>
      <c r="U1173" s="144"/>
      <c r="V1173" s="144"/>
      <c r="W1173" s="144"/>
      <c r="X1173" s="144"/>
      <c r="Y1173" s="144"/>
      <c r="Z1173" s="144"/>
    </row>
    <row r="1174" spans="2:26" x14ac:dyDescent="0.25">
      <c r="B1174" t="s">
        <v>161</v>
      </c>
      <c r="N1174" s="38"/>
      <c r="P1174" s="144"/>
      <c r="Q1174" s="144"/>
      <c r="R1174" s="144"/>
      <c r="S1174" s="144"/>
      <c r="T1174" s="144"/>
      <c r="U1174" s="144"/>
      <c r="V1174" s="144"/>
      <c r="W1174" s="144"/>
      <c r="X1174" s="144"/>
      <c r="Y1174" s="144"/>
      <c r="Z1174" s="144"/>
    </row>
    <row r="1175" spans="2:26" ht="18" customHeight="1" x14ac:dyDescent="0.25">
      <c r="B1175" s="468" t="s">
        <v>162</v>
      </c>
      <c r="C1175" s="468"/>
      <c r="D1175" s="469" t="s">
        <v>163</v>
      </c>
      <c r="E1175" s="469"/>
      <c r="F1175" s="461" t="s">
        <v>164</v>
      </c>
      <c r="G1175" s="462"/>
      <c r="H1175" s="467" t="s">
        <v>165</v>
      </c>
      <c r="I1175" s="462"/>
      <c r="J1175" s="467" t="s">
        <v>165</v>
      </c>
      <c r="K1175" s="462"/>
      <c r="L1175" s="125" t="s">
        <v>166</v>
      </c>
      <c r="M1175" s="125" t="s">
        <v>167</v>
      </c>
      <c r="N1175" s="38"/>
      <c r="P1175" s="144">
        <v>1</v>
      </c>
      <c r="Q1175" s="144">
        <v>1</v>
      </c>
      <c r="R1175" s="144">
        <v>1</v>
      </c>
      <c r="S1175" s="144" t="str">
        <f>VLOOKUP(P1175,'WORKINGS MATRIX'!$B$200:$C$351,2,FALSE)</f>
        <v>Year</v>
      </c>
      <c r="T1175" s="144">
        <f t="shared" ref="T1175:U1179" si="108">Q1175-1</f>
        <v>0</v>
      </c>
      <c r="U1175" s="144">
        <f t="shared" si="108"/>
        <v>0</v>
      </c>
      <c r="V1175" s="144" t="str">
        <f>IF(S1175="year","",S1175)</f>
        <v/>
      </c>
      <c r="W1175" s="144" t="str">
        <f t="shared" ref="W1175:X1179" si="109">IF(T1175=0,"",T1175)</f>
        <v/>
      </c>
      <c r="X1175" s="144" t="str">
        <f t="shared" si="109"/>
        <v/>
      </c>
      <c r="Y1175" s="144" t="str">
        <f>IF(V1175="","",IF(W1175="",(V1175&amp;"/"&amp;"12"&amp;"/"&amp;"1"),IF(X1175="",(V1175&amp;"/"&amp;W1175&amp;"/"&amp;"1"),(V1175&amp;"/"&amp;W1175&amp;"/"&amp;X1175))))</f>
        <v/>
      </c>
      <c r="Z1175" s="144" t="str">
        <f>IF(Y1175="//","",Y1175)</f>
        <v/>
      </c>
    </row>
    <row r="1176" spans="2:26" ht="18" customHeight="1" x14ac:dyDescent="0.25">
      <c r="B1176" s="441" t="s">
        <v>168</v>
      </c>
      <c r="C1176" s="441"/>
      <c r="D1176" s="439">
        <v>10</v>
      </c>
      <c r="E1176" s="440"/>
      <c r="F1176" s="442"/>
      <c r="G1176" s="443"/>
      <c r="H1176" s="463">
        <v>1</v>
      </c>
      <c r="I1176" s="464"/>
      <c r="J1176" s="450"/>
      <c r="K1176" s="443"/>
      <c r="L1176" s="206"/>
      <c r="M1176" s="143" t="str">
        <f>Z1175</f>
        <v/>
      </c>
      <c r="N1176" s="38"/>
      <c r="P1176" s="144">
        <v>1</v>
      </c>
      <c r="Q1176" s="144">
        <v>1</v>
      </c>
      <c r="R1176" s="144">
        <v>1</v>
      </c>
      <c r="S1176" s="144" t="str">
        <f>VLOOKUP(P1176,'WORKINGS MATRIX'!$B$200:$C$351,2,FALSE)</f>
        <v>Year</v>
      </c>
      <c r="T1176" s="144">
        <f t="shared" si="108"/>
        <v>0</v>
      </c>
      <c r="U1176" s="144">
        <f t="shared" si="108"/>
        <v>0</v>
      </c>
      <c r="V1176" s="144" t="str">
        <f>IF(S1176="year","",S1176)</f>
        <v/>
      </c>
      <c r="W1176" s="144" t="str">
        <f t="shared" si="109"/>
        <v/>
      </c>
      <c r="X1176" s="144" t="str">
        <f t="shared" si="109"/>
        <v/>
      </c>
      <c r="Y1176" s="144" t="str">
        <f>IF(V1176="","",IF(W1176="",(V1176&amp;"/"&amp;"12"&amp;"/"&amp;"1"),IF(X1176="",(V1176&amp;"/"&amp;W1176&amp;"/"&amp;"1"),(V1176&amp;"/"&amp;W1176&amp;"/"&amp;X1176))))</f>
        <v/>
      </c>
      <c r="Z1176" s="144" t="str">
        <f>IF(Y1176="//","",Y1176)</f>
        <v/>
      </c>
    </row>
    <row r="1177" spans="2:26" ht="18" customHeight="1" x14ac:dyDescent="0.25">
      <c r="B1177" s="441" t="s">
        <v>169</v>
      </c>
      <c r="C1177" s="441"/>
      <c r="D1177" s="442"/>
      <c r="E1177" s="443"/>
      <c r="F1177" s="442"/>
      <c r="G1177" s="443"/>
      <c r="H1177" s="451" t="s">
        <v>170</v>
      </c>
      <c r="I1177" s="452"/>
      <c r="J1177" s="451" t="s">
        <v>171</v>
      </c>
      <c r="K1177" s="452"/>
      <c r="L1177" s="125" t="s">
        <v>166</v>
      </c>
      <c r="M1177" s="125" t="s">
        <v>167</v>
      </c>
      <c r="N1177" s="38"/>
      <c r="P1177" s="144">
        <v>1</v>
      </c>
      <c r="Q1177" s="144">
        <v>1</v>
      </c>
      <c r="R1177" s="144">
        <v>1</v>
      </c>
      <c r="S1177" s="144" t="str">
        <f>VLOOKUP(P1177,'WORKINGS MATRIX'!$B$200:$C$351,2,FALSE)</f>
        <v>Year</v>
      </c>
      <c r="T1177" s="144">
        <f t="shared" si="108"/>
        <v>0</v>
      </c>
      <c r="U1177" s="144">
        <f t="shared" si="108"/>
        <v>0</v>
      </c>
      <c r="V1177" s="144" t="str">
        <f>IF(S1177="year","",S1177)</f>
        <v/>
      </c>
      <c r="W1177" s="144" t="str">
        <f t="shared" si="109"/>
        <v/>
      </c>
      <c r="X1177" s="144" t="str">
        <f t="shared" si="109"/>
        <v/>
      </c>
      <c r="Y1177" s="144" t="str">
        <f>IF(V1177="","",IF(W1177="",(V1177&amp;"/"&amp;"1"&amp;"/"&amp;"1"),IF(X1177="",(V1177&amp;"/"&amp;W1177&amp;"/"&amp;"1"),(V1177&amp;"/"&amp;W1177&amp;"/"&amp;X1177))))</f>
        <v/>
      </c>
      <c r="Z1177" s="144" t="str">
        <f>IF(Y1177="//","",Y1177)</f>
        <v/>
      </c>
    </row>
    <row r="1178" spans="2:26" ht="18" customHeight="1" x14ac:dyDescent="0.25">
      <c r="B1178" s="441" t="s">
        <v>172</v>
      </c>
      <c r="C1178" s="441"/>
      <c r="D1178" s="444" t="str">
        <f>Z1177</f>
        <v/>
      </c>
      <c r="E1178" s="445"/>
      <c r="F1178" s="444" t="str">
        <f>Z1178</f>
        <v/>
      </c>
      <c r="G1178" s="445"/>
      <c r="H1178" s="446">
        <v>1</v>
      </c>
      <c r="I1178" s="447"/>
      <c r="J1178" s="450"/>
      <c r="K1178" s="443"/>
      <c r="L1178" s="206"/>
      <c r="M1178" s="143" t="str">
        <f>Z1176</f>
        <v/>
      </c>
      <c r="N1178" s="38"/>
      <c r="P1178" s="144">
        <v>1</v>
      </c>
      <c r="Q1178" s="144">
        <v>1</v>
      </c>
      <c r="R1178" s="144">
        <v>1</v>
      </c>
      <c r="S1178" s="144" t="str">
        <f>VLOOKUP(P1178,'WORKINGS MATRIX'!$B$200:$C$351,2,FALSE)</f>
        <v>Year</v>
      </c>
      <c r="T1178" s="144">
        <f t="shared" si="108"/>
        <v>0</v>
      </c>
      <c r="U1178" s="144">
        <f t="shared" si="108"/>
        <v>0</v>
      </c>
      <c r="V1178" s="144" t="str">
        <f>IF(S1178="year","",S1178)</f>
        <v/>
      </c>
      <c r="W1178" s="144" t="str">
        <f t="shared" si="109"/>
        <v/>
      </c>
      <c r="X1178" s="144" t="str">
        <f t="shared" si="109"/>
        <v/>
      </c>
      <c r="Y1178" s="144" t="str">
        <f>IF(V1178="","",IF(W1178="",(V1178&amp;"/"&amp;"1"&amp;"/"&amp;"1"),IF(X1178="",(V1178&amp;"/"&amp;W1178&amp;"/"&amp;"1"),(V1178&amp;"/"&amp;W1178&amp;"/"&amp;X1178))))</f>
        <v/>
      </c>
      <c r="Z1178" s="144" t="str">
        <f>IF(Y1178="//","",Y1178)</f>
        <v/>
      </c>
    </row>
    <row r="1179" spans="2:26" x14ac:dyDescent="0.25">
      <c r="N1179" s="38"/>
      <c r="P1179" s="144">
        <v>1</v>
      </c>
      <c r="Q1179" s="144">
        <v>1</v>
      </c>
      <c r="R1179" s="144">
        <v>1</v>
      </c>
      <c r="S1179" s="144" t="str">
        <f>VLOOKUP(P1179,'WORKINGS MATRIX'!$B$200:$C$351,2,FALSE)</f>
        <v>Year</v>
      </c>
      <c r="T1179" s="144">
        <f t="shared" si="108"/>
        <v>0</v>
      </c>
      <c r="U1179" s="144">
        <f t="shared" si="108"/>
        <v>0</v>
      </c>
      <c r="V1179" s="144" t="str">
        <f>IF(S1179="year","",S1179)</f>
        <v/>
      </c>
      <c r="W1179" s="144" t="str">
        <f t="shared" si="109"/>
        <v/>
      </c>
      <c r="X1179" s="144" t="str">
        <f t="shared" si="109"/>
        <v/>
      </c>
      <c r="Y1179" s="144" t="str">
        <f>IF(V1179="","",IF(W1179="",(V1179&amp;"/"&amp;"1"&amp;"/"&amp;"1"),IF(X1179="",(V1179&amp;"/"&amp;W1179&amp;"/"&amp;"1"),(V1179&amp;"/"&amp;W1179&amp;"/"&amp;X1179))))</f>
        <v/>
      </c>
      <c r="Z1179" s="144" t="str">
        <f>IF(Y1179="//","",Y1179)</f>
        <v/>
      </c>
    </row>
    <row r="1188" spans="2:13" x14ac:dyDescent="0.25">
      <c r="B1188" t="s">
        <v>152</v>
      </c>
      <c r="D1188" s="57"/>
      <c r="H1188" s="58"/>
      <c r="K1188" s="21"/>
    </row>
    <row r="1189" spans="2:13" x14ac:dyDescent="0.25">
      <c r="B1189" s="429"/>
      <c r="C1189" s="430"/>
      <c r="D1189" s="430"/>
      <c r="E1189" s="430"/>
      <c r="F1189" s="430"/>
      <c r="G1189" s="430"/>
      <c r="H1189" s="430"/>
      <c r="I1189" s="430"/>
      <c r="J1189" s="430"/>
      <c r="K1189" s="430"/>
      <c r="L1189" s="430"/>
      <c r="M1189" s="431"/>
    </row>
    <row r="1190" spans="2:13" x14ac:dyDescent="0.25">
      <c r="B1190" s="432"/>
      <c r="C1190" s="433"/>
      <c r="D1190" s="433"/>
      <c r="E1190" s="433"/>
      <c r="F1190" s="433"/>
      <c r="G1190" s="433"/>
      <c r="H1190" s="433"/>
      <c r="I1190" s="433"/>
      <c r="J1190" s="433"/>
      <c r="K1190" s="433"/>
      <c r="L1190" s="433"/>
      <c r="M1190" s="434"/>
    </row>
    <row r="1191" spans="2:13" x14ac:dyDescent="0.25">
      <c r="B1191" s="432"/>
      <c r="C1191" s="433"/>
      <c r="D1191" s="433"/>
      <c r="E1191" s="433"/>
      <c r="F1191" s="433"/>
      <c r="G1191" s="433"/>
      <c r="H1191" s="433"/>
      <c r="I1191" s="433"/>
      <c r="J1191" s="433"/>
      <c r="K1191" s="433"/>
      <c r="L1191" s="433"/>
      <c r="M1191" s="434"/>
    </row>
    <row r="1192" spans="2:13" x14ac:dyDescent="0.25">
      <c r="B1192" s="435"/>
      <c r="C1192" s="436"/>
      <c r="D1192" s="436"/>
      <c r="E1192" s="436"/>
      <c r="F1192" s="436"/>
      <c r="G1192" s="436"/>
      <c r="H1192" s="436"/>
      <c r="I1192" s="436"/>
      <c r="J1192" s="436"/>
      <c r="K1192" s="436"/>
      <c r="L1192" s="436"/>
      <c r="M1192" s="437"/>
    </row>
    <row r="1193" spans="2:13" x14ac:dyDescent="0.25">
      <c r="B1193" s="15"/>
      <c r="D1193" s="57"/>
      <c r="H1193" s="58"/>
      <c r="K1193" s="21"/>
    </row>
    <row r="1194" spans="2:13" x14ac:dyDescent="0.25">
      <c r="D1194" s="57"/>
      <c r="H1194" s="58"/>
      <c r="K1194" s="21"/>
    </row>
    <row r="1195" spans="2:13" x14ac:dyDescent="0.25">
      <c r="D1195" s="57"/>
      <c r="H1195" s="58"/>
      <c r="K1195" s="21"/>
    </row>
    <row r="1196" spans="2:13" x14ac:dyDescent="0.25">
      <c r="D1196" s="57"/>
      <c r="E1196" s="149"/>
      <c r="F1196" s="149"/>
      <c r="G1196" s="149"/>
      <c r="H1196" s="149"/>
      <c r="I1196" s="149"/>
      <c r="K1196" s="21"/>
    </row>
    <row r="1197" spans="2:13" x14ac:dyDescent="0.25">
      <c r="D1197" s="57"/>
      <c r="E1197" s="149"/>
      <c r="F1197" s="149"/>
      <c r="G1197" s="149"/>
      <c r="H1197" s="149"/>
      <c r="I1197" s="149"/>
      <c r="K1197" s="438" t="s">
        <v>155</v>
      </c>
      <c r="L1197" s="438"/>
      <c r="M1197" s="438"/>
    </row>
    <row r="1198" spans="2:13" x14ac:dyDescent="0.25">
      <c r="D1198" s="57"/>
      <c r="H1198" s="58"/>
      <c r="K1198" s="438"/>
      <c r="L1198" s="438"/>
      <c r="M1198" s="438"/>
    </row>
    <row r="1199" spans="2:13" x14ac:dyDescent="0.25">
      <c r="D1199" s="57"/>
      <c r="E1199" s="149"/>
      <c r="F1199" s="149"/>
      <c r="G1199" s="149"/>
      <c r="H1199" s="149"/>
      <c r="I1199" s="149"/>
      <c r="K1199" s="438"/>
      <c r="L1199" s="438"/>
      <c r="M1199" s="438"/>
    </row>
    <row r="1200" spans="2:13" x14ac:dyDescent="0.25">
      <c r="D1200" s="57"/>
      <c r="E1200" s="149"/>
      <c r="F1200" s="149"/>
      <c r="G1200" s="149"/>
      <c r="H1200" s="149"/>
      <c r="I1200" s="149"/>
      <c r="K1200" s="438"/>
      <c r="L1200" s="438"/>
      <c r="M1200" s="438"/>
    </row>
    <row r="1203" spans="2:2" x14ac:dyDescent="0.25">
      <c r="B1203" s="24" t="s">
        <v>128</v>
      </c>
    </row>
    <row r="1236" spans="2:33" ht="13.8" thickBot="1" x14ac:dyDescent="0.3">
      <c r="B1236">
        <f>$D$1</f>
        <v>0</v>
      </c>
      <c r="C1236" s="73" t="s">
        <v>128</v>
      </c>
      <c r="D1236" s="25" t="s">
        <v>129</v>
      </c>
      <c r="P1236" s="144"/>
      <c r="Q1236" s="144"/>
      <c r="R1236" s="144"/>
      <c r="S1236" s="144"/>
      <c r="T1236" s="144"/>
      <c r="U1236" s="144"/>
      <c r="V1236" s="144"/>
      <c r="W1236" s="144"/>
      <c r="X1236" s="144"/>
      <c r="Y1236" s="144"/>
      <c r="Z1236" s="144"/>
      <c r="AC1236" s="158"/>
      <c r="AD1236" s="158"/>
      <c r="AE1236" s="158"/>
      <c r="AF1236" s="158"/>
      <c r="AG1236" s="158"/>
    </row>
    <row r="1237" spans="2:33" ht="13.8" thickTop="1" x14ac:dyDescent="0.25">
      <c r="B1237" s="27" t="s">
        <v>131</v>
      </c>
      <c r="C1237" s="28"/>
      <c r="D1237" s="29" t="s">
        <v>132</v>
      </c>
      <c r="E1237" s="27" t="str">
        <f>J122</f>
        <v/>
      </c>
      <c r="F1237" s="30" t="str">
        <f>IF(L122=0,"NOT REQUIRED", IF(L122="Man","MANAGERIAL POSITION","NON-MANAGERIAL POSITION"))</f>
        <v>NON-MANAGERIAL POSITION</v>
      </c>
      <c r="G1237" s="28"/>
      <c r="H1237" s="308" t="s">
        <v>199</v>
      </c>
      <c r="I1237" s="31"/>
      <c r="J1237" s="27"/>
      <c r="K1237" s="28"/>
      <c r="L1237" s="31" t="s">
        <v>133</v>
      </c>
      <c r="M1237" s="28"/>
      <c r="N1237" s="32"/>
      <c r="P1237" s="144"/>
      <c r="Q1237" s="144"/>
      <c r="R1237" s="144"/>
      <c r="S1237" s="144"/>
      <c r="T1237" s="144"/>
      <c r="U1237" s="144"/>
      <c r="V1237" s="144"/>
      <c r="W1237" s="144"/>
      <c r="X1237" s="144"/>
      <c r="Y1237" s="144"/>
      <c r="Z1237" s="144"/>
      <c r="AC1237" s="158"/>
      <c r="AD1237" s="158"/>
      <c r="AE1237" s="158"/>
      <c r="AF1237" s="158"/>
      <c r="AG1237" s="158"/>
    </row>
    <row r="1238" spans="2:33" x14ac:dyDescent="0.25">
      <c r="E1238" s="34"/>
      <c r="F1238" s="35"/>
      <c r="G1238" s="36"/>
      <c r="I1238" s="10"/>
      <c r="J1238" s="37"/>
      <c r="N1238" s="38"/>
      <c r="P1238" s="144"/>
      <c r="Q1238" s="144"/>
      <c r="R1238" s="144"/>
      <c r="S1238" s="144"/>
      <c r="T1238" s="144"/>
      <c r="U1238" s="144"/>
      <c r="V1238" s="144"/>
      <c r="W1238" s="144"/>
      <c r="X1238" s="144"/>
      <c r="Y1238" s="144"/>
      <c r="Z1238" s="144"/>
      <c r="AC1238" s="158"/>
      <c r="AD1238" s="158"/>
      <c r="AE1238" s="158"/>
      <c r="AF1238" s="158"/>
      <c r="AG1238" s="158"/>
    </row>
    <row r="1239" spans="2:33" x14ac:dyDescent="0.25">
      <c r="B1239" t="s">
        <v>134</v>
      </c>
      <c r="L1239" s="465" t="str">
        <f>$L$39</f>
        <v>X.002-218-2024(NT)&amp;N.004-116-2024(T)</v>
      </c>
      <c r="M1239" s="465"/>
      <c r="N1239" s="38"/>
      <c r="P1239" s="144"/>
      <c r="Q1239" s="144"/>
      <c r="R1239" s="144"/>
      <c r="S1239" s="144"/>
      <c r="T1239" s="144"/>
      <c r="U1239" s="144"/>
      <c r="V1239" s="144"/>
      <c r="W1239" s="144"/>
      <c r="X1239" s="144"/>
      <c r="Y1239" s="144"/>
      <c r="Z1239" s="144"/>
      <c r="AC1239" s="158"/>
      <c r="AD1239" s="158"/>
      <c r="AE1239" s="158"/>
      <c r="AF1239" s="158"/>
      <c r="AG1239" s="158"/>
    </row>
    <row r="1240" spans="2:33" ht="24.75" customHeight="1" x14ac:dyDescent="0.25">
      <c r="B1240" s="39" t="s">
        <v>135</v>
      </c>
      <c r="C1240" s="40"/>
      <c r="D1240" s="41"/>
      <c r="E1240" s="427" t="s">
        <v>136</v>
      </c>
      <c r="F1240" s="428"/>
      <c r="G1240" s="39" t="s">
        <v>137</v>
      </c>
      <c r="H1240" s="41"/>
      <c r="I1240" s="39" t="s">
        <v>138</v>
      </c>
      <c r="J1240" s="40"/>
      <c r="K1240" s="41"/>
      <c r="L1240" s="465"/>
      <c r="M1240" s="465"/>
      <c r="N1240" s="38"/>
      <c r="P1240" s="144"/>
      <c r="Q1240" s="144"/>
      <c r="R1240" s="144"/>
      <c r="S1240" s="144"/>
      <c r="T1240" s="144"/>
      <c r="U1240" s="144"/>
      <c r="V1240" s="144"/>
      <c r="W1240" s="144"/>
      <c r="X1240" s="144"/>
      <c r="Y1240" s="144"/>
      <c r="Z1240" s="144"/>
      <c r="AC1240" s="158"/>
      <c r="AD1240" s="158"/>
      <c r="AE1240" s="158"/>
      <c r="AF1240" s="158"/>
      <c r="AG1240" s="158"/>
    </row>
    <row r="1241" spans="2:33" ht="18" customHeight="1" x14ac:dyDescent="0.25">
      <c r="B1241" s="194"/>
      <c r="C1241" s="195"/>
      <c r="D1241" s="196"/>
      <c r="E1241" s="425"/>
      <c r="F1241" s="426"/>
      <c r="G1241" s="43" t="str">
        <f>K122</f>
        <v/>
      </c>
      <c r="H1241" s="44"/>
      <c r="I1241" s="187"/>
      <c r="J1241" s="186"/>
      <c r="K1241" s="188"/>
      <c r="N1241" s="38"/>
      <c r="P1241" s="144">
        <v>1</v>
      </c>
      <c r="Q1241" s="144">
        <v>1</v>
      </c>
      <c r="R1241" s="144">
        <v>1</v>
      </c>
      <c r="S1241" s="144" t="str">
        <f>VLOOKUP(P1241,'WORKINGS MATRIX'!$H$200:$I$351,2,FALSE)</f>
        <v>Year</v>
      </c>
      <c r="T1241" s="144">
        <f>Q1241-1</f>
        <v>0</v>
      </c>
      <c r="U1241" s="144">
        <f>R1241-1</f>
        <v>0</v>
      </c>
      <c r="V1241" s="144" t="str">
        <f>IF(S1241="year","",S1241)</f>
        <v/>
      </c>
      <c r="W1241" s="144" t="str">
        <f>IF(T1241=0,"",T1241)</f>
        <v/>
      </c>
      <c r="X1241" s="144" t="str">
        <f>IF(U1241=0,"",U1241)</f>
        <v/>
      </c>
      <c r="Y1241" s="144" t="str">
        <f>IF(V1241="","",IF(W1241="",(V1241&amp;"/"&amp;"1"&amp;"/"&amp;"1"),IF(X1241="",(V1241&amp;"/"&amp;W1241&amp;"/"&amp;"1"),(V1241&amp;"/"&amp;W1241&amp;"/"&amp;X1241))))</f>
        <v/>
      </c>
      <c r="Z1241" s="144" t="str">
        <f>IF(Y1241="//","",Y1241)</f>
        <v/>
      </c>
      <c r="AC1241" s="158"/>
      <c r="AD1241" s="158"/>
      <c r="AE1241" s="158"/>
      <c r="AF1241" s="158"/>
      <c r="AG1241" s="158"/>
    </row>
    <row r="1242" spans="2:33" x14ac:dyDescent="0.25">
      <c r="E1242" t="str">
        <f>IF(E1241="","",IF(LEN(E1241)=13,"","ID NUMBER SHOULD BE 13 DIGITS"))</f>
        <v/>
      </c>
      <c r="N1242" s="38"/>
      <c r="P1242" s="144"/>
      <c r="Q1242" s="144"/>
      <c r="R1242" s="144"/>
      <c r="S1242" s="144"/>
      <c r="T1242" s="144"/>
      <c r="U1242" s="144"/>
      <c r="V1242" s="144"/>
      <c r="W1242" s="144"/>
      <c r="X1242" s="144"/>
      <c r="Y1242" s="144"/>
      <c r="Z1242" s="144"/>
      <c r="AC1242" s="158"/>
      <c r="AD1242" s="158"/>
      <c r="AE1242" s="158"/>
      <c r="AF1242" s="158"/>
      <c r="AG1242" s="158"/>
    </row>
    <row r="1243" spans="2:33" x14ac:dyDescent="0.25">
      <c r="G1243" s="170" t="str">
        <f>IF(AG1246=0,"","DATES BEYOND TENDER CLOSING DATE - PLEASE CHECK")</f>
        <v/>
      </c>
      <c r="N1243" s="38"/>
      <c r="P1243" s="144"/>
      <c r="Q1243" s="144"/>
      <c r="R1243" s="144"/>
      <c r="S1243" s="144"/>
      <c r="T1243" s="144"/>
      <c r="U1243" s="144"/>
      <c r="V1243" s="144"/>
      <c r="W1243" s="144"/>
      <c r="X1243" s="144"/>
      <c r="Y1243" s="144"/>
      <c r="Z1243" s="144"/>
      <c r="AC1243" s="158"/>
      <c r="AD1243" s="158"/>
      <c r="AE1243" s="158"/>
      <c r="AF1243" s="158"/>
      <c r="AG1243" s="158"/>
    </row>
    <row r="1244" spans="2:33" x14ac:dyDescent="0.25">
      <c r="B1244" t="s">
        <v>139</v>
      </c>
      <c r="G1244" s="170" t="str">
        <f>IF(AE1246=0,"","DATES INCORRECT OR INCOMPLETE - PLEASE CHECK")</f>
        <v/>
      </c>
      <c r="N1244" s="38"/>
      <c r="P1244" s="144"/>
      <c r="Q1244" s="144"/>
      <c r="R1244" s="144"/>
      <c r="S1244" s="144"/>
      <c r="T1244" s="144"/>
      <c r="U1244" s="144"/>
      <c r="V1244" s="144"/>
      <c r="W1244" s="144"/>
      <c r="X1244" s="144"/>
      <c r="Y1244" s="144"/>
      <c r="Z1244" s="144"/>
      <c r="AC1244" s="158"/>
      <c r="AD1244" s="158"/>
      <c r="AE1244" s="158"/>
      <c r="AF1244" s="158"/>
      <c r="AG1244" s="158"/>
    </row>
    <row r="1245" spans="2:33" x14ac:dyDescent="0.25">
      <c r="B1245" s="15" t="s">
        <v>140</v>
      </c>
      <c r="N1245" s="38"/>
      <c r="P1245" s="144"/>
      <c r="Q1245" s="144"/>
      <c r="R1245" s="144"/>
      <c r="S1245" s="144"/>
      <c r="T1245" s="144"/>
      <c r="U1245" s="144"/>
      <c r="V1245" s="144"/>
      <c r="W1245" s="144"/>
      <c r="X1245" s="144"/>
      <c r="Y1245" s="144"/>
      <c r="Z1245" s="144"/>
      <c r="AC1245" s="158"/>
      <c r="AD1245" s="158"/>
      <c r="AE1245" s="158"/>
      <c r="AF1245" s="158"/>
      <c r="AG1245" s="158"/>
    </row>
    <row r="1246" spans="2:33" ht="66" x14ac:dyDescent="0.25">
      <c r="B1246" s="47" t="s">
        <v>141</v>
      </c>
      <c r="C1246" s="48" t="s">
        <v>142</v>
      </c>
      <c r="D1246" s="44"/>
      <c r="E1246" s="470" t="s">
        <v>143</v>
      </c>
      <c r="F1246" s="471"/>
      <c r="G1246" s="157" t="s">
        <v>144</v>
      </c>
      <c r="H1246" s="157" t="s">
        <v>145</v>
      </c>
      <c r="I1246" s="385" t="s">
        <v>146</v>
      </c>
      <c r="J1246" s="49" t="s">
        <v>147</v>
      </c>
      <c r="K1246" s="50" t="s">
        <v>148</v>
      </c>
      <c r="L1246" s="385" t="s">
        <v>149</v>
      </c>
      <c r="M1246" s="49" t="s">
        <v>150</v>
      </c>
      <c r="N1246" s="51"/>
      <c r="O1246" s="386"/>
      <c r="P1246" s="147"/>
      <c r="Q1246" s="144"/>
      <c r="R1246" s="144"/>
      <c r="S1246" s="145"/>
      <c r="T1246" s="145"/>
      <c r="U1246" s="145"/>
      <c r="V1246" s="145"/>
      <c r="W1246" s="145"/>
      <c r="X1246" s="145"/>
      <c r="Y1246" s="145"/>
      <c r="Z1246" s="145"/>
      <c r="AC1246" s="165"/>
      <c r="AD1246" s="165"/>
      <c r="AE1246" s="165">
        <f>SUM(AE1247:AE1251)</f>
        <v>0</v>
      </c>
      <c r="AF1246" s="165"/>
      <c r="AG1246" s="165">
        <f>SUM(AG1247:AG1251)</f>
        <v>0</v>
      </c>
    </row>
    <row r="1247" spans="2:33" ht="25.5" customHeight="1" x14ac:dyDescent="0.25">
      <c r="B1247" s="200"/>
      <c r="C1247" s="53">
        <v>8</v>
      </c>
      <c r="D1247" s="54"/>
      <c r="E1247" s="55"/>
      <c r="F1247" s="55">
        <v>1</v>
      </c>
      <c r="G1247" s="143" t="str">
        <f>Z1247</f>
        <v/>
      </c>
      <c r="H1247" s="143" t="str">
        <f>Z1252</f>
        <v/>
      </c>
      <c r="I1247" s="202"/>
      <c r="J1247" s="203"/>
      <c r="K1247" s="56">
        <v>23</v>
      </c>
      <c r="L1247" s="204"/>
      <c r="M1247" s="205"/>
      <c r="N1247" s="164">
        <f>IF(G1247="",0,IF(H1247="",0,(ROUND(((H1247-G1247)/30),0))))</f>
        <v>0</v>
      </c>
      <c r="O1247" s="21"/>
      <c r="P1247" s="148">
        <v>1</v>
      </c>
      <c r="Q1247" s="144">
        <v>1</v>
      </c>
      <c r="R1247" s="144">
        <v>1</v>
      </c>
      <c r="S1247" s="144" t="str">
        <f>VLOOKUP(P1247,'WORKINGS MATRIX'!$B$200:$C$351,2,FALSE)</f>
        <v>Year</v>
      </c>
      <c r="T1247" s="144">
        <f t="shared" ref="T1247:U1251" si="110">Q1247-1</f>
        <v>0</v>
      </c>
      <c r="U1247" s="144">
        <f t="shared" si="110"/>
        <v>0</v>
      </c>
      <c r="V1247" s="144" t="str">
        <f t="shared" ref="V1247:V1256" si="111">IF(S1247="year","",S1247)</f>
        <v/>
      </c>
      <c r="W1247" s="144" t="str">
        <f t="shared" ref="W1247:X1251" si="112">IF(T1247=0,"",T1247)</f>
        <v/>
      </c>
      <c r="X1247" s="144" t="str">
        <f t="shared" si="112"/>
        <v/>
      </c>
      <c r="Y1247" s="144" t="str">
        <f t="shared" ref="Y1247:Y1256" si="113">IF(V1247="","",IF(W1247="",(V1247&amp;"/"&amp;"1"&amp;"/"&amp;"1"),IF(X1247="",(V1247&amp;"/"&amp;W1247&amp;"/"&amp;"1"),(V1247&amp;"/"&amp;W1247&amp;"/"&amp;X1247))))</f>
        <v/>
      </c>
      <c r="Z1247" s="144" t="str">
        <f t="shared" ref="Z1247:Z1256" si="114">IF(Y1247="//","",Y1247)</f>
        <v/>
      </c>
      <c r="AC1247" s="172">
        <f>IF(B1247="",0,1)</f>
        <v>0</v>
      </c>
      <c r="AD1247" s="172">
        <f>IF(B1247="",0,IF(N1247&gt;0,1,IF(N1247&lt;0,2,0)))</f>
        <v>0</v>
      </c>
      <c r="AE1247" s="172">
        <f>IF(AC1247=AD1247,0,IF(AC1247&gt;AD1247,2,1))</f>
        <v>0</v>
      </c>
      <c r="AF1247" s="172">
        <f>IF(B1247="",0,IF(N1247=0,0,H1247-$F$125))</f>
        <v>0</v>
      </c>
      <c r="AG1247" s="172">
        <f>IF(AF1247&gt;0,1,0)</f>
        <v>0</v>
      </c>
    </row>
    <row r="1248" spans="2:33" ht="25.5" customHeight="1" x14ac:dyDescent="0.25">
      <c r="B1248" s="200"/>
      <c r="C1248" s="53">
        <v>8</v>
      </c>
      <c r="D1248" s="54"/>
      <c r="E1248" s="55"/>
      <c r="F1248" s="55">
        <v>1</v>
      </c>
      <c r="G1248" s="143" t="str">
        <f>Z1248</f>
        <v/>
      </c>
      <c r="H1248" s="143" t="str">
        <f>Z1253</f>
        <v/>
      </c>
      <c r="I1248" s="202"/>
      <c r="J1248" s="203"/>
      <c r="K1248" s="56">
        <v>23</v>
      </c>
      <c r="L1248" s="204"/>
      <c r="M1248" s="205"/>
      <c r="N1248" s="164">
        <f>IF(G1248="",0,IF(H1248="",0,(ROUND(((H1248-G1248)/30),0))))</f>
        <v>0</v>
      </c>
      <c r="O1248" s="21"/>
      <c r="P1248" s="148">
        <v>1</v>
      </c>
      <c r="Q1248" s="144">
        <v>1</v>
      </c>
      <c r="R1248" s="144">
        <v>1</v>
      </c>
      <c r="S1248" s="144" t="str">
        <f>VLOOKUP(P1248,'WORKINGS MATRIX'!$B$200:$C$351,2,FALSE)</f>
        <v>Year</v>
      </c>
      <c r="T1248" s="144">
        <f t="shared" si="110"/>
        <v>0</v>
      </c>
      <c r="U1248" s="144">
        <f t="shared" si="110"/>
        <v>0</v>
      </c>
      <c r="V1248" s="144" t="str">
        <f t="shared" si="111"/>
        <v/>
      </c>
      <c r="W1248" s="144" t="str">
        <f t="shared" si="112"/>
        <v/>
      </c>
      <c r="X1248" s="144" t="str">
        <f t="shared" si="112"/>
        <v/>
      </c>
      <c r="Y1248" s="144" t="str">
        <f t="shared" si="113"/>
        <v/>
      </c>
      <c r="Z1248" s="144" t="str">
        <f t="shared" si="114"/>
        <v/>
      </c>
      <c r="AC1248" s="172">
        <f>IF(B1248="",0,1)</f>
        <v>0</v>
      </c>
      <c r="AD1248" s="172">
        <f>IF(B1248="",0,IF(N1248&gt;0,1,IF(N1248&lt;0,2,0)))</f>
        <v>0</v>
      </c>
      <c r="AE1248" s="172">
        <f>IF(AC1248=AD1248,0,IF(AC1248&gt;AD1248,2,1))</f>
        <v>0</v>
      </c>
      <c r="AF1248" s="172">
        <f>IF(B1248="",0,IF(N1248=0,0,H1248-$F$125))</f>
        <v>0</v>
      </c>
      <c r="AG1248" s="172">
        <f>IF(AF1248&gt;0,1,0)</f>
        <v>0</v>
      </c>
    </row>
    <row r="1249" spans="2:33" ht="25.5" customHeight="1" x14ac:dyDescent="0.25">
      <c r="B1249" s="200"/>
      <c r="C1249" s="53">
        <v>8</v>
      </c>
      <c r="D1249" s="54"/>
      <c r="E1249" s="55"/>
      <c r="F1249" s="55">
        <v>1</v>
      </c>
      <c r="G1249" s="143" t="str">
        <f>Z1249</f>
        <v/>
      </c>
      <c r="H1249" s="143" t="str">
        <f>Z1254</f>
        <v/>
      </c>
      <c r="I1249" s="202"/>
      <c r="J1249" s="203"/>
      <c r="K1249" s="56">
        <v>23</v>
      </c>
      <c r="L1249" s="204"/>
      <c r="M1249" s="205"/>
      <c r="N1249" s="164">
        <f>IF(G1249="",0,IF(H1249="",0,(ROUND(((H1249-G1249)/30),0))))</f>
        <v>0</v>
      </c>
      <c r="O1249" s="21"/>
      <c r="P1249" s="148">
        <v>1</v>
      </c>
      <c r="Q1249" s="144">
        <v>1</v>
      </c>
      <c r="R1249" s="144">
        <v>1</v>
      </c>
      <c r="S1249" s="144" t="str">
        <f>VLOOKUP(P1249,'WORKINGS MATRIX'!$B$200:$C$351,2,FALSE)</f>
        <v>Year</v>
      </c>
      <c r="T1249" s="144">
        <f t="shared" si="110"/>
        <v>0</v>
      </c>
      <c r="U1249" s="144">
        <f t="shared" si="110"/>
        <v>0</v>
      </c>
      <c r="V1249" s="144" t="str">
        <f t="shared" si="111"/>
        <v/>
      </c>
      <c r="W1249" s="144" t="str">
        <f t="shared" si="112"/>
        <v/>
      </c>
      <c r="X1249" s="144" t="str">
        <f t="shared" si="112"/>
        <v/>
      </c>
      <c r="Y1249" s="144" t="str">
        <f t="shared" si="113"/>
        <v/>
      </c>
      <c r="Z1249" s="144" t="str">
        <f t="shared" si="114"/>
        <v/>
      </c>
      <c r="AC1249" s="172">
        <f>IF(B1249="",0,1)</f>
        <v>0</v>
      </c>
      <c r="AD1249" s="172">
        <f>IF(B1249="",0,IF(N1249&gt;0,1,IF(N1249&lt;0,2,0)))</f>
        <v>0</v>
      </c>
      <c r="AE1249" s="172">
        <f>IF(AC1249=AD1249,0,IF(AC1249&gt;AD1249,2,1))</f>
        <v>0</v>
      </c>
      <c r="AF1249" s="172">
        <f>IF(B1249="",0,IF(N1249=0,0,H1249-$F$125))</f>
        <v>0</v>
      </c>
      <c r="AG1249" s="172">
        <f>IF(AF1249&gt;0,1,0)</f>
        <v>0</v>
      </c>
    </row>
    <row r="1250" spans="2:33" ht="25.5" customHeight="1" x14ac:dyDescent="0.25">
      <c r="B1250" s="255"/>
      <c r="C1250" s="255"/>
      <c r="D1250" s="255"/>
      <c r="E1250" s="255"/>
      <c r="F1250" s="255"/>
      <c r="G1250" s="255"/>
      <c r="H1250" s="255"/>
      <c r="I1250" s="255"/>
      <c r="J1250" s="255"/>
      <c r="K1250" s="255"/>
      <c r="L1250" s="255"/>
      <c r="M1250" s="255"/>
      <c r="N1250" s="164">
        <f>IF(G1250="",0,IF(H1250="",0,(ROUND(((H1250-G1250)/30),0))))</f>
        <v>0</v>
      </c>
      <c r="O1250" s="21"/>
      <c r="P1250" s="148">
        <v>1</v>
      </c>
      <c r="Q1250" s="144">
        <v>1</v>
      </c>
      <c r="R1250" s="144">
        <v>1</v>
      </c>
      <c r="S1250" s="144" t="str">
        <f>VLOOKUP(P1250,'WORKINGS MATRIX'!$B$200:$C$351,2,FALSE)</f>
        <v>Year</v>
      </c>
      <c r="T1250" s="144">
        <f t="shared" si="110"/>
        <v>0</v>
      </c>
      <c r="U1250" s="144">
        <f t="shared" si="110"/>
        <v>0</v>
      </c>
      <c r="V1250" s="144" t="str">
        <f t="shared" si="111"/>
        <v/>
      </c>
      <c r="W1250" s="144" t="str">
        <f t="shared" si="112"/>
        <v/>
      </c>
      <c r="X1250" s="144" t="str">
        <f t="shared" si="112"/>
        <v/>
      </c>
      <c r="Y1250" s="144" t="str">
        <f t="shared" si="113"/>
        <v/>
      </c>
      <c r="Z1250" s="144" t="str">
        <f t="shared" si="114"/>
        <v/>
      </c>
      <c r="AC1250" s="172">
        <f>IF(B1250="",0,1)</f>
        <v>0</v>
      </c>
      <c r="AD1250" s="172">
        <f>IF(B1250="",0,IF(N1250&gt;0,1,IF(N1250&lt;0,2,0)))</f>
        <v>0</v>
      </c>
      <c r="AE1250" s="172">
        <f>IF(AC1250=AD1250,0,IF(AC1250&gt;AD1250,2,1))</f>
        <v>0</v>
      </c>
      <c r="AF1250" s="172">
        <f>IF(B1250="",0,IF(N1250=0,0,H1250-$F$125))</f>
        <v>0</v>
      </c>
      <c r="AG1250" s="172">
        <f>IF(AF1250&gt;0,1,0)</f>
        <v>0</v>
      </c>
    </row>
    <row r="1251" spans="2:33" ht="25.5" customHeight="1" x14ac:dyDescent="0.25">
      <c r="B1251" s="149"/>
      <c r="C1251" s="149"/>
      <c r="D1251" s="149"/>
      <c r="E1251" s="149"/>
      <c r="F1251" s="149"/>
      <c r="G1251" s="149"/>
      <c r="H1251" s="149"/>
      <c r="I1251" s="149"/>
      <c r="J1251" s="149"/>
      <c r="K1251" s="149"/>
      <c r="L1251" s="149"/>
      <c r="M1251" s="149"/>
      <c r="N1251" s="164">
        <f>IF(G1251="",0,IF(H1251="",0,(ROUND(((H1251-G1251)/30),0))))</f>
        <v>0</v>
      </c>
      <c r="O1251" s="21"/>
      <c r="P1251" s="148">
        <v>1</v>
      </c>
      <c r="Q1251" s="144">
        <v>1</v>
      </c>
      <c r="R1251" s="144">
        <v>1</v>
      </c>
      <c r="S1251" s="144" t="str">
        <f>VLOOKUP(P1251,'WORKINGS MATRIX'!$B$200:$C$351,2,FALSE)</f>
        <v>Year</v>
      </c>
      <c r="T1251" s="144">
        <f t="shared" si="110"/>
        <v>0</v>
      </c>
      <c r="U1251" s="144">
        <f t="shared" si="110"/>
        <v>0</v>
      </c>
      <c r="V1251" s="144" t="str">
        <f t="shared" si="111"/>
        <v/>
      </c>
      <c r="W1251" s="144" t="str">
        <f t="shared" si="112"/>
        <v/>
      </c>
      <c r="X1251" s="144" t="str">
        <f t="shared" si="112"/>
        <v/>
      </c>
      <c r="Y1251" s="144" t="str">
        <f t="shared" si="113"/>
        <v/>
      </c>
      <c r="Z1251" s="144" t="str">
        <f t="shared" si="114"/>
        <v/>
      </c>
      <c r="AC1251" s="172">
        <f>IF(B1251="",0,1)</f>
        <v>0</v>
      </c>
      <c r="AD1251" s="172">
        <f>IF(B1251="",0,IF(N1251&gt;0,1,IF(N1251&lt;0,2,0)))</f>
        <v>0</v>
      </c>
      <c r="AE1251" s="172">
        <f>IF(AC1251=AD1251,0,IF(AC1251&gt;AD1251,2,1))</f>
        <v>0</v>
      </c>
      <c r="AF1251" s="172">
        <f>IF(B1251="",0,IF(N1251=0,0,H1251-$F$125))</f>
        <v>0</v>
      </c>
      <c r="AG1251" s="172">
        <f>IF(AF1251&gt;0,1,0)</f>
        <v>0</v>
      </c>
    </row>
    <row r="1252" spans="2:33" x14ac:dyDescent="0.25">
      <c r="D1252" s="57"/>
      <c r="H1252" s="58"/>
      <c r="K1252" s="21"/>
      <c r="N1252" s="38"/>
      <c r="O1252" s="58"/>
      <c r="P1252" s="134">
        <v>1</v>
      </c>
      <c r="Q1252" s="144">
        <v>1</v>
      </c>
      <c r="R1252" s="144">
        <v>1</v>
      </c>
      <c r="S1252" s="144" t="str">
        <f>VLOOKUP(P1252,'WORKINGS MATRIX'!$B$200:$C$351,2,FALSE)</f>
        <v>Year</v>
      </c>
      <c r="T1252" s="144">
        <f t="shared" ref="T1252:U1256" si="115">Q1252-1</f>
        <v>0</v>
      </c>
      <c r="U1252" s="144">
        <f t="shared" si="115"/>
        <v>0</v>
      </c>
      <c r="V1252" s="144" t="str">
        <f t="shared" si="111"/>
        <v/>
      </c>
      <c r="W1252" s="144" t="str">
        <f t="shared" ref="W1252:X1256" si="116">IF(T1252=0,"",T1252)</f>
        <v/>
      </c>
      <c r="X1252" s="144" t="str">
        <f t="shared" si="116"/>
        <v/>
      </c>
      <c r="Y1252" s="144" t="str">
        <f t="shared" si="113"/>
        <v/>
      </c>
      <c r="Z1252" s="144" t="str">
        <f t="shared" si="114"/>
        <v/>
      </c>
      <c r="AC1252" s="158"/>
      <c r="AD1252" s="158"/>
      <c r="AE1252" s="158"/>
      <c r="AF1252" s="158"/>
      <c r="AG1252" s="158"/>
    </row>
    <row r="1253" spans="2:33" x14ac:dyDescent="0.25">
      <c r="B1253" t="s">
        <v>152</v>
      </c>
      <c r="D1253" s="57"/>
      <c r="H1253" s="58"/>
      <c r="K1253" s="21"/>
      <c r="N1253" s="38"/>
      <c r="O1253" s="58"/>
      <c r="P1253" s="144">
        <v>1</v>
      </c>
      <c r="Q1253" s="144">
        <v>1</v>
      </c>
      <c r="R1253" s="144">
        <v>1</v>
      </c>
      <c r="S1253" s="144" t="str">
        <f>VLOOKUP(P1253,'WORKINGS MATRIX'!$B$200:$C$351,2,FALSE)</f>
        <v>Year</v>
      </c>
      <c r="T1253" s="144">
        <f t="shared" si="115"/>
        <v>0</v>
      </c>
      <c r="U1253" s="144">
        <f t="shared" si="115"/>
        <v>0</v>
      </c>
      <c r="V1253" s="144" t="str">
        <f t="shared" si="111"/>
        <v/>
      </c>
      <c r="W1253" s="144" t="str">
        <f t="shared" si="116"/>
        <v/>
      </c>
      <c r="X1253" s="144" t="str">
        <f t="shared" si="116"/>
        <v/>
      </c>
      <c r="Y1253" s="144" t="str">
        <f t="shared" si="113"/>
        <v/>
      </c>
      <c r="Z1253" s="144" t="str">
        <f t="shared" si="114"/>
        <v/>
      </c>
      <c r="AC1253" s="158"/>
      <c r="AD1253" s="158"/>
      <c r="AE1253" s="158"/>
      <c r="AF1253" s="158"/>
      <c r="AG1253" s="158"/>
    </row>
    <row r="1254" spans="2:33" x14ac:dyDescent="0.25">
      <c r="B1254" s="429"/>
      <c r="C1254" s="430"/>
      <c r="D1254" s="430"/>
      <c r="E1254" s="430"/>
      <c r="F1254" s="430"/>
      <c r="G1254" s="430"/>
      <c r="H1254" s="430"/>
      <c r="I1254" s="430"/>
      <c r="J1254" s="430"/>
      <c r="K1254" s="430"/>
      <c r="L1254" s="430"/>
      <c r="M1254" s="431"/>
      <c r="N1254" s="38"/>
      <c r="O1254" s="58"/>
      <c r="P1254" s="144">
        <v>1</v>
      </c>
      <c r="Q1254" s="144">
        <v>1</v>
      </c>
      <c r="R1254" s="144">
        <v>1</v>
      </c>
      <c r="S1254" s="144" t="str">
        <f>VLOOKUP(P1254,'WORKINGS MATRIX'!$B$200:$C$351,2,FALSE)</f>
        <v>Year</v>
      </c>
      <c r="T1254" s="144">
        <f t="shared" si="115"/>
        <v>0</v>
      </c>
      <c r="U1254" s="144">
        <f t="shared" si="115"/>
        <v>0</v>
      </c>
      <c r="V1254" s="144" t="str">
        <f t="shared" si="111"/>
        <v/>
      </c>
      <c r="W1254" s="144" t="str">
        <f t="shared" si="116"/>
        <v/>
      </c>
      <c r="X1254" s="144" t="str">
        <f t="shared" si="116"/>
        <v/>
      </c>
      <c r="Y1254" s="144" t="str">
        <f t="shared" si="113"/>
        <v/>
      </c>
      <c r="Z1254" s="144" t="str">
        <f t="shared" si="114"/>
        <v/>
      </c>
      <c r="AC1254" s="158"/>
      <c r="AD1254" s="158"/>
      <c r="AE1254" s="158"/>
      <c r="AF1254" s="158"/>
      <c r="AG1254" s="158"/>
    </row>
    <row r="1255" spans="2:33" x14ac:dyDescent="0.25">
      <c r="B1255" s="432"/>
      <c r="C1255" s="433"/>
      <c r="D1255" s="433"/>
      <c r="E1255" s="433"/>
      <c r="F1255" s="433"/>
      <c r="G1255" s="433"/>
      <c r="H1255" s="433"/>
      <c r="I1255" s="433"/>
      <c r="J1255" s="433"/>
      <c r="K1255" s="433"/>
      <c r="L1255" s="433"/>
      <c r="M1255" s="434"/>
      <c r="N1255" s="38"/>
      <c r="O1255" s="58"/>
      <c r="P1255" s="144">
        <v>1</v>
      </c>
      <c r="Q1255" s="144">
        <v>1</v>
      </c>
      <c r="R1255" s="144">
        <v>1</v>
      </c>
      <c r="S1255" s="144" t="str">
        <f>VLOOKUP(P1255,'WORKINGS MATRIX'!$B$200:$C$351,2,FALSE)</f>
        <v>Year</v>
      </c>
      <c r="T1255" s="144">
        <f t="shared" si="115"/>
        <v>0</v>
      </c>
      <c r="U1255" s="144">
        <f t="shared" si="115"/>
        <v>0</v>
      </c>
      <c r="V1255" s="144" t="str">
        <f t="shared" si="111"/>
        <v/>
      </c>
      <c r="W1255" s="144" t="str">
        <f t="shared" si="116"/>
        <v/>
      </c>
      <c r="X1255" s="144" t="str">
        <f t="shared" si="116"/>
        <v/>
      </c>
      <c r="Y1255" s="144" t="str">
        <f t="shared" si="113"/>
        <v/>
      </c>
      <c r="Z1255" s="144" t="str">
        <f t="shared" si="114"/>
        <v/>
      </c>
      <c r="AC1255" s="158"/>
      <c r="AD1255" s="158"/>
      <c r="AE1255" s="158"/>
      <c r="AF1255" s="158"/>
      <c r="AG1255" s="158"/>
    </row>
    <row r="1256" spans="2:33" x14ac:dyDescent="0.25">
      <c r="B1256" s="432"/>
      <c r="C1256" s="433"/>
      <c r="D1256" s="433"/>
      <c r="E1256" s="433"/>
      <c r="F1256" s="433"/>
      <c r="G1256" s="433"/>
      <c r="H1256" s="433"/>
      <c r="I1256" s="433"/>
      <c r="J1256" s="433"/>
      <c r="K1256" s="433"/>
      <c r="L1256" s="433"/>
      <c r="M1256" s="434"/>
      <c r="N1256" s="38"/>
      <c r="O1256" s="58"/>
      <c r="P1256" s="144">
        <v>1</v>
      </c>
      <c r="Q1256" s="144">
        <v>1</v>
      </c>
      <c r="R1256" s="144">
        <v>1</v>
      </c>
      <c r="S1256" s="144" t="str">
        <f>VLOOKUP(P1256,'WORKINGS MATRIX'!$B$200:$C$351,2,FALSE)</f>
        <v>Year</v>
      </c>
      <c r="T1256" s="144">
        <f t="shared" si="115"/>
        <v>0</v>
      </c>
      <c r="U1256" s="144">
        <f t="shared" si="115"/>
        <v>0</v>
      </c>
      <c r="V1256" s="144" t="str">
        <f t="shared" si="111"/>
        <v/>
      </c>
      <c r="W1256" s="144" t="str">
        <f t="shared" si="116"/>
        <v/>
      </c>
      <c r="X1256" s="144" t="str">
        <f t="shared" si="116"/>
        <v/>
      </c>
      <c r="Y1256" s="144" t="str">
        <f t="shared" si="113"/>
        <v/>
      </c>
      <c r="Z1256" s="144" t="str">
        <f t="shared" si="114"/>
        <v/>
      </c>
      <c r="AC1256" s="158"/>
      <c r="AD1256" s="158"/>
      <c r="AE1256" s="158"/>
      <c r="AF1256" s="158"/>
      <c r="AG1256" s="158"/>
    </row>
    <row r="1257" spans="2:33" x14ac:dyDescent="0.25">
      <c r="B1257" s="435"/>
      <c r="C1257" s="436"/>
      <c r="D1257" s="436"/>
      <c r="E1257" s="436"/>
      <c r="F1257" s="436"/>
      <c r="G1257" s="436"/>
      <c r="H1257" s="436"/>
      <c r="I1257" s="436"/>
      <c r="J1257" s="436"/>
      <c r="K1257" s="436"/>
      <c r="L1257" s="436"/>
      <c r="M1257" s="437"/>
      <c r="N1257" s="38"/>
      <c r="O1257" s="58"/>
      <c r="P1257" s="144"/>
      <c r="Q1257" s="144"/>
      <c r="R1257" s="144"/>
      <c r="S1257" s="144"/>
      <c r="T1257" s="144"/>
      <c r="U1257" s="144"/>
      <c r="V1257" s="144"/>
      <c r="W1257" s="144"/>
      <c r="X1257" s="144"/>
      <c r="Y1257" s="144"/>
      <c r="Z1257" s="144"/>
      <c r="AC1257" s="158"/>
      <c r="AD1257" s="158"/>
      <c r="AE1257" s="158"/>
      <c r="AF1257" s="158"/>
      <c r="AG1257" s="158"/>
    </row>
    <row r="1258" spans="2:33" x14ac:dyDescent="0.25">
      <c r="B1258" s="15" t="s">
        <v>153</v>
      </c>
      <c r="D1258" s="57"/>
      <c r="H1258" s="58"/>
      <c r="K1258" s="21"/>
      <c r="N1258" s="38"/>
      <c r="O1258" s="58"/>
      <c r="P1258" s="144"/>
      <c r="Q1258" s="144"/>
      <c r="R1258" s="144"/>
      <c r="S1258" s="144"/>
      <c r="T1258" s="144"/>
      <c r="U1258" s="144"/>
      <c r="V1258" s="144"/>
      <c r="W1258" s="144"/>
      <c r="X1258" s="144"/>
      <c r="Y1258" s="144"/>
      <c r="Z1258" s="144"/>
      <c r="AC1258" s="158"/>
      <c r="AD1258" s="158"/>
      <c r="AE1258" s="158"/>
      <c r="AF1258" s="158"/>
      <c r="AG1258" s="158"/>
    </row>
    <row r="1259" spans="2:33" x14ac:dyDescent="0.25">
      <c r="B1259" s="15" t="s">
        <v>154</v>
      </c>
      <c r="D1259" s="57"/>
      <c r="H1259" s="58"/>
      <c r="K1259" s="21"/>
      <c r="N1259" s="38"/>
      <c r="O1259" s="58"/>
      <c r="P1259" s="144"/>
      <c r="Q1259" s="144"/>
      <c r="R1259" s="144"/>
      <c r="S1259" s="144"/>
      <c r="T1259" s="144"/>
      <c r="U1259" s="144"/>
      <c r="V1259" s="144"/>
      <c r="W1259" s="144"/>
      <c r="X1259" s="144"/>
      <c r="Y1259" s="144"/>
      <c r="Z1259" s="144"/>
      <c r="AC1259" s="158"/>
      <c r="AD1259" s="158"/>
      <c r="AE1259" s="158"/>
      <c r="AF1259" s="158"/>
      <c r="AG1259" s="158"/>
    </row>
    <row r="1260" spans="2:33" x14ac:dyDescent="0.25">
      <c r="D1260" s="57"/>
      <c r="H1260" s="58"/>
      <c r="K1260" s="21"/>
      <c r="N1260" s="38"/>
      <c r="O1260" s="58"/>
      <c r="P1260" s="144"/>
      <c r="Q1260" s="144"/>
      <c r="R1260" s="144"/>
      <c r="S1260" s="144"/>
      <c r="T1260" s="144"/>
      <c r="U1260" s="144"/>
      <c r="V1260" s="144"/>
      <c r="W1260" s="144"/>
      <c r="X1260" s="144"/>
      <c r="Y1260" s="144"/>
      <c r="Z1260" s="144"/>
      <c r="AC1260" s="158"/>
      <c r="AD1260" s="158"/>
      <c r="AE1260" s="158"/>
      <c r="AF1260" s="158"/>
      <c r="AG1260" s="158"/>
    </row>
    <row r="1261" spans="2:33" x14ac:dyDescent="0.25">
      <c r="D1261" s="57"/>
      <c r="E1261" s="149"/>
      <c r="F1261" s="149"/>
      <c r="G1261" s="149"/>
      <c r="H1261" s="149"/>
      <c r="I1261" s="149"/>
      <c r="K1261" s="21"/>
      <c r="N1261" s="38"/>
      <c r="O1261" s="58"/>
      <c r="P1261" s="144"/>
      <c r="Q1261" s="144"/>
      <c r="R1261" s="144"/>
      <c r="S1261" s="144"/>
      <c r="T1261" s="144"/>
      <c r="U1261" s="144"/>
      <c r="V1261" s="144"/>
      <c r="W1261" s="144"/>
      <c r="X1261" s="144"/>
      <c r="Y1261" s="144"/>
      <c r="Z1261" s="144"/>
      <c r="AC1261" s="158"/>
      <c r="AD1261" s="158"/>
      <c r="AE1261" s="158"/>
      <c r="AF1261" s="158"/>
      <c r="AG1261" s="158"/>
    </row>
    <row r="1262" spans="2:33" x14ac:dyDescent="0.25">
      <c r="D1262" s="57"/>
      <c r="E1262" s="149"/>
      <c r="F1262" s="149"/>
      <c r="G1262" s="149"/>
      <c r="H1262" s="149"/>
      <c r="I1262" s="149"/>
      <c r="K1262" s="438" t="s">
        <v>155</v>
      </c>
      <c r="L1262" s="438"/>
      <c r="M1262" s="438"/>
      <c r="N1262" s="38"/>
      <c r="O1262" s="58"/>
      <c r="P1262" s="144"/>
      <c r="Q1262" s="144"/>
      <c r="R1262" s="144"/>
      <c r="S1262" s="144"/>
      <c r="T1262" s="144"/>
      <c r="U1262" s="144"/>
      <c r="V1262" s="144"/>
      <c r="W1262" s="144"/>
      <c r="X1262" s="144"/>
      <c r="Y1262" s="144"/>
      <c r="Z1262" s="144"/>
      <c r="AC1262" s="158"/>
      <c r="AD1262" s="158"/>
      <c r="AE1262" s="158"/>
      <c r="AF1262" s="158"/>
      <c r="AG1262" s="158"/>
    </row>
    <row r="1263" spans="2:33" x14ac:dyDescent="0.25">
      <c r="D1263" s="57"/>
      <c r="H1263" s="58"/>
      <c r="K1263" s="438"/>
      <c r="L1263" s="438"/>
      <c r="M1263" s="438"/>
      <c r="N1263" s="38"/>
      <c r="O1263" s="58"/>
      <c r="P1263" s="144"/>
      <c r="Q1263" s="144"/>
      <c r="R1263" s="144"/>
      <c r="S1263" s="144"/>
      <c r="T1263" s="144"/>
      <c r="U1263" s="144"/>
      <c r="V1263" s="144"/>
      <c r="W1263" s="144"/>
      <c r="X1263" s="144"/>
      <c r="Y1263" s="144"/>
      <c r="Z1263" s="144"/>
      <c r="AC1263" s="158"/>
      <c r="AD1263" s="158"/>
      <c r="AE1263" s="158"/>
      <c r="AF1263" s="158"/>
      <c r="AG1263" s="158"/>
    </row>
    <row r="1264" spans="2:33" x14ac:dyDescent="0.25">
      <c r="D1264" s="57"/>
      <c r="E1264" s="149"/>
      <c r="F1264" s="149"/>
      <c r="G1264" s="149"/>
      <c r="H1264" s="149"/>
      <c r="I1264" s="149"/>
      <c r="K1264" s="438"/>
      <c r="L1264" s="438"/>
      <c r="M1264" s="438"/>
      <c r="N1264" s="38"/>
      <c r="O1264" s="58"/>
      <c r="P1264" s="144"/>
      <c r="Q1264" s="144"/>
      <c r="R1264" s="144"/>
      <c r="S1264" s="144"/>
      <c r="T1264" s="144"/>
      <c r="U1264" s="144"/>
      <c r="V1264" s="144"/>
      <c r="W1264" s="144"/>
      <c r="X1264" s="144"/>
      <c r="Y1264" s="144"/>
      <c r="Z1264" s="144"/>
      <c r="AC1264" s="158"/>
      <c r="AD1264" s="158"/>
      <c r="AE1264" s="158"/>
      <c r="AF1264" s="158"/>
      <c r="AG1264" s="158"/>
    </row>
    <row r="1265" spans="2:26" x14ac:dyDescent="0.25">
      <c r="D1265" s="57"/>
      <c r="E1265" s="149"/>
      <c r="F1265" s="149"/>
      <c r="G1265" s="149"/>
      <c r="H1265" s="149"/>
      <c r="I1265" s="149"/>
      <c r="K1265" s="438"/>
      <c r="L1265" s="438"/>
      <c r="M1265" s="438"/>
      <c r="N1265" s="38"/>
      <c r="O1265" s="58"/>
      <c r="P1265" s="144"/>
      <c r="Q1265" s="144"/>
      <c r="R1265" s="144"/>
      <c r="S1265" s="144"/>
      <c r="T1265" s="144"/>
      <c r="U1265" s="144"/>
      <c r="V1265" s="144"/>
      <c r="W1265" s="144"/>
      <c r="X1265" s="144"/>
      <c r="Y1265" s="144"/>
      <c r="Z1265" s="144"/>
    </row>
    <row r="1266" spans="2:26" ht="13.8" thickBot="1" x14ac:dyDescent="0.3">
      <c r="B1266" s="60"/>
      <c r="C1266" s="60"/>
      <c r="D1266" s="61"/>
      <c r="E1266" s="60"/>
      <c r="F1266" s="60"/>
      <c r="G1266" s="60"/>
      <c r="H1266" s="62"/>
      <c r="I1266" s="60"/>
      <c r="J1266" s="60"/>
      <c r="K1266" s="63"/>
      <c r="L1266" s="60"/>
      <c r="M1266" s="60"/>
      <c r="N1266" s="64"/>
      <c r="O1266" s="58"/>
      <c r="P1266" s="144"/>
      <c r="Q1266" s="144"/>
      <c r="R1266" s="144"/>
      <c r="S1266" s="144"/>
      <c r="T1266" s="144"/>
      <c r="U1266" s="144"/>
      <c r="V1266" s="144"/>
      <c r="W1266" s="144"/>
      <c r="X1266" s="144"/>
      <c r="Y1266" s="144"/>
      <c r="Z1266" s="144"/>
    </row>
    <row r="1267" spans="2:26" ht="14.4" thickTop="1" thickBot="1" x14ac:dyDescent="0.3">
      <c r="D1267" s="57"/>
      <c r="H1267" s="58"/>
      <c r="K1267" s="21"/>
      <c r="O1267" s="58"/>
      <c r="P1267" s="144"/>
      <c r="Q1267" s="144"/>
      <c r="R1267" s="144"/>
      <c r="S1267" s="144"/>
      <c r="T1267" s="144"/>
      <c r="U1267" s="144"/>
      <c r="V1267" s="144"/>
      <c r="W1267" s="144"/>
      <c r="X1267" s="144"/>
      <c r="Y1267" s="144"/>
      <c r="Z1267" s="144"/>
    </row>
    <row r="1268" spans="2:26" ht="13.8" thickTop="1" x14ac:dyDescent="0.25">
      <c r="B1268" s="27" t="s">
        <v>156</v>
      </c>
      <c r="C1268" s="29"/>
      <c r="D1268" s="28"/>
      <c r="E1268" s="65"/>
      <c r="F1268" s="65"/>
      <c r="G1268" s="65"/>
      <c r="H1268" s="28"/>
      <c r="I1268" s="28"/>
      <c r="J1268" s="28"/>
      <c r="K1268" s="28"/>
      <c r="L1268" s="31" t="s">
        <v>157</v>
      </c>
      <c r="M1268" s="28"/>
      <c r="N1268" s="32"/>
      <c r="P1268" s="144"/>
      <c r="Q1268" s="144"/>
      <c r="R1268" s="144"/>
      <c r="S1268" s="144"/>
      <c r="T1268" s="144"/>
      <c r="U1268" s="144"/>
      <c r="V1268" s="144"/>
      <c r="W1268" s="144"/>
      <c r="X1268" s="144"/>
      <c r="Y1268" s="144"/>
      <c r="Z1268" s="144"/>
    </row>
    <row r="1269" spans="2:26" x14ac:dyDescent="0.25">
      <c r="E1269" s="134">
        <v>5</v>
      </c>
      <c r="F1269" s="12"/>
      <c r="N1269" s="38"/>
      <c r="P1269" s="144"/>
      <c r="Q1269" s="144"/>
      <c r="R1269" s="144"/>
      <c r="S1269" s="144"/>
      <c r="T1269" s="144"/>
      <c r="U1269" s="144"/>
      <c r="V1269" s="144"/>
      <c r="W1269" s="144"/>
      <c r="X1269" s="144"/>
      <c r="Y1269" s="144"/>
      <c r="Z1269" s="144"/>
    </row>
    <row r="1270" spans="2:26" x14ac:dyDescent="0.25">
      <c r="B1270" t="s">
        <v>134</v>
      </c>
      <c r="L1270" s="465" t="str">
        <f>$L$39</f>
        <v>X.002-218-2024(NT)&amp;N.004-116-2024(T)</v>
      </c>
      <c r="M1270" s="465"/>
      <c r="N1270" s="38"/>
      <c r="P1270" s="144"/>
      <c r="Q1270" s="144"/>
      <c r="R1270" s="144"/>
      <c r="S1270" s="144"/>
      <c r="T1270" s="144"/>
      <c r="U1270" s="144"/>
      <c r="V1270" s="144"/>
      <c r="W1270" s="144"/>
      <c r="X1270" s="144"/>
      <c r="Y1270" s="144"/>
      <c r="Z1270" s="144"/>
    </row>
    <row r="1271" spans="2:26" x14ac:dyDescent="0.25">
      <c r="B1271" s="39" t="s">
        <v>135</v>
      </c>
      <c r="C1271" s="40"/>
      <c r="D1271" s="41"/>
      <c r="E1271" s="448" t="s">
        <v>158</v>
      </c>
      <c r="F1271" s="449"/>
      <c r="G1271" s="466" t="s">
        <v>159</v>
      </c>
      <c r="H1271" s="449"/>
      <c r="L1271" s="465"/>
      <c r="M1271" s="465"/>
      <c r="N1271" s="38"/>
      <c r="P1271" s="144"/>
      <c r="Q1271" s="144"/>
      <c r="R1271" s="144"/>
      <c r="S1271" s="144"/>
      <c r="T1271" s="144"/>
      <c r="U1271" s="144"/>
      <c r="V1271" s="144"/>
      <c r="W1271" s="144"/>
      <c r="X1271" s="144"/>
      <c r="Y1271" s="144"/>
      <c r="Z1271" s="144"/>
    </row>
    <row r="1272" spans="2:26" ht="18" customHeight="1" x14ac:dyDescent="0.25">
      <c r="B1272" s="66">
        <f>B1241</f>
        <v>0</v>
      </c>
      <c r="C1272" s="67"/>
      <c r="D1272" s="68"/>
      <c r="E1272" s="441" t="str">
        <f>G1241</f>
        <v/>
      </c>
      <c r="F1272" s="441"/>
      <c r="G1272" s="42"/>
      <c r="H1272" s="12">
        <v>1</v>
      </c>
      <c r="N1272" s="38"/>
      <c r="P1272" s="144"/>
      <c r="Q1272" s="144"/>
      <c r="R1272" s="144"/>
      <c r="S1272" s="144"/>
      <c r="T1272" s="144"/>
      <c r="U1272" s="144"/>
      <c r="V1272" s="144"/>
      <c r="W1272" s="144"/>
      <c r="X1272" s="144"/>
      <c r="Y1272" s="144"/>
      <c r="Z1272" s="144"/>
    </row>
    <row r="1273" spans="2:26" x14ac:dyDescent="0.25">
      <c r="N1273" s="38"/>
      <c r="P1273" s="144"/>
      <c r="Q1273" s="144"/>
      <c r="R1273" s="144"/>
      <c r="S1273" s="144"/>
      <c r="T1273" s="144"/>
      <c r="U1273" s="144"/>
      <c r="V1273" s="144"/>
      <c r="W1273" s="144"/>
      <c r="X1273" s="144"/>
      <c r="Y1273" s="144"/>
      <c r="Z1273" s="144"/>
    </row>
    <row r="1274" spans="2:26" x14ac:dyDescent="0.25">
      <c r="B1274" t="s">
        <v>161</v>
      </c>
      <c r="N1274" s="38"/>
      <c r="P1274" s="144"/>
      <c r="Q1274" s="144"/>
      <c r="R1274" s="144"/>
      <c r="S1274" s="144"/>
      <c r="T1274" s="144"/>
      <c r="U1274" s="144"/>
      <c r="V1274" s="144"/>
      <c r="W1274" s="144"/>
      <c r="X1274" s="144"/>
      <c r="Y1274" s="144"/>
      <c r="Z1274" s="144"/>
    </row>
    <row r="1275" spans="2:26" ht="18" customHeight="1" x14ac:dyDescent="0.25">
      <c r="B1275" s="468" t="s">
        <v>162</v>
      </c>
      <c r="C1275" s="468"/>
      <c r="D1275" s="469" t="s">
        <v>163</v>
      </c>
      <c r="E1275" s="469"/>
      <c r="F1275" s="461" t="s">
        <v>164</v>
      </c>
      <c r="G1275" s="462"/>
      <c r="H1275" s="467" t="s">
        <v>165</v>
      </c>
      <c r="I1275" s="462"/>
      <c r="J1275" s="467" t="s">
        <v>165</v>
      </c>
      <c r="K1275" s="462"/>
      <c r="L1275" s="125" t="s">
        <v>166</v>
      </c>
      <c r="M1275" s="125" t="s">
        <v>167</v>
      </c>
      <c r="N1275" s="38"/>
      <c r="P1275" s="144">
        <v>1</v>
      </c>
      <c r="Q1275" s="144">
        <v>1</v>
      </c>
      <c r="R1275" s="144">
        <v>1</v>
      </c>
      <c r="S1275" s="144" t="str">
        <f>VLOOKUP(P1275,'WORKINGS MATRIX'!$B$200:$C$351,2,FALSE)</f>
        <v>Year</v>
      </c>
      <c r="T1275" s="144">
        <f t="shared" ref="T1275:U1279" si="117">Q1275-1</f>
        <v>0</v>
      </c>
      <c r="U1275" s="144">
        <f t="shared" si="117"/>
        <v>0</v>
      </c>
      <c r="V1275" s="144" t="str">
        <f>IF(S1275="year","",S1275)</f>
        <v/>
      </c>
      <c r="W1275" s="144" t="str">
        <f t="shared" ref="W1275:X1279" si="118">IF(T1275=0,"",T1275)</f>
        <v/>
      </c>
      <c r="X1275" s="144" t="str">
        <f t="shared" si="118"/>
        <v/>
      </c>
      <c r="Y1275" s="144" t="str">
        <f>IF(V1275="","",IF(W1275="",(V1275&amp;"/"&amp;"12"&amp;"/"&amp;"1"),IF(X1275="",(V1275&amp;"/"&amp;W1275&amp;"/"&amp;"1"),(V1275&amp;"/"&amp;W1275&amp;"/"&amp;X1275))))</f>
        <v/>
      </c>
      <c r="Z1275" s="144" t="str">
        <f>IF(Y1275="//","",Y1275)</f>
        <v/>
      </c>
    </row>
    <row r="1276" spans="2:26" ht="18" customHeight="1" x14ac:dyDescent="0.25">
      <c r="B1276" s="441" t="s">
        <v>168</v>
      </c>
      <c r="C1276" s="441"/>
      <c r="D1276" s="439">
        <v>10</v>
      </c>
      <c r="E1276" s="440"/>
      <c r="F1276" s="442"/>
      <c r="G1276" s="443"/>
      <c r="H1276" s="463">
        <v>1</v>
      </c>
      <c r="I1276" s="464"/>
      <c r="J1276" s="450"/>
      <c r="K1276" s="443"/>
      <c r="L1276" s="206"/>
      <c r="M1276" s="143" t="str">
        <f>Z1275</f>
        <v/>
      </c>
      <c r="N1276" s="38"/>
      <c r="P1276" s="144">
        <v>1</v>
      </c>
      <c r="Q1276" s="144">
        <v>1</v>
      </c>
      <c r="R1276" s="144">
        <v>1</v>
      </c>
      <c r="S1276" s="144" t="str">
        <f>VLOOKUP(P1276,'WORKINGS MATRIX'!$B$200:$C$351,2,FALSE)</f>
        <v>Year</v>
      </c>
      <c r="T1276" s="144">
        <f t="shared" si="117"/>
        <v>0</v>
      </c>
      <c r="U1276" s="144">
        <f t="shared" si="117"/>
        <v>0</v>
      </c>
      <c r="V1276" s="144" t="str">
        <f>IF(S1276="year","",S1276)</f>
        <v/>
      </c>
      <c r="W1276" s="144" t="str">
        <f t="shared" si="118"/>
        <v/>
      </c>
      <c r="X1276" s="144" t="str">
        <f t="shared" si="118"/>
        <v/>
      </c>
      <c r="Y1276" s="144" t="str">
        <f>IF(V1276="","",IF(W1276="",(V1276&amp;"/"&amp;"12"&amp;"/"&amp;"1"),IF(X1276="",(V1276&amp;"/"&amp;W1276&amp;"/"&amp;"1"),(V1276&amp;"/"&amp;W1276&amp;"/"&amp;X1276))))</f>
        <v/>
      </c>
      <c r="Z1276" s="144" t="str">
        <f>IF(Y1276="//","",Y1276)</f>
        <v/>
      </c>
    </row>
    <row r="1277" spans="2:26" ht="18" customHeight="1" x14ac:dyDescent="0.25">
      <c r="B1277" s="441" t="s">
        <v>169</v>
      </c>
      <c r="C1277" s="441"/>
      <c r="D1277" s="442"/>
      <c r="E1277" s="443"/>
      <c r="F1277" s="442"/>
      <c r="G1277" s="443"/>
      <c r="H1277" s="451" t="s">
        <v>170</v>
      </c>
      <c r="I1277" s="452"/>
      <c r="J1277" s="451" t="s">
        <v>171</v>
      </c>
      <c r="K1277" s="452"/>
      <c r="L1277" s="125" t="s">
        <v>166</v>
      </c>
      <c r="M1277" s="125" t="s">
        <v>167</v>
      </c>
      <c r="N1277" s="38"/>
      <c r="P1277" s="144">
        <v>1</v>
      </c>
      <c r="Q1277" s="144">
        <v>1</v>
      </c>
      <c r="R1277" s="144">
        <v>1</v>
      </c>
      <c r="S1277" s="144" t="str">
        <f>VLOOKUP(P1277,'WORKINGS MATRIX'!$B$200:$C$351,2,FALSE)</f>
        <v>Year</v>
      </c>
      <c r="T1277" s="144">
        <f t="shared" si="117"/>
        <v>0</v>
      </c>
      <c r="U1277" s="144">
        <f t="shared" si="117"/>
        <v>0</v>
      </c>
      <c r="V1277" s="144" t="str">
        <f>IF(S1277="year","",S1277)</f>
        <v/>
      </c>
      <c r="W1277" s="144" t="str">
        <f t="shared" si="118"/>
        <v/>
      </c>
      <c r="X1277" s="144" t="str">
        <f t="shared" si="118"/>
        <v/>
      </c>
      <c r="Y1277" s="144" t="str">
        <f>IF(V1277="","",IF(W1277="",(V1277&amp;"/"&amp;"1"&amp;"/"&amp;"1"),IF(X1277="",(V1277&amp;"/"&amp;W1277&amp;"/"&amp;"1"),(V1277&amp;"/"&amp;W1277&amp;"/"&amp;X1277))))</f>
        <v/>
      </c>
      <c r="Z1277" s="144" t="str">
        <f>IF(Y1277="//","",Y1277)</f>
        <v/>
      </c>
    </row>
    <row r="1278" spans="2:26" ht="18" customHeight="1" x14ac:dyDescent="0.25">
      <c r="B1278" s="441" t="s">
        <v>172</v>
      </c>
      <c r="C1278" s="441"/>
      <c r="D1278" s="444" t="str">
        <f>Z1277</f>
        <v/>
      </c>
      <c r="E1278" s="445"/>
      <c r="F1278" s="444" t="str">
        <f>Z1278</f>
        <v/>
      </c>
      <c r="G1278" s="445"/>
      <c r="H1278" s="446">
        <v>1</v>
      </c>
      <c r="I1278" s="447"/>
      <c r="J1278" s="450"/>
      <c r="K1278" s="443"/>
      <c r="L1278" s="206"/>
      <c r="M1278" s="143" t="str">
        <f>Z1276</f>
        <v/>
      </c>
      <c r="N1278" s="38"/>
      <c r="P1278" s="144">
        <v>1</v>
      </c>
      <c r="Q1278" s="144">
        <v>1</v>
      </c>
      <c r="R1278" s="144">
        <v>1</v>
      </c>
      <c r="S1278" s="144" t="str">
        <f>VLOOKUP(P1278,'WORKINGS MATRIX'!$B$200:$C$351,2,FALSE)</f>
        <v>Year</v>
      </c>
      <c r="T1278" s="144">
        <f t="shared" si="117"/>
        <v>0</v>
      </c>
      <c r="U1278" s="144">
        <f t="shared" si="117"/>
        <v>0</v>
      </c>
      <c r="V1278" s="144" t="str">
        <f>IF(S1278="year","",S1278)</f>
        <v/>
      </c>
      <c r="W1278" s="144" t="str">
        <f t="shared" si="118"/>
        <v/>
      </c>
      <c r="X1278" s="144" t="str">
        <f t="shared" si="118"/>
        <v/>
      </c>
      <c r="Y1278" s="144" t="str">
        <f>IF(V1278="","",IF(W1278="",(V1278&amp;"/"&amp;"1"&amp;"/"&amp;"1"),IF(X1278="",(V1278&amp;"/"&amp;W1278&amp;"/"&amp;"1"),(V1278&amp;"/"&amp;W1278&amp;"/"&amp;X1278))))</f>
        <v/>
      </c>
      <c r="Z1278" s="144" t="str">
        <f>IF(Y1278="//","",Y1278)</f>
        <v/>
      </c>
    </row>
    <row r="1279" spans="2:26" x14ac:dyDescent="0.25">
      <c r="N1279" s="38"/>
      <c r="P1279" s="144">
        <v>1</v>
      </c>
      <c r="Q1279" s="144">
        <v>1</v>
      </c>
      <c r="R1279" s="144">
        <v>1</v>
      </c>
      <c r="S1279" s="144" t="str">
        <f>VLOOKUP(P1279,'WORKINGS MATRIX'!$B$200:$C$351,2,FALSE)</f>
        <v>Year</v>
      </c>
      <c r="T1279" s="144">
        <f t="shared" si="117"/>
        <v>0</v>
      </c>
      <c r="U1279" s="144">
        <f t="shared" si="117"/>
        <v>0</v>
      </c>
      <c r="V1279" s="144" t="str">
        <f>IF(S1279="year","",S1279)</f>
        <v/>
      </c>
      <c r="W1279" s="144" t="str">
        <f t="shared" si="118"/>
        <v/>
      </c>
      <c r="X1279" s="144" t="str">
        <f t="shared" si="118"/>
        <v/>
      </c>
      <c r="Y1279" s="144" t="str">
        <f>IF(V1279="","",IF(W1279="",(V1279&amp;"/"&amp;"1"&amp;"/"&amp;"1"),IF(X1279="",(V1279&amp;"/"&amp;W1279&amp;"/"&amp;"1"),(V1279&amp;"/"&amp;W1279&amp;"/"&amp;X1279))))</f>
        <v/>
      </c>
      <c r="Z1279" s="144" t="str">
        <f>IF(Y1279="//","",Y1279)</f>
        <v/>
      </c>
    </row>
    <row r="1288" spans="2:13" x14ac:dyDescent="0.25">
      <c r="B1288" t="s">
        <v>152</v>
      </c>
      <c r="D1288" s="57"/>
      <c r="H1288" s="58"/>
      <c r="K1288" s="21"/>
    </row>
    <row r="1289" spans="2:13" x14ac:dyDescent="0.25">
      <c r="B1289" s="429"/>
      <c r="C1289" s="430"/>
      <c r="D1289" s="430"/>
      <c r="E1289" s="430"/>
      <c r="F1289" s="430"/>
      <c r="G1289" s="430"/>
      <c r="H1289" s="430"/>
      <c r="I1289" s="430"/>
      <c r="J1289" s="430"/>
      <c r="K1289" s="430"/>
      <c r="L1289" s="430"/>
      <c r="M1289" s="431"/>
    </row>
    <row r="1290" spans="2:13" x14ac:dyDescent="0.25">
      <c r="B1290" s="432"/>
      <c r="C1290" s="433"/>
      <c r="D1290" s="433"/>
      <c r="E1290" s="433"/>
      <c r="F1290" s="433"/>
      <c r="G1290" s="433"/>
      <c r="H1290" s="433"/>
      <c r="I1290" s="433"/>
      <c r="J1290" s="433"/>
      <c r="K1290" s="433"/>
      <c r="L1290" s="433"/>
      <c r="M1290" s="434"/>
    </row>
    <row r="1291" spans="2:13" x14ac:dyDescent="0.25">
      <c r="B1291" s="432"/>
      <c r="C1291" s="433"/>
      <c r="D1291" s="433"/>
      <c r="E1291" s="433"/>
      <c r="F1291" s="433"/>
      <c r="G1291" s="433"/>
      <c r="H1291" s="433"/>
      <c r="I1291" s="433"/>
      <c r="J1291" s="433"/>
      <c r="K1291" s="433"/>
      <c r="L1291" s="433"/>
      <c r="M1291" s="434"/>
    </row>
    <row r="1292" spans="2:13" x14ac:dyDescent="0.25">
      <c r="B1292" s="435"/>
      <c r="C1292" s="436"/>
      <c r="D1292" s="436"/>
      <c r="E1292" s="436"/>
      <c r="F1292" s="436"/>
      <c r="G1292" s="436"/>
      <c r="H1292" s="436"/>
      <c r="I1292" s="436"/>
      <c r="J1292" s="436"/>
      <c r="K1292" s="436"/>
      <c r="L1292" s="436"/>
      <c r="M1292" s="437"/>
    </row>
    <row r="1297" spans="2:13" x14ac:dyDescent="0.25">
      <c r="D1297" s="57"/>
      <c r="E1297" s="149"/>
      <c r="F1297" s="149"/>
      <c r="G1297" s="149"/>
      <c r="H1297" s="149"/>
      <c r="I1297" s="149"/>
      <c r="K1297" s="438" t="s">
        <v>155</v>
      </c>
      <c r="L1297" s="438"/>
      <c r="M1297" s="438"/>
    </row>
    <row r="1298" spans="2:13" x14ac:dyDescent="0.25">
      <c r="D1298" s="57"/>
      <c r="H1298" s="58"/>
      <c r="K1298" s="438"/>
      <c r="L1298" s="438"/>
      <c r="M1298" s="438"/>
    </row>
    <row r="1299" spans="2:13" x14ac:dyDescent="0.25">
      <c r="D1299" s="57"/>
      <c r="E1299" s="149"/>
      <c r="F1299" s="149"/>
      <c r="G1299" s="149"/>
      <c r="H1299" s="149"/>
      <c r="I1299" s="149"/>
      <c r="K1299" s="438"/>
      <c r="L1299" s="438"/>
      <c r="M1299" s="438"/>
    </row>
    <row r="1300" spans="2:13" x14ac:dyDescent="0.25">
      <c r="D1300" s="57"/>
      <c r="E1300" s="149"/>
      <c r="F1300" s="149"/>
      <c r="G1300" s="149"/>
      <c r="H1300" s="149"/>
      <c r="I1300" s="149"/>
      <c r="K1300" s="438"/>
      <c r="L1300" s="438"/>
      <c r="M1300" s="438"/>
    </row>
    <row r="1301" spans="2:13" ht="13.8" thickBot="1" x14ac:dyDescent="0.3">
      <c r="B1301" s="60"/>
      <c r="C1301" s="60"/>
      <c r="D1301" s="60"/>
      <c r="E1301" s="60"/>
      <c r="F1301" s="60"/>
      <c r="G1301" s="60"/>
      <c r="H1301" s="60"/>
      <c r="I1301" s="60"/>
      <c r="J1301" s="60"/>
      <c r="K1301" s="60"/>
      <c r="L1301" s="60"/>
      <c r="M1301" s="60"/>
    </row>
    <row r="1302" spans="2:13" ht="13.8" thickTop="1" x14ac:dyDescent="0.25"/>
    <row r="1303" spans="2:13" x14ac:dyDescent="0.25">
      <c r="B1303" s="24" t="s">
        <v>128</v>
      </c>
    </row>
    <row r="1336" spans="2:26" ht="13.8" thickBot="1" x14ac:dyDescent="0.3">
      <c r="B1336">
        <f>$D$1</f>
        <v>0</v>
      </c>
      <c r="C1336" s="73" t="s">
        <v>128</v>
      </c>
      <c r="D1336" s="25" t="s">
        <v>129</v>
      </c>
      <c r="P1336" s="144"/>
      <c r="Q1336" s="144"/>
      <c r="R1336" s="144"/>
      <c r="S1336" s="144"/>
      <c r="T1336" s="144"/>
      <c r="U1336" s="144"/>
      <c r="V1336" s="144"/>
      <c r="W1336" s="144"/>
      <c r="X1336" s="144"/>
      <c r="Y1336" s="144"/>
      <c r="Z1336" s="144"/>
    </row>
    <row r="1337" spans="2:26" ht="13.8" thickTop="1" x14ac:dyDescent="0.25">
      <c r="B1337" s="27" t="s">
        <v>131</v>
      </c>
      <c r="C1337" s="28"/>
      <c r="D1337" s="29" t="s">
        <v>132</v>
      </c>
      <c r="E1337" s="27" t="str">
        <f>J123</f>
        <v/>
      </c>
      <c r="F1337" s="30" t="str">
        <f>IF(L123=0,"NOT REQUIRED", IF(L123="Man","MANAGERIAL POSITION","NON-MANAGERIAL POSITION"))</f>
        <v>NON-MANAGERIAL POSITION</v>
      </c>
      <c r="G1337" s="28"/>
      <c r="H1337" s="308" t="s">
        <v>199</v>
      </c>
      <c r="I1337" s="31"/>
      <c r="J1337" s="27"/>
      <c r="K1337" s="28"/>
      <c r="L1337" s="31" t="s">
        <v>133</v>
      </c>
      <c r="M1337" s="28"/>
      <c r="N1337" s="32"/>
      <c r="P1337" s="144"/>
      <c r="Q1337" s="144"/>
      <c r="R1337" s="144"/>
      <c r="S1337" s="144"/>
      <c r="T1337" s="144"/>
      <c r="U1337" s="144"/>
      <c r="V1337" s="144"/>
      <c r="W1337" s="144"/>
      <c r="X1337" s="144"/>
      <c r="Y1337" s="144"/>
      <c r="Z1337" s="144"/>
    </row>
    <row r="1338" spans="2:26" x14ac:dyDescent="0.25">
      <c r="E1338" s="34"/>
      <c r="F1338" s="35"/>
      <c r="G1338" s="36"/>
      <c r="I1338" s="10"/>
      <c r="J1338" s="37"/>
      <c r="N1338" s="38"/>
      <c r="P1338" s="144"/>
      <c r="Q1338" s="144"/>
      <c r="R1338" s="144"/>
      <c r="S1338" s="144"/>
      <c r="T1338" s="144"/>
      <c r="U1338" s="144"/>
      <c r="V1338" s="144"/>
      <c r="W1338" s="144"/>
      <c r="X1338" s="144"/>
      <c r="Y1338" s="144"/>
      <c r="Z1338" s="144"/>
    </row>
    <row r="1339" spans="2:26" x14ac:dyDescent="0.25">
      <c r="B1339" t="s">
        <v>134</v>
      </c>
      <c r="L1339" s="465" t="str">
        <f>$L$39</f>
        <v>X.002-218-2024(NT)&amp;N.004-116-2024(T)</v>
      </c>
      <c r="M1339" s="465"/>
      <c r="N1339" s="38"/>
      <c r="P1339" s="144"/>
      <c r="Q1339" s="144"/>
      <c r="R1339" s="144"/>
      <c r="S1339" s="144"/>
      <c r="T1339" s="144"/>
      <c r="U1339" s="144"/>
      <c r="V1339" s="144"/>
      <c r="W1339" s="144"/>
      <c r="X1339" s="144"/>
      <c r="Y1339" s="144"/>
      <c r="Z1339" s="144"/>
    </row>
    <row r="1340" spans="2:26" ht="24.75" customHeight="1" x14ac:dyDescent="0.25">
      <c r="B1340" s="39" t="s">
        <v>135</v>
      </c>
      <c r="C1340" s="40"/>
      <c r="D1340" s="41"/>
      <c r="E1340" s="427" t="s">
        <v>136</v>
      </c>
      <c r="F1340" s="428"/>
      <c r="G1340" s="39" t="s">
        <v>137</v>
      </c>
      <c r="H1340" s="41"/>
      <c r="I1340" s="39" t="s">
        <v>138</v>
      </c>
      <c r="J1340" s="40"/>
      <c r="K1340" s="41"/>
      <c r="L1340" s="465"/>
      <c r="M1340" s="465"/>
      <c r="N1340" s="38"/>
      <c r="P1340" s="144"/>
      <c r="Q1340" s="144"/>
      <c r="R1340" s="144"/>
      <c r="S1340" s="144"/>
      <c r="T1340" s="144"/>
      <c r="U1340" s="144"/>
      <c r="V1340" s="144"/>
      <c r="W1340" s="144"/>
      <c r="X1340" s="144"/>
      <c r="Y1340" s="144"/>
      <c r="Z1340" s="144"/>
    </row>
    <row r="1341" spans="2:26" ht="18" customHeight="1" x14ac:dyDescent="0.25">
      <c r="B1341" s="194"/>
      <c r="C1341" s="195"/>
      <c r="D1341" s="196"/>
      <c r="E1341" s="425"/>
      <c r="F1341" s="426"/>
      <c r="G1341" s="43" t="str">
        <f>K123</f>
        <v/>
      </c>
      <c r="H1341" s="44"/>
      <c r="I1341" s="187"/>
      <c r="J1341" s="186"/>
      <c r="K1341" s="188"/>
      <c r="N1341" s="38"/>
      <c r="P1341" s="144">
        <v>1</v>
      </c>
      <c r="Q1341" s="144">
        <v>1</v>
      </c>
      <c r="R1341" s="144">
        <v>1</v>
      </c>
      <c r="S1341" s="144" t="str">
        <f>VLOOKUP(P1341,'WORKINGS MATRIX'!$H$200:$I$351,2,FALSE)</f>
        <v>Year</v>
      </c>
      <c r="T1341" s="144">
        <f>Q1341-1</f>
        <v>0</v>
      </c>
      <c r="U1341" s="144">
        <f>R1341-1</f>
        <v>0</v>
      </c>
      <c r="V1341" s="144" t="str">
        <f>IF(S1341="year","",S1341)</f>
        <v/>
      </c>
      <c r="W1341" s="144" t="str">
        <f>IF(T1341=0,"",T1341)</f>
        <v/>
      </c>
      <c r="X1341" s="144" t="str">
        <f>IF(U1341=0,"",U1341)</f>
        <v/>
      </c>
      <c r="Y1341" s="144" t="str">
        <f>IF(V1341="","",IF(W1341="",(V1341&amp;"/"&amp;"1"&amp;"/"&amp;"1"),IF(X1341="",(V1341&amp;"/"&amp;W1341&amp;"/"&amp;"1"),(V1341&amp;"/"&amp;W1341&amp;"/"&amp;X1341))))</f>
        <v/>
      </c>
      <c r="Z1341" s="144" t="str">
        <f>IF(Y1341="//","",Y1341)</f>
        <v/>
      </c>
    </row>
    <row r="1342" spans="2:26" x14ac:dyDescent="0.25">
      <c r="E1342" t="str">
        <f>IF(E1341="","",IF(LEN(E1341)=13,"","ID NUMBER SHOULD BE 13 DIGITS"))</f>
        <v/>
      </c>
      <c r="N1342" s="38"/>
      <c r="P1342" s="144"/>
      <c r="Q1342" s="144"/>
      <c r="R1342" s="144"/>
      <c r="S1342" s="144"/>
      <c r="T1342" s="144"/>
      <c r="U1342" s="144"/>
      <c r="V1342" s="144"/>
      <c r="W1342" s="144"/>
      <c r="X1342" s="144"/>
      <c r="Y1342" s="144"/>
      <c r="Z1342" s="144"/>
    </row>
    <row r="1343" spans="2:26" x14ac:dyDescent="0.25">
      <c r="G1343" s="170" t="str">
        <f>IF(AG1346=0,"","DATES BEYOND TENDER CLOSING DATE - PLEASE CHECK")</f>
        <v/>
      </c>
      <c r="N1343" s="38"/>
      <c r="P1343" s="144"/>
      <c r="Q1343" s="144"/>
      <c r="R1343" s="144"/>
      <c r="S1343" s="144"/>
      <c r="T1343" s="144"/>
      <c r="U1343" s="144"/>
      <c r="V1343" s="144"/>
      <c r="W1343" s="144"/>
      <c r="X1343" s="144"/>
      <c r="Y1343" s="144"/>
      <c r="Z1343" s="144"/>
    </row>
    <row r="1344" spans="2:26" x14ac:dyDescent="0.25">
      <c r="B1344" t="s">
        <v>139</v>
      </c>
      <c r="G1344" s="170" t="str">
        <f>IF(AE1346=0,"","DATES INCORRECT OR INCOMPLETE - PLEASE CHECK")</f>
        <v/>
      </c>
      <c r="N1344" s="38"/>
      <c r="P1344" s="144"/>
      <c r="Q1344" s="144"/>
      <c r="R1344" s="144"/>
      <c r="S1344" s="144"/>
      <c r="T1344" s="144"/>
      <c r="U1344" s="144"/>
      <c r="V1344" s="144"/>
      <c r="W1344" s="144"/>
      <c r="X1344" s="144"/>
      <c r="Y1344" s="144"/>
      <c r="Z1344" s="144"/>
    </row>
    <row r="1345" spans="2:33" x14ac:dyDescent="0.25">
      <c r="B1345" s="15" t="s">
        <v>140</v>
      </c>
      <c r="N1345" s="38"/>
      <c r="P1345" s="144"/>
      <c r="Q1345" s="144"/>
      <c r="R1345" s="144"/>
      <c r="S1345" s="144"/>
      <c r="T1345" s="144"/>
      <c r="U1345" s="144"/>
      <c r="V1345" s="144"/>
      <c r="W1345" s="144"/>
      <c r="X1345" s="144"/>
      <c r="Y1345" s="144"/>
      <c r="Z1345" s="144"/>
      <c r="AC1345" s="158"/>
      <c r="AD1345" s="158"/>
      <c r="AE1345" s="158"/>
      <c r="AF1345" s="158"/>
      <c r="AG1345" s="158"/>
    </row>
    <row r="1346" spans="2:33" ht="66" x14ac:dyDescent="0.25">
      <c r="B1346" s="47" t="s">
        <v>141</v>
      </c>
      <c r="C1346" s="48" t="s">
        <v>142</v>
      </c>
      <c r="D1346" s="44"/>
      <c r="E1346" s="470" t="s">
        <v>143</v>
      </c>
      <c r="F1346" s="471"/>
      <c r="G1346" s="157" t="s">
        <v>144</v>
      </c>
      <c r="H1346" s="157" t="s">
        <v>145</v>
      </c>
      <c r="I1346" s="385" t="s">
        <v>146</v>
      </c>
      <c r="J1346" s="49" t="s">
        <v>147</v>
      </c>
      <c r="K1346" s="50" t="s">
        <v>148</v>
      </c>
      <c r="L1346" s="385" t="s">
        <v>149</v>
      </c>
      <c r="M1346" s="49" t="s">
        <v>150</v>
      </c>
      <c r="N1346" s="51"/>
      <c r="O1346" s="386"/>
      <c r="P1346" s="147"/>
      <c r="Q1346" s="144"/>
      <c r="R1346" s="144"/>
      <c r="S1346" s="145"/>
      <c r="T1346" s="145"/>
      <c r="U1346" s="145"/>
      <c r="V1346" s="145"/>
      <c r="W1346" s="145"/>
      <c r="X1346" s="145"/>
      <c r="Y1346" s="145"/>
      <c r="Z1346" s="145"/>
      <c r="AC1346" s="165"/>
      <c r="AD1346" s="165"/>
      <c r="AE1346" s="165">
        <f>SUM(AE1347:AE1351)</f>
        <v>0</v>
      </c>
      <c r="AF1346" s="165"/>
      <c r="AG1346" s="165">
        <f>SUM(AG1347:AG1351)</f>
        <v>0</v>
      </c>
    </row>
    <row r="1347" spans="2:33" ht="25.5" customHeight="1" x14ac:dyDescent="0.25">
      <c r="B1347" s="200"/>
      <c r="C1347" s="53">
        <v>8</v>
      </c>
      <c r="D1347" s="54"/>
      <c r="E1347" s="55"/>
      <c r="F1347" s="55">
        <v>1</v>
      </c>
      <c r="G1347" s="143" t="str">
        <f>Z1347</f>
        <v/>
      </c>
      <c r="H1347" s="143" t="str">
        <f>Z1352</f>
        <v/>
      </c>
      <c r="I1347" s="202"/>
      <c r="J1347" s="203"/>
      <c r="K1347" s="56">
        <v>23</v>
      </c>
      <c r="L1347" s="204"/>
      <c r="M1347" s="205"/>
      <c r="N1347" s="164">
        <f>IF(G1347="",0,IF(H1347="",0,(ROUND(((H1347-G1347)/30),0))))</f>
        <v>0</v>
      </c>
      <c r="O1347" s="21"/>
      <c r="P1347" s="148">
        <v>1</v>
      </c>
      <c r="Q1347" s="144">
        <v>1</v>
      </c>
      <c r="R1347" s="144">
        <v>1</v>
      </c>
      <c r="S1347" s="144" t="str">
        <f>VLOOKUP(P1347,'WORKINGS MATRIX'!$B$200:$C$351,2,FALSE)</f>
        <v>Year</v>
      </c>
      <c r="T1347" s="144">
        <f t="shared" ref="T1347:U1351" si="119">Q1347-1</f>
        <v>0</v>
      </c>
      <c r="U1347" s="144">
        <f t="shared" si="119"/>
        <v>0</v>
      </c>
      <c r="V1347" s="144" t="str">
        <f t="shared" ref="V1347:V1356" si="120">IF(S1347="year","",S1347)</f>
        <v/>
      </c>
      <c r="W1347" s="144" t="str">
        <f t="shared" ref="W1347:X1351" si="121">IF(T1347=0,"",T1347)</f>
        <v/>
      </c>
      <c r="X1347" s="144" t="str">
        <f t="shared" si="121"/>
        <v/>
      </c>
      <c r="Y1347" s="144" t="str">
        <f t="shared" ref="Y1347:Y1356" si="122">IF(V1347="","",IF(W1347="",(V1347&amp;"/"&amp;"1"&amp;"/"&amp;"1"),IF(X1347="",(V1347&amp;"/"&amp;W1347&amp;"/"&amp;"1"),(V1347&amp;"/"&amp;W1347&amp;"/"&amp;X1347))))</f>
        <v/>
      </c>
      <c r="Z1347" s="144" t="str">
        <f t="shared" ref="Z1347:Z1356" si="123">IF(Y1347="//","",Y1347)</f>
        <v/>
      </c>
      <c r="AC1347" s="172">
        <f>IF(B1347="",0,1)</f>
        <v>0</v>
      </c>
      <c r="AD1347" s="172">
        <f>IF(B1347="",0,IF(N1347&gt;0,1,IF(N1347&lt;0,2,0)))</f>
        <v>0</v>
      </c>
      <c r="AE1347" s="172">
        <f>IF(AC1347=AD1347,0,IF(AC1347&gt;AD1347,2,1))</f>
        <v>0</v>
      </c>
      <c r="AF1347" s="172">
        <f>IF(B1347="",0,IF(N1347=0,0,H1347-$F$125))</f>
        <v>0</v>
      </c>
      <c r="AG1347" s="172">
        <f>IF(AF1347&gt;0,1,0)</f>
        <v>0</v>
      </c>
    </row>
    <row r="1348" spans="2:33" ht="25.5" customHeight="1" x14ac:dyDescent="0.25">
      <c r="B1348" s="200"/>
      <c r="C1348" s="53">
        <v>8</v>
      </c>
      <c r="D1348" s="54"/>
      <c r="E1348" s="55"/>
      <c r="F1348" s="55">
        <v>1</v>
      </c>
      <c r="G1348" s="143" t="str">
        <f>Z1348</f>
        <v/>
      </c>
      <c r="H1348" s="143" t="str">
        <f>Z1353</f>
        <v/>
      </c>
      <c r="I1348" s="202"/>
      <c r="J1348" s="203"/>
      <c r="K1348" s="56">
        <v>23</v>
      </c>
      <c r="L1348" s="204"/>
      <c r="M1348" s="205"/>
      <c r="N1348" s="164">
        <f>IF(G1348="",0,IF(H1348="",0,(ROUND(((H1348-G1348)/30),0))))</f>
        <v>0</v>
      </c>
      <c r="O1348" s="21"/>
      <c r="P1348" s="148">
        <v>1</v>
      </c>
      <c r="Q1348" s="144">
        <v>1</v>
      </c>
      <c r="R1348" s="144">
        <v>1</v>
      </c>
      <c r="S1348" s="144" t="str">
        <f>VLOOKUP(P1348,'WORKINGS MATRIX'!$B$200:$C$351,2,FALSE)</f>
        <v>Year</v>
      </c>
      <c r="T1348" s="144">
        <f t="shared" si="119"/>
        <v>0</v>
      </c>
      <c r="U1348" s="144">
        <f t="shared" si="119"/>
        <v>0</v>
      </c>
      <c r="V1348" s="144" t="str">
        <f t="shared" si="120"/>
        <v/>
      </c>
      <c r="W1348" s="144" t="str">
        <f t="shared" si="121"/>
        <v/>
      </c>
      <c r="X1348" s="144" t="str">
        <f t="shared" si="121"/>
        <v/>
      </c>
      <c r="Y1348" s="144" t="str">
        <f t="shared" si="122"/>
        <v/>
      </c>
      <c r="Z1348" s="144" t="str">
        <f t="shared" si="123"/>
        <v/>
      </c>
      <c r="AC1348" s="172">
        <f>IF(B1348="",0,1)</f>
        <v>0</v>
      </c>
      <c r="AD1348" s="172">
        <f>IF(B1348="",0,IF(N1348&gt;0,1,IF(N1348&lt;0,2,0)))</f>
        <v>0</v>
      </c>
      <c r="AE1348" s="172">
        <f>IF(AC1348=AD1348,0,IF(AC1348&gt;AD1348,2,1))</f>
        <v>0</v>
      </c>
      <c r="AF1348" s="172">
        <f>IF(B1348="",0,IF(N1348=0,0,H1348-$F$125))</f>
        <v>0</v>
      </c>
      <c r="AG1348" s="172">
        <f>IF(AF1348&gt;0,1,0)</f>
        <v>0</v>
      </c>
    </row>
    <row r="1349" spans="2:33" ht="25.5" customHeight="1" x14ac:dyDescent="0.25">
      <c r="B1349" s="200"/>
      <c r="C1349" s="53">
        <v>8</v>
      </c>
      <c r="D1349" s="54"/>
      <c r="E1349" s="55"/>
      <c r="F1349" s="55">
        <v>1</v>
      </c>
      <c r="G1349" s="143" t="str">
        <f>Z1349</f>
        <v/>
      </c>
      <c r="H1349" s="143" t="str">
        <f>Z1354</f>
        <v/>
      </c>
      <c r="I1349" s="202"/>
      <c r="J1349" s="203"/>
      <c r="K1349" s="56">
        <v>23</v>
      </c>
      <c r="L1349" s="204"/>
      <c r="M1349" s="205"/>
      <c r="N1349" s="164">
        <f>IF(G1349="",0,IF(H1349="",0,(ROUND(((H1349-G1349)/30),0))))</f>
        <v>0</v>
      </c>
      <c r="O1349" s="21"/>
      <c r="P1349" s="148">
        <v>1</v>
      </c>
      <c r="Q1349" s="144">
        <v>1</v>
      </c>
      <c r="R1349" s="144">
        <v>1</v>
      </c>
      <c r="S1349" s="144" t="str">
        <f>VLOOKUP(P1349,'WORKINGS MATRIX'!$B$200:$C$351,2,FALSE)</f>
        <v>Year</v>
      </c>
      <c r="T1349" s="144">
        <f t="shared" si="119"/>
        <v>0</v>
      </c>
      <c r="U1349" s="144">
        <f t="shared" si="119"/>
        <v>0</v>
      </c>
      <c r="V1349" s="144" t="str">
        <f t="shared" si="120"/>
        <v/>
      </c>
      <c r="W1349" s="144" t="str">
        <f t="shared" si="121"/>
        <v/>
      </c>
      <c r="X1349" s="144" t="str">
        <f t="shared" si="121"/>
        <v/>
      </c>
      <c r="Y1349" s="144" t="str">
        <f t="shared" si="122"/>
        <v/>
      </c>
      <c r="Z1349" s="144" t="str">
        <f t="shared" si="123"/>
        <v/>
      </c>
      <c r="AC1349" s="172">
        <f>IF(B1349="",0,1)</f>
        <v>0</v>
      </c>
      <c r="AD1349" s="172">
        <f>IF(B1349="",0,IF(N1349&gt;0,1,IF(N1349&lt;0,2,0)))</f>
        <v>0</v>
      </c>
      <c r="AE1349" s="172">
        <f>IF(AC1349=AD1349,0,IF(AC1349&gt;AD1349,2,1))</f>
        <v>0</v>
      </c>
      <c r="AF1349" s="172">
        <f>IF(B1349="",0,IF(N1349=0,0,H1349-$F$125))</f>
        <v>0</v>
      </c>
      <c r="AG1349" s="172">
        <f>IF(AF1349&gt;0,1,0)</f>
        <v>0</v>
      </c>
    </row>
    <row r="1350" spans="2:33" ht="25.5" customHeight="1" x14ac:dyDescent="0.25">
      <c r="B1350" s="255"/>
      <c r="C1350" s="255"/>
      <c r="D1350" s="255"/>
      <c r="E1350" s="255"/>
      <c r="F1350" s="255"/>
      <c r="G1350" s="255"/>
      <c r="H1350" s="255"/>
      <c r="I1350" s="255"/>
      <c r="J1350" s="255"/>
      <c r="K1350" s="255"/>
      <c r="L1350" s="255"/>
      <c r="M1350" s="255"/>
      <c r="N1350" s="164">
        <f>IF(G1350="",0,IF(H1350="",0,(ROUND(((H1350-G1350)/30),0))))</f>
        <v>0</v>
      </c>
      <c r="O1350" s="21"/>
      <c r="P1350" s="148">
        <v>1</v>
      </c>
      <c r="Q1350" s="144">
        <v>1</v>
      </c>
      <c r="R1350" s="144">
        <v>1</v>
      </c>
      <c r="S1350" s="144" t="str">
        <f>VLOOKUP(P1350,'WORKINGS MATRIX'!$B$200:$C$351,2,FALSE)</f>
        <v>Year</v>
      </c>
      <c r="T1350" s="144">
        <f t="shared" si="119"/>
        <v>0</v>
      </c>
      <c r="U1350" s="144">
        <f t="shared" si="119"/>
        <v>0</v>
      </c>
      <c r="V1350" s="144" t="str">
        <f t="shared" si="120"/>
        <v/>
      </c>
      <c r="W1350" s="144" t="str">
        <f t="shared" si="121"/>
        <v/>
      </c>
      <c r="X1350" s="144" t="str">
        <f t="shared" si="121"/>
        <v/>
      </c>
      <c r="Y1350" s="144" t="str">
        <f t="shared" si="122"/>
        <v/>
      </c>
      <c r="Z1350" s="144" t="str">
        <f t="shared" si="123"/>
        <v/>
      </c>
      <c r="AC1350" s="172">
        <f>IF(B1350="",0,1)</f>
        <v>0</v>
      </c>
      <c r="AD1350" s="172">
        <f>IF(B1350="",0,IF(N1350&gt;0,1,IF(N1350&lt;0,2,0)))</f>
        <v>0</v>
      </c>
      <c r="AE1350" s="172">
        <f>IF(AC1350=AD1350,0,IF(AC1350&gt;AD1350,2,1))</f>
        <v>0</v>
      </c>
      <c r="AF1350" s="172">
        <f>IF(B1350="",0,IF(N1350=0,0,H1350-$F$125))</f>
        <v>0</v>
      </c>
      <c r="AG1350" s="172">
        <f>IF(AF1350&gt;0,1,0)</f>
        <v>0</v>
      </c>
    </row>
    <row r="1351" spans="2:33" ht="25.5" customHeight="1" x14ac:dyDescent="0.25">
      <c r="B1351" s="149"/>
      <c r="C1351" s="149"/>
      <c r="D1351" s="149"/>
      <c r="E1351" s="149"/>
      <c r="F1351" s="149"/>
      <c r="G1351" s="149"/>
      <c r="H1351" s="149"/>
      <c r="I1351" s="149"/>
      <c r="J1351" s="149"/>
      <c r="K1351" s="149"/>
      <c r="L1351" s="149"/>
      <c r="M1351" s="149"/>
      <c r="N1351" s="164">
        <f>IF(G1351="",0,IF(H1351="",0,(ROUND(((H1351-G1351)/30),0))))</f>
        <v>0</v>
      </c>
      <c r="O1351" s="21"/>
      <c r="P1351" s="148">
        <v>1</v>
      </c>
      <c r="Q1351" s="144">
        <v>1</v>
      </c>
      <c r="R1351" s="144">
        <v>1</v>
      </c>
      <c r="S1351" s="144" t="str">
        <f>VLOOKUP(P1351,'WORKINGS MATRIX'!$B$200:$C$351,2,FALSE)</f>
        <v>Year</v>
      </c>
      <c r="T1351" s="144">
        <f t="shared" si="119"/>
        <v>0</v>
      </c>
      <c r="U1351" s="144">
        <f t="shared" si="119"/>
        <v>0</v>
      </c>
      <c r="V1351" s="144" t="str">
        <f t="shared" si="120"/>
        <v/>
      </c>
      <c r="W1351" s="144" t="str">
        <f t="shared" si="121"/>
        <v/>
      </c>
      <c r="X1351" s="144" t="str">
        <f t="shared" si="121"/>
        <v/>
      </c>
      <c r="Y1351" s="144" t="str">
        <f t="shared" si="122"/>
        <v/>
      </c>
      <c r="Z1351" s="144" t="str">
        <f t="shared" si="123"/>
        <v/>
      </c>
      <c r="AC1351" s="172">
        <f>IF(B1351="",0,1)</f>
        <v>0</v>
      </c>
      <c r="AD1351" s="172">
        <f>IF(B1351="",0,IF(N1351&gt;0,1,IF(N1351&lt;0,2,0)))</f>
        <v>0</v>
      </c>
      <c r="AE1351" s="172">
        <f>IF(AC1351=AD1351,0,IF(AC1351&gt;AD1351,2,1))</f>
        <v>0</v>
      </c>
      <c r="AF1351" s="172">
        <f>IF(B1351="",0,IF(N1351=0,0,H1351-$F$125))</f>
        <v>0</v>
      </c>
      <c r="AG1351" s="172">
        <f>IF(AF1351&gt;0,1,0)</f>
        <v>0</v>
      </c>
    </row>
    <row r="1352" spans="2:33" x14ac:dyDescent="0.25">
      <c r="D1352" s="57"/>
      <c r="H1352" s="58"/>
      <c r="K1352" s="21"/>
      <c r="N1352" s="38"/>
      <c r="O1352" s="58"/>
      <c r="P1352" s="134">
        <v>1</v>
      </c>
      <c r="Q1352" s="144">
        <v>1</v>
      </c>
      <c r="R1352" s="144">
        <v>1</v>
      </c>
      <c r="S1352" s="144" t="str">
        <f>VLOOKUP(P1352,'WORKINGS MATRIX'!$B$200:$C$351,2,FALSE)</f>
        <v>Year</v>
      </c>
      <c r="T1352" s="144">
        <f t="shared" ref="T1352:U1356" si="124">Q1352-1</f>
        <v>0</v>
      </c>
      <c r="U1352" s="144">
        <f t="shared" si="124"/>
        <v>0</v>
      </c>
      <c r="V1352" s="144" t="str">
        <f t="shared" si="120"/>
        <v/>
      </c>
      <c r="W1352" s="144" t="str">
        <f t="shared" ref="W1352:X1356" si="125">IF(T1352=0,"",T1352)</f>
        <v/>
      </c>
      <c r="X1352" s="144" t="str">
        <f t="shared" si="125"/>
        <v/>
      </c>
      <c r="Y1352" s="144" t="str">
        <f t="shared" si="122"/>
        <v/>
      </c>
      <c r="Z1352" s="144" t="str">
        <f t="shared" si="123"/>
        <v/>
      </c>
      <c r="AC1352" s="158"/>
      <c r="AD1352" s="158"/>
      <c r="AE1352" s="158"/>
      <c r="AF1352" s="158"/>
      <c r="AG1352" s="158"/>
    </row>
    <row r="1353" spans="2:33" x14ac:dyDescent="0.25">
      <c r="B1353" t="s">
        <v>152</v>
      </c>
      <c r="D1353" s="57"/>
      <c r="H1353" s="58"/>
      <c r="K1353" s="21"/>
      <c r="N1353" s="38"/>
      <c r="O1353" s="58"/>
      <c r="P1353" s="144">
        <v>1</v>
      </c>
      <c r="Q1353" s="144">
        <v>1</v>
      </c>
      <c r="R1353" s="144">
        <v>1</v>
      </c>
      <c r="S1353" s="144" t="str">
        <f>VLOOKUP(P1353,'WORKINGS MATRIX'!$B$200:$C$351,2,FALSE)</f>
        <v>Year</v>
      </c>
      <c r="T1353" s="144">
        <f t="shared" si="124"/>
        <v>0</v>
      </c>
      <c r="U1353" s="144">
        <f t="shared" si="124"/>
        <v>0</v>
      </c>
      <c r="V1353" s="144" t="str">
        <f t="shared" si="120"/>
        <v/>
      </c>
      <c r="W1353" s="144" t="str">
        <f t="shared" si="125"/>
        <v/>
      </c>
      <c r="X1353" s="144" t="str">
        <f t="shared" si="125"/>
        <v/>
      </c>
      <c r="Y1353" s="144" t="str">
        <f t="shared" si="122"/>
        <v/>
      </c>
      <c r="Z1353" s="144" t="str">
        <f t="shared" si="123"/>
        <v/>
      </c>
      <c r="AC1353" s="158"/>
      <c r="AD1353" s="158"/>
      <c r="AE1353" s="158"/>
      <c r="AF1353" s="158"/>
      <c r="AG1353" s="158"/>
    </row>
    <row r="1354" spans="2:33" x14ac:dyDescent="0.25">
      <c r="B1354" s="429"/>
      <c r="C1354" s="430"/>
      <c r="D1354" s="430"/>
      <c r="E1354" s="430"/>
      <c r="F1354" s="430"/>
      <c r="G1354" s="430"/>
      <c r="H1354" s="430"/>
      <c r="I1354" s="430"/>
      <c r="J1354" s="430"/>
      <c r="K1354" s="430"/>
      <c r="L1354" s="430"/>
      <c r="M1354" s="431"/>
      <c r="N1354" s="38"/>
      <c r="O1354" s="58"/>
      <c r="P1354" s="144">
        <v>1</v>
      </c>
      <c r="Q1354" s="144">
        <v>1</v>
      </c>
      <c r="R1354" s="144">
        <v>1</v>
      </c>
      <c r="S1354" s="144" t="str">
        <f>VLOOKUP(P1354,'WORKINGS MATRIX'!$B$200:$C$351,2,FALSE)</f>
        <v>Year</v>
      </c>
      <c r="T1354" s="144">
        <f t="shared" si="124"/>
        <v>0</v>
      </c>
      <c r="U1354" s="144">
        <f t="shared" si="124"/>
        <v>0</v>
      </c>
      <c r="V1354" s="144" t="str">
        <f t="shared" si="120"/>
        <v/>
      </c>
      <c r="W1354" s="144" t="str">
        <f t="shared" si="125"/>
        <v/>
      </c>
      <c r="X1354" s="144" t="str">
        <f t="shared" si="125"/>
        <v/>
      </c>
      <c r="Y1354" s="144" t="str">
        <f t="shared" si="122"/>
        <v/>
      </c>
      <c r="Z1354" s="144" t="str">
        <f t="shared" si="123"/>
        <v/>
      </c>
      <c r="AC1354" s="158"/>
      <c r="AD1354" s="158"/>
      <c r="AE1354" s="158"/>
      <c r="AF1354" s="158"/>
      <c r="AG1354" s="158"/>
    </row>
    <row r="1355" spans="2:33" x14ac:dyDescent="0.25">
      <c r="B1355" s="432"/>
      <c r="C1355" s="433"/>
      <c r="D1355" s="433"/>
      <c r="E1355" s="433"/>
      <c r="F1355" s="433"/>
      <c r="G1355" s="433"/>
      <c r="H1355" s="433"/>
      <c r="I1355" s="433"/>
      <c r="J1355" s="433"/>
      <c r="K1355" s="433"/>
      <c r="L1355" s="433"/>
      <c r="M1355" s="434"/>
      <c r="N1355" s="38"/>
      <c r="O1355" s="58"/>
      <c r="P1355" s="144">
        <v>1</v>
      </c>
      <c r="Q1355" s="144">
        <v>1</v>
      </c>
      <c r="R1355" s="144">
        <v>1</v>
      </c>
      <c r="S1355" s="144" t="str">
        <f>VLOOKUP(P1355,'WORKINGS MATRIX'!$B$200:$C$351,2,FALSE)</f>
        <v>Year</v>
      </c>
      <c r="T1355" s="144">
        <f t="shared" si="124"/>
        <v>0</v>
      </c>
      <c r="U1355" s="144">
        <f t="shared" si="124"/>
        <v>0</v>
      </c>
      <c r="V1355" s="144" t="str">
        <f t="shared" si="120"/>
        <v/>
      </c>
      <c r="W1355" s="144" t="str">
        <f t="shared" si="125"/>
        <v/>
      </c>
      <c r="X1355" s="144" t="str">
        <f t="shared" si="125"/>
        <v/>
      </c>
      <c r="Y1355" s="144" t="str">
        <f t="shared" si="122"/>
        <v/>
      </c>
      <c r="Z1355" s="144" t="str">
        <f t="shared" si="123"/>
        <v/>
      </c>
      <c r="AC1355" s="158"/>
      <c r="AD1355" s="158"/>
      <c r="AE1355" s="158"/>
      <c r="AF1355" s="158"/>
      <c r="AG1355" s="158"/>
    </row>
    <row r="1356" spans="2:33" x14ac:dyDescent="0.25">
      <c r="B1356" s="432"/>
      <c r="C1356" s="433"/>
      <c r="D1356" s="433"/>
      <c r="E1356" s="433"/>
      <c r="F1356" s="433"/>
      <c r="G1356" s="433"/>
      <c r="H1356" s="433"/>
      <c r="I1356" s="433"/>
      <c r="J1356" s="433"/>
      <c r="K1356" s="433"/>
      <c r="L1356" s="433"/>
      <c r="M1356" s="434"/>
      <c r="N1356" s="38"/>
      <c r="O1356" s="58"/>
      <c r="P1356" s="144">
        <v>1</v>
      </c>
      <c r="Q1356" s="144">
        <v>1</v>
      </c>
      <c r="R1356" s="144">
        <v>1</v>
      </c>
      <c r="S1356" s="144" t="str">
        <f>VLOOKUP(P1356,'WORKINGS MATRIX'!$B$200:$C$351,2,FALSE)</f>
        <v>Year</v>
      </c>
      <c r="T1356" s="144">
        <f t="shared" si="124"/>
        <v>0</v>
      </c>
      <c r="U1356" s="144">
        <f t="shared" si="124"/>
        <v>0</v>
      </c>
      <c r="V1356" s="144" t="str">
        <f t="shared" si="120"/>
        <v/>
      </c>
      <c r="W1356" s="144" t="str">
        <f t="shared" si="125"/>
        <v/>
      </c>
      <c r="X1356" s="144" t="str">
        <f t="shared" si="125"/>
        <v/>
      </c>
      <c r="Y1356" s="144" t="str">
        <f t="shared" si="122"/>
        <v/>
      </c>
      <c r="Z1356" s="144" t="str">
        <f t="shared" si="123"/>
        <v/>
      </c>
      <c r="AC1356" s="158"/>
      <c r="AD1356" s="158"/>
      <c r="AE1356" s="158"/>
      <c r="AF1356" s="158"/>
      <c r="AG1356" s="158"/>
    </row>
    <row r="1357" spans="2:33" x14ac:dyDescent="0.25">
      <c r="B1357" s="435"/>
      <c r="C1357" s="436"/>
      <c r="D1357" s="436"/>
      <c r="E1357" s="436"/>
      <c r="F1357" s="436"/>
      <c r="G1357" s="436"/>
      <c r="H1357" s="436"/>
      <c r="I1357" s="436"/>
      <c r="J1357" s="436"/>
      <c r="K1357" s="436"/>
      <c r="L1357" s="436"/>
      <c r="M1357" s="437"/>
      <c r="N1357" s="38"/>
      <c r="O1357" s="58"/>
      <c r="P1357" s="144"/>
      <c r="Q1357" s="144"/>
      <c r="R1357" s="144"/>
      <c r="S1357" s="144"/>
      <c r="T1357" s="144"/>
      <c r="U1357" s="144"/>
      <c r="V1357" s="144"/>
      <c r="W1357" s="144"/>
      <c r="X1357" s="144"/>
      <c r="Y1357" s="144"/>
      <c r="Z1357" s="144"/>
      <c r="AC1357" s="158"/>
      <c r="AD1357" s="158"/>
      <c r="AE1357" s="158"/>
      <c r="AF1357" s="158"/>
      <c r="AG1357" s="158"/>
    </row>
    <row r="1358" spans="2:33" x14ac:dyDescent="0.25">
      <c r="B1358" s="15" t="s">
        <v>153</v>
      </c>
      <c r="D1358" s="57"/>
      <c r="H1358" s="58"/>
      <c r="K1358" s="21"/>
      <c r="N1358" s="38"/>
      <c r="O1358" s="58"/>
      <c r="P1358" s="144"/>
      <c r="Q1358" s="144"/>
      <c r="R1358" s="144"/>
      <c r="S1358" s="144"/>
      <c r="T1358" s="144"/>
      <c r="U1358" s="144"/>
      <c r="V1358" s="144"/>
      <c r="W1358" s="144"/>
      <c r="X1358" s="144"/>
      <c r="Y1358" s="144"/>
      <c r="Z1358" s="144"/>
      <c r="AC1358" s="158"/>
      <c r="AD1358" s="158"/>
      <c r="AE1358" s="158"/>
      <c r="AF1358" s="158"/>
      <c r="AG1358" s="158"/>
    </row>
    <row r="1359" spans="2:33" x14ac:dyDescent="0.25">
      <c r="B1359" s="15" t="s">
        <v>154</v>
      </c>
      <c r="D1359" s="57"/>
      <c r="H1359" s="58"/>
      <c r="K1359" s="21"/>
      <c r="N1359" s="38"/>
      <c r="O1359" s="58"/>
      <c r="P1359" s="144"/>
      <c r="Q1359" s="144"/>
      <c r="R1359" s="144"/>
      <c r="S1359" s="144"/>
      <c r="T1359" s="144"/>
      <c r="U1359" s="144"/>
      <c r="V1359" s="144"/>
      <c r="W1359" s="144"/>
      <c r="X1359" s="144"/>
      <c r="Y1359" s="144"/>
      <c r="Z1359" s="144"/>
      <c r="AC1359" s="158"/>
      <c r="AD1359" s="158"/>
      <c r="AE1359" s="158"/>
      <c r="AF1359" s="158"/>
      <c r="AG1359" s="158"/>
    </row>
    <row r="1362" spans="2:26" x14ac:dyDescent="0.25">
      <c r="D1362" s="57"/>
      <c r="E1362" s="149"/>
      <c r="F1362" s="149"/>
      <c r="G1362" s="149"/>
      <c r="H1362" s="149"/>
      <c r="I1362" s="149"/>
      <c r="K1362" s="438" t="s">
        <v>155</v>
      </c>
      <c r="L1362" s="438"/>
      <c r="M1362" s="438"/>
      <c r="N1362" s="38"/>
      <c r="O1362" s="58"/>
      <c r="P1362" s="144"/>
      <c r="Q1362" s="144"/>
      <c r="R1362" s="144"/>
      <c r="S1362" s="144"/>
      <c r="T1362" s="144"/>
      <c r="U1362" s="144"/>
      <c r="V1362" s="144"/>
      <c r="W1362" s="144"/>
      <c r="X1362" s="144"/>
      <c r="Y1362" s="144"/>
      <c r="Z1362" s="144"/>
    </row>
    <row r="1363" spans="2:26" x14ac:dyDescent="0.25">
      <c r="D1363" s="57"/>
      <c r="H1363" s="58"/>
      <c r="K1363" s="438"/>
      <c r="L1363" s="438"/>
      <c r="M1363" s="438"/>
      <c r="N1363" s="38"/>
      <c r="O1363" s="58"/>
      <c r="P1363" s="144"/>
      <c r="Q1363" s="144"/>
      <c r="R1363" s="144"/>
      <c r="S1363" s="144"/>
      <c r="T1363" s="144"/>
      <c r="U1363" s="144"/>
      <c r="V1363" s="144"/>
      <c r="W1363" s="144"/>
      <c r="X1363" s="144"/>
      <c r="Y1363" s="144"/>
      <c r="Z1363" s="144"/>
    </row>
    <row r="1364" spans="2:26" x14ac:dyDescent="0.25">
      <c r="D1364" s="57"/>
      <c r="E1364" s="149"/>
      <c r="F1364" s="149"/>
      <c r="G1364" s="149"/>
      <c r="H1364" s="149"/>
      <c r="I1364" s="149"/>
      <c r="K1364" s="438"/>
      <c r="L1364" s="438"/>
      <c r="M1364" s="438"/>
      <c r="N1364" s="38"/>
      <c r="O1364" s="58"/>
      <c r="P1364" s="144"/>
      <c r="Q1364" s="144"/>
      <c r="R1364" s="144"/>
      <c r="S1364" s="144"/>
      <c r="T1364" s="144"/>
      <c r="U1364" s="144"/>
      <c r="V1364" s="144"/>
      <c r="W1364" s="144"/>
      <c r="X1364" s="144"/>
      <c r="Y1364" s="144"/>
      <c r="Z1364" s="144"/>
    </row>
    <row r="1365" spans="2:26" x14ac:dyDescent="0.25">
      <c r="D1365" s="57"/>
      <c r="E1365" s="149"/>
      <c r="F1365" s="149"/>
      <c r="G1365" s="149"/>
      <c r="H1365" s="149"/>
      <c r="I1365" s="149"/>
      <c r="K1365" s="438"/>
      <c r="L1365" s="438"/>
      <c r="M1365" s="438"/>
      <c r="N1365" s="38"/>
      <c r="O1365" s="58"/>
      <c r="P1365" s="144"/>
      <c r="Q1365" s="144"/>
      <c r="R1365" s="144"/>
      <c r="S1365" s="144"/>
      <c r="T1365" s="144"/>
      <c r="U1365" s="144"/>
      <c r="V1365" s="144"/>
      <c r="W1365" s="144"/>
      <c r="X1365" s="144"/>
      <c r="Y1365" s="144"/>
      <c r="Z1365" s="144"/>
    </row>
    <row r="1366" spans="2:26" ht="13.8" thickBot="1" x14ac:dyDescent="0.3">
      <c r="B1366" s="60"/>
      <c r="C1366" s="60"/>
      <c r="D1366" s="61"/>
      <c r="E1366" s="60"/>
      <c r="F1366" s="60"/>
      <c r="G1366" s="60"/>
      <c r="H1366" s="62"/>
      <c r="I1366" s="60"/>
      <c r="J1366" s="60"/>
      <c r="K1366" s="63"/>
      <c r="L1366" s="60"/>
      <c r="M1366" s="60"/>
      <c r="N1366" s="64"/>
      <c r="O1366" s="58"/>
      <c r="P1366" s="144"/>
      <c r="Q1366" s="144"/>
      <c r="R1366" s="144"/>
      <c r="S1366" s="144"/>
      <c r="T1366" s="144"/>
      <c r="U1366" s="144"/>
      <c r="V1366" s="144"/>
      <c r="W1366" s="144"/>
      <c r="X1366" s="144"/>
      <c r="Y1366" s="144"/>
      <c r="Z1366" s="144"/>
    </row>
    <row r="1367" spans="2:26" ht="14.4" thickTop="1" thickBot="1" x14ac:dyDescent="0.3">
      <c r="D1367" s="57"/>
      <c r="H1367" s="58"/>
      <c r="K1367" s="21"/>
      <c r="O1367" s="58"/>
      <c r="P1367" s="144"/>
      <c r="Q1367" s="144"/>
      <c r="R1367" s="144"/>
      <c r="S1367" s="144"/>
      <c r="T1367" s="144"/>
      <c r="U1367" s="144"/>
      <c r="V1367" s="144"/>
      <c r="W1367" s="144"/>
      <c r="X1367" s="144"/>
      <c r="Y1367" s="144"/>
      <c r="Z1367" s="144"/>
    </row>
    <row r="1368" spans="2:26" ht="13.8" thickTop="1" x14ac:dyDescent="0.25">
      <c r="B1368" s="27" t="s">
        <v>156</v>
      </c>
      <c r="C1368" s="29"/>
      <c r="D1368" s="28"/>
      <c r="E1368" s="65"/>
      <c r="F1368" s="65"/>
      <c r="G1368" s="65"/>
      <c r="H1368" s="28"/>
      <c r="I1368" s="28"/>
      <c r="J1368" s="28"/>
      <c r="K1368" s="28"/>
      <c r="L1368" s="31" t="s">
        <v>157</v>
      </c>
      <c r="M1368" s="28"/>
      <c r="N1368" s="32"/>
      <c r="P1368" s="144"/>
      <c r="Q1368" s="144"/>
      <c r="R1368" s="144"/>
      <c r="S1368" s="144"/>
      <c r="T1368" s="144"/>
      <c r="U1368" s="144"/>
      <c r="V1368" s="144"/>
      <c r="W1368" s="144"/>
      <c r="X1368" s="144"/>
      <c r="Y1368" s="144"/>
      <c r="Z1368" s="144"/>
    </row>
    <row r="1369" spans="2:26" x14ac:dyDescent="0.25">
      <c r="E1369" s="134">
        <v>5</v>
      </c>
      <c r="F1369" s="12"/>
      <c r="N1369" s="38"/>
      <c r="P1369" s="144"/>
      <c r="Q1369" s="144"/>
      <c r="R1369" s="144"/>
      <c r="S1369" s="144"/>
      <c r="T1369" s="144"/>
      <c r="U1369" s="144"/>
      <c r="V1369" s="144"/>
      <c r="W1369" s="144"/>
      <c r="X1369" s="144"/>
      <c r="Y1369" s="144"/>
      <c r="Z1369" s="144"/>
    </row>
    <row r="1370" spans="2:26" x14ac:dyDescent="0.25">
      <c r="B1370" t="s">
        <v>134</v>
      </c>
      <c r="L1370" s="465" t="str">
        <f>$L$39</f>
        <v>X.002-218-2024(NT)&amp;N.004-116-2024(T)</v>
      </c>
      <c r="M1370" s="465"/>
      <c r="N1370" s="38"/>
      <c r="P1370" s="144"/>
      <c r="Q1370" s="144"/>
      <c r="R1370" s="144"/>
      <c r="S1370" s="144"/>
      <c r="T1370" s="144"/>
      <c r="U1370" s="144"/>
      <c r="V1370" s="144"/>
      <c r="W1370" s="144"/>
      <c r="X1370" s="144"/>
      <c r="Y1370" s="144"/>
      <c r="Z1370" s="144"/>
    </row>
    <row r="1371" spans="2:26" x14ac:dyDescent="0.25">
      <c r="B1371" s="39" t="s">
        <v>135</v>
      </c>
      <c r="C1371" s="40"/>
      <c r="D1371" s="41"/>
      <c r="E1371" s="448" t="s">
        <v>158</v>
      </c>
      <c r="F1371" s="449"/>
      <c r="G1371" s="466" t="s">
        <v>159</v>
      </c>
      <c r="H1371" s="449"/>
      <c r="L1371" s="465"/>
      <c r="M1371" s="465"/>
      <c r="N1371" s="38"/>
      <c r="P1371" s="144"/>
      <c r="Q1371" s="144"/>
      <c r="R1371" s="144"/>
      <c r="S1371" s="144"/>
      <c r="T1371" s="144"/>
      <c r="U1371" s="144"/>
      <c r="V1371" s="144"/>
      <c r="W1371" s="144"/>
      <c r="X1371" s="144"/>
      <c r="Y1371" s="144"/>
      <c r="Z1371" s="144"/>
    </row>
    <row r="1372" spans="2:26" ht="18" customHeight="1" x14ac:dyDescent="0.25">
      <c r="B1372" s="66">
        <f>B1341</f>
        <v>0</v>
      </c>
      <c r="C1372" s="67"/>
      <c r="D1372" s="68"/>
      <c r="E1372" s="441" t="str">
        <f>G1341</f>
        <v/>
      </c>
      <c r="F1372" s="441"/>
      <c r="G1372" s="42"/>
      <c r="H1372" s="12">
        <v>1</v>
      </c>
      <c r="N1372" s="38"/>
      <c r="P1372" s="144"/>
      <c r="Q1372" s="144"/>
      <c r="R1372" s="144"/>
      <c r="S1372" s="144"/>
      <c r="T1372" s="144"/>
      <c r="U1372" s="144"/>
      <c r="V1372" s="144"/>
      <c r="W1372" s="144"/>
      <c r="X1372" s="144"/>
      <c r="Y1372" s="144"/>
      <c r="Z1372" s="144"/>
    </row>
    <row r="1373" spans="2:26" x14ac:dyDescent="0.25">
      <c r="N1373" s="38"/>
      <c r="P1373" s="144"/>
      <c r="Q1373" s="144"/>
      <c r="R1373" s="144"/>
      <c r="S1373" s="144"/>
      <c r="T1373" s="144"/>
      <c r="U1373" s="144"/>
      <c r="V1373" s="144"/>
      <c r="W1373" s="144"/>
      <c r="X1373" s="144"/>
      <c r="Y1373" s="144"/>
      <c r="Z1373" s="144"/>
    </row>
    <row r="1374" spans="2:26" x14ac:dyDescent="0.25">
      <c r="B1374" t="s">
        <v>161</v>
      </c>
      <c r="N1374" s="38"/>
      <c r="P1374" s="144"/>
      <c r="Q1374" s="144"/>
      <c r="R1374" s="144"/>
      <c r="S1374" s="144"/>
      <c r="T1374" s="144"/>
      <c r="U1374" s="144"/>
      <c r="V1374" s="144"/>
      <c r="W1374" s="144"/>
      <c r="X1374" s="144"/>
      <c r="Y1374" s="144"/>
      <c r="Z1374" s="144"/>
    </row>
    <row r="1375" spans="2:26" ht="18" customHeight="1" x14ac:dyDescent="0.25">
      <c r="B1375" s="468" t="s">
        <v>162</v>
      </c>
      <c r="C1375" s="468"/>
      <c r="D1375" s="469" t="s">
        <v>163</v>
      </c>
      <c r="E1375" s="469"/>
      <c r="F1375" s="461" t="s">
        <v>164</v>
      </c>
      <c r="G1375" s="462"/>
      <c r="H1375" s="467" t="s">
        <v>165</v>
      </c>
      <c r="I1375" s="462"/>
      <c r="J1375" s="467" t="s">
        <v>165</v>
      </c>
      <c r="K1375" s="462"/>
      <c r="L1375" s="125" t="s">
        <v>166</v>
      </c>
      <c r="M1375" s="125" t="s">
        <v>167</v>
      </c>
      <c r="N1375" s="38"/>
      <c r="P1375" s="144">
        <v>1</v>
      </c>
      <c r="Q1375" s="144">
        <v>1</v>
      </c>
      <c r="R1375" s="144">
        <v>1</v>
      </c>
      <c r="S1375" s="144" t="str">
        <f>VLOOKUP(P1375,'WORKINGS MATRIX'!$B$200:$C$351,2,FALSE)</f>
        <v>Year</v>
      </c>
      <c r="T1375" s="144">
        <f t="shared" ref="T1375:U1379" si="126">Q1375-1</f>
        <v>0</v>
      </c>
      <c r="U1375" s="144">
        <f t="shared" si="126"/>
        <v>0</v>
      </c>
      <c r="V1375" s="144" t="str">
        <f>IF(S1375="year","",S1375)</f>
        <v/>
      </c>
      <c r="W1375" s="144" t="str">
        <f t="shared" ref="W1375:X1379" si="127">IF(T1375=0,"",T1375)</f>
        <v/>
      </c>
      <c r="X1375" s="144" t="str">
        <f t="shared" si="127"/>
        <v/>
      </c>
      <c r="Y1375" s="144" t="str">
        <f>IF(V1375="","",IF(W1375="",(V1375&amp;"/"&amp;"12"&amp;"/"&amp;"1"),IF(X1375="",(V1375&amp;"/"&amp;W1375&amp;"/"&amp;"1"),(V1375&amp;"/"&amp;W1375&amp;"/"&amp;X1375))))</f>
        <v/>
      </c>
      <c r="Z1375" s="144" t="str">
        <f>IF(Y1375="//","",Y1375)</f>
        <v/>
      </c>
    </row>
    <row r="1376" spans="2:26" ht="18" customHeight="1" x14ac:dyDescent="0.25">
      <c r="B1376" s="441" t="s">
        <v>168</v>
      </c>
      <c r="C1376" s="441"/>
      <c r="D1376" s="439">
        <v>10</v>
      </c>
      <c r="E1376" s="440"/>
      <c r="F1376" s="442"/>
      <c r="G1376" s="443"/>
      <c r="H1376" s="463">
        <v>1</v>
      </c>
      <c r="I1376" s="464"/>
      <c r="J1376" s="450"/>
      <c r="K1376" s="443"/>
      <c r="L1376" s="206"/>
      <c r="M1376" s="143" t="str">
        <f>Z1375</f>
        <v/>
      </c>
      <c r="N1376" s="38"/>
      <c r="P1376" s="144">
        <v>1</v>
      </c>
      <c r="Q1376" s="144">
        <v>1</v>
      </c>
      <c r="R1376" s="144">
        <v>1</v>
      </c>
      <c r="S1376" s="144" t="str">
        <f>VLOOKUP(P1376,'WORKINGS MATRIX'!$B$200:$C$351,2,FALSE)</f>
        <v>Year</v>
      </c>
      <c r="T1376" s="144">
        <f t="shared" si="126"/>
        <v>0</v>
      </c>
      <c r="U1376" s="144">
        <f t="shared" si="126"/>
        <v>0</v>
      </c>
      <c r="V1376" s="144" t="str">
        <f>IF(S1376="year","",S1376)</f>
        <v/>
      </c>
      <c r="W1376" s="144" t="str">
        <f t="shared" si="127"/>
        <v/>
      </c>
      <c r="X1376" s="144" t="str">
        <f t="shared" si="127"/>
        <v/>
      </c>
      <c r="Y1376" s="144" t="str">
        <f>IF(V1376="","",IF(W1376="",(V1376&amp;"/"&amp;"12"&amp;"/"&amp;"1"),IF(X1376="",(V1376&amp;"/"&amp;W1376&amp;"/"&amp;"1"),(V1376&amp;"/"&amp;W1376&amp;"/"&amp;X1376))))</f>
        <v/>
      </c>
      <c r="Z1376" s="144" t="str">
        <f>IF(Y1376="//","",Y1376)</f>
        <v/>
      </c>
    </row>
    <row r="1377" spans="2:26" ht="18" customHeight="1" x14ac:dyDescent="0.25">
      <c r="B1377" s="441" t="s">
        <v>169</v>
      </c>
      <c r="C1377" s="441"/>
      <c r="D1377" s="442"/>
      <c r="E1377" s="443"/>
      <c r="F1377" s="442"/>
      <c r="G1377" s="443"/>
      <c r="H1377" s="451" t="s">
        <v>170</v>
      </c>
      <c r="I1377" s="452"/>
      <c r="J1377" s="451" t="s">
        <v>171</v>
      </c>
      <c r="K1377" s="452"/>
      <c r="L1377" s="125" t="s">
        <v>166</v>
      </c>
      <c r="M1377" s="125" t="s">
        <v>167</v>
      </c>
      <c r="N1377" s="38"/>
      <c r="P1377" s="144">
        <v>1</v>
      </c>
      <c r="Q1377" s="144">
        <v>1</v>
      </c>
      <c r="R1377" s="144">
        <v>1</v>
      </c>
      <c r="S1377" s="144" t="str">
        <f>VLOOKUP(P1377,'WORKINGS MATRIX'!$B$200:$C$351,2,FALSE)</f>
        <v>Year</v>
      </c>
      <c r="T1377" s="144">
        <f t="shared" si="126"/>
        <v>0</v>
      </c>
      <c r="U1377" s="144">
        <f t="shared" si="126"/>
        <v>0</v>
      </c>
      <c r="V1377" s="144" t="str">
        <f>IF(S1377="year","",S1377)</f>
        <v/>
      </c>
      <c r="W1377" s="144" t="str">
        <f t="shared" si="127"/>
        <v/>
      </c>
      <c r="X1377" s="144" t="str">
        <f t="shared" si="127"/>
        <v/>
      </c>
      <c r="Y1377" s="144" t="str">
        <f>IF(V1377="","",IF(W1377="",(V1377&amp;"/"&amp;"1"&amp;"/"&amp;"1"),IF(X1377="",(V1377&amp;"/"&amp;W1377&amp;"/"&amp;"1"),(V1377&amp;"/"&amp;W1377&amp;"/"&amp;X1377))))</f>
        <v/>
      </c>
      <c r="Z1377" s="144" t="str">
        <f>IF(Y1377="//","",Y1377)</f>
        <v/>
      </c>
    </row>
    <row r="1378" spans="2:26" ht="18" customHeight="1" x14ac:dyDescent="0.25">
      <c r="B1378" s="441" t="s">
        <v>172</v>
      </c>
      <c r="C1378" s="441"/>
      <c r="D1378" s="444" t="str">
        <f>Z1377</f>
        <v/>
      </c>
      <c r="E1378" s="445"/>
      <c r="F1378" s="444" t="str">
        <f>Z1378</f>
        <v/>
      </c>
      <c r="G1378" s="445"/>
      <c r="H1378" s="446">
        <v>1</v>
      </c>
      <c r="I1378" s="447"/>
      <c r="J1378" s="450"/>
      <c r="K1378" s="443"/>
      <c r="L1378" s="206"/>
      <c r="M1378" s="143" t="str">
        <f>Z1376</f>
        <v/>
      </c>
      <c r="N1378" s="38"/>
      <c r="P1378" s="144">
        <v>1</v>
      </c>
      <c r="Q1378" s="144">
        <v>1</v>
      </c>
      <c r="R1378" s="144">
        <v>1</v>
      </c>
      <c r="S1378" s="144" t="str">
        <f>VLOOKUP(P1378,'WORKINGS MATRIX'!$B$200:$C$351,2,FALSE)</f>
        <v>Year</v>
      </c>
      <c r="T1378" s="144">
        <f t="shared" si="126"/>
        <v>0</v>
      </c>
      <c r="U1378" s="144">
        <f t="shared" si="126"/>
        <v>0</v>
      </c>
      <c r="V1378" s="144" t="str">
        <f>IF(S1378="year","",S1378)</f>
        <v/>
      </c>
      <c r="W1378" s="144" t="str">
        <f t="shared" si="127"/>
        <v/>
      </c>
      <c r="X1378" s="144" t="str">
        <f t="shared" si="127"/>
        <v/>
      </c>
      <c r="Y1378" s="144" t="str">
        <f>IF(V1378="","",IF(W1378="",(V1378&amp;"/"&amp;"1"&amp;"/"&amp;"1"),IF(X1378="",(V1378&amp;"/"&amp;W1378&amp;"/"&amp;"1"),(V1378&amp;"/"&amp;W1378&amp;"/"&amp;X1378))))</f>
        <v/>
      </c>
      <c r="Z1378" s="144" t="str">
        <f>IF(Y1378="//","",Y1378)</f>
        <v/>
      </c>
    </row>
    <row r="1379" spans="2:26" x14ac:dyDescent="0.25">
      <c r="N1379" s="38"/>
      <c r="P1379" s="144">
        <v>1</v>
      </c>
      <c r="Q1379" s="144">
        <v>1</v>
      </c>
      <c r="R1379" s="144">
        <v>1</v>
      </c>
      <c r="S1379" s="144" t="str">
        <f>VLOOKUP(P1379,'WORKINGS MATRIX'!$B$200:$C$351,2,FALSE)</f>
        <v>Year</v>
      </c>
      <c r="T1379" s="144">
        <f t="shared" si="126"/>
        <v>0</v>
      </c>
      <c r="U1379" s="144">
        <f t="shared" si="126"/>
        <v>0</v>
      </c>
      <c r="V1379" s="144" t="str">
        <f>IF(S1379="year","",S1379)</f>
        <v/>
      </c>
      <c r="W1379" s="144" t="str">
        <f t="shared" si="127"/>
        <v/>
      </c>
      <c r="X1379" s="144" t="str">
        <f t="shared" si="127"/>
        <v/>
      </c>
      <c r="Y1379" s="144" t="str">
        <f>IF(V1379="","",IF(W1379="",(V1379&amp;"/"&amp;"1"&amp;"/"&amp;"1"),IF(X1379="",(V1379&amp;"/"&amp;W1379&amp;"/"&amp;"1"),(V1379&amp;"/"&amp;W1379&amp;"/"&amp;X1379))))</f>
        <v/>
      </c>
      <c r="Z1379" s="144" t="str">
        <f>IF(Y1379="//","",Y1379)</f>
        <v/>
      </c>
    </row>
    <row r="1380" spans="2:26" x14ac:dyDescent="0.25">
      <c r="M1380" s="217"/>
      <c r="N1380" s="38"/>
      <c r="P1380" s="144"/>
      <c r="Q1380" s="144"/>
      <c r="R1380" s="144"/>
      <c r="S1380" s="144"/>
      <c r="T1380" s="144"/>
      <c r="U1380" s="144"/>
      <c r="V1380" s="144"/>
      <c r="W1380" s="144"/>
      <c r="X1380" s="144"/>
      <c r="Y1380" s="144"/>
      <c r="Z1380" s="144"/>
    </row>
    <row r="1381" spans="2:26" x14ac:dyDescent="0.25">
      <c r="B1381" s="21"/>
      <c r="C1381" s="77"/>
      <c r="D1381" s="216"/>
      <c r="E1381" s="21"/>
      <c r="F1381" s="10"/>
      <c r="G1381" s="10"/>
      <c r="H1381" s="10"/>
      <c r="I1381" s="10"/>
      <c r="J1381" s="21"/>
      <c r="K1381" s="21"/>
      <c r="L1381" s="21"/>
      <c r="M1381" s="217"/>
      <c r="N1381" s="387"/>
      <c r="O1381" s="21"/>
      <c r="P1381" s="144"/>
      <c r="Q1381" s="144"/>
      <c r="R1381" s="144"/>
      <c r="S1381" s="145"/>
      <c r="T1381" s="145"/>
      <c r="U1381" s="145"/>
      <c r="V1381" s="145"/>
      <c r="W1381" s="145"/>
      <c r="X1381" s="145"/>
      <c r="Y1381" s="145"/>
      <c r="Z1381" s="145"/>
    </row>
    <row r="1382" spans="2:26" ht="26.25" customHeight="1" x14ac:dyDescent="0.25">
      <c r="B1382" s="149"/>
      <c r="C1382" s="149"/>
      <c r="D1382" s="3"/>
      <c r="E1382" s="149"/>
      <c r="F1382" s="149"/>
      <c r="G1382" s="3"/>
      <c r="H1382" s="149"/>
      <c r="I1382" s="3"/>
      <c r="J1382" s="213"/>
      <c r="K1382" s="214"/>
      <c r="L1382" s="149"/>
      <c r="M1382" s="70"/>
      <c r="N1382" s="71"/>
      <c r="O1382" s="10"/>
      <c r="P1382" s="144"/>
      <c r="Q1382" s="144"/>
      <c r="R1382" s="144"/>
      <c r="S1382" s="144"/>
      <c r="T1382" s="144"/>
      <c r="U1382" s="144"/>
      <c r="V1382" s="144"/>
      <c r="W1382" s="144"/>
      <c r="X1382" s="144"/>
      <c r="Y1382" s="144"/>
      <c r="Z1382" s="144"/>
    </row>
    <row r="1383" spans="2:26" ht="26.25" customHeight="1" x14ac:dyDescent="0.25">
      <c r="B1383" s="149"/>
      <c r="C1383" s="149"/>
      <c r="D1383" s="3"/>
      <c r="E1383" s="149"/>
      <c r="F1383" s="149"/>
      <c r="G1383" s="3"/>
      <c r="H1383" s="149"/>
      <c r="I1383" s="3"/>
      <c r="J1383" s="213"/>
      <c r="K1383" s="214"/>
      <c r="L1383" s="149"/>
      <c r="M1383" s="70"/>
      <c r="N1383" s="71"/>
      <c r="O1383" s="10"/>
      <c r="P1383" s="144"/>
      <c r="Q1383" s="144"/>
      <c r="R1383" s="144"/>
      <c r="S1383" s="144"/>
      <c r="T1383" s="144"/>
      <c r="U1383" s="144"/>
      <c r="V1383" s="144"/>
      <c r="W1383" s="144"/>
      <c r="X1383" s="144"/>
      <c r="Y1383" s="144"/>
      <c r="Z1383" s="144"/>
    </row>
    <row r="1384" spans="2:26" ht="26.25" customHeight="1" x14ac:dyDescent="0.25">
      <c r="B1384" s="149"/>
      <c r="C1384" s="149"/>
      <c r="D1384" s="3"/>
      <c r="E1384" s="149"/>
      <c r="F1384" s="149"/>
      <c r="G1384" s="3"/>
      <c r="H1384" s="149"/>
      <c r="I1384" s="3"/>
      <c r="J1384" s="213"/>
      <c r="K1384" s="214"/>
      <c r="L1384" s="149"/>
      <c r="M1384" s="70"/>
      <c r="N1384" s="71"/>
      <c r="O1384" s="10"/>
      <c r="P1384" s="144"/>
      <c r="Q1384" s="144"/>
      <c r="R1384" s="144"/>
      <c r="S1384" s="144"/>
      <c r="T1384" s="144"/>
      <c r="U1384" s="144"/>
      <c r="V1384" s="144"/>
      <c r="W1384" s="144"/>
      <c r="X1384" s="144"/>
      <c r="Y1384" s="144"/>
      <c r="Z1384" s="144"/>
    </row>
    <row r="1385" spans="2:26" ht="26.25" customHeight="1" x14ac:dyDescent="0.25">
      <c r="B1385" s="149"/>
      <c r="C1385" s="149"/>
      <c r="D1385" s="3"/>
      <c r="E1385" s="149"/>
      <c r="F1385" s="149"/>
      <c r="G1385" s="3"/>
      <c r="H1385" s="149"/>
      <c r="I1385" s="3"/>
      <c r="J1385" s="213"/>
      <c r="K1385" s="214"/>
      <c r="L1385" s="149"/>
      <c r="M1385" s="70"/>
      <c r="N1385" s="71"/>
      <c r="O1385" s="10"/>
      <c r="P1385" s="144"/>
      <c r="Q1385" s="144"/>
      <c r="R1385" s="144"/>
      <c r="S1385" s="144"/>
      <c r="T1385" s="144"/>
      <c r="U1385" s="144"/>
      <c r="V1385" s="144"/>
      <c r="W1385" s="144"/>
      <c r="X1385" s="144"/>
      <c r="Y1385" s="144"/>
      <c r="Z1385" s="144"/>
    </row>
    <row r="1386" spans="2:26" ht="26.25" customHeight="1" x14ac:dyDescent="0.25">
      <c r="B1386" s="149"/>
      <c r="C1386" s="149"/>
      <c r="D1386" s="3"/>
      <c r="E1386" s="149"/>
      <c r="F1386" s="149"/>
      <c r="G1386" s="3"/>
      <c r="H1386" s="149"/>
      <c r="I1386" s="3"/>
      <c r="J1386" s="213"/>
      <c r="K1386" s="214"/>
      <c r="L1386" s="149"/>
      <c r="M1386" s="70"/>
      <c r="N1386" s="71"/>
      <c r="O1386" s="10"/>
      <c r="P1386" s="144"/>
      <c r="Q1386" s="144"/>
      <c r="R1386" s="144"/>
      <c r="S1386" s="144"/>
      <c r="T1386" s="144"/>
      <c r="U1386" s="144"/>
      <c r="V1386" s="144"/>
      <c r="W1386" s="144"/>
      <c r="X1386" s="144"/>
      <c r="Y1386" s="144"/>
      <c r="Z1386" s="144"/>
    </row>
    <row r="1387" spans="2:26" x14ac:dyDescent="0.25">
      <c r="D1387" s="3"/>
      <c r="G1387" s="3"/>
      <c r="I1387" s="3"/>
      <c r="N1387" s="71"/>
      <c r="P1387" s="144"/>
      <c r="Q1387" s="144"/>
      <c r="R1387" s="144"/>
      <c r="S1387" s="144"/>
      <c r="T1387" s="144"/>
      <c r="U1387" s="144"/>
      <c r="V1387" s="144"/>
      <c r="W1387" s="144"/>
      <c r="X1387" s="144"/>
      <c r="Y1387" s="144"/>
      <c r="Z1387" s="144"/>
    </row>
    <row r="1388" spans="2:26" x14ac:dyDescent="0.25">
      <c r="B1388" t="s">
        <v>152</v>
      </c>
      <c r="D1388" s="57"/>
      <c r="H1388" s="58"/>
      <c r="K1388" s="21"/>
      <c r="N1388" s="38"/>
      <c r="P1388" s="144"/>
      <c r="Q1388" s="144"/>
      <c r="R1388" s="144"/>
      <c r="S1388" s="144"/>
      <c r="T1388" s="144"/>
      <c r="U1388" s="144"/>
      <c r="V1388" s="144"/>
      <c r="W1388" s="144"/>
      <c r="X1388" s="144"/>
      <c r="Y1388" s="144"/>
      <c r="Z1388" s="144"/>
    </row>
    <row r="1389" spans="2:26" x14ac:dyDescent="0.25">
      <c r="B1389" s="429"/>
      <c r="C1389" s="430"/>
      <c r="D1389" s="430"/>
      <c r="E1389" s="430"/>
      <c r="F1389" s="430"/>
      <c r="G1389" s="430"/>
      <c r="H1389" s="430"/>
      <c r="I1389" s="430"/>
      <c r="J1389" s="430"/>
      <c r="K1389" s="430"/>
      <c r="L1389" s="430"/>
      <c r="M1389" s="431"/>
      <c r="N1389" s="38"/>
      <c r="P1389" s="144"/>
      <c r="Q1389" s="144"/>
      <c r="R1389" s="144"/>
      <c r="S1389" s="144"/>
      <c r="T1389" s="144"/>
      <c r="U1389" s="144"/>
      <c r="V1389" s="144"/>
      <c r="W1389" s="144"/>
      <c r="X1389" s="144"/>
      <c r="Y1389" s="144"/>
      <c r="Z1389" s="144"/>
    </row>
    <row r="1390" spans="2:26" x14ac:dyDescent="0.25">
      <c r="B1390" s="432"/>
      <c r="C1390" s="433"/>
      <c r="D1390" s="433"/>
      <c r="E1390" s="433"/>
      <c r="F1390" s="433"/>
      <c r="G1390" s="433"/>
      <c r="H1390" s="433"/>
      <c r="I1390" s="433"/>
      <c r="J1390" s="433"/>
      <c r="K1390" s="433"/>
      <c r="L1390" s="433"/>
      <c r="M1390" s="434"/>
      <c r="N1390" s="38"/>
      <c r="P1390" s="144"/>
      <c r="Q1390" s="144"/>
      <c r="R1390" s="144"/>
      <c r="S1390" s="144"/>
      <c r="T1390" s="144"/>
      <c r="U1390" s="144"/>
      <c r="V1390" s="144"/>
      <c r="W1390" s="144"/>
      <c r="X1390" s="144"/>
      <c r="Y1390" s="144"/>
      <c r="Z1390" s="144"/>
    </row>
    <row r="1391" spans="2:26" x14ac:dyDescent="0.25">
      <c r="B1391" s="432"/>
      <c r="C1391" s="433"/>
      <c r="D1391" s="433"/>
      <c r="E1391" s="433"/>
      <c r="F1391" s="433"/>
      <c r="G1391" s="433"/>
      <c r="H1391" s="433"/>
      <c r="I1391" s="433"/>
      <c r="J1391" s="433"/>
      <c r="K1391" s="433"/>
      <c r="L1391" s="433"/>
      <c r="M1391" s="434"/>
      <c r="N1391" s="38"/>
      <c r="P1391" s="144"/>
      <c r="Q1391" s="144"/>
      <c r="R1391" s="144"/>
      <c r="S1391" s="144"/>
      <c r="T1391" s="144"/>
      <c r="U1391" s="144"/>
      <c r="V1391" s="144"/>
      <c r="W1391" s="144"/>
      <c r="X1391" s="144"/>
      <c r="Y1391" s="144"/>
      <c r="Z1391" s="144"/>
    </row>
    <row r="1392" spans="2:26" x14ac:dyDescent="0.25">
      <c r="B1392" s="435"/>
      <c r="C1392" s="436"/>
      <c r="D1392" s="436"/>
      <c r="E1392" s="436"/>
      <c r="F1392" s="436"/>
      <c r="G1392" s="436"/>
      <c r="H1392" s="436"/>
      <c r="I1392" s="436"/>
      <c r="J1392" s="436"/>
      <c r="K1392" s="436"/>
      <c r="L1392" s="436"/>
      <c r="M1392" s="437"/>
      <c r="N1392" s="38"/>
      <c r="P1392" s="144"/>
      <c r="Q1392" s="144"/>
      <c r="R1392" s="144"/>
      <c r="S1392" s="144"/>
      <c r="T1392" s="144"/>
      <c r="U1392" s="144"/>
      <c r="V1392" s="144"/>
      <c r="W1392" s="144"/>
      <c r="X1392" s="144"/>
      <c r="Y1392" s="144"/>
      <c r="Z1392" s="144"/>
    </row>
    <row r="1397" spans="2:13" x14ac:dyDescent="0.25">
      <c r="D1397" s="57"/>
      <c r="E1397" s="149"/>
      <c r="F1397" s="149"/>
      <c r="G1397" s="149"/>
      <c r="H1397" s="149"/>
      <c r="I1397" s="149"/>
      <c r="K1397" s="438" t="s">
        <v>155</v>
      </c>
      <c r="L1397" s="438"/>
      <c r="M1397" s="438"/>
    </row>
    <row r="1398" spans="2:13" x14ac:dyDescent="0.25">
      <c r="D1398" s="57"/>
      <c r="H1398" s="58"/>
      <c r="K1398" s="438"/>
      <c r="L1398" s="438"/>
      <c r="M1398" s="438"/>
    </row>
    <row r="1399" spans="2:13" x14ac:dyDescent="0.25">
      <c r="D1399" s="57"/>
      <c r="E1399" s="149"/>
      <c r="F1399" s="149"/>
      <c r="G1399" s="149"/>
      <c r="H1399" s="149"/>
      <c r="I1399" s="149"/>
      <c r="K1399" s="438"/>
      <c r="L1399" s="438"/>
      <c r="M1399" s="438"/>
    </row>
    <row r="1400" spans="2:13" x14ac:dyDescent="0.25">
      <c r="D1400" s="57"/>
      <c r="E1400" s="149"/>
      <c r="F1400" s="149"/>
      <c r="G1400" s="149"/>
      <c r="H1400" s="149"/>
      <c r="I1400" s="149"/>
      <c r="K1400" s="438"/>
      <c r="L1400" s="438"/>
      <c r="M1400" s="438"/>
    </row>
    <row r="1401" spans="2:13" ht="13.8" thickBot="1" x14ac:dyDescent="0.3">
      <c r="B1401" s="60"/>
      <c r="C1401" s="60"/>
      <c r="D1401" s="60"/>
      <c r="E1401" s="60"/>
      <c r="F1401" s="60"/>
      <c r="G1401" s="60"/>
      <c r="H1401" s="60"/>
      <c r="I1401" s="60"/>
      <c r="J1401" s="60"/>
      <c r="K1401" s="60"/>
      <c r="L1401" s="60"/>
      <c r="M1401" s="60"/>
    </row>
    <row r="1402" spans="2:13" ht="13.8" thickTop="1" x14ac:dyDescent="0.25"/>
    <row r="1403" spans="2:13" x14ac:dyDescent="0.25">
      <c r="B1403" s="24" t="s">
        <v>128</v>
      </c>
    </row>
    <row r="1436" spans="1:14" ht="13.8" thickBot="1" x14ac:dyDescent="0.3">
      <c r="B1436">
        <f>$D$1</f>
        <v>0</v>
      </c>
      <c r="C1436" s="73" t="s">
        <v>128</v>
      </c>
      <c r="D1436" s="25" t="s">
        <v>129</v>
      </c>
    </row>
    <row r="1437" spans="1:14" ht="13.8" thickTop="1" x14ac:dyDescent="0.25">
      <c r="A1437" s="26"/>
      <c r="B1437" s="27" t="s">
        <v>131</v>
      </c>
      <c r="C1437" s="28"/>
      <c r="D1437" s="29" t="s">
        <v>132</v>
      </c>
      <c r="E1437" s="27" t="str">
        <f>J124</f>
        <v/>
      </c>
      <c r="F1437" s="30" t="str">
        <f>IF(L124=0,"NOT REQUIRED", IF(L124="Man","MANAGERIAL POSITION","NON-MANAGERIAL POSITION"))</f>
        <v>NON-MANAGERIAL POSITION</v>
      </c>
      <c r="G1437" s="28"/>
      <c r="H1437" s="308" t="s">
        <v>199</v>
      </c>
      <c r="I1437" s="31"/>
      <c r="J1437" s="27"/>
      <c r="K1437" s="28"/>
      <c r="L1437" s="31" t="s">
        <v>133</v>
      </c>
      <c r="M1437" s="28"/>
      <c r="N1437" s="32"/>
    </row>
    <row r="1438" spans="1:14" x14ac:dyDescent="0.25">
      <c r="A1438" s="33"/>
      <c r="E1438" s="34"/>
      <c r="F1438" s="35"/>
      <c r="G1438" s="36"/>
      <c r="I1438" s="10"/>
      <c r="J1438" s="37"/>
      <c r="N1438" s="38"/>
    </row>
    <row r="1439" spans="1:14" x14ac:dyDescent="0.25">
      <c r="A1439" s="33"/>
      <c r="B1439" t="s">
        <v>134</v>
      </c>
      <c r="L1439" s="465" t="str">
        <f>$L$39</f>
        <v>X.002-218-2024(NT)&amp;N.004-116-2024(T)</v>
      </c>
      <c r="M1439" s="465"/>
      <c r="N1439" s="38"/>
    </row>
    <row r="1440" spans="1:14" ht="24.75" customHeight="1" x14ac:dyDescent="0.25">
      <c r="A1440" s="33"/>
      <c r="B1440" s="39" t="s">
        <v>135</v>
      </c>
      <c r="C1440" s="40"/>
      <c r="D1440" s="41"/>
      <c r="E1440" s="427" t="s">
        <v>136</v>
      </c>
      <c r="F1440" s="428"/>
      <c r="G1440" s="39" t="s">
        <v>137</v>
      </c>
      <c r="H1440" s="41"/>
      <c r="I1440" s="39" t="s">
        <v>138</v>
      </c>
      <c r="J1440" s="41"/>
      <c r="K1440" s="42"/>
      <c r="L1440" s="465"/>
      <c r="M1440" s="465"/>
      <c r="N1440" s="38"/>
    </row>
    <row r="1441" spans="1:33" ht="18" customHeight="1" x14ac:dyDescent="0.25">
      <c r="A1441" s="33"/>
      <c r="B1441" s="194"/>
      <c r="C1441" s="195"/>
      <c r="D1441" s="196"/>
      <c r="E1441" s="425"/>
      <c r="F1441" s="426"/>
      <c r="G1441" s="159" t="str">
        <f>K124</f>
        <v/>
      </c>
      <c r="H1441" s="44"/>
      <c r="I1441" s="197"/>
      <c r="J1441" s="198"/>
      <c r="K1441" s="45"/>
      <c r="N1441" s="38"/>
      <c r="P1441" s="144">
        <v>1</v>
      </c>
      <c r="Q1441" s="144">
        <v>1</v>
      </c>
      <c r="R1441" s="144">
        <v>1</v>
      </c>
      <c r="S1441" s="144" t="str">
        <f>VLOOKUP(P1441,'WORKINGS MATRIX'!$H$200:$I$351,2,FALSE)</f>
        <v>Year</v>
      </c>
      <c r="T1441" s="144">
        <f>Q1441-1</f>
        <v>0</v>
      </c>
      <c r="U1441" s="144">
        <f>R1441-1</f>
        <v>0</v>
      </c>
      <c r="V1441" s="144" t="str">
        <f>IF(S1441="year","",S1441)</f>
        <v/>
      </c>
      <c r="W1441" s="144" t="str">
        <f>IF(T1441=0,"",T1441)</f>
        <v/>
      </c>
      <c r="X1441" s="144" t="str">
        <f>IF(U1441=0,"",U1441)</f>
        <v/>
      </c>
      <c r="Y1441" s="144" t="str">
        <f>IF(V1441="","",IF(W1441="",(V1441&amp;"/"&amp;"1"&amp;"/"&amp;"1"),IF(X1441="",(V1441&amp;"/"&amp;W1441&amp;"/"&amp;"1"),(V1441&amp;"/"&amp;W1441&amp;"/"&amp;X1441))))</f>
        <v/>
      </c>
      <c r="Z1441" s="144" t="str">
        <f>IF(Y1441="//","",Y1441)</f>
        <v/>
      </c>
      <c r="AC1441" s="158"/>
      <c r="AD1441" s="158"/>
      <c r="AE1441" s="158"/>
      <c r="AF1441" s="158"/>
      <c r="AG1441" s="158"/>
    </row>
    <row r="1442" spans="1:33" x14ac:dyDescent="0.25">
      <c r="A1442" s="33"/>
      <c r="E1442" t="str">
        <f>IF(E1441="","",IF(LEN(E1441)=13,"","ID NUMBER SHOULD BE 13 DIGITS"))</f>
        <v/>
      </c>
      <c r="N1442" s="38"/>
      <c r="P1442" s="144"/>
      <c r="Q1442" s="144"/>
      <c r="R1442" s="144"/>
      <c r="S1442" s="144"/>
      <c r="T1442" s="144"/>
      <c r="U1442" s="144"/>
      <c r="V1442" s="144"/>
      <c r="W1442" s="144"/>
      <c r="X1442" s="144"/>
      <c r="Y1442" s="144"/>
      <c r="Z1442" s="144"/>
      <c r="AC1442" s="158"/>
      <c r="AD1442" s="158"/>
      <c r="AE1442" s="158"/>
      <c r="AF1442" s="158"/>
      <c r="AG1442" s="158"/>
    </row>
    <row r="1443" spans="1:33" x14ac:dyDescent="0.25">
      <c r="A1443" s="33"/>
      <c r="G1443" s="170" t="str">
        <f>IF(AG1446=0,"","DATES BEYOND TENDER CLOSING DATE - PLEASE CHECK")</f>
        <v/>
      </c>
      <c r="N1443" s="38"/>
      <c r="P1443" s="144"/>
      <c r="Q1443" s="144"/>
      <c r="R1443" s="144"/>
      <c r="S1443" s="144"/>
      <c r="T1443" s="144"/>
      <c r="U1443" s="144"/>
      <c r="V1443" s="144"/>
      <c r="W1443" s="144"/>
      <c r="X1443" s="144"/>
      <c r="Y1443" s="144"/>
      <c r="Z1443" s="144"/>
      <c r="AC1443" s="158"/>
      <c r="AD1443" s="158"/>
      <c r="AE1443" s="158"/>
      <c r="AF1443" s="158"/>
      <c r="AG1443" s="158"/>
    </row>
    <row r="1444" spans="1:33" x14ac:dyDescent="0.25">
      <c r="A1444" s="33"/>
      <c r="B1444" t="s">
        <v>139</v>
      </c>
      <c r="G1444" s="170" t="str">
        <f>IF(AE1446=0,"","DATES INCORRECT OR INCOMPLETE - PLEASE CHECK")</f>
        <v/>
      </c>
      <c r="N1444" s="38"/>
      <c r="P1444" s="144"/>
      <c r="Q1444" s="144"/>
      <c r="R1444" s="144"/>
      <c r="S1444" s="144"/>
      <c r="T1444" s="144"/>
      <c r="U1444" s="144"/>
      <c r="V1444" s="144"/>
      <c r="W1444" s="144"/>
      <c r="X1444" s="144"/>
      <c r="Y1444" s="144"/>
      <c r="Z1444" s="144"/>
      <c r="AC1444" s="158"/>
      <c r="AD1444" s="158"/>
      <c r="AE1444" s="158"/>
      <c r="AF1444" s="158"/>
      <c r="AG1444" s="158"/>
    </row>
    <row r="1445" spans="1:33" x14ac:dyDescent="0.25">
      <c r="A1445" s="33"/>
      <c r="B1445" s="15" t="s">
        <v>140</v>
      </c>
      <c r="N1445" s="38"/>
      <c r="P1445" s="144"/>
      <c r="Q1445" s="144"/>
      <c r="R1445" s="144"/>
      <c r="S1445" s="144"/>
      <c r="T1445" s="144"/>
      <c r="U1445" s="144"/>
      <c r="V1445" s="144"/>
      <c r="W1445" s="144"/>
      <c r="X1445" s="144"/>
      <c r="Y1445" s="144"/>
      <c r="Z1445" s="144"/>
      <c r="AC1445" s="158"/>
      <c r="AD1445" s="158"/>
      <c r="AE1445" s="158"/>
      <c r="AF1445" s="158"/>
      <c r="AG1445" s="158"/>
    </row>
    <row r="1446" spans="1:33" ht="66" x14ac:dyDescent="0.25">
      <c r="A1446" s="46"/>
      <c r="B1446" s="47" t="s">
        <v>141</v>
      </c>
      <c r="C1446" s="48" t="s">
        <v>142</v>
      </c>
      <c r="D1446" s="44"/>
      <c r="E1446" s="470" t="s">
        <v>143</v>
      </c>
      <c r="F1446" s="471"/>
      <c r="G1446" s="157" t="s">
        <v>144</v>
      </c>
      <c r="H1446" s="157" t="s">
        <v>145</v>
      </c>
      <c r="I1446" s="385" t="s">
        <v>146</v>
      </c>
      <c r="J1446" s="49" t="s">
        <v>147</v>
      </c>
      <c r="K1446" s="50" t="s">
        <v>148</v>
      </c>
      <c r="L1446" s="385" t="s">
        <v>149</v>
      </c>
      <c r="M1446" s="49" t="s">
        <v>150</v>
      </c>
      <c r="N1446" s="51"/>
      <c r="O1446" s="386"/>
      <c r="P1446" s="147"/>
      <c r="Q1446" s="144"/>
      <c r="R1446" s="144"/>
      <c r="S1446" s="145"/>
      <c r="T1446" s="145"/>
      <c r="U1446" s="145"/>
      <c r="V1446" s="145"/>
      <c r="W1446" s="145"/>
      <c r="X1446" s="145"/>
      <c r="Y1446" s="145"/>
      <c r="Z1446" s="145"/>
      <c r="AC1446" s="165"/>
      <c r="AD1446" s="165"/>
      <c r="AE1446" s="165">
        <f>SUM(AE1447:AE1451)</f>
        <v>0</v>
      </c>
      <c r="AF1446" s="165"/>
      <c r="AG1446" s="165">
        <f>SUM(AG1447:AG1451)</f>
        <v>0</v>
      </c>
    </row>
    <row r="1447" spans="1:33" ht="25.5" customHeight="1" x14ac:dyDescent="0.25">
      <c r="A1447" s="52"/>
      <c r="B1447" s="200"/>
      <c r="C1447" s="53">
        <v>8</v>
      </c>
      <c r="D1447" s="54"/>
      <c r="E1447" s="55"/>
      <c r="F1447" s="55">
        <v>1</v>
      </c>
      <c r="G1447" s="143" t="str">
        <f>Z1447</f>
        <v/>
      </c>
      <c r="H1447" s="143" t="str">
        <f>Z1452</f>
        <v/>
      </c>
      <c r="I1447" s="202"/>
      <c r="J1447" s="203"/>
      <c r="K1447" s="56">
        <v>23</v>
      </c>
      <c r="L1447" s="204"/>
      <c r="M1447" s="205"/>
      <c r="N1447" s="164">
        <f>IF(G1447="",0,IF(H1447="",0,(ROUND(((H1447-G1447)/30),0))))</f>
        <v>0</v>
      </c>
      <c r="O1447" s="21"/>
      <c r="P1447" s="148">
        <v>1</v>
      </c>
      <c r="Q1447" s="144">
        <v>1</v>
      </c>
      <c r="R1447" s="144">
        <v>1</v>
      </c>
      <c r="S1447" s="144" t="str">
        <f>VLOOKUP(P1447,'WORKINGS MATRIX'!$B$200:$C$351,2,FALSE)</f>
        <v>Year</v>
      </c>
      <c r="T1447" s="144">
        <f t="shared" ref="T1447:U1451" si="128">Q1447-1</f>
        <v>0</v>
      </c>
      <c r="U1447" s="144">
        <f t="shared" si="128"/>
        <v>0</v>
      </c>
      <c r="V1447" s="144" t="str">
        <f t="shared" ref="V1447:V1456" si="129">IF(S1447="year","",S1447)</f>
        <v/>
      </c>
      <c r="W1447" s="144" t="str">
        <f t="shared" ref="W1447:X1451" si="130">IF(T1447=0,"",T1447)</f>
        <v/>
      </c>
      <c r="X1447" s="144" t="str">
        <f t="shared" si="130"/>
        <v/>
      </c>
      <c r="Y1447" s="144" t="str">
        <f t="shared" ref="Y1447:Y1456" si="131">IF(V1447="","",IF(W1447="",(V1447&amp;"/"&amp;"1"&amp;"/"&amp;"1"),IF(X1447="",(V1447&amp;"/"&amp;W1447&amp;"/"&amp;"1"),(V1447&amp;"/"&amp;W1447&amp;"/"&amp;X1447))))</f>
        <v/>
      </c>
      <c r="Z1447" s="144" t="str">
        <f t="shared" ref="Z1447:Z1456" si="132">IF(Y1447="//","",Y1447)</f>
        <v/>
      </c>
      <c r="AC1447" s="172">
        <f>IF(B1447="",0,1)</f>
        <v>0</v>
      </c>
      <c r="AD1447" s="172">
        <f>IF(B1447="",0,IF(N1447&gt;0,1,IF(N1447&lt;0,2,0)))</f>
        <v>0</v>
      </c>
      <c r="AE1447" s="172">
        <f>IF(AC1447=AD1447,0,IF(AC1447&gt;AD1447,2,1))</f>
        <v>0</v>
      </c>
      <c r="AF1447" s="172">
        <f>IF(B1447="",0,IF(N1447=0,0,H1447-$F$125))</f>
        <v>0</v>
      </c>
      <c r="AG1447" s="172">
        <f>IF(AF1447&gt;0,1,0)</f>
        <v>0</v>
      </c>
    </row>
    <row r="1448" spans="1:33" ht="25.5" customHeight="1" x14ac:dyDescent="0.25">
      <c r="A1448" s="52"/>
      <c r="B1448" s="200"/>
      <c r="C1448" s="53">
        <v>8</v>
      </c>
      <c r="D1448" s="54"/>
      <c r="E1448" s="55"/>
      <c r="F1448" s="55">
        <v>1</v>
      </c>
      <c r="G1448" s="143" t="str">
        <f>Z1448</f>
        <v/>
      </c>
      <c r="H1448" s="143" t="str">
        <f>Z1453</f>
        <v/>
      </c>
      <c r="I1448" s="202"/>
      <c r="J1448" s="203"/>
      <c r="K1448" s="56">
        <v>23</v>
      </c>
      <c r="L1448" s="204"/>
      <c r="M1448" s="205"/>
      <c r="N1448" s="164">
        <f>IF(G1448="",0,IF(H1448="",0,(ROUND(((H1448-G1448)/30),0))))</f>
        <v>0</v>
      </c>
      <c r="O1448" s="21"/>
      <c r="P1448" s="148">
        <v>1</v>
      </c>
      <c r="Q1448" s="144">
        <v>1</v>
      </c>
      <c r="R1448" s="144">
        <v>1</v>
      </c>
      <c r="S1448" s="144" t="str">
        <f>VLOOKUP(P1448,'WORKINGS MATRIX'!$B$200:$C$351,2,FALSE)</f>
        <v>Year</v>
      </c>
      <c r="T1448" s="144">
        <f t="shared" si="128"/>
        <v>0</v>
      </c>
      <c r="U1448" s="144">
        <f t="shared" si="128"/>
        <v>0</v>
      </c>
      <c r="V1448" s="144" t="str">
        <f t="shared" si="129"/>
        <v/>
      </c>
      <c r="W1448" s="144" t="str">
        <f t="shared" si="130"/>
        <v/>
      </c>
      <c r="X1448" s="144" t="str">
        <f t="shared" si="130"/>
        <v/>
      </c>
      <c r="Y1448" s="144" t="str">
        <f t="shared" si="131"/>
        <v/>
      </c>
      <c r="Z1448" s="144" t="str">
        <f t="shared" si="132"/>
        <v/>
      </c>
      <c r="AC1448" s="172">
        <f>IF(B1448="",0,1)</f>
        <v>0</v>
      </c>
      <c r="AD1448" s="172">
        <f>IF(B1448="",0,IF(N1448&gt;0,1,IF(N1448&lt;0,2,0)))</f>
        <v>0</v>
      </c>
      <c r="AE1448" s="172">
        <f>IF(AC1448=AD1448,0,IF(AC1448&gt;AD1448,2,1))</f>
        <v>0</v>
      </c>
      <c r="AF1448" s="172">
        <f>IF(B1448="",0,IF(N1448=0,0,H1448-$F$125))</f>
        <v>0</v>
      </c>
      <c r="AG1448" s="172">
        <f>IF(AF1448&gt;0,1,0)</f>
        <v>0</v>
      </c>
    </row>
    <row r="1449" spans="1:33" ht="25.5" customHeight="1" x14ac:dyDescent="0.25">
      <c r="A1449" s="52"/>
      <c r="B1449" s="200"/>
      <c r="C1449" s="53">
        <v>8</v>
      </c>
      <c r="D1449" s="54"/>
      <c r="E1449" s="55"/>
      <c r="F1449" s="55">
        <v>1</v>
      </c>
      <c r="G1449" s="143" t="str">
        <f>Z1449</f>
        <v/>
      </c>
      <c r="H1449" s="143" t="str">
        <f>Z1454</f>
        <v/>
      </c>
      <c r="I1449" s="202"/>
      <c r="J1449" s="203"/>
      <c r="K1449" s="56">
        <v>23</v>
      </c>
      <c r="L1449" s="204"/>
      <c r="M1449" s="205"/>
      <c r="N1449" s="164">
        <f>IF(G1449="",0,IF(H1449="",0,(ROUND(((H1449-G1449)/30),0))))</f>
        <v>0</v>
      </c>
      <c r="O1449" s="21"/>
      <c r="P1449" s="148">
        <v>1</v>
      </c>
      <c r="Q1449" s="144">
        <v>1</v>
      </c>
      <c r="R1449" s="144">
        <v>1</v>
      </c>
      <c r="S1449" s="144" t="str">
        <f>VLOOKUP(P1449,'WORKINGS MATRIX'!$B$200:$C$351,2,FALSE)</f>
        <v>Year</v>
      </c>
      <c r="T1449" s="144">
        <f t="shared" si="128"/>
        <v>0</v>
      </c>
      <c r="U1449" s="144">
        <f t="shared" si="128"/>
        <v>0</v>
      </c>
      <c r="V1449" s="144" t="str">
        <f t="shared" si="129"/>
        <v/>
      </c>
      <c r="W1449" s="144" t="str">
        <f t="shared" si="130"/>
        <v/>
      </c>
      <c r="X1449" s="144" t="str">
        <f t="shared" si="130"/>
        <v/>
      </c>
      <c r="Y1449" s="144" t="str">
        <f t="shared" si="131"/>
        <v/>
      </c>
      <c r="Z1449" s="144" t="str">
        <f t="shared" si="132"/>
        <v/>
      </c>
      <c r="AC1449" s="172">
        <f>IF(B1449="",0,1)</f>
        <v>0</v>
      </c>
      <c r="AD1449" s="172">
        <f>IF(B1449="",0,IF(N1449&gt;0,1,IF(N1449&lt;0,2,0)))</f>
        <v>0</v>
      </c>
      <c r="AE1449" s="172">
        <f>IF(AC1449=AD1449,0,IF(AC1449&gt;AD1449,2,1))</f>
        <v>0</v>
      </c>
      <c r="AF1449" s="172">
        <f>IF(B1449="",0,IF(N1449=0,0,H1449-$F$125))</f>
        <v>0</v>
      </c>
      <c r="AG1449" s="172">
        <f>IF(AF1449&gt;0,1,0)</f>
        <v>0</v>
      </c>
    </row>
    <row r="1450" spans="1:33" ht="25.5" customHeight="1" x14ac:dyDescent="0.25">
      <c r="A1450" s="52"/>
      <c r="B1450" s="255"/>
      <c r="C1450" s="255"/>
      <c r="D1450" s="255"/>
      <c r="E1450" s="255"/>
      <c r="F1450" s="255"/>
      <c r="G1450" s="255"/>
      <c r="H1450" s="255"/>
      <c r="I1450" s="255"/>
      <c r="J1450" s="255"/>
      <c r="K1450" s="255"/>
      <c r="L1450" s="255"/>
      <c r="M1450" s="255"/>
      <c r="N1450" s="164">
        <f>IF(G1450="",0,IF(H1450="",0,(ROUND(((H1450-G1450)/30),0))))</f>
        <v>0</v>
      </c>
      <c r="O1450" s="21"/>
      <c r="P1450" s="148">
        <v>1</v>
      </c>
      <c r="Q1450" s="144">
        <v>1</v>
      </c>
      <c r="R1450" s="144">
        <v>1</v>
      </c>
      <c r="S1450" s="144" t="str">
        <f>VLOOKUP(P1450,'WORKINGS MATRIX'!$B$200:$C$351,2,FALSE)</f>
        <v>Year</v>
      </c>
      <c r="T1450" s="144">
        <f t="shared" si="128"/>
        <v>0</v>
      </c>
      <c r="U1450" s="144">
        <f t="shared" si="128"/>
        <v>0</v>
      </c>
      <c r="V1450" s="144" t="str">
        <f t="shared" si="129"/>
        <v/>
      </c>
      <c r="W1450" s="144" t="str">
        <f t="shared" si="130"/>
        <v/>
      </c>
      <c r="X1450" s="144" t="str">
        <f t="shared" si="130"/>
        <v/>
      </c>
      <c r="Y1450" s="144" t="str">
        <f t="shared" si="131"/>
        <v/>
      </c>
      <c r="Z1450" s="144" t="str">
        <f t="shared" si="132"/>
        <v/>
      </c>
      <c r="AC1450" s="172">
        <f>IF(B1450="",0,1)</f>
        <v>0</v>
      </c>
      <c r="AD1450" s="172">
        <f>IF(B1450="",0,IF(N1450&gt;0,1,IF(N1450&lt;0,2,0)))</f>
        <v>0</v>
      </c>
      <c r="AE1450" s="172">
        <f>IF(AC1450=AD1450,0,IF(AC1450&gt;AD1450,2,1))</f>
        <v>0</v>
      </c>
      <c r="AF1450" s="172">
        <f>IF(B1450="",0,IF(N1450=0,0,H1450-$F$125))</f>
        <v>0</v>
      </c>
      <c r="AG1450" s="172">
        <f>IF(AF1450&gt;0,1,0)</f>
        <v>0</v>
      </c>
    </row>
    <row r="1451" spans="1:33" ht="25.5" customHeight="1" x14ac:dyDescent="0.25">
      <c r="A1451" s="52"/>
      <c r="B1451" s="149"/>
      <c r="C1451" s="149"/>
      <c r="D1451" s="149"/>
      <c r="E1451" s="149"/>
      <c r="F1451" s="149"/>
      <c r="G1451" s="149"/>
      <c r="H1451" s="149"/>
      <c r="I1451" s="149"/>
      <c r="J1451" s="149"/>
      <c r="K1451" s="149"/>
      <c r="L1451" s="149"/>
      <c r="M1451" s="149"/>
      <c r="N1451" s="164">
        <f>IF(G1451="",0,IF(H1451="",0,(ROUND(((H1451-G1451)/30),0))))</f>
        <v>0</v>
      </c>
      <c r="O1451" s="21"/>
      <c r="P1451" s="148">
        <v>1</v>
      </c>
      <c r="Q1451" s="144">
        <v>1</v>
      </c>
      <c r="R1451" s="144">
        <v>1</v>
      </c>
      <c r="S1451" s="144" t="str">
        <f>VLOOKUP(P1451,'WORKINGS MATRIX'!$B$200:$C$351,2,FALSE)</f>
        <v>Year</v>
      </c>
      <c r="T1451" s="144">
        <f t="shared" si="128"/>
        <v>0</v>
      </c>
      <c r="U1451" s="144">
        <f t="shared" si="128"/>
        <v>0</v>
      </c>
      <c r="V1451" s="144" t="str">
        <f t="shared" si="129"/>
        <v/>
      </c>
      <c r="W1451" s="144" t="str">
        <f t="shared" si="130"/>
        <v/>
      </c>
      <c r="X1451" s="144" t="str">
        <f t="shared" si="130"/>
        <v/>
      </c>
      <c r="Y1451" s="144" t="str">
        <f t="shared" si="131"/>
        <v/>
      </c>
      <c r="Z1451" s="144" t="str">
        <f t="shared" si="132"/>
        <v/>
      </c>
      <c r="AC1451" s="172">
        <f>IF(B1451="",0,1)</f>
        <v>0</v>
      </c>
      <c r="AD1451" s="172">
        <f>IF(B1451="",0,IF(N1451&gt;0,1,IF(N1451&lt;0,2,0)))</f>
        <v>0</v>
      </c>
      <c r="AE1451" s="172">
        <f>IF(AC1451=AD1451,0,IF(AC1451&gt;AD1451,2,1))</f>
        <v>0</v>
      </c>
      <c r="AF1451" s="172">
        <f>IF(B1451="",0,IF(N1451=0,0,H1451-$F$125))</f>
        <v>0</v>
      </c>
      <c r="AG1451" s="172">
        <f>IF(AF1451&gt;0,1,0)</f>
        <v>0</v>
      </c>
    </row>
    <row r="1452" spans="1:33" x14ac:dyDescent="0.25">
      <c r="A1452" s="33"/>
      <c r="D1452" s="57"/>
      <c r="H1452" s="58"/>
      <c r="K1452" s="21"/>
      <c r="N1452" s="38"/>
      <c r="O1452" s="58"/>
      <c r="P1452" s="134">
        <v>1</v>
      </c>
      <c r="Q1452" s="144">
        <v>1</v>
      </c>
      <c r="R1452" s="144">
        <v>1</v>
      </c>
      <c r="S1452" s="144" t="str">
        <f>VLOOKUP(P1452,'WORKINGS MATRIX'!$B$200:$C$351,2,FALSE)</f>
        <v>Year</v>
      </c>
      <c r="T1452" s="144">
        <f t="shared" ref="T1452:U1456" si="133">Q1452-1</f>
        <v>0</v>
      </c>
      <c r="U1452" s="144">
        <f t="shared" si="133"/>
        <v>0</v>
      </c>
      <c r="V1452" s="144" t="str">
        <f t="shared" si="129"/>
        <v/>
      </c>
      <c r="W1452" s="144" t="str">
        <f t="shared" ref="W1452:X1456" si="134">IF(T1452=0,"",T1452)</f>
        <v/>
      </c>
      <c r="X1452" s="144" t="str">
        <f t="shared" si="134"/>
        <v/>
      </c>
      <c r="Y1452" s="144" t="str">
        <f t="shared" si="131"/>
        <v/>
      </c>
      <c r="Z1452" s="144" t="str">
        <f t="shared" si="132"/>
        <v/>
      </c>
      <c r="AC1452" s="158"/>
      <c r="AD1452" s="158"/>
      <c r="AE1452" s="158"/>
      <c r="AF1452" s="158"/>
      <c r="AG1452" s="158"/>
    </row>
    <row r="1453" spans="1:33" x14ac:dyDescent="0.25">
      <c r="A1453" s="33"/>
      <c r="B1453" t="s">
        <v>152</v>
      </c>
      <c r="D1453" s="57"/>
      <c r="H1453" s="58"/>
      <c r="K1453" s="21"/>
      <c r="N1453" s="38"/>
      <c r="O1453" s="58"/>
      <c r="P1453" s="144">
        <v>1</v>
      </c>
      <c r="Q1453" s="144">
        <v>1</v>
      </c>
      <c r="R1453" s="144">
        <v>1</v>
      </c>
      <c r="S1453" s="144" t="str">
        <f>VLOOKUP(P1453,'WORKINGS MATRIX'!$B$200:$C$351,2,FALSE)</f>
        <v>Year</v>
      </c>
      <c r="T1453" s="144">
        <f t="shared" si="133"/>
        <v>0</v>
      </c>
      <c r="U1453" s="144">
        <f t="shared" si="133"/>
        <v>0</v>
      </c>
      <c r="V1453" s="144" t="str">
        <f t="shared" si="129"/>
        <v/>
      </c>
      <c r="W1453" s="144" t="str">
        <f t="shared" si="134"/>
        <v/>
      </c>
      <c r="X1453" s="144" t="str">
        <f t="shared" si="134"/>
        <v/>
      </c>
      <c r="Y1453" s="144" t="str">
        <f t="shared" si="131"/>
        <v/>
      </c>
      <c r="Z1453" s="144" t="str">
        <f t="shared" si="132"/>
        <v/>
      </c>
      <c r="AC1453" s="158"/>
      <c r="AD1453" s="158"/>
      <c r="AE1453" s="158"/>
      <c r="AF1453" s="158"/>
      <c r="AG1453" s="158"/>
    </row>
    <row r="1454" spans="1:33" x14ac:dyDescent="0.25">
      <c r="A1454" s="33"/>
      <c r="B1454" s="429"/>
      <c r="C1454" s="430"/>
      <c r="D1454" s="430"/>
      <c r="E1454" s="430"/>
      <c r="F1454" s="430"/>
      <c r="G1454" s="430"/>
      <c r="H1454" s="430"/>
      <c r="I1454" s="430"/>
      <c r="J1454" s="430"/>
      <c r="K1454" s="430"/>
      <c r="L1454" s="430"/>
      <c r="M1454" s="431"/>
      <c r="N1454" s="38"/>
      <c r="O1454" s="58"/>
      <c r="P1454" s="144">
        <v>1</v>
      </c>
      <c r="Q1454" s="144">
        <v>1</v>
      </c>
      <c r="R1454" s="144">
        <v>1</v>
      </c>
      <c r="S1454" s="144" t="str">
        <f>VLOOKUP(P1454,'WORKINGS MATRIX'!$B$200:$C$351,2,FALSE)</f>
        <v>Year</v>
      </c>
      <c r="T1454" s="144">
        <f t="shared" si="133"/>
        <v>0</v>
      </c>
      <c r="U1454" s="144">
        <f t="shared" si="133"/>
        <v>0</v>
      </c>
      <c r="V1454" s="144" t="str">
        <f t="shared" si="129"/>
        <v/>
      </c>
      <c r="W1454" s="144" t="str">
        <f t="shared" si="134"/>
        <v/>
      </c>
      <c r="X1454" s="144" t="str">
        <f t="shared" si="134"/>
        <v/>
      </c>
      <c r="Y1454" s="144" t="str">
        <f t="shared" si="131"/>
        <v/>
      </c>
      <c r="Z1454" s="144" t="str">
        <f t="shared" si="132"/>
        <v/>
      </c>
      <c r="AC1454" s="158"/>
      <c r="AD1454" s="158"/>
      <c r="AE1454" s="158"/>
      <c r="AF1454" s="158"/>
      <c r="AG1454" s="158"/>
    </row>
    <row r="1455" spans="1:33" x14ac:dyDescent="0.25">
      <c r="A1455" s="33"/>
      <c r="B1455" s="432"/>
      <c r="C1455" s="433"/>
      <c r="D1455" s="433"/>
      <c r="E1455" s="433"/>
      <c r="F1455" s="433"/>
      <c r="G1455" s="433"/>
      <c r="H1455" s="433"/>
      <c r="I1455" s="433"/>
      <c r="J1455" s="433"/>
      <c r="K1455" s="433"/>
      <c r="L1455" s="433"/>
      <c r="M1455" s="434"/>
      <c r="N1455" s="38"/>
      <c r="O1455" s="58"/>
      <c r="P1455" s="144">
        <v>1</v>
      </c>
      <c r="Q1455" s="144">
        <v>1</v>
      </c>
      <c r="R1455" s="144">
        <v>1</v>
      </c>
      <c r="S1455" s="144" t="str">
        <f>VLOOKUP(P1455,'WORKINGS MATRIX'!$B$200:$C$351,2,FALSE)</f>
        <v>Year</v>
      </c>
      <c r="T1455" s="144">
        <f t="shared" si="133"/>
        <v>0</v>
      </c>
      <c r="U1455" s="144">
        <f t="shared" si="133"/>
        <v>0</v>
      </c>
      <c r="V1455" s="144" t="str">
        <f t="shared" si="129"/>
        <v/>
      </c>
      <c r="W1455" s="144" t="str">
        <f t="shared" si="134"/>
        <v/>
      </c>
      <c r="X1455" s="144" t="str">
        <f t="shared" si="134"/>
        <v/>
      </c>
      <c r="Y1455" s="144" t="str">
        <f t="shared" si="131"/>
        <v/>
      </c>
      <c r="Z1455" s="144" t="str">
        <f t="shared" si="132"/>
        <v/>
      </c>
      <c r="AC1455" s="158"/>
      <c r="AD1455" s="158"/>
      <c r="AE1455" s="158"/>
      <c r="AF1455" s="158"/>
      <c r="AG1455" s="158"/>
    </row>
    <row r="1456" spans="1:33" x14ac:dyDescent="0.25">
      <c r="A1456" s="33"/>
      <c r="B1456" s="432"/>
      <c r="C1456" s="433"/>
      <c r="D1456" s="433"/>
      <c r="E1456" s="433"/>
      <c r="F1456" s="433"/>
      <c r="G1456" s="433"/>
      <c r="H1456" s="433"/>
      <c r="I1456" s="433"/>
      <c r="J1456" s="433"/>
      <c r="K1456" s="433"/>
      <c r="L1456" s="433"/>
      <c r="M1456" s="434"/>
      <c r="N1456" s="38"/>
      <c r="O1456" s="58"/>
      <c r="P1456" s="144">
        <v>1</v>
      </c>
      <c r="Q1456" s="144">
        <v>1</v>
      </c>
      <c r="R1456" s="144">
        <v>1</v>
      </c>
      <c r="S1456" s="144" t="str">
        <f>VLOOKUP(P1456,'WORKINGS MATRIX'!$B$200:$C$351,2,FALSE)</f>
        <v>Year</v>
      </c>
      <c r="T1456" s="144">
        <f t="shared" si="133"/>
        <v>0</v>
      </c>
      <c r="U1456" s="144">
        <f t="shared" si="133"/>
        <v>0</v>
      </c>
      <c r="V1456" s="144" t="str">
        <f t="shared" si="129"/>
        <v/>
      </c>
      <c r="W1456" s="144" t="str">
        <f t="shared" si="134"/>
        <v/>
      </c>
      <c r="X1456" s="144" t="str">
        <f t="shared" si="134"/>
        <v/>
      </c>
      <c r="Y1456" s="144" t="str">
        <f t="shared" si="131"/>
        <v/>
      </c>
      <c r="Z1456" s="144" t="str">
        <f t="shared" si="132"/>
        <v/>
      </c>
      <c r="AC1456" s="158"/>
      <c r="AD1456" s="158"/>
      <c r="AE1456" s="158"/>
      <c r="AF1456" s="158"/>
      <c r="AG1456" s="158"/>
    </row>
    <row r="1457" spans="1:14" x14ac:dyDescent="0.25">
      <c r="A1457" s="33"/>
      <c r="B1457" s="435"/>
      <c r="C1457" s="436"/>
      <c r="D1457" s="436"/>
      <c r="E1457" s="436"/>
      <c r="F1457" s="436"/>
      <c r="G1457" s="436"/>
      <c r="H1457" s="436"/>
      <c r="I1457" s="436"/>
      <c r="J1457" s="436"/>
      <c r="K1457" s="436"/>
      <c r="L1457" s="436"/>
      <c r="M1457" s="437"/>
      <c r="N1457" s="38"/>
    </row>
    <row r="1458" spans="1:14" x14ac:dyDescent="0.25">
      <c r="A1458" s="33"/>
      <c r="B1458" s="15" t="s">
        <v>153</v>
      </c>
      <c r="D1458" s="57"/>
      <c r="H1458" s="58"/>
      <c r="K1458" s="21"/>
      <c r="N1458" s="38"/>
    </row>
    <row r="1459" spans="1:14" x14ac:dyDescent="0.25">
      <c r="A1459" s="33"/>
      <c r="B1459" s="15" t="s">
        <v>154</v>
      </c>
      <c r="D1459" s="57"/>
      <c r="H1459" s="58"/>
      <c r="K1459" s="21"/>
      <c r="N1459" s="38"/>
    </row>
    <row r="1460" spans="1:14" x14ac:dyDescent="0.25">
      <c r="A1460" s="33"/>
      <c r="D1460" s="57"/>
      <c r="H1460" s="58"/>
      <c r="K1460" s="21"/>
      <c r="N1460" s="38"/>
    </row>
    <row r="1461" spans="1:14" x14ac:dyDescent="0.25">
      <c r="A1461" s="33"/>
      <c r="D1461" s="57"/>
      <c r="E1461" s="149"/>
      <c r="F1461" s="149"/>
      <c r="G1461" s="149"/>
      <c r="H1461" s="149"/>
      <c r="I1461" s="149"/>
      <c r="K1461" s="21"/>
      <c r="N1461" s="38"/>
    </row>
    <row r="1462" spans="1:14" x14ac:dyDescent="0.25">
      <c r="A1462" s="33"/>
      <c r="D1462" s="57"/>
      <c r="E1462" s="149"/>
      <c r="F1462" s="149"/>
      <c r="G1462" s="149"/>
      <c r="H1462" s="149"/>
      <c r="I1462" s="149"/>
      <c r="K1462" s="438" t="s">
        <v>155</v>
      </c>
      <c r="L1462" s="438"/>
      <c r="M1462" s="438"/>
      <c r="N1462" s="38"/>
    </row>
    <row r="1463" spans="1:14" x14ac:dyDescent="0.25">
      <c r="A1463" s="33"/>
      <c r="D1463" s="57"/>
      <c r="H1463" s="58"/>
      <c r="K1463" s="438"/>
      <c r="L1463" s="438"/>
      <c r="M1463" s="438"/>
      <c r="N1463" s="38"/>
    </row>
    <row r="1464" spans="1:14" x14ac:dyDescent="0.25">
      <c r="A1464" s="33"/>
      <c r="D1464" s="57"/>
      <c r="E1464" s="149"/>
      <c r="F1464" s="149"/>
      <c r="G1464" s="149"/>
      <c r="H1464" s="149"/>
      <c r="I1464" s="149"/>
      <c r="K1464" s="438"/>
      <c r="L1464" s="438"/>
      <c r="M1464" s="438"/>
      <c r="N1464" s="38"/>
    </row>
    <row r="1465" spans="1:14" x14ac:dyDescent="0.25">
      <c r="A1465" s="33"/>
      <c r="D1465" s="57"/>
      <c r="E1465" s="149"/>
      <c r="F1465" s="149"/>
      <c r="G1465" s="149"/>
      <c r="H1465" s="149"/>
      <c r="I1465" s="149"/>
      <c r="K1465" s="438"/>
      <c r="L1465" s="438"/>
      <c r="M1465" s="438"/>
      <c r="N1465" s="38"/>
    </row>
    <row r="1466" spans="1:14" ht="13.8" thickBot="1" x14ac:dyDescent="0.3">
      <c r="A1466" s="59"/>
      <c r="B1466" s="60"/>
      <c r="C1466" s="60"/>
      <c r="D1466" s="61"/>
      <c r="E1466" s="60"/>
      <c r="F1466" s="60"/>
      <c r="G1466" s="60"/>
      <c r="H1466" s="62"/>
      <c r="I1466" s="60"/>
      <c r="J1466" s="60"/>
      <c r="K1466" s="63"/>
      <c r="L1466" s="60"/>
      <c r="M1466" s="60"/>
      <c r="N1466" s="64"/>
    </row>
    <row r="1467" spans="1:14" ht="14.4" thickTop="1" thickBot="1" x14ac:dyDescent="0.3">
      <c r="D1467" s="57"/>
      <c r="H1467" s="58"/>
      <c r="K1467" s="21"/>
    </row>
    <row r="1468" spans="1:14" ht="13.8" thickTop="1" x14ac:dyDescent="0.25">
      <c r="A1468" s="26"/>
      <c r="B1468" s="27" t="s">
        <v>156</v>
      </c>
      <c r="C1468" s="29"/>
      <c r="D1468" s="28"/>
      <c r="E1468" s="65"/>
      <c r="F1468" s="65"/>
      <c r="G1468" s="65"/>
      <c r="H1468" s="28"/>
      <c r="I1468" s="28"/>
      <c r="J1468" s="28"/>
      <c r="K1468" s="28"/>
      <c r="L1468" s="31" t="s">
        <v>157</v>
      </c>
      <c r="M1468" s="28"/>
      <c r="N1468" s="32"/>
    </row>
    <row r="1469" spans="1:14" x14ac:dyDescent="0.25">
      <c r="A1469" s="33"/>
      <c r="E1469" s="134">
        <v>5</v>
      </c>
      <c r="F1469" s="12"/>
      <c r="N1469" s="38"/>
    </row>
    <row r="1470" spans="1:14" x14ac:dyDescent="0.25">
      <c r="A1470" s="33"/>
      <c r="B1470" t="s">
        <v>134</v>
      </c>
      <c r="L1470" s="465" t="str">
        <f>$L$39</f>
        <v>X.002-218-2024(NT)&amp;N.004-116-2024(T)</v>
      </c>
      <c r="M1470" s="465"/>
      <c r="N1470" s="38"/>
    </row>
    <row r="1471" spans="1:14" x14ac:dyDescent="0.25">
      <c r="A1471" s="33"/>
      <c r="B1471" s="39" t="s">
        <v>135</v>
      </c>
      <c r="C1471" s="40"/>
      <c r="D1471" s="41"/>
      <c r="E1471" s="448" t="s">
        <v>158</v>
      </c>
      <c r="F1471" s="449"/>
      <c r="G1471" s="466" t="s">
        <v>159</v>
      </c>
      <c r="H1471" s="449"/>
      <c r="L1471" s="465"/>
      <c r="M1471" s="465"/>
      <c r="N1471" s="38"/>
    </row>
    <row r="1472" spans="1:14" ht="18" customHeight="1" x14ac:dyDescent="0.25">
      <c r="A1472" s="33"/>
      <c r="B1472" s="66">
        <f>B1441</f>
        <v>0</v>
      </c>
      <c r="C1472" s="67"/>
      <c r="D1472" s="68"/>
      <c r="E1472" s="441" t="str">
        <f>G1441</f>
        <v/>
      </c>
      <c r="F1472" s="441"/>
      <c r="G1472" s="42"/>
      <c r="H1472" s="12">
        <v>1</v>
      </c>
      <c r="N1472" s="38"/>
    </row>
    <row r="1473" spans="1:26" x14ac:dyDescent="0.25">
      <c r="A1473" s="33"/>
      <c r="N1473" s="38"/>
      <c r="P1473" s="144"/>
      <c r="Q1473" s="144"/>
      <c r="R1473" s="144"/>
      <c r="S1473" s="144"/>
      <c r="T1473" s="144"/>
      <c r="U1473" s="144"/>
      <c r="V1473" s="144"/>
      <c r="W1473" s="144"/>
      <c r="X1473" s="144"/>
      <c r="Y1473" s="144"/>
      <c r="Z1473" s="144"/>
    </row>
    <row r="1474" spans="1:26" x14ac:dyDescent="0.25">
      <c r="A1474" s="33"/>
      <c r="B1474" t="s">
        <v>161</v>
      </c>
      <c r="N1474" s="38"/>
      <c r="P1474" s="144"/>
      <c r="Q1474" s="144"/>
      <c r="R1474" s="144"/>
      <c r="S1474" s="144"/>
      <c r="T1474" s="144"/>
      <c r="U1474" s="144"/>
      <c r="V1474" s="144"/>
      <c r="W1474" s="144"/>
      <c r="X1474" s="144"/>
      <c r="Y1474" s="144"/>
      <c r="Z1474" s="144"/>
    </row>
    <row r="1475" spans="1:26" ht="18" customHeight="1" x14ac:dyDescent="0.25">
      <c r="A1475" s="33"/>
      <c r="B1475" s="468" t="s">
        <v>162</v>
      </c>
      <c r="C1475" s="468"/>
      <c r="D1475" s="469" t="s">
        <v>200</v>
      </c>
      <c r="E1475" s="469"/>
      <c r="F1475" s="461" t="s">
        <v>201</v>
      </c>
      <c r="G1475" s="462"/>
      <c r="H1475" s="467" t="s">
        <v>165</v>
      </c>
      <c r="I1475" s="462"/>
      <c r="J1475" s="467" t="s">
        <v>165</v>
      </c>
      <c r="K1475" s="462"/>
      <c r="L1475" s="125" t="s">
        <v>166</v>
      </c>
      <c r="M1475" s="125" t="s">
        <v>167</v>
      </c>
      <c r="N1475" s="38"/>
      <c r="P1475" s="144">
        <v>1</v>
      </c>
      <c r="Q1475" s="144">
        <v>1</v>
      </c>
      <c r="R1475" s="144">
        <v>1</v>
      </c>
      <c r="S1475" s="144" t="str">
        <f>VLOOKUP(P1475,'WORKINGS MATRIX'!$B$200:$C$351,2,FALSE)</f>
        <v>Year</v>
      </c>
      <c r="T1475" s="144">
        <f t="shared" ref="T1475:U1479" si="135">Q1475-1</f>
        <v>0</v>
      </c>
      <c r="U1475" s="144">
        <f t="shared" si="135"/>
        <v>0</v>
      </c>
      <c r="V1475" s="144" t="str">
        <f>IF(S1475="year","",S1475)</f>
        <v/>
      </c>
      <c r="W1475" s="144" t="str">
        <f t="shared" ref="W1475:X1479" si="136">IF(T1475=0,"",T1475)</f>
        <v/>
      </c>
      <c r="X1475" s="144" t="str">
        <f t="shared" si="136"/>
        <v/>
      </c>
      <c r="Y1475" s="144" t="str">
        <f>IF(V1475="","",IF(W1475="",(V1475&amp;"/"&amp;"12"&amp;"/"&amp;"1"),IF(X1475="",(V1475&amp;"/"&amp;W1475&amp;"/"&amp;"1"),(V1475&amp;"/"&amp;W1475&amp;"/"&amp;X1475))))</f>
        <v/>
      </c>
      <c r="Z1475" s="144" t="str">
        <f>IF(Y1475="//","",Y1475)</f>
        <v/>
      </c>
    </row>
    <row r="1476" spans="1:26" ht="18" customHeight="1" x14ac:dyDescent="0.25">
      <c r="A1476" s="33"/>
      <c r="B1476" s="441" t="s">
        <v>168</v>
      </c>
      <c r="C1476" s="441"/>
      <c r="D1476" s="439">
        <v>10</v>
      </c>
      <c r="E1476" s="440"/>
      <c r="F1476" s="442"/>
      <c r="G1476" s="443"/>
      <c r="H1476" s="463">
        <v>1</v>
      </c>
      <c r="I1476" s="464"/>
      <c r="J1476" s="450"/>
      <c r="K1476" s="443"/>
      <c r="L1476" s="206"/>
      <c r="M1476" s="143" t="str">
        <f>Z1475</f>
        <v/>
      </c>
      <c r="N1476" s="38"/>
      <c r="P1476" s="144">
        <v>1</v>
      </c>
      <c r="Q1476" s="144">
        <v>1</v>
      </c>
      <c r="R1476" s="144">
        <v>1</v>
      </c>
      <c r="S1476" s="144" t="str">
        <f>VLOOKUP(P1476,'WORKINGS MATRIX'!$B$200:$C$351,2,FALSE)</f>
        <v>Year</v>
      </c>
      <c r="T1476" s="144">
        <f t="shared" si="135"/>
        <v>0</v>
      </c>
      <c r="U1476" s="144">
        <f t="shared" si="135"/>
        <v>0</v>
      </c>
      <c r="V1476" s="144" t="str">
        <f>IF(S1476="year","",S1476)</f>
        <v/>
      </c>
      <c r="W1476" s="144" t="str">
        <f t="shared" si="136"/>
        <v/>
      </c>
      <c r="X1476" s="144" t="str">
        <f t="shared" si="136"/>
        <v/>
      </c>
      <c r="Y1476" s="144" t="str">
        <f>IF(V1476="","",IF(W1476="",(V1476&amp;"/"&amp;"12"&amp;"/"&amp;"1"),IF(X1476="",(V1476&amp;"/"&amp;W1476&amp;"/"&amp;"1"),(V1476&amp;"/"&amp;W1476&amp;"/"&amp;X1476))))</f>
        <v/>
      </c>
      <c r="Z1476" s="144" t="str">
        <f>IF(Y1476="//","",Y1476)</f>
        <v/>
      </c>
    </row>
    <row r="1477" spans="1:26" ht="18" customHeight="1" x14ac:dyDescent="0.25">
      <c r="A1477" s="33"/>
      <c r="B1477" s="441" t="s">
        <v>169</v>
      </c>
      <c r="C1477" s="441"/>
      <c r="D1477" s="442"/>
      <c r="E1477" s="443"/>
      <c r="F1477" s="442"/>
      <c r="G1477" s="443"/>
      <c r="H1477" s="451" t="s">
        <v>170</v>
      </c>
      <c r="I1477" s="452"/>
      <c r="J1477" s="451" t="s">
        <v>171</v>
      </c>
      <c r="K1477" s="452"/>
      <c r="L1477" s="125" t="s">
        <v>166</v>
      </c>
      <c r="M1477" s="125" t="s">
        <v>167</v>
      </c>
      <c r="N1477" s="38"/>
      <c r="P1477" s="144">
        <v>1</v>
      </c>
      <c r="Q1477" s="144">
        <v>1</v>
      </c>
      <c r="R1477" s="144">
        <v>1</v>
      </c>
      <c r="S1477" s="144" t="str">
        <f>VLOOKUP(P1477,'WORKINGS MATRIX'!$B$200:$C$351,2,FALSE)</f>
        <v>Year</v>
      </c>
      <c r="T1477" s="144">
        <f t="shared" si="135"/>
        <v>0</v>
      </c>
      <c r="U1477" s="144">
        <f t="shared" si="135"/>
        <v>0</v>
      </c>
      <c r="V1477" s="144" t="str">
        <f>IF(S1477="year","",S1477)</f>
        <v/>
      </c>
      <c r="W1477" s="144" t="str">
        <f t="shared" si="136"/>
        <v/>
      </c>
      <c r="X1477" s="144" t="str">
        <f t="shared" si="136"/>
        <v/>
      </c>
      <c r="Y1477" s="144" t="str">
        <f>IF(V1477="","",IF(W1477="",(V1477&amp;"/"&amp;"1"&amp;"/"&amp;"1"),IF(X1477="",(V1477&amp;"/"&amp;W1477&amp;"/"&amp;"1"),(V1477&amp;"/"&amp;W1477&amp;"/"&amp;X1477))))</f>
        <v/>
      </c>
      <c r="Z1477" s="144" t="str">
        <f>IF(Y1477="//","",Y1477)</f>
        <v/>
      </c>
    </row>
    <row r="1478" spans="1:26" ht="18" customHeight="1" x14ac:dyDescent="0.25">
      <c r="A1478" s="33"/>
      <c r="B1478" s="441" t="s">
        <v>172</v>
      </c>
      <c r="C1478" s="441"/>
      <c r="D1478" s="444" t="str">
        <f>Z1477</f>
        <v/>
      </c>
      <c r="E1478" s="445"/>
      <c r="F1478" s="444" t="str">
        <f>Z1478</f>
        <v/>
      </c>
      <c r="G1478" s="445"/>
      <c r="H1478" s="446">
        <v>1</v>
      </c>
      <c r="I1478" s="447"/>
      <c r="J1478" s="450"/>
      <c r="K1478" s="443"/>
      <c r="L1478" s="206"/>
      <c r="M1478" s="143" t="str">
        <f>Z1476</f>
        <v/>
      </c>
      <c r="N1478" s="38"/>
      <c r="P1478" s="144">
        <v>1</v>
      </c>
      <c r="Q1478" s="144">
        <v>1</v>
      </c>
      <c r="R1478" s="144">
        <v>1</v>
      </c>
      <c r="S1478" s="144" t="str">
        <f>VLOOKUP(P1478,'WORKINGS MATRIX'!$B$200:$C$351,2,FALSE)</f>
        <v>Year</v>
      </c>
      <c r="T1478" s="144">
        <f t="shared" si="135"/>
        <v>0</v>
      </c>
      <c r="U1478" s="144">
        <f t="shared" si="135"/>
        <v>0</v>
      </c>
      <c r="V1478" s="144" t="str">
        <f>IF(S1478="year","",S1478)</f>
        <v/>
      </c>
      <c r="W1478" s="144" t="str">
        <f t="shared" si="136"/>
        <v/>
      </c>
      <c r="X1478" s="144" t="str">
        <f t="shared" si="136"/>
        <v/>
      </c>
      <c r="Y1478" s="144" t="str">
        <f>IF(V1478="","",IF(W1478="",(V1478&amp;"/"&amp;"1"&amp;"/"&amp;"1"),IF(X1478="",(V1478&amp;"/"&amp;W1478&amp;"/"&amp;"1"),(V1478&amp;"/"&amp;W1478&amp;"/"&amp;X1478))))</f>
        <v/>
      </c>
      <c r="Z1478" s="144" t="str">
        <f>IF(Y1478="//","",Y1478)</f>
        <v/>
      </c>
    </row>
    <row r="1479" spans="1:26" x14ac:dyDescent="0.25">
      <c r="A1479" s="33"/>
      <c r="N1479" s="38"/>
      <c r="P1479" s="144">
        <v>1</v>
      </c>
      <c r="Q1479" s="144">
        <v>1</v>
      </c>
      <c r="R1479" s="144">
        <v>1</v>
      </c>
      <c r="S1479" s="144" t="str">
        <f>VLOOKUP(P1479,'WORKINGS MATRIX'!$B$200:$C$351,2,FALSE)</f>
        <v>Year</v>
      </c>
      <c r="T1479" s="144">
        <f t="shared" si="135"/>
        <v>0</v>
      </c>
      <c r="U1479" s="144">
        <f t="shared" si="135"/>
        <v>0</v>
      </c>
      <c r="V1479" s="144" t="str">
        <f>IF(S1479="year","",S1479)</f>
        <v/>
      </c>
      <c r="W1479" s="144" t="str">
        <f t="shared" si="136"/>
        <v/>
      </c>
      <c r="X1479" s="144" t="str">
        <f t="shared" si="136"/>
        <v/>
      </c>
      <c r="Y1479" s="144" t="str">
        <f>IF(V1479="","",IF(W1479="",(V1479&amp;"/"&amp;"1"&amp;"/"&amp;"1"),IF(X1479="",(V1479&amp;"/"&amp;W1479&amp;"/"&amp;"1"),(V1479&amp;"/"&amp;W1479&amp;"/"&amp;X1479))))</f>
        <v/>
      </c>
      <c r="Z1479" s="144" t="str">
        <f>IF(Y1479="//","",Y1479)</f>
        <v/>
      </c>
    </row>
    <row r="1480" spans="1:26" x14ac:dyDescent="0.25">
      <c r="A1480" s="33"/>
      <c r="M1480" s="217"/>
      <c r="N1480" s="38"/>
      <c r="P1480" s="144"/>
      <c r="Q1480" s="144"/>
      <c r="R1480" s="144"/>
      <c r="S1480" s="144"/>
      <c r="T1480" s="144"/>
      <c r="U1480" s="144"/>
      <c r="V1480" s="144"/>
      <c r="W1480" s="144"/>
      <c r="X1480" s="144"/>
      <c r="Y1480" s="144"/>
      <c r="Z1480" s="144"/>
    </row>
    <row r="1481" spans="1:26" x14ac:dyDescent="0.25">
      <c r="A1481" s="46"/>
      <c r="B1481" s="21"/>
      <c r="C1481" s="77"/>
      <c r="D1481" s="216"/>
      <c r="E1481" s="21"/>
      <c r="F1481" s="10"/>
      <c r="G1481" s="10"/>
      <c r="H1481" s="10"/>
      <c r="I1481" s="10"/>
      <c r="J1481" s="21"/>
      <c r="K1481" s="21"/>
      <c r="L1481" s="21"/>
      <c r="M1481" s="217"/>
      <c r="N1481" s="387"/>
      <c r="O1481" s="21"/>
      <c r="P1481" s="144"/>
      <c r="Q1481" s="144"/>
      <c r="R1481" s="144"/>
      <c r="S1481" s="145"/>
      <c r="T1481" s="145"/>
      <c r="U1481" s="145"/>
      <c r="V1481" s="145"/>
      <c r="W1481" s="145"/>
      <c r="X1481" s="145"/>
      <c r="Y1481" s="145"/>
      <c r="Z1481" s="145"/>
    </row>
    <row r="1482" spans="1:26" ht="26.25" customHeight="1" x14ac:dyDescent="0.25">
      <c r="A1482" s="69"/>
      <c r="B1482" s="149"/>
      <c r="C1482" s="149"/>
      <c r="D1482" s="3"/>
      <c r="E1482" s="149"/>
      <c r="F1482" s="149"/>
      <c r="G1482" s="3"/>
      <c r="H1482" s="149"/>
      <c r="I1482" s="3"/>
      <c r="J1482" s="213"/>
      <c r="K1482" s="214"/>
      <c r="L1482" s="149"/>
      <c r="M1482" s="70"/>
      <c r="N1482" s="71"/>
      <c r="O1482" s="10"/>
      <c r="P1482" s="144"/>
      <c r="Q1482" s="144"/>
      <c r="R1482" s="144"/>
      <c r="S1482" s="144"/>
      <c r="T1482" s="144"/>
      <c r="U1482" s="144"/>
      <c r="V1482" s="144"/>
      <c r="W1482" s="144"/>
      <c r="X1482" s="144"/>
      <c r="Y1482" s="144"/>
      <c r="Z1482" s="144"/>
    </row>
    <row r="1483" spans="1:26" ht="26.25" customHeight="1" x14ac:dyDescent="0.25">
      <c r="A1483" s="69"/>
      <c r="B1483" s="149"/>
      <c r="C1483" s="149"/>
      <c r="D1483" s="3"/>
      <c r="E1483" s="149"/>
      <c r="F1483" s="149"/>
      <c r="G1483" s="3"/>
      <c r="H1483" s="149"/>
      <c r="I1483" s="3"/>
      <c r="J1483" s="213"/>
      <c r="K1483" s="214"/>
      <c r="L1483" s="149"/>
      <c r="M1483" s="70"/>
      <c r="N1483" s="71"/>
      <c r="O1483" s="10"/>
      <c r="P1483" s="144"/>
      <c r="Q1483" s="144"/>
      <c r="R1483" s="144"/>
      <c r="S1483" s="144"/>
      <c r="T1483" s="144"/>
      <c r="U1483" s="144"/>
      <c r="V1483" s="144"/>
      <c r="W1483" s="144"/>
      <c r="X1483" s="144"/>
      <c r="Y1483" s="144"/>
      <c r="Z1483" s="144"/>
    </row>
    <row r="1484" spans="1:26" ht="26.25" customHeight="1" x14ac:dyDescent="0.25">
      <c r="A1484" s="69"/>
      <c r="B1484" s="149"/>
      <c r="C1484" s="149"/>
      <c r="D1484" s="3"/>
      <c r="E1484" s="149"/>
      <c r="F1484" s="149"/>
      <c r="G1484" s="3"/>
      <c r="H1484" s="149"/>
      <c r="I1484" s="3"/>
      <c r="J1484" s="213"/>
      <c r="K1484" s="214"/>
      <c r="L1484" s="149"/>
      <c r="M1484" s="70"/>
      <c r="N1484" s="71"/>
      <c r="O1484" s="10"/>
      <c r="P1484" s="144"/>
      <c r="Q1484" s="144"/>
      <c r="R1484" s="144"/>
      <c r="S1484" s="144"/>
      <c r="T1484" s="144"/>
      <c r="U1484" s="144"/>
      <c r="V1484" s="144"/>
      <c r="W1484" s="144"/>
      <c r="X1484" s="144"/>
      <c r="Y1484" s="144"/>
      <c r="Z1484" s="144"/>
    </row>
    <row r="1485" spans="1:26" ht="26.25" customHeight="1" x14ac:dyDescent="0.25">
      <c r="A1485" s="69"/>
      <c r="B1485" s="149"/>
      <c r="C1485" s="149"/>
      <c r="D1485" s="3"/>
      <c r="E1485" s="149"/>
      <c r="F1485" s="149"/>
      <c r="G1485" s="3"/>
      <c r="H1485" s="149"/>
      <c r="I1485" s="3"/>
      <c r="J1485" s="213"/>
      <c r="K1485" s="214"/>
      <c r="L1485" s="149"/>
      <c r="M1485" s="70"/>
      <c r="N1485" s="71"/>
      <c r="O1485" s="10"/>
      <c r="P1485" s="144"/>
      <c r="Q1485" s="144"/>
      <c r="R1485" s="144"/>
      <c r="S1485" s="144"/>
      <c r="T1485" s="144"/>
      <c r="U1485" s="144"/>
      <c r="V1485" s="144"/>
      <c r="W1485" s="144"/>
      <c r="X1485" s="144"/>
      <c r="Y1485" s="144"/>
      <c r="Z1485" s="144"/>
    </row>
    <row r="1486" spans="1:26" ht="26.25" customHeight="1" x14ac:dyDescent="0.25">
      <c r="A1486" s="69"/>
      <c r="B1486" s="149"/>
      <c r="C1486" s="149"/>
      <c r="D1486" s="3"/>
      <c r="E1486" s="149"/>
      <c r="F1486" s="149"/>
      <c r="G1486" s="3"/>
      <c r="H1486" s="149"/>
      <c r="I1486" s="3"/>
      <c r="J1486" s="213"/>
      <c r="K1486" s="214"/>
      <c r="L1486" s="149"/>
      <c r="M1486" s="70"/>
      <c r="N1486" s="71"/>
      <c r="O1486" s="10"/>
      <c r="P1486" s="144"/>
      <c r="Q1486" s="144"/>
      <c r="R1486" s="144"/>
      <c r="S1486" s="144"/>
      <c r="T1486" s="144"/>
      <c r="U1486" s="144"/>
      <c r="V1486" s="144"/>
      <c r="W1486" s="144"/>
      <c r="X1486" s="144"/>
      <c r="Y1486" s="144"/>
      <c r="Z1486" s="144"/>
    </row>
    <row r="1487" spans="1:26" x14ac:dyDescent="0.25">
      <c r="A1487" s="33"/>
      <c r="D1487" s="3"/>
      <c r="G1487" s="3"/>
      <c r="I1487" s="3"/>
      <c r="N1487" s="71"/>
      <c r="P1487" s="144"/>
      <c r="Q1487" s="144"/>
      <c r="R1487" s="144"/>
      <c r="S1487" s="144"/>
      <c r="T1487" s="144"/>
      <c r="U1487" s="144"/>
      <c r="V1487" s="144"/>
      <c r="W1487" s="144"/>
      <c r="X1487" s="144"/>
      <c r="Y1487" s="144"/>
      <c r="Z1487" s="144"/>
    </row>
    <row r="1488" spans="1:26" x14ac:dyDescent="0.25">
      <c r="A1488" s="33"/>
      <c r="B1488" t="s">
        <v>152</v>
      </c>
      <c r="D1488" s="57"/>
      <c r="H1488" s="58"/>
      <c r="K1488" s="21"/>
      <c r="N1488" s="38"/>
      <c r="P1488" s="144"/>
      <c r="Q1488" s="144"/>
      <c r="R1488" s="144"/>
      <c r="S1488" s="144"/>
      <c r="T1488" s="144"/>
      <c r="U1488" s="144"/>
      <c r="V1488" s="144"/>
      <c r="W1488" s="144"/>
      <c r="X1488" s="144"/>
      <c r="Y1488" s="144"/>
      <c r="Z1488" s="144"/>
    </row>
    <row r="1489" spans="1:14" x14ac:dyDescent="0.25">
      <c r="A1489" s="33"/>
      <c r="B1489" s="429"/>
      <c r="C1489" s="430"/>
      <c r="D1489" s="430"/>
      <c r="E1489" s="430"/>
      <c r="F1489" s="430"/>
      <c r="G1489" s="430"/>
      <c r="H1489" s="430"/>
      <c r="I1489" s="430"/>
      <c r="J1489" s="430"/>
      <c r="K1489" s="430"/>
      <c r="L1489" s="430"/>
      <c r="M1489" s="431"/>
      <c r="N1489" s="38"/>
    </row>
    <row r="1490" spans="1:14" x14ac:dyDescent="0.25">
      <c r="A1490" s="33"/>
      <c r="B1490" s="432"/>
      <c r="C1490" s="433"/>
      <c r="D1490" s="433"/>
      <c r="E1490" s="433"/>
      <c r="F1490" s="433"/>
      <c r="G1490" s="433"/>
      <c r="H1490" s="433"/>
      <c r="I1490" s="433"/>
      <c r="J1490" s="433"/>
      <c r="K1490" s="433"/>
      <c r="L1490" s="433"/>
      <c r="M1490" s="434"/>
      <c r="N1490" s="38"/>
    </row>
    <row r="1491" spans="1:14" x14ac:dyDescent="0.25">
      <c r="A1491" s="33"/>
      <c r="B1491" s="432"/>
      <c r="C1491" s="433"/>
      <c r="D1491" s="433"/>
      <c r="E1491" s="433"/>
      <c r="F1491" s="433"/>
      <c r="G1491" s="433"/>
      <c r="H1491" s="433"/>
      <c r="I1491" s="433"/>
      <c r="J1491" s="433"/>
      <c r="K1491" s="433"/>
      <c r="L1491" s="433"/>
      <c r="M1491" s="434"/>
      <c r="N1491" s="38"/>
    </row>
    <row r="1492" spans="1:14" x14ac:dyDescent="0.25">
      <c r="A1492" s="33"/>
      <c r="B1492" s="435"/>
      <c r="C1492" s="436"/>
      <c r="D1492" s="436"/>
      <c r="E1492" s="436"/>
      <c r="F1492" s="436"/>
      <c r="G1492" s="436"/>
      <c r="H1492" s="436"/>
      <c r="I1492" s="436"/>
      <c r="J1492" s="436"/>
      <c r="K1492" s="436"/>
      <c r="L1492" s="436"/>
      <c r="M1492" s="437"/>
      <c r="N1492" s="38"/>
    </row>
    <row r="1493" spans="1:14" x14ac:dyDescent="0.25">
      <c r="A1493" s="33"/>
      <c r="B1493" s="15"/>
      <c r="D1493" s="57"/>
      <c r="H1493" s="58"/>
      <c r="K1493" s="21"/>
      <c r="N1493" s="38"/>
    </row>
    <row r="1494" spans="1:14" x14ac:dyDescent="0.25">
      <c r="A1494" s="33"/>
      <c r="D1494" s="57"/>
      <c r="H1494" s="58"/>
      <c r="K1494" s="21"/>
      <c r="N1494" s="38"/>
    </row>
    <row r="1495" spans="1:14" x14ac:dyDescent="0.25">
      <c r="A1495" s="33"/>
      <c r="D1495" s="57"/>
      <c r="H1495" s="58"/>
      <c r="K1495" s="21"/>
      <c r="N1495" s="38"/>
    </row>
    <row r="1496" spans="1:14" x14ac:dyDescent="0.25">
      <c r="A1496" s="33"/>
      <c r="D1496" s="57"/>
      <c r="E1496" s="149"/>
      <c r="F1496" s="149"/>
      <c r="G1496" s="149"/>
      <c r="H1496" s="149"/>
      <c r="I1496" s="149"/>
      <c r="K1496" s="21"/>
      <c r="N1496" s="38"/>
    </row>
    <row r="1497" spans="1:14" x14ac:dyDescent="0.25">
      <c r="A1497" s="33"/>
      <c r="D1497" s="57"/>
      <c r="E1497" s="149"/>
      <c r="F1497" s="149"/>
      <c r="G1497" s="149"/>
      <c r="H1497" s="149"/>
      <c r="I1497" s="149"/>
      <c r="K1497" s="438" t="s">
        <v>155</v>
      </c>
      <c r="L1497" s="438"/>
      <c r="M1497" s="438"/>
      <c r="N1497" s="38"/>
    </row>
    <row r="1498" spans="1:14" x14ac:dyDescent="0.25">
      <c r="A1498" s="33"/>
      <c r="D1498" s="57"/>
      <c r="H1498" s="58"/>
      <c r="K1498" s="438"/>
      <c r="L1498" s="438"/>
      <c r="M1498" s="438"/>
      <c r="N1498" s="38"/>
    </row>
    <row r="1499" spans="1:14" x14ac:dyDescent="0.25">
      <c r="A1499" s="33"/>
      <c r="D1499" s="57"/>
      <c r="E1499" s="149"/>
      <c r="F1499" s="149"/>
      <c r="G1499" s="149"/>
      <c r="H1499" s="149"/>
      <c r="I1499" s="149"/>
      <c r="K1499" s="438"/>
      <c r="L1499" s="438"/>
      <c r="M1499" s="438"/>
      <c r="N1499" s="38"/>
    </row>
    <row r="1500" spans="1:14" x14ac:dyDescent="0.25">
      <c r="A1500" s="33"/>
      <c r="D1500" s="57"/>
      <c r="E1500" s="149"/>
      <c r="F1500" s="149"/>
      <c r="G1500" s="149"/>
      <c r="H1500" s="149"/>
      <c r="I1500" s="149"/>
      <c r="K1500" s="438"/>
      <c r="L1500" s="438"/>
      <c r="M1500" s="438"/>
      <c r="N1500" s="38"/>
    </row>
    <row r="1501" spans="1:14" ht="13.8" thickBot="1" x14ac:dyDescent="0.3">
      <c r="A1501" s="59"/>
      <c r="B1501" s="60"/>
      <c r="C1501" s="60"/>
      <c r="D1501" s="60"/>
      <c r="E1501" s="60"/>
      <c r="F1501" s="60"/>
      <c r="G1501" s="60"/>
      <c r="H1501" s="60"/>
      <c r="I1501" s="60"/>
      <c r="J1501" s="60"/>
      <c r="K1501" s="60"/>
      <c r="L1501" s="60"/>
      <c r="M1501" s="60"/>
      <c r="N1501" s="64"/>
    </row>
    <row r="1502" spans="1:14" ht="13.8" thickTop="1" x14ac:dyDescent="0.25"/>
    <row r="1503" spans="1:14" x14ac:dyDescent="0.25">
      <c r="B1503" s="24" t="s">
        <v>128</v>
      </c>
    </row>
    <row r="1536" spans="2:4" ht="13.8" thickBot="1" x14ac:dyDescent="0.3">
      <c r="B1536">
        <f>$D$1</f>
        <v>0</v>
      </c>
      <c r="C1536" s="73" t="s">
        <v>128</v>
      </c>
      <c r="D1536" s="25" t="s">
        <v>129</v>
      </c>
    </row>
    <row r="1537" spans="2:33" ht="13.8" thickTop="1" x14ac:dyDescent="0.25">
      <c r="B1537" s="27" t="s">
        <v>131</v>
      </c>
      <c r="C1537" s="28"/>
      <c r="D1537" s="29" t="s">
        <v>132</v>
      </c>
      <c r="E1537" s="27" t="str">
        <f>J125</f>
        <v/>
      </c>
      <c r="F1537" s="30" t="str">
        <f>IF(L125=0,"NOT REQUIRED", IF(L125="Man","MANAGERIAL POSITION","NON-MANAGERIAL POSITION"))</f>
        <v>NON-MANAGERIAL POSITION</v>
      </c>
      <c r="G1537" s="28"/>
      <c r="H1537" s="308" t="s">
        <v>199</v>
      </c>
      <c r="I1537" s="31"/>
      <c r="J1537" s="27"/>
      <c r="K1537" s="28"/>
      <c r="L1537" s="31" t="s">
        <v>133</v>
      </c>
      <c r="M1537" s="28"/>
      <c r="N1537" s="32"/>
      <c r="P1537" s="144"/>
      <c r="Q1537" s="144"/>
      <c r="R1537" s="144"/>
      <c r="S1537" s="144"/>
      <c r="T1537" s="144"/>
      <c r="U1537" s="144"/>
      <c r="V1537" s="144"/>
      <c r="W1537" s="144"/>
      <c r="X1537" s="144"/>
      <c r="Y1537" s="144"/>
      <c r="Z1537" s="144"/>
      <c r="AC1537" s="158"/>
      <c r="AD1537" s="158"/>
      <c r="AE1537" s="158"/>
      <c r="AF1537" s="158"/>
      <c r="AG1537" s="158"/>
    </row>
    <row r="1538" spans="2:33" x14ac:dyDescent="0.25">
      <c r="E1538" s="34"/>
      <c r="F1538" s="35"/>
      <c r="G1538" s="36"/>
      <c r="I1538" s="10"/>
      <c r="J1538" s="37"/>
      <c r="N1538" s="38"/>
      <c r="P1538" s="144"/>
      <c r="Q1538" s="144"/>
      <c r="R1538" s="144"/>
      <c r="S1538" s="144"/>
      <c r="T1538" s="144"/>
      <c r="U1538" s="144"/>
      <c r="V1538" s="144"/>
      <c r="W1538" s="144"/>
      <c r="X1538" s="144"/>
      <c r="Y1538" s="144"/>
      <c r="Z1538" s="144"/>
      <c r="AC1538" s="158"/>
      <c r="AD1538" s="158"/>
      <c r="AE1538" s="158"/>
      <c r="AF1538" s="158"/>
      <c r="AG1538" s="158"/>
    </row>
    <row r="1539" spans="2:33" x14ac:dyDescent="0.25">
      <c r="B1539" t="s">
        <v>134</v>
      </c>
      <c r="L1539" s="465" t="str">
        <f>$L$39</f>
        <v>X.002-218-2024(NT)&amp;N.004-116-2024(T)</v>
      </c>
      <c r="M1539" s="465"/>
      <c r="N1539" s="38"/>
      <c r="P1539" s="144"/>
      <c r="Q1539" s="144"/>
      <c r="R1539" s="144"/>
      <c r="S1539" s="144"/>
      <c r="T1539" s="144"/>
      <c r="U1539" s="144"/>
      <c r="V1539" s="144"/>
      <c r="W1539" s="144"/>
      <c r="X1539" s="144"/>
      <c r="Y1539" s="144"/>
      <c r="Z1539" s="144"/>
      <c r="AC1539" s="158"/>
      <c r="AD1539" s="158"/>
      <c r="AE1539" s="158"/>
      <c r="AF1539" s="158"/>
      <c r="AG1539" s="158"/>
    </row>
    <row r="1540" spans="2:33" ht="24.75" customHeight="1" x14ac:dyDescent="0.25">
      <c r="B1540" s="39" t="s">
        <v>135</v>
      </c>
      <c r="C1540" s="40"/>
      <c r="D1540" s="41"/>
      <c r="E1540" s="427" t="s">
        <v>136</v>
      </c>
      <c r="F1540" s="428"/>
      <c r="G1540" s="39" t="s">
        <v>137</v>
      </c>
      <c r="H1540" s="41"/>
      <c r="I1540" s="39" t="s">
        <v>138</v>
      </c>
      <c r="J1540" s="41"/>
      <c r="K1540" s="42"/>
      <c r="L1540" s="465"/>
      <c r="M1540" s="465"/>
      <c r="N1540" s="38"/>
      <c r="P1540" s="144"/>
      <c r="Q1540" s="144"/>
      <c r="R1540" s="144"/>
      <c r="S1540" s="144"/>
      <c r="T1540" s="144"/>
      <c r="U1540" s="144"/>
      <c r="V1540" s="144"/>
      <c r="W1540" s="144"/>
      <c r="X1540" s="144"/>
      <c r="Y1540" s="144"/>
      <c r="Z1540" s="144"/>
      <c r="AC1540" s="158"/>
      <c r="AD1540" s="158"/>
      <c r="AE1540" s="158"/>
      <c r="AF1540" s="158"/>
      <c r="AG1540" s="158"/>
    </row>
    <row r="1541" spans="2:33" ht="18" customHeight="1" x14ac:dyDescent="0.25">
      <c r="B1541" s="194"/>
      <c r="C1541" s="195"/>
      <c r="D1541" s="196"/>
      <c r="E1541" s="425"/>
      <c r="F1541" s="426"/>
      <c r="G1541" s="43" t="str">
        <f>K125</f>
        <v/>
      </c>
      <c r="H1541" s="44"/>
      <c r="I1541" s="197"/>
      <c r="J1541" s="198"/>
      <c r="K1541" s="45"/>
      <c r="N1541" s="38"/>
      <c r="P1541" s="144">
        <v>1</v>
      </c>
      <c r="Q1541" s="144">
        <v>1</v>
      </c>
      <c r="R1541" s="144">
        <v>1</v>
      </c>
      <c r="S1541" s="144" t="str">
        <f>VLOOKUP(P1541,'WORKINGS MATRIX'!$H$200:$I$351,2,FALSE)</f>
        <v>Year</v>
      </c>
      <c r="T1541" s="144">
        <f>Q1541-1</f>
        <v>0</v>
      </c>
      <c r="U1541" s="144">
        <f>R1541-1</f>
        <v>0</v>
      </c>
      <c r="V1541" s="144" t="str">
        <f>IF(S1541="year","",S1541)</f>
        <v/>
      </c>
      <c r="W1541" s="144" t="str">
        <f>IF(T1541=0,"",T1541)</f>
        <v/>
      </c>
      <c r="X1541" s="144" t="str">
        <f>IF(U1541=0,"",U1541)</f>
        <v/>
      </c>
      <c r="Y1541" s="144" t="str">
        <f>IF(V1541="","",IF(W1541="",(V1541&amp;"/"&amp;"1"&amp;"/"&amp;"1"),IF(X1541="",(V1541&amp;"/"&amp;W1541&amp;"/"&amp;"1"),(V1541&amp;"/"&amp;W1541&amp;"/"&amp;X1541))))</f>
        <v/>
      </c>
      <c r="Z1541" s="144" t="str">
        <f>IF(Y1541="//","",Y1541)</f>
        <v/>
      </c>
      <c r="AC1541" s="158"/>
      <c r="AD1541" s="158"/>
      <c r="AE1541" s="158"/>
      <c r="AF1541" s="158"/>
      <c r="AG1541" s="158"/>
    </row>
    <row r="1542" spans="2:33" x14ac:dyDescent="0.25">
      <c r="E1542" t="str">
        <f>IF(E1541="","",IF(LEN(E1541)=13,"","ID NUMBER SHOULD BE 13 DIGITS"))</f>
        <v/>
      </c>
      <c r="N1542" s="38"/>
      <c r="P1542" s="144"/>
      <c r="Q1542" s="144"/>
      <c r="R1542" s="144"/>
      <c r="S1542" s="144"/>
      <c r="T1542" s="144"/>
      <c r="U1542" s="144"/>
      <c r="V1542" s="144"/>
      <c r="W1542" s="144"/>
      <c r="X1542" s="144"/>
      <c r="Y1542" s="144"/>
      <c r="Z1542" s="144"/>
      <c r="AC1542" s="158"/>
      <c r="AD1542" s="158"/>
      <c r="AE1542" s="158"/>
      <c r="AF1542" s="158"/>
      <c r="AG1542" s="158"/>
    </row>
    <row r="1543" spans="2:33" x14ac:dyDescent="0.25">
      <c r="G1543" s="170" t="str">
        <f>IF(AG1546=0,"","DATES BEYOND TENDER CLOSING DATE - PLEASE CHECK")</f>
        <v/>
      </c>
      <c r="N1543" s="38"/>
      <c r="P1543" s="144"/>
      <c r="Q1543" s="144"/>
      <c r="R1543" s="144"/>
      <c r="S1543" s="144"/>
      <c r="T1543" s="144"/>
      <c r="U1543" s="144"/>
      <c r="V1543" s="144"/>
      <c r="W1543" s="144"/>
      <c r="X1543" s="144"/>
      <c r="Y1543" s="144"/>
      <c r="Z1543" s="144"/>
      <c r="AC1543" s="158"/>
      <c r="AD1543" s="158"/>
      <c r="AE1543" s="158"/>
      <c r="AF1543" s="158"/>
      <c r="AG1543" s="158"/>
    </row>
    <row r="1544" spans="2:33" x14ac:dyDescent="0.25">
      <c r="B1544" t="s">
        <v>139</v>
      </c>
      <c r="G1544" s="170" t="str">
        <f>IF(AE1546=0,"","DATES INCORRECT OR INCOMPLETE - PLEASE CHECK")</f>
        <v/>
      </c>
      <c r="N1544" s="38"/>
      <c r="P1544" s="144"/>
      <c r="Q1544" s="144"/>
      <c r="R1544" s="144"/>
      <c r="S1544" s="144"/>
      <c r="T1544" s="144"/>
      <c r="U1544" s="144"/>
      <c r="V1544" s="144"/>
      <c r="W1544" s="144"/>
      <c r="X1544" s="144"/>
      <c r="Y1544" s="144"/>
      <c r="Z1544" s="144"/>
      <c r="AC1544" s="158"/>
      <c r="AD1544" s="158"/>
      <c r="AE1544" s="158"/>
      <c r="AF1544" s="158"/>
      <c r="AG1544" s="158"/>
    </row>
    <row r="1545" spans="2:33" x14ac:dyDescent="0.25">
      <c r="B1545" s="15" t="s">
        <v>140</v>
      </c>
      <c r="N1545" s="38"/>
      <c r="P1545" s="144"/>
      <c r="Q1545" s="144"/>
      <c r="R1545" s="144"/>
      <c r="S1545" s="144"/>
      <c r="T1545" s="144"/>
      <c r="U1545" s="144"/>
      <c r="V1545" s="144"/>
      <c r="W1545" s="144"/>
      <c r="X1545" s="144"/>
      <c r="Y1545" s="144"/>
      <c r="Z1545" s="144"/>
      <c r="AC1545" s="158"/>
      <c r="AD1545" s="158"/>
      <c r="AE1545" s="158"/>
      <c r="AF1545" s="158"/>
      <c r="AG1545" s="158"/>
    </row>
    <row r="1546" spans="2:33" ht="66" x14ac:dyDescent="0.25">
      <c r="B1546" s="47" t="s">
        <v>141</v>
      </c>
      <c r="C1546" s="48" t="s">
        <v>142</v>
      </c>
      <c r="D1546" s="44"/>
      <c r="E1546" s="470" t="s">
        <v>143</v>
      </c>
      <c r="F1546" s="471"/>
      <c r="G1546" s="157" t="s">
        <v>144</v>
      </c>
      <c r="H1546" s="157" t="s">
        <v>145</v>
      </c>
      <c r="I1546" s="385" t="s">
        <v>146</v>
      </c>
      <c r="J1546" s="49" t="s">
        <v>147</v>
      </c>
      <c r="K1546" s="50" t="s">
        <v>148</v>
      </c>
      <c r="L1546" s="385" t="s">
        <v>149</v>
      </c>
      <c r="M1546" s="49" t="s">
        <v>150</v>
      </c>
      <c r="N1546" s="51"/>
      <c r="O1546" s="386"/>
      <c r="P1546" s="147"/>
      <c r="Q1546" s="144"/>
      <c r="R1546" s="144"/>
      <c r="S1546" s="145"/>
      <c r="T1546" s="145"/>
      <c r="U1546" s="145"/>
      <c r="V1546" s="145"/>
      <c r="W1546" s="145"/>
      <c r="X1546" s="145"/>
      <c r="Y1546" s="145"/>
      <c r="Z1546" s="145"/>
      <c r="AC1546" s="165"/>
      <c r="AD1546" s="165"/>
      <c r="AE1546" s="165">
        <f>SUM(AE1547:AE1551)</f>
        <v>0</v>
      </c>
      <c r="AF1546" s="165"/>
      <c r="AG1546" s="165">
        <f>SUM(AG1547:AG1551)</f>
        <v>0</v>
      </c>
    </row>
    <row r="1547" spans="2:33" ht="25.5" customHeight="1" x14ac:dyDescent="0.25">
      <c r="B1547" s="200"/>
      <c r="C1547" s="53">
        <v>8</v>
      </c>
      <c r="D1547" s="54"/>
      <c r="E1547" s="55"/>
      <c r="F1547" s="55">
        <v>1</v>
      </c>
      <c r="G1547" s="143" t="str">
        <f>Z1547</f>
        <v/>
      </c>
      <c r="H1547" s="143" t="str">
        <f>Z1552</f>
        <v/>
      </c>
      <c r="I1547" s="202"/>
      <c r="J1547" s="203"/>
      <c r="K1547" s="56">
        <v>23</v>
      </c>
      <c r="L1547" s="204"/>
      <c r="M1547" s="205"/>
      <c r="N1547" s="164">
        <f>IF(G1547="",0,IF(H1547="",0,(ROUND(((H1547-G1547)/30),0))))</f>
        <v>0</v>
      </c>
      <c r="O1547" s="21"/>
      <c r="P1547" s="166">
        <v>1</v>
      </c>
      <c r="Q1547" s="166">
        <v>1</v>
      </c>
      <c r="R1547" s="166">
        <v>1</v>
      </c>
      <c r="S1547" s="166" t="str">
        <f>VLOOKUP(P1547,'WORKINGS MATRIX'!$B$200:$C$351,2,FALSE)</f>
        <v>Year</v>
      </c>
      <c r="T1547" s="166">
        <f t="shared" ref="T1547:U1551" si="137">Q1547-1</f>
        <v>0</v>
      </c>
      <c r="U1547" s="166">
        <f t="shared" si="137"/>
        <v>0</v>
      </c>
      <c r="V1547" s="166" t="str">
        <f t="shared" ref="V1547:V1556" si="138">IF(S1547="year","",S1547)</f>
        <v/>
      </c>
      <c r="W1547" s="166" t="str">
        <f t="shared" ref="W1547:X1551" si="139">IF(T1547=0,"",T1547)</f>
        <v/>
      </c>
      <c r="X1547" s="166" t="str">
        <f t="shared" si="139"/>
        <v/>
      </c>
      <c r="Y1547" s="166" t="str">
        <f t="shared" ref="Y1547:Y1556" si="140">IF(V1547="","",IF(W1547="",(V1547&amp;"/"&amp;"1"&amp;"/"&amp;"1"),IF(X1547="",(V1547&amp;"/"&amp;W1547&amp;"/"&amp;"1"),(V1547&amp;"/"&amp;W1547&amp;"/"&amp;X1547))))</f>
        <v/>
      </c>
      <c r="Z1547" s="166" t="str">
        <f t="shared" ref="Z1547:Z1556" si="141">IF(Y1547="//","",Y1547)</f>
        <v/>
      </c>
      <c r="AC1547" s="172">
        <f>IF(B1547="",0,1)</f>
        <v>0</v>
      </c>
      <c r="AD1547" s="172">
        <f>IF(B1547="",0,IF(N1547&gt;0,1,IF(N1547&lt;0,2,0)))</f>
        <v>0</v>
      </c>
      <c r="AE1547" s="172">
        <f>IF(AC1547=AD1547,0,IF(AC1547&gt;AD1547,2,1))</f>
        <v>0</v>
      </c>
      <c r="AF1547" s="172">
        <f>IF(B1547="",0,IF(N1547=0,0,H1547-$F$125))</f>
        <v>0</v>
      </c>
      <c r="AG1547" s="172">
        <f>IF(AF1547&gt;0,1,0)</f>
        <v>0</v>
      </c>
    </row>
    <row r="1548" spans="2:33" ht="25.5" customHeight="1" x14ac:dyDescent="0.25">
      <c r="B1548" s="200"/>
      <c r="C1548" s="53">
        <v>8</v>
      </c>
      <c r="D1548" s="54"/>
      <c r="E1548" s="55"/>
      <c r="F1548" s="55">
        <v>1</v>
      </c>
      <c r="G1548" s="143" t="str">
        <f>Z1548</f>
        <v/>
      </c>
      <c r="H1548" s="143" t="str">
        <f>Z1553</f>
        <v/>
      </c>
      <c r="I1548" s="202"/>
      <c r="J1548" s="203"/>
      <c r="K1548" s="56">
        <v>23</v>
      </c>
      <c r="L1548" s="204"/>
      <c r="M1548" s="205"/>
      <c r="N1548" s="164">
        <f>IF(G1548="",0,IF(H1548="",0,(ROUND(((H1548-G1548)/30),0))))</f>
        <v>0</v>
      </c>
      <c r="O1548" s="21"/>
      <c r="P1548" s="166">
        <v>1</v>
      </c>
      <c r="Q1548" s="166">
        <v>1</v>
      </c>
      <c r="R1548" s="166">
        <v>1</v>
      </c>
      <c r="S1548" s="166" t="str">
        <f>VLOOKUP(P1548,'WORKINGS MATRIX'!$B$200:$C$351,2,FALSE)</f>
        <v>Year</v>
      </c>
      <c r="T1548" s="166">
        <f t="shared" si="137"/>
        <v>0</v>
      </c>
      <c r="U1548" s="166">
        <f t="shared" si="137"/>
        <v>0</v>
      </c>
      <c r="V1548" s="166" t="str">
        <f t="shared" si="138"/>
        <v/>
      </c>
      <c r="W1548" s="166" t="str">
        <f t="shared" si="139"/>
        <v/>
      </c>
      <c r="X1548" s="166" t="str">
        <f t="shared" si="139"/>
        <v/>
      </c>
      <c r="Y1548" s="166" t="str">
        <f t="shared" si="140"/>
        <v/>
      </c>
      <c r="Z1548" s="166" t="str">
        <f t="shared" si="141"/>
        <v/>
      </c>
      <c r="AC1548" s="172">
        <f>IF(B1548="",0,1)</f>
        <v>0</v>
      </c>
      <c r="AD1548" s="172">
        <f>IF(B1548="",0,IF(N1548&gt;0,1,IF(N1548&lt;0,2,0)))</f>
        <v>0</v>
      </c>
      <c r="AE1548" s="172">
        <f>IF(AC1548=AD1548,0,IF(AC1548&gt;AD1548,2,1))</f>
        <v>0</v>
      </c>
      <c r="AF1548" s="172">
        <f>IF(B1548="",0,IF(N1548=0,0,H1548-$F$125))</f>
        <v>0</v>
      </c>
      <c r="AG1548" s="172">
        <f>IF(AF1548&gt;0,1,0)</f>
        <v>0</v>
      </c>
    </row>
    <row r="1549" spans="2:33" ht="25.5" customHeight="1" x14ac:dyDescent="0.25">
      <c r="B1549" s="200"/>
      <c r="C1549" s="53">
        <v>8</v>
      </c>
      <c r="D1549" s="54"/>
      <c r="E1549" s="55"/>
      <c r="F1549" s="55">
        <v>1</v>
      </c>
      <c r="G1549" s="143" t="str">
        <f>Z1549</f>
        <v/>
      </c>
      <c r="H1549" s="143" t="str">
        <f>Z1554</f>
        <v/>
      </c>
      <c r="I1549" s="202"/>
      <c r="J1549" s="203"/>
      <c r="K1549" s="56">
        <v>23</v>
      </c>
      <c r="L1549" s="204"/>
      <c r="M1549" s="205"/>
      <c r="N1549" s="164">
        <f>IF(G1549="",0,IF(H1549="",0,(ROUND(((H1549-G1549)/30),0))))</f>
        <v>0</v>
      </c>
      <c r="O1549" s="21"/>
      <c r="P1549" s="166">
        <v>1</v>
      </c>
      <c r="Q1549" s="166">
        <v>1</v>
      </c>
      <c r="R1549" s="166">
        <v>1</v>
      </c>
      <c r="S1549" s="166" t="str">
        <f>VLOOKUP(P1549,'WORKINGS MATRIX'!$B$200:$C$351,2,FALSE)</f>
        <v>Year</v>
      </c>
      <c r="T1549" s="166">
        <f t="shared" si="137"/>
        <v>0</v>
      </c>
      <c r="U1549" s="166">
        <f t="shared" si="137"/>
        <v>0</v>
      </c>
      <c r="V1549" s="166" t="str">
        <f t="shared" si="138"/>
        <v/>
      </c>
      <c r="W1549" s="166" t="str">
        <f t="shared" si="139"/>
        <v/>
      </c>
      <c r="X1549" s="166" t="str">
        <f t="shared" si="139"/>
        <v/>
      </c>
      <c r="Y1549" s="166" t="str">
        <f t="shared" si="140"/>
        <v/>
      </c>
      <c r="Z1549" s="166" t="str">
        <f t="shared" si="141"/>
        <v/>
      </c>
      <c r="AC1549" s="172">
        <f>IF(B1549="",0,1)</f>
        <v>0</v>
      </c>
      <c r="AD1549" s="172">
        <f>IF(B1549="",0,IF(N1549&gt;0,1,IF(N1549&lt;0,2,0)))</f>
        <v>0</v>
      </c>
      <c r="AE1549" s="172">
        <f>IF(AC1549=AD1549,0,IF(AC1549&gt;AD1549,2,1))</f>
        <v>0</v>
      </c>
      <c r="AF1549" s="172">
        <f>IF(B1549="",0,IF(N1549=0,0,H1549-$F$125))</f>
        <v>0</v>
      </c>
      <c r="AG1549" s="172">
        <f>IF(AF1549&gt;0,1,0)</f>
        <v>0</v>
      </c>
    </row>
    <row r="1550" spans="2:33" ht="25.5" customHeight="1" x14ac:dyDescent="0.25">
      <c r="B1550" s="255"/>
      <c r="C1550" s="255"/>
      <c r="D1550" s="255"/>
      <c r="E1550" s="255"/>
      <c r="F1550" s="255"/>
      <c r="G1550" s="255"/>
      <c r="H1550" s="255"/>
      <c r="I1550" s="255"/>
      <c r="J1550" s="255"/>
      <c r="K1550" s="255"/>
      <c r="L1550" s="255"/>
      <c r="M1550" s="255"/>
      <c r="N1550" s="164">
        <f>IF(G1550="",0,IF(H1550="",0,(ROUND(((H1550-G1550)/30),0))))</f>
        <v>0</v>
      </c>
      <c r="O1550" s="21"/>
      <c r="P1550" s="166">
        <v>1</v>
      </c>
      <c r="Q1550" s="166">
        <v>1</v>
      </c>
      <c r="R1550" s="166">
        <v>1</v>
      </c>
      <c r="S1550" s="166" t="str">
        <f>VLOOKUP(P1550,'WORKINGS MATRIX'!$B$200:$C$351,2,FALSE)</f>
        <v>Year</v>
      </c>
      <c r="T1550" s="166">
        <f t="shared" si="137"/>
        <v>0</v>
      </c>
      <c r="U1550" s="166">
        <f t="shared" si="137"/>
        <v>0</v>
      </c>
      <c r="V1550" s="166" t="str">
        <f t="shared" si="138"/>
        <v/>
      </c>
      <c r="W1550" s="166" t="str">
        <f t="shared" si="139"/>
        <v/>
      </c>
      <c r="X1550" s="166" t="str">
        <f t="shared" si="139"/>
        <v/>
      </c>
      <c r="Y1550" s="166" t="str">
        <f t="shared" si="140"/>
        <v/>
      </c>
      <c r="Z1550" s="166" t="str">
        <f t="shared" si="141"/>
        <v/>
      </c>
      <c r="AC1550" s="172">
        <f>IF(B1550="",0,1)</f>
        <v>0</v>
      </c>
      <c r="AD1550" s="172">
        <f>IF(B1550="",0,IF(N1550&gt;0,1,IF(N1550&lt;0,2,0)))</f>
        <v>0</v>
      </c>
      <c r="AE1550" s="172">
        <f>IF(AC1550=AD1550,0,IF(AC1550&gt;AD1550,2,1))</f>
        <v>0</v>
      </c>
      <c r="AF1550" s="172">
        <f>IF(B1550="",0,IF(N1550=0,0,H1550-$F$125))</f>
        <v>0</v>
      </c>
      <c r="AG1550" s="172">
        <f>IF(AF1550&gt;0,1,0)</f>
        <v>0</v>
      </c>
    </row>
    <row r="1551" spans="2:33" ht="25.5" customHeight="1" x14ac:dyDescent="0.25">
      <c r="B1551" s="149"/>
      <c r="C1551" s="149"/>
      <c r="D1551" s="149"/>
      <c r="E1551" s="149"/>
      <c r="F1551" s="149"/>
      <c r="G1551" s="149"/>
      <c r="H1551" s="149"/>
      <c r="I1551" s="149"/>
      <c r="J1551" s="149"/>
      <c r="K1551" s="149"/>
      <c r="L1551" s="149"/>
      <c r="M1551" s="149"/>
      <c r="N1551" s="164">
        <f>IF(G1551="",0,IF(H1551="",0,(ROUND(((H1551-G1551)/30),0))))</f>
        <v>0</v>
      </c>
      <c r="O1551" s="21"/>
      <c r="P1551" s="166">
        <v>1</v>
      </c>
      <c r="Q1551" s="166">
        <v>1</v>
      </c>
      <c r="R1551" s="166">
        <v>1</v>
      </c>
      <c r="S1551" s="166" t="str">
        <f>VLOOKUP(P1551,'WORKINGS MATRIX'!$B$200:$C$351,2,FALSE)</f>
        <v>Year</v>
      </c>
      <c r="T1551" s="166">
        <f t="shared" si="137"/>
        <v>0</v>
      </c>
      <c r="U1551" s="166">
        <f t="shared" si="137"/>
        <v>0</v>
      </c>
      <c r="V1551" s="166" t="str">
        <f t="shared" si="138"/>
        <v/>
      </c>
      <c r="W1551" s="166" t="str">
        <f t="shared" si="139"/>
        <v/>
      </c>
      <c r="X1551" s="166" t="str">
        <f t="shared" si="139"/>
        <v/>
      </c>
      <c r="Y1551" s="166" t="str">
        <f t="shared" si="140"/>
        <v/>
      </c>
      <c r="Z1551" s="166" t="str">
        <f t="shared" si="141"/>
        <v/>
      </c>
      <c r="AC1551" s="172">
        <f>IF(B1551="",0,1)</f>
        <v>0</v>
      </c>
      <c r="AD1551" s="172">
        <f>IF(B1551="",0,IF(N1551&gt;0,1,IF(N1551&lt;0,2,0)))</f>
        <v>0</v>
      </c>
      <c r="AE1551" s="172">
        <f>IF(AC1551=AD1551,0,IF(AC1551&gt;AD1551,2,1))</f>
        <v>0</v>
      </c>
      <c r="AF1551" s="172">
        <f>IF(B1551="",0,IF(N1551=0,0,H1551-$F$125))</f>
        <v>0</v>
      </c>
      <c r="AG1551" s="172">
        <f>IF(AF1551&gt;0,1,0)</f>
        <v>0</v>
      </c>
    </row>
    <row r="1552" spans="2:33" x14ac:dyDescent="0.25">
      <c r="D1552" s="57"/>
      <c r="H1552" s="58"/>
      <c r="K1552" s="21"/>
      <c r="N1552" s="38"/>
      <c r="O1552" s="58"/>
      <c r="P1552" s="166">
        <v>1</v>
      </c>
      <c r="Q1552" s="166">
        <v>1</v>
      </c>
      <c r="R1552" s="166">
        <v>1</v>
      </c>
      <c r="S1552" s="166" t="str">
        <f>VLOOKUP(P1552,'WORKINGS MATRIX'!$B$200:$C$351,2,FALSE)</f>
        <v>Year</v>
      </c>
      <c r="T1552" s="166">
        <f t="shared" ref="T1552:U1556" si="142">Q1552-1</f>
        <v>0</v>
      </c>
      <c r="U1552" s="166">
        <f t="shared" si="142"/>
        <v>0</v>
      </c>
      <c r="V1552" s="166" t="str">
        <f t="shared" si="138"/>
        <v/>
      </c>
      <c r="W1552" s="166" t="str">
        <f t="shared" ref="W1552:X1556" si="143">IF(T1552=0,"",T1552)</f>
        <v/>
      </c>
      <c r="X1552" s="166" t="str">
        <f t="shared" si="143"/>
        <v/>
      </c>
      <c r="Y1552" s="166" t="str">
        <f t="shared" si="140"/>
        <v/>
      </c>
      <c r="Z1552" s="166" t="str">
        <f t="shared" si="141"/>
        <v/>
      </c>
      <c r="AC1552" s="158"/>
      <c r="AD1552" s="158"/>
      <c r="AE1552" s="158"/>
      <c r="AF1552" s="158"/>
      <c r="AG1552" s="158"/>
    </row>
    <row r="1553" spans="2:26" x14ac:dyDescent="0.25">
      <c r="B1553" t="s">
        <v>152</v>
      </c>
      <c r="D1553" s="57"/>
      <c r="H1553" s="58"/>
      <c r="K1553" s="21"/>
      <c r="N1553" s="38"/>
      <c r="O1553" s="58"/>
      <c r="P1553" s="166">
        <v>1</v>
      </c>
      <c r="Q1553" s="166">
        <v>1</v>
      </c>
      <c r="R1553" s="166">
        <v>1</v>
      </c>
      <c r="S1553" s="166" t="str">
        <f>VLOOKUP(P1553,'WORKINGS MATRIX'!$B$200:$C$351,2,FALSE)</f>
        <v>Year</v>
      </c>
      <c r="T1553" s="166">
        <f t="shared" si="142"/>
        <v>0</v>
      </c>
      <c r="U1553" s="166">
        <f t="shared" si="142"/>
        <v>0</v>
      </c>
      <c r="V1553" s="166" t="str">
        <f t="shared" si="138"/>
        <v/>
      </c>
      <c r="W1553" s="166" t="str">
        <f t="shared" si="143"/>
        <v/>
      </c>
      <c r="X1553" s="166" t="str">
        <f t="shared" si="143"/>
        <v/>
      </c>
      <c r="Y1553" s="166" t="str">
        <f t="shared" si="140"/>
        <v/>
      </c>
      <c r="Z1553" s="166" t="str">
        <f t="shared" si="141"/>
        <v/>
      </c>
    </row>
    <row r="1554" spans="2:26" x14ac:dyDescent="0.25">
      <c r="B1554" s="429"/>
      <c r="C1554" s="430"/>
      <c r="D1554" s="430"/>
      <c r="E1554" s="430"/>
      <c r="F1554" s="430"/>
      <c r="G1554" s="430"/>
      <c r="H1554" s="430"/>
      <c r="I1554" s="430"/>
      <c r="J1554" s="430"/>
      <c r="K1554" s="430"/>
      <c r="L1554" s="430"/>
      <c r="M1554" s="431"/>
      <c r="N1554" s="38"/>
      <c r="O1554" s="58"/>
      <c r="P1554" s="166">
        <v>1</v>
      </c>
      <c r="Q1554" s="166">
        <v>1</v>
      </c>
      <c r="R1554" s="166">
        <v>1</v>
      </c>
      <c r="S1554" s="166" t="str">
        <f>VLOOKUP(P1554,'WORKINGS MATRIX'!$B$200:$C$351,2,FALSE)</f>
        <v>Year</v>
      </c>
      <c r="T1554" s="166">
        <f t="shared" si="142"/>
        <v>0</v>
      </c>
      <c r="U1554" s="166">
        <f t="shared" si="142"/>
        <v>0</v>
      </c>
      <c r="V1554" s="166" t="str">
        <f t="shared" si="138"/>
        <v/>
      </c>
      <c r="W1554" s="166" t="str">
        <f t="shared" si="143"/>
        <v/>
      </c>
      <c r="X1554" s="166" t="str">
        <f t="shared" si="143"/>
        <v/>
      </c>
      <c r="Y1554" s="166" t="str">
        <f t="shared" si="140"/>
        <v/>
      </c>
      <c r="Z1554" s="166" t="str">
        <f t="shared" si="141"/>
        <v/>
      </c>
    </row>
    <row r="1555" spans="2:26" x14ac:dyDescent="0.25">
      <c r="B1555" s="432"/>
      <c r="C1555" s="433"/>
      <c r="D1555" s="433"/>
      <c r="E1555" s="433"/>
      <c r="F1555" s="433"/>
      <c r="G1555" s="433"/>
      <c r="H1555" s="433"/>
      <c r="I1555" s="433"/>
      <c r="J1555" s="433"/>
      <c r="K1555" s="433"/>
      <c r="L1555" s="433"/>
      <c r="M1555" s="434"/>
      <c r="N1555" s="38"/>
      <c r="O1555" s="58"/>
      <c r="P1555" s="166">
        <v>1</v>
      </c>
      <c r="Q1555" s="166">
        <v>1</v>
      </c>
      <c r="R1555" s="166">
        <v>1</v>
      </c>
      <c r="S1555" s="166" t="str">
        <f>VLOOKUP(P1555,'WORKINGS MATRIX'!$B$200:$C$351,2,FALSE)</f>
        <v>Year</v>
      </c>
      <c r="T1555" s="166">
        <f t="shared" si="142"/>
        <v>0</v>
      </c>
      <c r="U1555" s="166">
        <f t="shared" si="142"/>
        <v>0</v>
      </c>
      <c r="V1555" s="166" t="str">
        <f t="shared" si="138"/>
        <v/>
      </c>
      <c r="W1555" s="166" t="str">
        <f t="shared" si="143"/>
        <v/>
      </c>
      <c r="X1555" s="166" t="str">
        <f t="shared" si="143"/>
        <v/>
      </c>
      <c r="Y1555" s="166" t="str">
        <f t="shared" si="140"/>
        <v/>
      </c>
      <c r="Z1555" s="166" t="str">
        <f t="shared" si="141"/>
        <v/>
      </c>
    </row>
    <row r="1556" spans="2:26" x14ac:dyDescent="0.25">
      <c r="B1556" s="432"/>
      <c r="C1556" s="433"/>
      <c r="D1556" s="433"/>
      <c r="E1556" s="433"/>
      <c r="F1556" s="433"/>
      <c r="G1556" s="433"/>
      <c r="H1556" s="433"/>
      <c r="I1556" s="433"/>
      <c r="J1556" s="433"/>
      <c r="K1556" s="433"/>
      <c r="L1556" s="433"/>
      <c r="M1556" s="434"/>
      <c r="N1556" s="38"/>
      <c r="O1556" s="58"/>
      <c r="P1556" s="166">
        <v>1</v>
      </c>
      <c r="Q1556" s="166">
        <v>1</v>
      </c>
      <c r="R1556" s="166">
        <v>1</v>
      </c>
      <c r="S1556" s="166" t="str">
        <f>VLOOKUP(P1556,'WORKINGS MATRIX'!$B$200:$C$351,2,FALSE)</f>
        <v>Year</v>
      </c>
      <c r="T1556" s="166">
        <f t="shared" si="142"/>
        <v>0</v>
      </c>
      <c r="U1556" s="166">
        <f t="shared" si="142"/>
        <v>0</v>
      </c>
      <c r="V1556" s="166" t="str">
        <f t="shared" si="138"/>
        <v/>
      </c>
      <c r="W1556" s="166" t="str">
        <f t="shared" si="143"/>
        <v/>
      </c>
      <c r="X1556" s="166" t="str">
        <f t="shared" si="143"/>
        <v/>
      </c>
      <c r="Y1556" s="166" t="str">
        <f t="shared" si="140"/>
        <v/>
      </c>
      <c r="Z1556" s="166" t="str">
        <f t="shared" si="141"/>
        <v/>
      </c>
    </row>
    <row r="1557" spans="2:26" x14ac:dyDescent="0.25">
      <c r="B1557" s="435"/>
      <c r="C1557" s="436"/>
      <c r="D1557" s="436"/>
      <c r="E1557" s="436"/>
      <c r="F1557" s="436"/>
      <c r="G1557" s="436"/>
      <c r="H1557" s="436"/>
      <c r="I1557" s="436"/>
      <c r="J1557" s="436"/>
      <c r="K1557" s="436"/>
      <c r="L1557" s="436"/>
      <c r="M1557" s="437"/>
      <c r="N1557" s="38"/>
      <c r="O1557" s="58"/>
      <c r="P1557" s="169"/>
      <c r="Q1557" s="169"/>
      <c r="R1557" s="169"/>
      <c r="S1557" s="169"/>
      <c r="T1557" s="169"/>
      <c r="U1557" s="169"/>
      <c r="V1557" s="169"/>
      <c r="W1557" s="169"/>
      <c r="X1557" s="169"/>
      <c r="Y1557" s="169"/>
      <c r="Z1557" s="169"/>
    </row>
    <row r="1558" spans="2:26" x14ac:dyDescent="0.25">
      <c r="B1558" s="15" t="s">
        <v>153</v>
      </c>
      <c r="D1558" s="57"/>
      <c r="H1558" s="58"/>
      <c r="K1558" s="21"/>
      <c r="N1558" s="38"/>
      <c r="O1558" s="58"/>
      <c r="P1558" s="144"/>
      <c r="Q1558" s="144"/>
      <c r="R1558" s="144"/>
      <c r="S1558" s="144"/>
      <c r="T1558" s="144"/>
      <c r="U1558" s="144"/>
      <c r="V1558" s="144"/>
      <c r="W1558" s="144"/>
      <c r="X1558" s="144"/>
      <c r="Y1558" s="144"/>
      <c r="Z1558" s="144"/>
    </row>
    <row r="1559" spans="2:26" x14ac:dyDescent="0.25">
      <c r="B1559" s="15" t="s">
        <v>154</v>
      </c>
      <c r="D1559" s="57"/>
      <c r="H1559" s="58"/>
      <c r="K1559" s="21"/>
      <c r="N1559" s="38"/>
      <c r="O1559" s="58"/>
      <c r="P1559" s="144"/>
      <c r="Q1559" s="144"/>
      <c r="R1559" s="144"/>
      <c r="S1559" s="144"/>
      <c r="T1559" s="144"/>
      <c r="U1559" s="144"/>
      <c r="V1559" s="144"/>
      <c r="W1559" s="144"/>
      <c r="X1559" s="144"/>
      <c r="Y1559" s="144"/>
      <c r="Z1559" s="144"/>
    </row>
    <row r="1560" spans="2:26" x14ac:dyDescent="0.25">
      <c r="D1560" s="57"/>
      <c r="H1560" s="58"/>
      <c r="K1560" s="21"/>
      <c r="N1560" s="38"/>
      <c r="O1560" s="58"/>
      <c r="P1560" s="144"/>
      <c r="Q1560" s="144"/>
      <c r="R1560" s="144"/>
      <c r="S1560" s="144"/>
      <c r="T1560" s="144"/>
      <c r="U1560" s="144"/>
      <c r="V1560" s="144"/>
      <c r="W1560" s="144"/>
      <c r="X1560" s="144"/>
      <c r="Y1560" s="144"/>
      <c r="Z1560" s="144"/>
    </row>
    <row r="1561" spans="2:26" x14ac:dyDescent="0.25">
      <c r="D1561" s="57"/>
      <c r="E1561" s="149"/>
      <c r="F1561" s="149"/>
      <c r="G1561" s="149"/>
      <c r="H1561" s="149"/>
      <c r="I1561" s="149"/>
      <c r="K1561" s="21"/>
      <c r="N1561" s="38"/>
      <c r="O1561" s="58"/>
      <c r="P1561" s="144"/>
      <c r="Q1561" s="144"/>
      <c r="R1561" s="144"/>
      <c r="S1561" s="144"/>
      <c r="T1561" s="144"/>
      <c r="U1561" s="144"/>
      <c r="V1561" s="144"/>
      <c r="W1561" s="144"/>
      <c r="X1561" s="144"/>
      <c r="Y1561" s="144"/>
      <c r="Z1561" s="144"/>
    </row>
    <row r="1562" spans="2:26" x14ac:dyDescent="0.25">
      <c r="D1562" s="57"/>
      <c r="E1562" s="149"/>
      <c r="F1562" s="149"/>
      <c r="G1562" s="149"/>
      <c r="H1562" s="149"/>
      <c r="I1562" s="149"/>
      <c r="K1562" s="438" t="s">
        <v>155</v>
      </c>
      <c r="L1562" s="438"/>
      <c r="M1562" s="438"/>
      <c r="N1562" s="38"/>
      <c r="O1562" s="58"/>
      <c r="P1562" s="144"/>
      <c r="Q1562" s="144"/>
      <c r="R1562" s="144"/>
      <c r="S1562" s="144"/>
      <c r="T1562" s="144"/>
      <c r="U1562" s="144"/>
      <c r="V1562" s="144"/>
      <c r="W1562" s="144"/>
      <c r="X1562" s="144"/>
      <c r="Y1562" s="144"/>
      <c r="Z1562" s="144"/>
    </row>
    <row r="1563" spans="2:26" x14ac:dyDescent="0.25">
      <c r="D1563" s="57"/>
      <c r="H1563" s="58"/>
      <c r="K1563" s="438"/>
      <c r="L1563" s="438"/>
      <c r="M1563" s="438"/>
      <c r="N1563" s="38"/>
      <c r="O1563" s="58"/>
      <c r="P1563" s="144"/>
      <c r="Q1563" s="144"/>
      <c r="R1563" s="144"/>
      <c r="S1563" s="144"/>
      <c r="T1563" s="144"/>
      <c r="U1563" s="144"/>
      <c r="V1563" s="144"/>
      <c r="W1563" s="144"/>
      <c r="X1563" s="144"/>
      <c r="Y1563" s="144"/>
      <c r="Z1563" s="144"/>
    </row>
    <row r="1564" spans="2:26" x14ac:dyDescent="0.25">
      <c r="D1564" s="57"/>
      <c r="E1564" s="149"/>
      <c r="F1564" s="149"/>
      <c r="G1564" s="149"/>
      <c r="H1564" s="149"/>
      <c r="I1564" s="149"/>
      <c r="K1564" s="438"/>
      <c r="L1564" s="438"/>
      <c r="M1564" s="438"/>
      <c r="N1564" s="38"/>
      <c r="O1564" s="58"/>
      <c r="P1564" s="144"/>
      <c r="Q1564" s="144"/>
      <c r="R1564" s="144"/>
      <c r="S1564" s="144"/>
      <c r="T1564" s="144"/>
      <c r="U1564" s="144"/>
      <c r="V1564" s="144"/>
      <c r="W1564" s="144"/>
      <c r="X1564" s="144"/>
      <c r="Y1564" s="144"/>
      <c r="Z1564" s="144"/>
    </row>
    <row r="1565" spans="2:26" x14ac:dyDescent="0.25">
      <c r="D1565" s="57"/>
      <c r="E1565" s="149"/>
      <c r="F1565" s="149"/>
      <c r="G1565" s="149"/>
      <c r="H1565" s="149"/>
      <c r="I1565" s="149"/>
      <c r="K1565" s="438"/>
      <c r="L1565" s="438"/>
      <c r="M1565" s="438"/>
      <c r="N1565" s="38"/>
      <c r="O1565" s="58"/>
      <c r="P1565" s="144"/>
      <c r="Q1565" s="144"/>
      <c r="R1565" s="144"/>
      <c r="S1565" s="144"/>
      <c r="T1565" s="144"/>
      <c r="U1565" s="144"/>
      <c r="V1565" s="144"/>
      <c r="W1565" s="144"/>
      <c r="X1565" s="144"/>
      <c r="Y1565" s="144"/>
      <c r="Z1565" s="144"/>
    </row>
    <row r="1566" spans="2:26" ht="13.8" thickBot="1" x14ac:dyDescent="0.3">
      <c r="B1566" s="60"/>
      <c r="C1566" s="60"/>
      <c r="D1566" s="61"/>
      <c r="E1566" s="60"/>
      <c r="F1566" s="60"/>
      <c r="G1566" s="60"/>
      <c r="H1566" s="62"/>
      <c r="I1566" s="60"/>
      <c r="J1566" s="60"/>
      <c r="K1566" s="63"/>
      <c r="L1566" s="60"/>
      <c r="M1566" s="60"/>
      <c r="N1566" s="64"/>
      <c r="O1566" s="58"/>
      <c r="P1566" s="144"/>
      <c r="Q1566" s="144"/>
      <c r="R1566" s="144"/>
      <c r="S1566" s="144"/>
      <c r="T1566" s="144"/>
      <c r="U1566" s="144"/>
      <c r="V1566" s="144"/>
      <c r="W1566" s="144"/>
      <c r="X1566" s="144"/>
      <c r="Y1566" s="144"/>
      <c r="Z1566" s="144"/>
    </row>
    <row r="1567" spans="2:26" ht="14.4" thickTop="1" thickBot="1" x14ac:dyDescent="0.3">
      <c r="D1567" s="57"/>
      <c r="H1567" s="58"/>
      <c r="K1567" s="21"/>
      <c r="O1567" s="58"/>
      <c r="P1567" s="144"/>
      <c r="Q1567" s="144"/>
      <c r="R1567" s="144"/>
      <c r="S1567" s="144"/>
      <c r="T1567" s="144"/>
      <c r="U1567" s="144"/>
      <c r="V1567" s="144"/>
      <c r="W1567" s="144"/>
      <c r="X1567" s="144"/>
      <c r="Y1567" s="144"/>
      <c r="Z1567" s="144"/>
    </row>
    <row r="1568" spans="2:26" ht="13.8" thickTop="1" x14ac:dyDescent="0.25">
      <c r="B1568" s="27" t="s">
        <v>156</v>
      </c>
      <c r="C1568" s="29"/>
      <c r="D1568" s="28"/>
      <c r="E1568" s="65"/>
      <c r="F1568" s="65"/>
      <c r="G1568" s="65"/>
      <c r="H1568" s="28"/>
      <c r="I1568" s="28"/>
      <c r="J1568" s="28"/>
      <c r="K1568" s="28"/>
      <c r="L1568" s="31" t="s">
        <v>157</v>
      </c>
      <c r="M1568" s="28"/>
      <c r="N1568" s="32"/>
      <c r="P1568" s="144"/>
      <c r="Q1568" s="144"/>
      <c r="R1568" s="144"/>
      <c r="S1568" s="144"/>
      <c r="T1568" s="144"/>
      <c r="U1568" s="144"/>
      <c r="V1568" s="144"/>
      <c r="W1568" s="144"/>
      <c r="X1568" s="144"/>
      <c r="Y1568" s="144"/>
      <c r="Z1568" s="144"/>
    </row>
    <row r="1569" spans="2:26" x14ac:dyDescent="0.25">
      <c r="E1569" s="134">
        <v>5</v>
      </c>
      <c r="F1569" s="12"/>
      <c r="N1569" s="38"/>
      <c r="P1569" s="144"/>
      <c r="Q1569" s="144"/>
      <c r="R1569" s="144"/>
      <c r="S1569" s="144"/>
      <c r="T1569" s="144"/>
      <c r="U1569" s="144"/>
      <c r="V1569" s="144"/>
      <c r="W1569" s="144"/>
      <c r="X1569" s="144"/>
      <c r="Y1569" s="144"/>
      <c r="Z1569" s="144"/>
    </row>
    <row r="1570" spans="2:26" x14ac:dyDescent="0.25">
      <c r="B1570" t="s">
        <v>134</v>
      </c>
      <c r="L1570" s="465" t="str">
        <f>$L$39</f>
        <v>X.002-218-2024(NT)&amp;N.004-116-2024(T)</v>
      </c>
      <c r="M1570" s="465"/>
      <c r="N1570" s="38"/>
      <c r="P1570" s="144"/>
      <c r="Q1570" s="144"/>
      <c r="R1570" s="144"/>
      <c r="S1570" s="144"/>
      <c r="T1570" s="144"/>
      <c r="U1570" s="144"/>
      <c r="V1570" s="144"/>
      <c r="W1570" s="144"/>
      <c r="X1570" s="144"/>
      <c r="Y1570" s="144"/>
      <c r="Z1570" s="144"/>
    </row>
    <row r="1571" spans="2:26" x14ac:dyDescent="0.25">
      <c r="B1571" s="39" t="s">
        <v>135</v>
      </c>
      <c r="C1571" s="40"/>
      <c r="D1571" s="41"/>
      <c r="E1571" s="448" t="s">
        <v>158</v>
      </c>
      <c r="F1571" s="449"/>
      <c r="G1571" s="466" t="s">
        <v>159</v>
      </c>
      <c r="H1571" s="449"/>
      <c r="L1571" s="465"/>
      <c r="M1571" s="465"/>
      <c r="N1571" s="38"/>
      <c r="P1571" s="144"/>
      <c r="Q1571" s="144"/>
      <c r="R1571" s="144"/>
      <c r="S1571" s="144"/>
      <c r="T1571" s="144"/>
      <c r="U1571" s="144"/>
      <c r="V1571" s="144"/>
      <c r="W1571" s="144"/>
      <c r="X1571" s="144"/>
      <c r="Y1571" s="144"/>
      <c r="Z1571" s="144"/>
    </row>
    <row r="1572" spans="2:26" ht="18" customHeight="1" x14ac:dyDescent="0.25">
      <c r="B1572" s="66">
        <f>B1541</f>
        <v>0</v>
      </c>
      <c r="C1572" s="67"/>
      <c r="D1572" s="68"/>
      <c r="E1572" s="441" t="str">
        <f>G1541</f>
        <v/>
      </c>
      <c r="F1572" s="441"/>
      <c r="G1572" s="42"/>
      <c r="H1572" s="12">
        <v>1</v>
      </c>
      <c r="N1572" s="38"/>
      <c r="P1572" s="144"/>
      <c r="Q1572" s="144"/>
      <c r="R1572" s="144"/>
      <c r="S1572" s="144"/>
      <c r="T1572" s="144"/>
      <c r="U1572" s="144"/>
      <c r="V1572" s="144"/>
      <c r="W1572" s="144"/>
      <c r="X1572" s="144"/>
      <c r="Y1572" s="144"/>
      <c r="Z1572" s="144"/>
    </row>
    <row r="1573" spans="2:26" x14ac:dyDescent="0.25">
      <c r="N1573" s="38"/>
      <c r="P1573" s="144"/>
      <c r="Q1573" s="144"/>
      <c r="R1573" s="144"/>
      <c r="S1573" s="144"/>
      <c r="T1573" s="144"/>
      <c r="U1573" s="144"/>
      <c r="V1573" s="144"/>
      <c r="W1573" s="144"/>
      <c r="X1573" s="144"/>
      <c r="Y1573" s="144"/>
      <c r="Z1573" s="144"/>
    </row>
    <row r="1574" spans="2:26" x14ac:dyDescent="0.25">
      <c r="B1574" t="s">
        <v>161</v>
      </c>
      <c r="N1574" s="38"/>
      <c r="P1574" s="144"/>
      <c r="Q1574" s="144"/>
      <c r="R1574" s="144"/>
      <c r="S1574" s="144"/>
      <c r="T1574" s="144"/>
      <c r="U1574" s="144"/>
      <c r="V1574" s="144"/>
      <c r="W1574" s="144"/>
      <c r="X1574" s="144"/>
      <c r="Y1574" s="144"/>
      <c r="Z1574" s="144"/>
    </row>
    <row r="1575" spans="2:26" ht="18" customHeight="1" x14ac:dyDescent="0.25">
      <c r="B1575" s="468" t="s">
        <v>162</v>
      </c>
      <c r="C1575" s="468"/>
      <c r="D1575" s="469" t="s">
        <v>163</v>
      </c>
      <c r="E1575" s="469"/>
      <c r="F1575" s="461" t="s">
        <v>164</v>
      </c>
      <c r="G1575" s="462"/>
      <c r="H1575" s="467" t="s">
        <v>165</v>
      </c>
      <c r="I1575" s="462"/>
      <c r="J1575" s="467" t="s">
        <v>165</v>
      </c>
      <c r="K1575" s="462"/>
      <c r="L1575" s="125" t="s">
        <v>166</v>
      </c>
      <c r="M1575" s="125" t="s">
        <v>167</v>
      </c>
      <c r="N1575" s="38"/>
      <c r="P1575" s="144">
        <v>1</v>
      </c>
      <c r="Q1575" s="144">
        <v>1</v>
      </c>
      <c r="R1575" s="144">
        <v>1</v>
      </c>
      <c r="S1575" s="144" t="str">
        <f>VLOOKUP(P1575,'WORKINGS MATRIX'!$B$200:$C$351,2,FALSE)</f>
        <v>Year</v>
      </c>
      <c r="T1575" s="144">
        <f t="shared" ref="T1575:U1579" si="144">Q1575-1</f>
        <v>0</v>
      </c>
      <c r="U1575" s="144">
        <f t="shared" si="144"/>
        <v>0</v>
      </c>
      <c r="V1575" s="144" t="str">
        <f>IF(S1575="year","",S1575)</f>
        <v/>
      </c>
      <c r="W1575" s="144" t="str">
        <f t="shared" ref="W1575:X1579" si="145">IF(T1575=0,"",T1575)</f>
        <v/>
      </c>
      <c r="X1575" s="144" t="str">
        <f t="shared" si="145"/>
        <v/>
      </c>
      <c r="Y1575" s="144" t="str">
        <f>IF(V1575="","",IF(W1575="",(V1575&amp;"/"&amp;"12"&amp;"/"&amp;"1"),IF(X1575="",(V1575&amp;"/"&amp;W1575&amp;"/"&amp;"1"),(V1575&amp;"/"&amp;W1575&amp;"/"&amp;X1575))))</f>
        <v/>
      </c>
      <c r="Z1575" s="144" t="str">
        <f>IF(Y1575="//","",Y1575)</f>
        <v/>
      </c>
    </row>
    <row r="1576" spans="2:26" ht="18" customHeight="1" x14ac:dyDescent="0.25">
      <c r="B1576" s="441" t="s">
        <v>168</v>
      </c>
      <c r="C1576" s="441"/>
      <c r="D1576" s="439">
        <v>10</v>
      </c>
      <c r="E1576" s="440"/>
      <c r="F1576" s="442"/>
      <c r="G1576" s="443"/>
      <c r="H1576" s="463">
        <v>1</v>
      </c>
      <c r="I1576" s="464"/>
      <c r="J1576" s="450"/>
      <c r="K1576" s="443"/>
      <c r="L1576" s="206"/>
      <c r="M1576" s="143" t="str">
        <f>Z1575</f>
        <v/>
      </c>
      <c r="N1576" s="38"/>
      <c r="P1576" s="144">
        <v>1</v>
      </c>
      <c r="Q1576" s="144">
        <v>1</v>
      </c>
      <c r="R1576" s="144">
        <v>1</v>
      </c>
      <c r="S1576" s="144" t="str">
        <f>VLOOKUP(P1576,'WORKINGS MATRIX'!$B$200:$C$351,2,FALSE)</f>
        <v>Year</v>
      </c>
      <c r="T1576" s="144">
        <f t="shared" si="144"/>
        <v>0</v>
      </c>
      <c r="U1576" s="144">
        <f t="shared" si="144"/>
        <v>0</v>
      </c>
      <c r="V1576" s="144" t="str">
        <f>IF(S1576="year","",S1576)</f>
        <v/>
      </c>
      <c r="W1576" s="144" t="str">
        <f t="shared" si="145"/>
        <v/>
      </c>
      <c r="X1576" s="144" t="str">
        <f t="shared" si="145"/>
        <v/>
      </c>
      <c r="Y1576" s="144" t="str">
        <f>IF(V1576="","",IF(W1576="",(V1576&amp;"/"&amp;"12"&amp;"/"&amp;"1"),IF(X1576="",(V1576&amp;"/"&amp;W1576&amp;"/"&amp;"1"),(V1576&amp;"/"&amp;W1576&amp;"/"&amp;X1576))))</f>
        <v/>
      </c>
      <c r="Z1576" s="144" t="str">
        <f>IF(Y1576="//","",Y1576)</f>
        <v/>
      </c>
    </row>
    <row r="1577" spans="2:26" ht="18" customHeight="1" x14ac:dyDescent="0.25">
      <c r="B1577" s="441" t="s">
        <v>169</v>
      </c>
      <c r="C1577" s="441"/>
      <c r="D1577" s="442"/>
      <c r="E1577" s="443"/>
      <c r="F1577" s="442"/>
      <c r="G1577" s="443"/>
      <c r="H1577" s="451" t="s">
        <v>170</v>
      </c>
      <c r="I1577" s="452"/>
      <c r="J1577" s="451" t="s">
        <v>171</v>
      </c>
      <c r="K1577" s="452"/>
      <c r="L1577" s="125" t="s">
        <v>166</v>
      </c>
      <c r="M1577" s="125" t="s">
        <v>167</v>
      </c>
      <c r="N1577" s="38"/>
      <c r="P1577" s="144">
        <v>1</v>
      </c>
      <c r="Q1577" s="144">
        <v>1</v>
      </c>
      <c r="R1577" s="144">
        <v>1</v>
      </c>
      <c r="S1577" s="144" t="str">
        <f>VLOOKUP(P1577,'WORKINGS MATRIX'!$B$200:$C$351,2,FALSE)</f>
        <v>Year</v>
      </c>
      <c r="T1577" s="144">
        <f t="shared" si="144"/>
        <v>0</v>
      </c>
      <c r="U1577" s="144">
        <f t="shared" si="144"/>
        <v>0</v>
      </c>
      <c r="V1577" s="144" t="str">
        <f>IF(S1577="year","",S1577)</f>
        <v/>
      </c>
      <c r="W1577" s="144" t="str">
        <f t="shared" si="145"/>
        <v/>
      </c>
      <c r="X1577" s="144" t="str">
        <f t="shared" si="145"/>
        <v/>
      </c>
      <c r="Y1577" s="144" t="str">
        <f>IF(V1577="","",IF(W1577="",(V1577&amp;"/"&amp;"1"&amp;"/"&amp;"1"),IF(X1577="",(V1577&amp;"/"&amp;W1577&amp;"/"&amp;"1"),(V1577&amp;"/"&amp;W1577&amp;"/"&amp;X1577))))</f>
        <v/>
      </c>
      <c r="Z1577" s="144" t="str">
        <f>IF(Y1577="//","",Y1577)</f>
        <v/>
      </c>
    </row>
    <row r="1578" spans="2:26" ht="18" customHeight="1" x14ac:dyDescent="0.25">
      <c r="B1578" s="441" t="s">
        <v>172</v>
      </c>
      <c r="C1578" s="441"/>
      <c r="D1578" s="444" t="str">
        <f>Z1577</f>
        <v/>
      </c>
      <c r="E1578" s="445"/>
      <c r="F1578" s="444" t="str">
        <f>Z1578</f>
        <v/>
      </c>
      <c r="G1578" s="445"/>
      <c r="H1578" s="446">
        <v>1</v>
      </c>
      <c r="I1578" s="447"/>
      <c r="J1578" s="450"/>
      <c r="K1578" s="443"/>
      <c r="L1578" s="206"/>
      <c r="M1578" s="143" t="str">
        <f>Z1576</f>
        <v/>
      </c>
      <c r="N1578" s="38"/>
      <c r="P1578" s="144">
        <v>1</v>
      </c>
      <c r="Q1578" s="144">
        <v>1</v>
      </c>
      <c r="R1578" s="144">
        <v>1</v>
      </c>
      <c r="S1578" s="144" t="str">
        <f>VLOOKUP(P1578,'WORKINGS MATRIX'!$B$200:$C$351,2,FALSE)</f>
        <v>Year</v>
      </c>
      <c r="T1578" s="144">
        <f t="shared" si="144"/>
        <v>0</v>
      </c>
      <c r="U1578" s="144">
        <f t="shared" si="144"/>
        <v>0</v>
      </c>
      <c r="V1578" s="144" t="str">
        <f>IF(S1578="year","",S1578)</f>
        <v/>
      </c>
      <c r="W1578" s="144" t="str">
        <f t="shared" si="145"/>
        <v/>
      </c>
      <c r="X1578" s="144" t="str">
        <f t="shared" si="145"/>
        <v/>
      </c>
      <c r="Y1578" s="144" t="str">
        <f>IF(V1578="","",IF(W1578="",(V1578&amp;"/"&amp;"1"&amp;"/"&amp;"1"),IF(X1578="",(V1578&amp;"/"&amp;W1578&amp;"/"&amp;"1"),(V1578&amp;"/"&amp;W1578&amp;"/"&amp;X1578))))</f>
        <v/>
      </c>
      <c r="Z1578" s="144" t="str">
        <f>IF(Y1578="//","",Y1578)</f>
        <v/>
      </c>
    </row>
    <row r="1579" spans="2:26" x14ac:dyDescent="0.25">
      <c r="N1579" s="38"/>
      <c r="P1579" s="144">
        <v>1</v>
      </c>
      <c r="Q1579" s="144">
        <v>1</v>
      </c>
      <c r="R1579" s="144">
        <v>1</v>
      </c>
      <c r="S1579" s="144" t="str">
        <f>VLOOKUP(P1579,'WORKINGS MATRIX'!$B$200:$C$351,2,FALSE)</f>
        <v>Year</v>
      </c>
      <c r="T1579" s="144">
        <f t="shared" si="144"/>
        <v>0</v>
      </c>
      <c r="U1579" s="144">
        <f t="shared" si="144"/>
        <v>0</v>
      </c>
      <c r="V1579" s="144" t="str">
        <f>IF(S1579="year","",S1579)</f>
        <v/>
      </c>
      <c r="W1579" s="144" t="str">
        <f t="shared" si="145"/>
        <v/>
      </c>
      <c r="X1579" s="144" t="str">
        <f t="shared" si="145"/>
        <v/>
      </c>
      <c r="Y1579" s="144" t="str">
        <f>IF(V1579="","",IF(W1579="",(V1579&amp;"/"&amp;"1"&amp;"/"&amp;"1"),IF(X1579="",(V1579&amp;"/"&amp;W1579&amp;"/"&amp;"1"),(V1579&amp;"/"&amp;W1579&amp;"/"&amp;X1579))))</f>
        <v/>
      </c>
      <c r="Z1579" s="144" t="str">
        <f>IF(Y1579="//","",Y1579)</f>
        <v/>
      </c>
    </row>
    <row r="1588" spans="2:13" x14ac:dyDescent="0.25">
      <c r="B1588" t="s">
        <v>152</v>
      </c>
      <c r="D1588" s="57"/>
      <c r="H1588" s="58"/>
      <c r="K1588" s="21"/>
    </row>
    <row r="1589" spans="2:13" x14ac:dyDescent="0.25">
      <c r="B1589" s="429"/>
      <c r="C1589" s="430"/>
      <c r="D1589" s="430"/>
      <c r="E1589" s="430"/>
      <c r="F1589" s="430"/>
      <c r="G1589" s="430"/>
      <c r="H1589" s="430"/>
      <c r="I1589" s="430"/>
      <c r="J1589" s="430"/>
      <c r="K1589" s="430"/>
      <c r="L1589" s="430"/>
      <c r="M1589" s="431"/>
    </row>
    <row r="1590" spans="2:13" x14ac:dyDescent="0.25">
      <c r="B1590" s="432"/>
      <c r="C1590" s="433"/>
      <c r="D1590" s="433"/>
      <c r="E1590" s="433"/>
      <c r="F1590" s="433"/>
      <c r="G1590" s="433"/>
      <c r="H1590" s="433"/>
      <c r="I1590" s="433"/>
      <c r="J1590" s="433"/>
      <c r="K1590" s="433"/>
      <c r="L1590" s="433"/>
      <c r="M1590" s="434"/>
    </row>
    <row r="1591" spans="2:13" x14ac:dyDescent="0.25">
      <c r="B1591" s="432"/>
      <c r="C1591" s="433"/>
      <c r="D1591" s="433"/>
      <c r="E1591" s="433"/>
      <c r="F1591" s="433"/>
      <c r="G1591" s="433"/>
      <c r="H1591" s="433"/>
      <c r="I1591" s="433"/>
      <c r="J1591" s="433"/>
      <c r="K1591" s="433"/>
      <c r="L1591" s="433"/>
      <c r="M1591" s="434"/>
    </row>
    <row r="1592" spans="2:13" x14ac:dyDescent="0.25">
      <c r="B1592" s="435"/>
      <c r="C1592" s="436"/>
      <c r="D1592" s="436"/>
      <c r="E1592" s="436"/>
      <c r="F1592" s="436"/>
      <c r="G1592" s="436"/>
      <c r="H1592" s="436"/>
      <c r="I1592" s="436"/>
      <c r="J1592" s="436"/>
      <c r="K1592" s="436"/>
      <c r="L1592" s="436"/>
      <c r="M1592" s="437"/>
    </row>
    <row r="1593" spans="2:13" x14ac:dyDescent="0.25">
      <c r="B1593" s="15"/>
      <c r="D1593" s="57"/>
      <c r="H1593" s="58"/>
      <c r="K1593" s="21"/>
    </row>
    <row r="1594" spans="2:13" x14ac:dyDescent="0.25">
      <c r="D1594" s="57"/>
      <c r="H1594" s="58"/>
      <c r="K1594" s="21"/>
    </row>
    <row r="1595" spans="2:13" x14ac:dyDescent="0.25">
      <c r="D1595" s="57"/>
      <c r="H1595" s="58"/>
      <c r="K1595" s="21"/>
    </row>
    <row r="1596" spans="2:13" x14ac:dyDescent="0.25">
      <c r="D1596" s="57"/>
      <c r="E1596" s="149"/>
      <c r="F1596" s="149"/>
      <c r="G1596" s="149"/>
      <c r="H1596" s="149"/>
      <c r="I1596" s="149"/>
      <c r="K1596" s="21"/>
    </row>
    <row r="1597" spans="2:13" x14ac:dyDescent="0.25">
      <c r="D1597" s="57"/>
      <c r="E1597" s="149"/>
      <c r="F1597" s="149"/>
      <c r="G1597" s="149"/>
      <c r="H1597" s="149"/>
      <c r="I1597" s="149"/>
      <c r="K1597" s="438" t="s">
        <v>155</v>
      </c>
      <c r="L1597" s="438"/>
      <c r="M1597" s="438"/>
    </row>
    <row r="1598" spans="2:13" x14ac:dyDescent="0.25">
      <c r="D1598" s="57"/>
      <c r="H1598" s="58"/>
      <c r="K1598" s="438"/>
      <c r="L1598" s="438"/>
      <c r="M1598" s="438"/>
    </row>
    <row r="1599" spans="2:13" x14ac:dyDescent="0.25">
      <c r="D1599" s="57"/>
      <c r="E1599" s="149"/>
      <c r="F1599" s="149"/>
      <c r="G1599" s="149"/>
      <c r="H1599" s="149"/>
      <c r="I1599" s="149"/>
      <c r="K1599" s="438"/>
      <c r="L1599" s="438"/>
      <c r="M1599" s="438"/>
    </row>
    <row r="1600" spans="2:13" x14ac:dyDescent="0.25">
      <c r="D1600" s="57"/>
      <c r="E1600" s="149"/>
      <c r="F1600" s="149"/>
      <c r="G1600" s="149"/>
      <c r="H1600" s="149"/>
      <c r="I1600" s="149"/>
      <c r="K1600" s="438"/>
      <c r="L1600" s="438"/>
      <c r="M1600" s="438"/>
    </row>
    <row r="1603" spans="2:2" x14ac:dyDescent="0.25">
      <c r="B1603" s="24" t="s">
        <v>128</v>
      </c>
    </row>
    <row r="1636" spans="2:33" ht="13.8" thickBot="1" x14ac:dyDescent="0.3">
      <c r="B1636">
        <f>$D$1</f>
        <v>0</v>
      </c>
      <c r="C1636" s="73" t="s">
        <v>128</v>
      </c>
      <c r="D1636" s="25" t="s">
        <v>129</v>
      </c>
      <c r="P1636" s="144"/>
      <c r="Q1636" s="144"/>
      <c r="R1636" s="144"/>
      <c r="S1636" s="144"/>
      <c r="T1636" s="144"/>
      <c r="U1636" s="144"/>
      <c r="V1636" s="144"/>
      <c r="W1636" s="144"/>
      <c r="X1636" s="144"/>
      <c r="Y1636" s="144"/>
      <c r="Z1636" s="144"/>
      <c r="AC1636" s="158"/>
      <c r="AD1636" s="158"/>
      <c r="AE1636" s="158"/>
      <c r="AF1636" s="158"/>
      <c r="AG1636" s="158"/>
    </row>
    <row r="1637" spans="2:33" ht="13.8" thickTop="1" x14ac:dyDescent="0.25">
      <c r="B1637" s="27" t="s">
        <v>131</v>
      </c>
      <c r="C1637" s="28"/>
      <c r="D1637" s="29" t="s">
        <v>132</v>
      </c>
      <c r="E1637" s="27" t="str">
        <f>J126</f>
        <v/>
      </c>
      <c r="F1637" s="30" t="str">
        <f>IF(L126=0,"NOT REQUIRED", IF(L126="Man","MANAGERIAL POSITION","NON-MANAGERIAL POSITION"))</f>
        <v>NON-MANAGERIAL POSITION</v>
      </c>
      <c r="G1637" s="28"/>
      <c r="H1637" s="308" t="s">
        <v>199</v>
      </c>
      <c r="I1637" s="31"/>
      <c r="J1637" s="27"/>
      <c r="K1637" s="28"/>
      <c r="L1637" s="31" t="s">
        <v>133</v>
      </c>
      <c r="M1637" s="28"/>
      <c r="N1637" s="32"/>
      <c r="P1637" s="144"/>
      <c r="Q1637" s="144"/>
      <c r="R1637" s="144"/>
      <c r="S1637" s="144"/>
      <c r="T1637" s="144"/>
      <c r="U1637" s="144"/>
      <c r="V1637" s="144"/>
      <c r="W1637" s="144"/>
      <c r="X1637" s="144"/>
      <c r="Y1637" s="144"/>
      <c r="Z1637" s="144"/>
      <c r="AC1637" s="158"/>
      <c r="AD1637" s="158"/>
      <c r="AE1637" s="158"/>
      <c r="AF1637" s="158"/>
      <c r="AG1637" s="158"/>
    </row>
    <row r="1638" spans="2:33" x14ac:dyDescent="0.25">
      <c r="E1638" s="34"/>
      <c r="F1638" s="35"/>
      <c r="G1638" s="36"/>
      <c r="I1638" s="10"/>
      <c r="J1638" s="37"/>
      <c r="N1638" s="38"/>
      <c r="P1638" s="144"/>
      <c r="Q1638" s="144"/>
      <c r="R1638" s="144"/>
      <c r="S1638" s="144"/>
      <c r="T1638" s="144"/>
      <c r="U1638" s="144"/>
      <c r="V1638" s="144"/>
      <c r="W1638" s="144"/>
      <c r="X1638" s="144"/>
      <c r="Y1638" s="144"/>
      <c r="Z1638" s="144"/>
      <c r="AC1638" s="158"/>
      <c r="AD1638" s="158"/>
      <c r="AE1638" s="158"/>
      <c r="AF1638" s="158"/>
      <c r="AG1638" s="158"/>
    </row>
    <row r="1639" spans="2:33" x14ac:dyDescent="0.25">
      <c r="B1639" t="s">
        <v>134</v>
      </c>
      <c r="L1639" s="465" t="str">
        <f>$L$39</f>
        <v>X.002-218-2024(NT)&amp;N.004-116-2024(T)</v>
      </c>
      <c r="M1639" s="465"/>
      <c r="N1639" s="38"/>
      <c r="P1639" s="144"/>
      <c r="Q1639" s="144"/>
      <c r="R1639" s="144"/>
      <c r="S1639" s="144"/>
      <c r="T1639" s="144"/>
      <c r="U1639" s="144"/>
      <c r="V1639" s="144"/>
      <c r="W1639" s="144"/>
      <c r="X1639" s="144"/>
      <c r="Y1639" s="144"/>
      <c r="Z1639" s="144"/>
      <c r="AC1639" s="158"/>
      <c r="AD1639" s="158"/>
      <c r="AE1639" s="158"/>
      <c r="AF1639" s="158"/>
      <c r="AG1639" s="158"/>
    </row>
    <row r="1640" spans="2:33" ht="24.75" customHeight="1" x14ac:dyDescent="0.25">
      <c r="B1640" s="39" t="s">
        <v>135</v>
      </c>
      <c r="C1640" s="40"/>
      <c r="D1640" s="41"/>
      <c r="E1640" s="427" t="s">
        <v>136</v>
      </c>
      <c r="F1640" s="428"/>
      <c r="G1640" s="39" t="s">
        <v>137</v>
      </c>
      <c r="H1640" s="41"/>
      <c r="I1640" s="39" t="s">
        <v>138</v>
      </c>
      <c r="J1640" s="41"/>
      <c r="K1640" s="42"/>
      <c r="L1640" s="465"/>
      <c r="M1640" s="465"/>
      <c r="N1640" s="38"/>
      <c r="P1640" s="144"/>
      <c r="Q1640" s="144"/>
      <c r="R1640" s="144"/>
      <c r="S1640" s="144"/>
      <c r="T1640" s="144"/>
      <c r="U1640" s="144"/>
      <c r="V1640" s="144"/>
      <c r="W1640" s="144"/>
      <c r="X1640" s="144"/>
      <c r="Y1640" s="144"/>
      <c r="Z1640" s="144"/>
      <c r="AC1640" s="158"/>
      <c r="AD1640" s="158"/>
      <c r="AE1640" s="158"/>
      <c r="AF1640" s="158"/>
      <c r="AG1640" s="158"/>
    </row>
    <row r="1641" spans="2:33" ht="18" customHeight="1" x14ac:dyDescent="0.25">
      <c r="B1641" s="194"/>
      <c r="C1641" s="195"/>
      <c r="D1641" s="196"/>
      <c r="E1641" s="425"/>
      <c r="F1641" s="426"/>
      <c r="G1641" s="43" t="str">
        <f>K126</f>
        <v/>
      </c>
      <c r="H1641" s="44"/>
      <c r="I1641" s="197"/>
      <c r="J1641" s="198"/>
      <c r="K1641" s="45"/>
      <c r="N1641" s="38"/>
      <c r="P1641" s="144">
        <v>1</v>
      </c>
      <c r="Q1641" s="144">
        <v>1</v>
      </c>
      <c r="R1641" s="144">
        <v>1</v>
      </c>
      <c r="S1641" s="144" t="str">
        <f>VLOOKUP(P1641,'WORKINGS MATRIX'!$H$200:$I$351,2,FALSE)</f>
        <v>Year</v>
      </c>
      <c r="T1641" s="144">
        <f>Q1641-1</f>
        <v>0</v>
      </c>
      <c r="U1641" s="144">
        <f>R1641-1</f>
        <v>0</v>
      </c>
      <c r="V1641" s="144" t="str">
        <f>IF(S1641="year","",S1641)</f>
        <v/>
      </c>
      <c r="W1641" s="144" t="str">
        <f>IF(T1641=0,"",T1641)</f>
        <v/>
      </c>
      <c r="X1641" s="144" t="str">
        <f>IF(U1641=0,"",U1641)</f>
        <v/>
      </c>
      <c r="Y1641" s="144" t="str">
        <f>IF(V1641="","",IF(W1641="",(V1641&amp;"/"&amp;"1"&amp;"/"&amp;"1"),IF(X1641="",(V1641&amp;"/"&amp;W1641&amp;"/"&amp;"1"),(V1641&amp;"/"&amp;W1641&amp;"/"&amp;X1641))))</f>
        <v/>
      </c>
      <c r="Z1641" s="144" t="str">
        <f>IF(Y1641="//","",Y1641)</f>
        <v/>
      </c>
      <c r="AC1641" s="158"/>
      <c r="AD1641" s="158"/>
      <c r="AE1641" s="158"/>
      <c r="AF1641" s="158"/>
      <c r="AG1641" s="158"/>
    </row>
    <row r="1642" spans="2:33" x14ac:dyDescent="0.25">
      <c r="E1642" t="str">
        <f>IF(E1641="","",IF(LEN(E1641)=13,"","ID NUMBER SHOULD BE 13 DIGITS"))</f>
        <v/>
      </c>
      <c r="N1642" s="38"/>
      <c r="P1642" s="144"/>
      <c r="Q1642" s="144"/>
      <c r="R1642" s="144"/>
      <c r="S1642" s="144"/>
      <c r="T1642" s="144"/>
      <c r="U1642" s="144"/>
      <c r="V1642" s="144"/>
      <c r="W1642" s="144"/>
      <c r="X1642" s="144"/>
      <c r="Y1642" s="144"/>
      <c r="Z1642" s="144"/>
      <c r="AC1642" s="158"/>
      <c r="AD1642" s="158"/>
      <c r="AE1642" s="158"/>
      <c r="AF1642" s="158"/>
      <c r="AG1642" s="158"/>
    </row>
    <row r="1643" spans="2:33" x14ac:dyDescent="0.25">
      <c r="G1643" s="170" t="str">
        <f>IF(AG1646=0,"","DATES BEYOND TENDER CLOSING DATE - PLEASE CHECK")</f>
        <v/>
      </c>
      <c r="N1643" s="38"/>
      <c r="P1643" s="144"/>
      <c r="Q1643" s="144"/>
      <c r="R1643" s="144"/>
      <c r="S1643" s="144"/>
      <c r="T1643" s="144"/>
      <c r="U1643" s="144"/>
      <c r="V1643" s="144"/>
      <c r="W1643" s="144"/>
      <c r="X1643" s="144"/>
      <c r="Y1643" s="144"/>
      <c r="Z1643" s="144"/>
      <c r="AC1643" s="158"/>
      <c r="AD1643" s="158"/>
      <c r="AE1643" s="158"/>
      <c r="AF1643" s="158"/>
      <c r="AG1643" s="158"/>
    </row>
    <row r="1644" spans="2:33" x14ac:dyDescent="0.25">
      <c r="B1644" t="s">
        <v>139</v>
      </c>
      <c r="G1644" s="170" t="str">
        <f>IF(AE1646=0,"","DATES INCORRECT OR INCOMPLETE - PLEASE CHECK")</f>
        <v/>
      </c>
      <c r="N1644" s="38"/>
      <c r="P1644" s="144"/>
      <c r="Q1644" s="144"/>
      <c r="R1644" s="144"/>
      <c r="S1644" s="144"/>
      <c r="T1644" s="144"/>
      <c r="U1644" s="144"/>
      <c r="V1644" s="144"/>
      <c r="W1644" s="144"/>
      <c r="X1644" s="144"/>
      <c r="Y1644" s="144"/>
      <c r="Z1644" s="144"/>
      <c r="AC1644" s="158"/>
      <c r="AD1644" s="158"/>
      <c r="AE1644" s="158"/>
      <c r="AF1644" s="158"/>
      <c r="AG1644" s="158"/>
    </row>
    <row r="1645" spans="2:33" x14ac:dyDescent="0.25">
      <c r="B1645" s="15" t="s">
        <v>140</v>
      </c>
      <c r="N1645" s="38"/>
      <c r="P1645" s="144"/>
      <c r="Q1645" s="144"/>
      <c r="R1645" s="144"/>
      <c r="S1645" s="144"/>
      <c r="T1645" s="144"/>
      <c r="U1645" s="144"/>
      <c r="V1645" s="144"/>
      <c r="W1645" s="144"/>
      <c r="X1645" s="144"/>
      <c r="Y1645" s="144"/>
      <c r="Z1645" s="144"/>
      <c r="AC1645" s="158"/>
      <c r="AD1645" s="158"/>
      <c r="AE1645" s="158"/>
      <c r="AF1645" s="158"/>
      <c r="AG1645" s="158"/>
    </row>
    <row r="1646" spans="2:33" ht="66" x14ac:dyDescent="0.25">
      <c r="B1646" s="47" t="s">
        <v>141</v>
      </c>
      <c r="C1646" s="48" t="s">
        <v>142</v>
      </c>
      <c r="D1646" s="44"/>
      <c r="E1646" s="470" t="s">
        <v>143</v>
      </c>
      <c r="F1646" s="471"/>
      <c r="G1646" s="157" t="s">
        <v>144</v>
      </c>
      <c r="H1646" s="157" t="s">
        <v>145</v>
      </c>
      <c r="I1646" s="385" t="s">
        <v>146</v>
      </c>
      <c r="J1646" s="49" t="s">
        <v>147</v>
      </c>
      <c r="K1646" s="50" t="s">
        <v>148</v>
      </c>
      <c r="L1646" s="385" t="s">
        <v>149</v>
      </c>
      <c r="M1646" s="49" t="s">
        <v>150</v>
      </c>
      <c r="N1646" s="51"/>
      <c r="O1646" s="386"/>
      <c r="P1646" s="147"/>
      <c r="Q1646" s="144"/>
      <c r="R1646" s="144"/>
      <c r="S1646" s="145"/>
      <c r="T1646" s="145"/>
      <c r="U1646" s="145"/>
      <c r="V1646" s="145"/>
      <c r="W1646" s="145"/>
      <c r="X1646" s="145"/>
      <c r="Y1646" s="145"/>
      <c r="Z1646" s="145"/>
      <c r="AC1646" s="165"/>
      <c r="AD1646" s="165"/>
      <c r="AE1646" s="165">
        <f>SUM(AE1647:AE1651)</f>
        <v>0</v>
      </c>
      <c r="AF1646" s="165"/>
      <c r="AG1646" s="165">
        <f>SUM(AG1647:AG1651)</f>
        <v>0</v>
      </c>
    </row>
    <row r="1647" spans="2:33" ht="25.5" customHeight="1" x14ac:dyDescent="0.25">
      <c r="B1647" s="200"/>
      <c r="C1647" s="53">
        <v>8</v>
      </c>
      <c r="D1647" s="54"/>
      <c r="E1647" s="55"/>
      <c r="F1647" s="55">
        <v>1</v>
      </c>
      <c r="G1647" s="143" t="str">
        <f>Z1647</f>
        <v/>
      </c>
      <c r="H1647" s="143" t="str">
        <f>Z1652</f>
        <v/>
      </c>
      <c r="I1647" s="202"/>
      <c r="J1647" s="203"/>
      <c r="K1647" s="56">
        <v>23</v>
      </c>
      <c r="L1647" s="204"/>
      <c r="M1647" s="205"/>
      <c r="N1647" s="164">
        <f>IF(G1647="",0,IF(H1647="",0,(ROUND(((H1647-G1647)/30),0))))</f>
        <v>0</v>
      </c>
      <c r="O1647" s="21"/>
      <c r="P1647" s="148">
        <v>1</v>
      </c>
      <c r="Q1647" s="144">
        <v>1</v>
      </c>
      <c r="R1647" s="144">
        <v>1</v>
      </c>
      <c r="S1647" s="144" t="str">
        <f>VLOOKUP(P1647,'WORKINGS MATRIX'!$B$200:$C$351,2,FALSE)</f>
        <v>Year</v>
      </c>
      <c r="T1647" s="144">
        <f t="shared" ref="T1647:U1651" si="146">Q1647-1</f>
        <v>0</v>
      </c>
      <c r="U1647" s="144">
        <f t="shared" si="146"/>
        <v>0</v>
      </c>
      <c r="V1647" s="144" t="str">
        <f t="shared" ref="V1647:V1656" si="147">IF(S1647="year","",S1647)</f>
        <v/>
      </c>
      <c r="W1647" s="144" t="str">
        <f t="shared" ref="W1647:X1651" si="148">IF(T1647=0,"",T1647)</f>
        <v/>
      </c>
      <c r="X1647" s="144" t="str">
        <f t="shared" si="148"/>
        <v/>
      </c>
      <c r="Y1647" s="144" t="str">
        <f t="shared" ref="Y1647:Y1656" si="149">IF(V1647="","",IF(W1647="",(V1647&amp;"/"&amp;"1"&amp;"/"&amp;"1"),IF(X1647="",(V1647&amp;"/"&amp;W1647&amp;"/"&amp;"1"),(V1647&amp;"/"&amp;W1647&amp;"/"&amp;X1647))))</f>
        <v/>
      </c>
      <c r="Z1647" s="144" t="str">
        <f t="shared" ref="Z1647:Z1656" si="150">IF(Y1647="//","",Y1647)</f>
        <v/>
      </c>
      <c r="AC1647" s="172">
        <f>IF(B1647="",0,1)</f>
        <v>0</v>
      </c>
      <c r="AD1647" s="172">
        <f>IF(B1647="",0,IF(N1647&gt;0,1,IF(N1647&lt;0,2,0)))</f>
        <v>0</v>
      </c>
      <c r="AE1647" s="172">
        <f>IF(AC1647=AD1647,0,IF(AC1647&gt;AD1647,2,1))</f>
        <v>0</v>
      </c>
      <c r="AF1647" s="172">
        <f>IF(B1647="",0,IF(N1647=0,0,H1647-$F$125))</f>
        <v>0</v>
      </c>
      <c r="AG1647" s="172">
        <f>IF(AF1647&gt;0,1,0)</f>
        <v>0</v>
      </c>
    </row>
    <row r="1648" spans="2:33" ht="25.5" customHeight="1" x14ac:dyDescent="0.25">
      <c r="B1648" s="200"/>
      <c r="C1648" s="53">
        <v>8</v>
      </c>
      <c r="D1648" s="54"/>
      <c r="E1648" s="55"/>
      <c r="F1648" s="55">
        <v>1</v>
      </c>
      <c r="G1648" s="143" t="str">
        <f>Z1648</f>
        <v/>
      </c>
      <c r="H1648" s="143" t="str">
        <f>Z1653</f>
        <v/>
      </c>
      <c r="I1648" s="202"/>
      <c r="J1648" s="203"/>
      <c r="K1648" s="56">
        <v>23</v>
      </c>
      <c r="L1648" s="204"/>
      <c r="M1648" s="205"/>
      <c r="N1648" s="164">
        <f>IF(G1648="",0,IF(H1648="",0,(ROUND(((H1648-G1648)/30),0))))</f>
        <v>0</v>
      </c>
      <c r="O1648" s="21"/>
      <c r="P1648" s="148">
        <v>1</v>
      </c>
      <c r="Q1648" s="144">
        <v>1</v>
      </c>
      <c r="R1648" s="144">
        <v>1</v>
      </c>
      <c r="S1648" s="144" t="str">
        <f>VLOOKUP(P1648,'WORKINGS MATRIX'!$B$200:$C$351,2,FALSE)</f>
        <v>Year</v>
      </c>
      <c r="T1648" s="144">
        <f t="shared" si="146"/>
        <v>0</v>
      </c>
      <c r="U1648" s="144">
        <f t="shared" si="146"/>
        <v>0</v>
      </c>
      <c r="V1648" s="144" t="str">
        <f t="shared" si="147"/>
        <v/>
      </c>
      <c r="W1648" s="144" t="str">
        <f t="shared" si="148"/>
        <v/>
      </c>
      <c r="X1648" s="144" t="str">
        <f t="shared" si="148"/>
        <v/>
      </c>
      <c r="Y1648" s="144" t="str">
        <f t="shared" si="149"/>
        <v/>
      </c>
      <c r="Z1648" s="144" t="str">
        <f t="shared" si="150"/>
        <v/>
      </c>
      <c r="AC1648" s="172">
        <f>IF(B1648="",0,1)</f>
        <v>0</v>
      </c>
      <c r="AD1648" s="172">
        <f>IF(B1648="",0,IF(N1648&gt;0,1,IF(N1648&lt;0,2,0)))</f>
        <v>0</v>
      </c>
      <c r="AE1648" s="172">
        <f>IF(AC1648=AD1648,0,IF(AC1648&gt;AD1648,2,1))</f>
        <v>0</v>
      </c>
      <c r="AF1648" s="172">
        <f>IF(B1648="",0,IF(N1648=0,0,H1648-$F$125))</f>
        <v>0</v>
      </c>
      <c r="AG1648" s="172">
        <f>IF(AF1648&gt;0,1,0)</f>
        <v>0</v>
      </c>
    </row>
    <row r="1649" spans="2:33" ht="25.5" customHeight="1" x14ac:dyDescent="0.25">
      <c r="B1649" s="200"/>
      <c r="C1649" s="53">
        <v>8</v>
      </c>
      <c r="D1649" s="54"/>
      <c r="E1649" s="55"/>
      <c r="F1649" s="55">
        <v>1</v>
      </c>
      <c r="G1649" s="143" t="str">
        <f>Z1649</f>
        <v/>
      </c>
      <c r="H1649" s="143" t="str">
        <f>Z1654</f>
        <v/>
      </c>
      <c r="I1649" s="202"/>
      <c r="J1649" s="203"/>
      <c r="K1649" s="56">
        <v>23</v>
      </c>
      <c r="L1649" s="204"/>
      <c r="M1649" s="205"/>
      <c r="N1649" s="164">
        <f>IF(G1649="",0,IF(H1649="",0,(ROUND(((H1649-G1649)/30),0))))</f>
        <v>0</v>
      </c>
      <c r="O1649" s="21"/>
      <c r="P1649" s="148">
        <v>1</v>
      </c>
      <c r="Q1649" s="144">
        <v>1</v>
      </c>
      <c r="R1649" s="144">
        <v>1</v>
      </c>
      <c r="S1649" s="144" t="str">
        <f>VLOOKUP(P1649,'WORKINGS MATRIX'!$B$200:$C$351,2,FALSE)</f>
        <v>Year</v>
      </c>
      <c r="T1649" s="144">
        <f t="shared" si="146"/>
        <v>0</v>
      </c>
      <c r="U1649" s="144">
        <f t="shared" si="146"/>
        <v>0</v>
      </c>
      <c r="V1649" s="144" t="str">
        <f t="shared" si="147"/>
        <v/>
      </c>
      <c r="W1649" s="144" t="str">
        <f t="shared" si="148"/>
        <v/>
      </c>
      <c r="X1649" s="144" t="str">
        <f t="shared" si="148"/>
        <v/>
      </c>
      <c r="Y1649" s="144" t="str">
        <f t="shared" si="149"/>
        <v/>
      </c>
      <c r="Z1649" s="144" t="str">
        <f t="shared" si="150"/>
        <v/>
      </c>
      <c r="AC1649" s="172">
        <f>IF(B1649="",0,1)</f>
        <v>0</v>
      </c>
      <c r="AD1649" s="172">
        <f>IF(B1649="",0,IF(N1649&gt;0,1,IF(N1649&lt;0,2,0)))</f>
        <v>0</v>
      </c>
      <c r="AE1649" s="172">
        <f>IF(AC1649=AD1649,0,IF(AC1649&gt;AD1649,2,1))</f>
        <v>0</v>
      </c>
      <c r="AF1649" s="172">
        <f>IF(B1649="",0,IF(N1649=0,0,H1649-$F$125))</f>
        <v>0</v>
      </c>
      <c r="AG1649" s="172">
        <f>IF(AF1649&gt;0,1,0)</f>
        <v>0</v>
      </c>
    </row>
    <row r="1650" spans="2:33" ht="25.5" customHeight="1" x14ac:dyDescent="0.25">
      <c r="B1650" s="255"/>
      <c r="C1650" s="255"/>
      <c r="D1650" s="255"/>
      <c r="E1650" s="255"/>
      <c r="F1650" s="255"/>
      <c r="G1650" s="255"/>
      <c r="H1650" s="255"/>
      <c r="I1650" s="255"/>
      <c r="J1650" s="255"/>
      <c r="K1650" s="255"/>
      <c r="L1650" s="255"/>
      <c r="M1650" s="255"/>
      <c r="N1650" s="164">
        <f>IF(G1650="",0,IF(H1650="",0,(ROUND(((H1650-G1650)/30),0))))</f>
        <v>0</v>
      </c>
      <c r="O1650" s="21"/>
      <c r="P1650" s="148">
        <v>1</v>
      </c>
      <c r="Q1650" s="144">
        <v>1</v>
      </c>
      <c r="R1650" s="144">
        <v>1</v>
      </c>
      <c r="S1650" s="144" t="str">
        <f>VLOOKUP(P1650,'WORKINGS MATRIX'!$B$200:$C$351,2,FALSE)</f>
        <v>Year</v>
      </c>
      <c r="T1650" s="144">
        <f t="shared" si="146"/>
        <v>0</v>
      </c>
      <c r="U1650" s="144">
        <f t="shared" si="146"/>
        <v>0</v>
      </c>
      <c r="V1650" s="144" t="str">
        <f t="shared" si="147"/>
        <v/>
      </c>
      <c r="W1650" s="144" t="str">
        <f t="shared" si="148"/>
        <v/>
      </c>
      <c r="X1650" s="144" t="str">
        <f t="shared" si="148"/>
        <v/>
      </c>
      <c r="Y1650" s="144" t="str">
        <f t="shared" si="149"/>
        <v/>
      </c>
      <c r="Z1650" s="144" t="str">
        <f t="shared" si="150"/>
        <v/>
      </c>
      <c r="AC1650" s="172">
        <f>IF(B1650="",0,1)</f>
        <v>0</v>
      </c>
      <c r="AD1650" s="172">
        <f>IF(B1650="",0,IF(N1650&gt;0,1,IF(N1650&lt;0,2,0)))</f>
        <v>0</v>
      </c>
      <c r="AE1650" s="172">
        <f>IF(AC1650=AD1650,0,IF(AC1650&gt;AD1650,2,1))</f>
        <v>0</v>
      </c>
      <c r="AF1650" s="172">
        <f>IF(B1650="",0,IF(N1650=0,0,H1650-$F$125))</f>
        <v>0</v>
      </c>
      <c r="AG1650" s="172">
        <f>IF(AF1650&gt;0,1,0)</f>
        <v>0</v>
      </c>
    </row>
    <row r="1651" spans="2:33" ht="25.5" customHeight="1" x14ac:dyDescent="0.25">
      <c r="B1651" s="149"/>
      <c r="C1651" s="149"/>
      <c r="D1651" s="149"/>
      <c r="E1651" s="149"/>
      <c r="F1651" s="149"/>
      <c r="G1651" s="149"/>
      <c r="H1651" s="149"/>
      <c r="I1651" s="149"/>
      <c r="J1651" s="149"/>
      <c r="K1651" s="149"/>
      <c r="L1651" s="149"/>
      <c r="M1651" s="149"/>
      <c r="N1651" s="164">
        <f>IF(G1651="",0,IF(H1651="",0,(ROUND(((H1651-G1651)/30),0))))</f>
        <v>0</v>
      </c>
      <c r="O1651" s="21"/>
      <c r="P1651" s="148">
        <v>1</v>
      </c>
      <c r="Q1651" s="144">
        <v>1</v>
      </c>
      <c r="R1651" s="144">
        <v>1</v>
      </c>
      <c r="S1651" s="144" t="str">
        <f>VLOOKUP(P1651,'WORKINGS MATRIX'!$B$200:$C$351,2,FALSE)</f>
        <v>Year</v>
      </c>
      <c r="T1651" s="144">
        <f t="shared" si="146"/>
        <v>0</v>
      </c>
      <c r="U1651" s="144">
        <f t="shared" si="146"/>
        <v>0</v>
      </c>
      <c r="V1651" s="144" t="str">
        <f t="shared" si="147"/>
        <v/>
      </c>
      <c r="W1651" s="144" t="str">
        <f t="shared" si="148"/>
        <v/>
      </c>
      <c r="X1651" s="144" t="str">
        <f t="shared" si="148"/>
        <v/>
      </c>
      <c r="Y1651" s="144" t="str">
        <f t="shared" si="149"/>
        <v/>
      </c>
      <c r="Z1651" s="144" t="str">
        <f t="shared" si="150"/>
        <v/>
      </c>
      <c r="AC1651" s="172">
        <f>IF(B1651="",0,1)</f>
        <v>0</v>
      </c>
      <c r="AD1651" s="172">
        <f>IF(B1651="",0,IF(N1651&gt;0,1,IF(N1651&lt;0,2,0)))</f>
        <v>0</v>
      </c>
      <c r="AE1651" s="172">
        <f>IF(AC1651=AD1651,0,IF(AC1651&gt;AD1651,2,1))</f>
        <v>0</v>
      </c>
      <c r="AF1651" s="172">
        <f>IF(B1651="",0,IF(N1651=0,0,H1651-$F$125))</f>
        <v>0</v>
      </c>
      <c r="AG1651" s="172">
        <f>IF(AF1651&gt;0,1,0)</f>
        <v>0</v>
      </c>
    </row>
    <row r="1652" spans="2:33" x14ac:dyDescent="0.25">
      <c r="D1652" s="57"/>
      <c r="H1652" s="58"/>
      <c r="K1652" s="21"/>
      <c r="N1652" s="38"/>
      <c r="O1652" s="58"/>
      <c r="P1652" s="134">
        <v>1</v>
      </c>
      <c r="Q1652" s="144">
        <v>1</v>
      </c>
      <c r="R1652" s="144">
        <v>1</v>
      </c>
      <c r="S1652" s="144" t="str">
        <f>VLOOKUP(P1652,'WORKINGS MATRIX'!$B$200:$C$351,2,FALSE)</f>
        <v>Year</v>
      </c>
      <c r="T1652" s="144">
        <f t="shared" ref="T1652:U1656" si="151">Q1652-1</f>
        <v>0</v>
      </c>
      <c r="U1652" s="144">
        <f t="shared" si="151"/>
        <v>0</v>
      </c>
      <c r="V1652" s="144" t="str">
        <f t="shared" si="147"/>
        <v/>
      </c>
      <c r="W1652" s="144" t="str">
        <f t="shared" ref="W1652:X1656" si="152">IF(T1652=0,"",T1652)</f>
        <v/>
      </c>
      <c r="X1652" s="144" t="str">
        <f t="shared" si="152"/>
        <v/>
      </c>
      <c r="Y1652" s="144" t="str">
        <f t="shared" si="149"/>
        <v/>
      </c>
      <c r="Z1652" s="144" t="str">
        <f t="shared" si="150"/>
        <v/>
      </c>
      <c r="AC1652" s="158"/>
      <c r="AD1652" s="158"/>
      <c r="AE1652" s="158"/>
      <c r="AF1652" s="158"/>
      <c r="AG1652" s="158"/>
    </row>
    <row r="1653" spans="2:33" x14ac:dyDescent="0.25">
      <c r="B1653" t="s">
        <v>152</v>
      </c>
      <c r="D1653" s="57"/>
      <c r="H1653" s="58"/>
      <c r="K1653" s="21"/>
      <c r="N1653" s="38"/>
      <c r="O1653" s="58"/>
      <c r="P1653" s="144">
        <v>1</v>
      </c>
      <c r="Q1653" s="144">
        <v>1</v>
      </c>
      <c r="R1653" s="144">
        <v>1</v>
      </c>
      <c r="S1653" s="144" t="str">
        <f>VLOOKUP(P1653,'WORKINGS MATRIX'!$B$200:$C$351,2,FALSE)</f>
        <v>Year</v>
      </c>
      <c r="T1653" s="144">
        <f t="shared" si="151"/>
        <v>0</v>
      </c>
      <c r="U1653" s="144">
        <f t="shared" si="151"/>
        <v>0</v>
      </c>
      <c r="V1653" s="144" t="str">
        <f t="shared" si="147"/>
        <v/>
      </c>
      <c r="W1653" s="144" t="str">
        <f t="shared" si="152"/>
        <v/>
      </c>
      <c r="X1653" s="144" t="str">
        <f t="shared" si="152"/>
        <v/>
      </c>
      <c r="Y1653" s="144" t="str">
        <f t="shared" si="149"/>
        <v/>
      </c>
      <c r="Z1653" s="144" t="str">
        <f t="shared" si="150"/>
        <v/>
      </c>
      <c r="AC1653" s="158"/>
      <c r="AD1653" s="158"/>
      <c r="AE1653" s="158"/>
      <c r="AF1653" s="158"/>
      <c r="AG1653" s="158"/>
    </row>
    <row r="1654" spans="2:33" x14ac:dyDescent="0.25">
      <c r="B1654" s="429"/>
      <c r="C1654" s="430"/>
      <c r="D1654" s="430"/>
      <c r="E1654" s="430"/>
      <c r="F1654" s="430"/>
      <c r="G1654" s="430"/>
      <c r="H1654" s="430"/>
      <c r="I1654" s="430"/>
      <c r="J1654" s="430"/>
      <c r="K1654" s="430"/>
      <c r="L1654" s="430"/>
      <c r="M1654" s="431"/>
      <c r="N1654" s="38"/>
      <c r="O1654" s="58"/>
      <c r="P1654" s="144">
        <v>1</v>
      </c>
      <c r="Q1654" s="144">
        <v>1</v>
      </c>
      <c r="R1654" s="144">
        <v>1</v>
      </c>
      <c r="S1654" s="144" t="str">
        <f>VLOOKUP(P1654,'WORKINGS MATRIX'!$B$200:$C$351,2,FALSE)</f>
        <v>Year</v>
      </c>
      <c r="T1654" s="144">
        <f t="shared" si="151"/>
        <v>0</v>
      </c>
      <c r="U1654" s="144">
        <f t="shared" si="151"/>
        <v>0</v>
      </c>
      <c r="V1654" s="144" t="str">
        <f t="shared" si="147"/>
        <v/>
      </c>
      <c r="W1654" s="144" t="str">
        <f t="shared" si="152"/>
        <v/>
      </c>
      <c r="X1654" s="144" t="str">
        <f t="shared" si="152"/>
        <v/>
      </c>
      <c r="Y1654" s="144" t="str">
        <f t="shared" si="149"/>
        <v/>
      </c>
      <c r="Z1654" s="144" t="str">
        <f t="shared" si="150"/>
        <v/>
      </c>
      <c r="AC1654" s="158"/>
      <c r="AD1654" s="158"/>
      <c r="AE1654" s="158"/>
      <c r="AF1654" s="158"/>
      <c r="AG1654" s="158"/>
    </row>
    <row r="1655" spans="2:33" x14ac:dyDescent="0.25">
      <c r="B1655" s="432"/>
      <c r="C1655" s="433"/>
      <c r="D1655" s="433"/>
      <c r="E1655" s="433"/>
      <c r="F1655" s="433"/>
      <c r="G1655" s="433"/>
      <c r="H1655" s="433"/>
      <c r="I1655" s="433"/>
      <c r="J1655" s="433"/>
      <c r="K1655" s="433"/>
      <c r="L1655" s="433"/>
      <c r="M1655" s="434"/>
      <c r="N1655" s="38"/>
      <c r="O1655" s="58"/>
      <c r="P1655" s="144">
        <v>1</v>
      </c>
      <c r="Q1655" s="144">
        <v>1</v>
      </c>
      <c r="R1655" s="144">
        <v>1</v>
      </c>
      <c r="S1655" s="144" t="str">
        <f>VLOOKUP(P1655,'WORKINGS MATRIX'!$B$200:$C$351,2,FALSE)</f>
        <v>Year</v>
      </c>
      <c r="T1655" s="144">
        <f t="shared" si="151"/>
        <v>0</v>
      </c>
      <c r="U1655" s="144">
        <f t="shared" si="151"/>
        <v>0</v>
      </c>
      <c r="V1655" s="144" t="str">
        <f t="shared" si="147"/>
        <v/>
      </c>
      <c r="W1655" s="144" t="str">
        <f t="shared" si="152"/>
        <v/>
      </c>
      <c r="X1655" s="144" t="str">
        <f t="shared" si="152"/>
        <v/>
      </c>
      <c r="Y1655" s="144" t="str">
        <f t="shared" si="149"/>
        <v/>
      </c>
      <c r="Z1655" s="144" t="str">
        <f t="shared" si="150"/>
        <v/>
      </c>
      <c r="AC1655" s="158"/>
      <c r="AD1655" s="158"/>
      <c r="AE1655" s="158"/>
      <c r="AF1655" s="158"/>
      <c r="AG1655" s="158"/>
    </row>
    <row r="1656" spans="2:33" x14ac:dyDescent="0.25">
      <c r="B1656" s="432"/>
      <c r="C1656" s="433"/>
      <c r="D1656" s="433"/>
      <c r="E1656" s="433"/>
      <c r="F1656" s="433"/>
      <c r="G1656" s="433"/>
      <c r="H1656" s="433"/>
      <c r="I1656" s="433"/>
      <c r="J1656" s="433"/>
      <c r="K1656" s="433"/>
      <c r="L1656" s="433"/>
      <c r="M1656" s="434"/>
      <c r="N1656" s="38"/>
      <c r="O1656" s="58"/>
      <c r="P1656" s="144">
        <v>1</v>
      </c>
      <c r="Q1656" s="144">
        <v>1</v>
      </c>
      <c r="R1656" s="144">
        <v>1</v>
      </c>
      <c r="S1656" s="144" t="str">
        <f>VLOOKUP(P1656,'WORKINGS MATRIX'!$B$200:$C$351,2,FALSE)</f>
        <v>Year</v>
      </c>
      <c r="T1656" s="144">
        <f t="shared" si="151"/>
        <v>0</v>
      </c>
      <c r="U1656" s="144">
        <f t="shared" si="151"/>
        <v>0</v>
      </c>
      <c r="V1656" s="144" t="str">
        <f t="shared" si="147"/>
        <v/>
      </c>
      <c r="W1656" s="144" t="str">
        <f t="shared" si="152"/>
        <v/>
      </c>
      <c r="X1656" s="144" t="str">
        <f t="shared" si="152"/>
        <v/>
      </c>
      <c r="Y1656" s="144" t="str">
        <f t="shared" si="149"/>
        <v/>
      </c>
      <c r="Z1656" s="144" t="str">
        <f t="shared" si="150"/>
        <v/>
      </c>
      <c r="AC1656" s="158"/>
      <c r="AD1656" s="158"/>
      <c r="AE1656" s="158"/>
      <c r="AF1656" s="158"/>
      <c r="AG1656" s="158"/>
    </row>
    <row r="1657" spans="2:33" x14ac:dyDescent="0.25">
      <c r="B1657" s="435"/>
      <c r="C1657" s="436"/>
      <c r="D1657" s="436"/>
      <c r="E1657" s="436"/>
      <c r="F1657" s="436"/>
      <c r="G1657" s="436"/>
      <c r="H1657" s="436"/>
      <c r="I1657" s="436"/>
      <c r="J1657" s="436"/>
      <c r="K1657" s="436"/>
      <c r="L1657" s="436"/>
      <c r="M1657" s="437"/>
      <c r="N1657" s="38"/>
      <c r="O1657" s="58"/>
      <c r="P1657" s="144"/>
      <c r="Q1657" s="144"/>
      <c r="R1657" s="144"/>
      <c r="S1657" s="144"/>
      <c r="T1657" s="144"/>
      <c r="U1657" s="144"/>
      <c r="V1657" s="144"/>
      <c r="W1657" s="144"/>
      <c r="X1657" s="144"/>
      <c r="Y1657" s="144"/>
      <c r="Z1657" s="144"/>
      <c r="AC1657" s="158"/>
      <c r="AD1657" s="158"/>
      <c r="AE1657" s="158"/>
      <c r="AF1657" s="158"/>
      <c r="AG1657" s="158"/>
    </row>
    <row r="1658" spans="2:33" x14ac:dyDescent="0.25">
      <c r="B1658" s="15" t="s">
        <v>153</v>
      </c>
      <c r="D1658" s="57"/>
      <c r="H1658" s="58"/>
      <c r="K1658" s="21"/>
      <c r="N1658" s="38"/>
      <c r="O1658" s="58"/>
      <c r="P1658" s="144"/>
      <c r="Q1658" s="144"/>
      <c r="R1658" s="144"/>
      <c r="S1658" s="144"/>
      <c r="T1658" s="144"/>
      <c r="U1658" s="144"/>
      <c r="V1658" s="144"/>
      <c r="W1658" s="144"/>
      <c r="X1658" s="144"/>
      <c r="Y1658" s="144"/>
      <c r="Z1658" s="144"/>
      <c r="AC1658" s="158"/>
      <c r="AD1658" s="158"/>
      <c r="AE1658" s="158"/>
      <c r="AF1658" s="158"/>
      <c r="AG1658" s="158"/>
    </row>
    <row r="1659" spans="2:33" x14ac:dyDescent="0.25">
      <c r="B1659" s="15" t="s">
        <v>154</v>
      </c>
      <c r="D1659" s="57"/>
      <c r="H1659" s="58"/>
      <c r="K1659" s="21"/>
      <c r="N1659" s="38"/>
      <c r="O1659" s="58"/>
      <c r="P1659" s="144"/>
      <c r="Q1659" s="144"/>
      <c r="R1659" s="144"/>
      <c r="S1659" s="144"/>
      <c r="T1659" s="144"/>
      <c r="U1659" s="144"/>
      <c r="V1659" s="144"/>
      <c r="W1659" s="144"/>
      <c r="X1659" s="144"/>
      <c r="Y1659" s="144"/>
      <c r="Z1659" s="144"/>
      <c r="AC1659" s="158"/>
      <c r="AD1659" s="158"/>
      <c r="AE1659" s="158"/>
      <c r="AF1659" s="158"/>
      <c r="AG1659" s="158"/>
    </row>
    <row r="1660" spans="2:33" x14ac:dyDescent="0.25">
      <c r="D1660" s="57"/>
      <c r="H1660" s="58"/>
      <c r="K1660" s="21"/>
      <c r="N1660" s="38"/>
      <c r="O1660" s="58"/>
      <c r="P1660" s="144"/>
      <c r="Q1660" s="144"/>
      <c r="R1660" s="144"/>
      <c r="S1660" s="144"/>
      <c r="T1660" s="144"/>
      <c r="U1660" s="144"/>
      <c r="V1660" s="144"/>
      <c r="W1660" s="144"/>
      <c r="X1660" s="144"/>
      <c r="Y1660" s="144"/>
      <c r="Z1660" s="144"/>
      <c r="AC1660" s="158"/>
      <c r="AD1660" s="158"/>
      <c r="AE1660" s="158"/>
      <c r="AF1660" s="158"/>
      <c r="AG1660" s="158"/>
    </row>
    <row r="1661" spans="2:33" x14ac:dyDescent="0.25">
      <c r="D1661" s="57"/>
      <c r="E1661" s="149"/>
      <c r="F1661" s="149"/>
      <c r="G1661" s="149"/>
      <c r="H1661" s="149"/>
      <c r="I1661" s="149"/>
      <c r="K1661" s="21"/>
      <c r="N1661" s="38"/>
      <c r="O1661" s="58"/>
      <c r="P1661" s="144"/>
      <c r="Q1661" s="144"/>
      <c r="R1661" s="144"/>
      <c r="S1661" s="144"/>
      <c r="T1661" s="144"/>
      <c r="U1661" s="144"/>
      <c r="V1661" s="144"/>
      <c r="W1661" s="144"/>
      <c r="X1661" s="144"/>
      <c r="Y1661" s="144"/>
      <c r="Z1661" s="144"/>
      <c r="AC1661" s="158"/>
      <c r="AD1661" s="158"/>
      <c r="AE1661" s="158"/>
      <c r="AF1661" s="158"/>
      <c r="AG1661" s="158"/>
    </row>
    <row r="1662" spans="2:33" x14ac:dyDescent="0.25">
      <c r="D1662" s="57"/>
      <c r="E1662" s="149"/>
      <c r="F1662" s="149"/>
      <c r="G1662" s="149"/>
      <c r="H1662" s="149"/>
      <c r="I1662" s="149"/>
      <c r="K1662" s="438" t="s">
        <v>155</v>
      </c>
      <c r="L1662" s="438"/>
      <c r="M1662" s="438"/>
      <c r="N1662" s="38"/>
      <c r="O1662" s="58"/>
      <c r="P1662" s="144"/>
      <c r="Q1662" s="144"/>
      <c r="R1662" s="144"/>
      <c r="S1662" s="144"/>
      <c r="T1662" s="144"/>
      <c r="U1662" s="144"/>
      <c r="V1662" s="144"/>
      <c r="W1662" s="144"/>
      <c r="X1662" s="144"/>
      <c r="Y1662" s="144"/>
      <c r="Z1662" s="144"/>
      <c r="AC1662" s="158"/>
      <c r="AD1662" s="158"/>
      <c r="AE1662" s="158"/>
      <c r="AF1662" s="158"/>
      <c r="AG1662" s="158"/>
    </row>
    <row r="1663" spans="2:33" x14ac:dyDescent="0.25">
      <c r="D1663" s="57"/>
      <c r="H1663" s="58"/>
      <c r="K1663" s="438"/>
      <c r="L1663" s="438"/>
      <c r="M1663" s="438"/>
      <c r="N1663" s="38"/>
      <c r="O1663" s="58"/>
      <c r="P1663" s="144"/>
      <c r="Q1663" s="144"/>
      <c r="R1663" s="144"/>
      <c r="S1663" s="144"/>
      <c r="T1663" s="144"/>
      <c r="U1663" s="144"/>
      <c r="V1663" s="144"/>
      <c r="W1663" s="144"/>
      <c r="X1663" s="144"/>
      <c r="Y1663" s="144"/>
      <c r="Z1663" s="144"/>
      <c r="AC1663" s="158"/>
      <c r="AD1663" s="158"/>
      <c r="AE1663" s="158"/>
      <c r="AF1663" s="158"/>
      <c r="AG1663" s="158"/>
    </row>
    <row r="1664" spans="2:33" x14ac:dyDescent="0.25">
      <c r="D1664" s="57"/>
      <c r="E1664" s="149"/>
      <c r="F1664" s="149"/>
      <c r="G1664" s="149"/>
      <c r="H1664" s="149"/>
      <c r="I1664" s="149"/>
      <c r="K1664" s="438"/>
      <c r="L1664" s="438"/>
      <c r="M1664" s="438"/>
      <c r="N1664" s="38"/>
      <c r="O1664" s="58"/>
      <c r="P1664" s="144"/>
      <c r="Q1664" s="144"/>
      <c r="R1664" s="144"/>
      <c r="S1664" s="144"/>
      <c r="T1664" s="144"/>
      <c r="U1664" s="144"/>
      <c r="V1664" s="144"/>
      <c r="W1664" s="144"/>
      <c r="X1664" s="144"/>
      <c r="Y1664" s="144"/>
      <c r="Z1664" s="144"/>
      <c r="AC1664" s="158"/>
      <c r="AD1664" s="158"/>
      <c r="AE1664" s="158"/>
      <c r="AF1664" s="158"/>
      <c r="AG1664" s="158"/>
    </row>
    <row r="1665" spans="2:26" x14ac:dyDescent="0.25">
      <c r="D1665" s="57"/>
      <c r="E1665" s="149"/>
      <c r="F1665" s="149"/>
      <c r="G1665" s="149"/>
      <c r="H1665" s="149"/>
      <c r="I1665" s="149"/>
      <c r="K1665" s="438"/>
      <c r="L1665" s="438"/>
      <c r="M1665" s="438"/>
      <c r="N1665" s="38"/>
      <c r="O1665" s="58"/>
      <c r="P1665" s="144"/>
      <c r="Q1665" s="144"/>
      <c r="R1665" s="144"/>
      <c r="S1665" s="144"/>
      <c r="T1665" s="144"/>
      <c r="U1665" s="144"/>
      <c r="V1665" s="144"/>
      <c r="W1665" s="144"/>
      <c r="X1665" s="144"/>
      <c r="Y1665" s="144"/>
      <c r="Z1665" s="144"/>
    </row>
    <row r="1666" spans="2:26" ht="13.8" thickBot="1" x14ac:dyDescent="0.3">
      <c r="B1666" s="60"/>
      <c r="C1666" s="60"/>
      <c r="D1666" s="61"/>
      <c r="E1666" s="60"/>
      <c r="F1666" s="60"/>
      <c r="G1666" s="60"/>
      <c r="H1666" s="62"/>
      <c r="I1666" s="60"/>
      <c r="J1666" s="60"/>
      <c r="K1666" s="63"/>
      <c r="L1666" s="60"/>
      <c r="M1666" s="60"/>
      <c r="N1666" s="64"/>
      <c r="O1666" s="58"/>
      <c r="P1666" s="144"/>
      <c r="Q1666" s="144"/>
      <c r="R1666" s="144"/>
      <c r="S1666" s="144"/>
      <c r="T1666" s="144"/>
      <c r="U1666" s="144"/>
      <c r="V1666" s="144"/>
      <c r="W1666" s="144"/>
      <c r="X1666" s="144"/>
      <c r="Y1666" s="144"/>
      <c r="Z1666" s="144"/>
    </row>
    <row r="1667" spans="2:26" ht="14.4" thickTop="1" thickBot="1" x14ac:dyDescent="0.3">
      <c r="D1667" s="57"/>
      <c r="H1667" s="58"/>
      <c r="K1667" s="21"/>
      <c r="O1667" s="58"/>
      <c r="P1667" s="144"/>
      <c r="Q1667" s="144"/>
      <c r="R1667" s="144"/>
      <c r="S1667" s="144"/>
      <c r="T1667" s="144"/>
      <c r="U1667" s="144"/>
      <c r="V1667" s="144"/>
      <c r="W1667" s="144"/>
      <c r="X1667" s="144"/>
      <c r="Y1667" s="144"/>
      <c r="Z1667" s="144"/>
    </row>
    <row r="1668" spans="2:26" ht="13.8" thickTop="1" x14ac:dyDescent="0.25">
      <c r="B1668" s="27" t="s">
        <v>156</v>
      </c>
      <c r="C1668" s="29"/>
      <c r="D1668" s="28"/>
      <c r="E1668" s="65"/>
      <c r="F1668" s="65"/>
      <c r="G1668" s="65"/>
      <c r="H1668" s="28"/>
      <c r="I1668" s="28"/>
      <c r="J1668" s="28"/>
      <c r="K1668" s="28"/>
      <c r="L1668" s="31" t="s">
        <v>157</v>
      </c>
      <c r="M1668" s="28"/>
      <c r="N1668" s="32"/>
      <c r="P1668" s="144"/>
      <c r="Q1668" s="144"/>
      <c r="R1668" s="144"/>
      <c r="S1668" s="144"/>
      <c r="T1668" s="144"/>
      <c r="U1668" s="144"/>
      <c r="V1668" s="144"/>
      <c r="W1668" s="144"/>
      <c r="X1668" s="144"/>
      <c r="Y1668" s="144"/>
      <c r="Z1668" s="144"/>
    </row>
    <row r="1669" spans="2:26" x14ac:dyDescent="0.25">
      <c r="E1669" s="134">
        <v>5</v>
      </c>
      <c r="F1669" s="12"/>
      <c r="N1669" s="38"/>
      <c r="P1669" s="144"/>
      <c r="Q1669" s="144"/>
      <c r="R1669" s="144"/>
      <c r="S1669" s="144"/>
      <c r="T1669" s="144"/>
      <c r="U1669" s="144"/>
      <c r="V1669" s="144"/>
      <c r="W1669" s="144"/>
      <c r="X1669" s="144"/>
      <c r="Y1669" s="144"/>
      <c r="Z1669" s="144"/>
    </row>
    <row r="1670" spans="2:26" x14ac:dyDescent="0.25">
      <c r="B1670" t="s">
        <v>134</v>
      </c>
      <c r="L1670" s="465" t="str">
        <f>$L$39</f>
        <v>X.002-218-2024(NT)&amp;N.004-116-2024(T)</v>
      </c>
      <c r="M1670" s="465"/>
      <c r="N1670" s="38"/>
      <c r="P1670" s="144"/>
      <c r="Q1670" s="144"/>
      <c r="R1670" s="144"/>
      <c r="S1670" s="144"/>
      <c r="T1670" s="144"/>
      <c r="U1670" s="144"/>
      <c r="V1670" s="144"/>
      <c r="W1670" s="144"/>
      <c r="X1670" s="144"/>
      <c r="Y1670" s="144"/>
      <c r="Z1670" s="144"/>
    </row>
    <row r="1671" spans="2:26" x14ac:dyDescent="0.25">
      <c r="B1671" s="39" t="s">
        <v>135</v>
      </c>
      <c r="C1671" s="40"/>
      <c r="D1671" s="41"/>
      <c r="E1671" s="448" t="s">
        <v>158</v>
      </c>
      <c r="F1671" s="449"/>
      <c r="G1671" s="466" t="s">
        <v>159</v>
      </c>
      <c r="H1671" s="449"/>
      <c r="L1671" s="465"/>
      <c r="M1671" s="465"/>
      <c r="N1671" s="38"/>
      <c r="P1671" s="144"/>
      <c r="Q1671" s="144"/>
      <c r="R1671" s="144"/>
      <c r="S1671" s="144"/>
      <c r="T1671" s="144"/>
      <c r="U1671" s="144"/>
      <c r="V1671" s="144"/>
      <c r="W1671" s="144"/>
      <c r="X1671" s="144"/>
      <c r="Y1671" s="144"/>
      <c r="Z1671" s="144"/>
    </row>
    <row r="1672" spans="2:26" ht="18" customHeight="1" x14ac:dyDescent="0.25">
      <c r="B1672" s="66">
        <f>B1641</f>
        <v>0</v>
      </c>
      <c r="C1672" s="67"/>
      <c r="D1672" s="68"/>
      <c r="E1672" s="441" t="str">
        <f>G1641</f>
        <v/>
      </c>
      <c r="F1672" s="441"/>
      <c r="G1672" s="42"/>
      <c r="H1672" s="12">
        <v>1</v>
      </c>
      <c r="N1672" s="38"/>
      <c r="P1672" s="144"/>
      <c r="Q1672" s="144"/>
      <c r="R1672" s="144"/>
      <c r="S1672" s="144"/>
      <c r="T1672" s="144"/>
      <c r="U1672" s="144"/>
      <c r="V1672" s="144"/>
      <c r="W1672" s="144"/>
      <c r="X1672" s="144"/>
      <c r="Y1672" s="144"/>
      <c r="Z1672" s="144"/>
    </row>
    <row r="1673" spans="2:26" x14ac:dyDescent="0.25">
      <c r="N1673" s="38"/>
      <c r="P1673" s="144"/>
      <c r="Q1673" s="144"/>
      <c r="R1673" s="144"/>
      <c r="S1673" s="144"/>
      <c r="T1673" s="144"/>
      <c r="U1673" s="144"/>
      <c r="V1673" s="144"/>
      <c r="W1673" s="144"/>
      <c r="X1673" s="144"/>
      <c r="Y1673" s="144"/>
      <c r="Z1673" s="144"/>
    </row>
    <row r="1674" spans="2:26" x14ac:dyDescent="0.25">
      <c r="B1674" t="s">
        <v>161</v>
      </c>
      <c r="N1674" s="38"/>
      <c r="P1674" s="144"/>
      <c r="Q1674" s="144"/>
      <c r="R1674" s="144"/>
      <c r="S1674" s="144"/>
      <c r="T1674" s="144"/>
      <c r="U1674" s="144"/>
      <c r="V1674" s="144"/>
      <c r="W1674" s="144"/>
      <c r="X1674" s="144"/>
      <c r="Y1674" s="144"/>
      <c r="Z1674" s="144"/>
    </row>
    <row r="1675" spans="2:26" ht="18" customHeight="1" x14ac:dyDescent="0.25">
      <c r="B1675" s="468" t="s">
        <v>162</v>
      </c>
      <c r="C1675" s="468"/>
      <c r="D1675" s="469" t="s">
        <v>163</v>
      </c>
      <c r="E1675" s="469"/>
      <c r="F1675" s="461" t="s">
        <v>164</v>
      </c>
      <c r="G1675" s="462"/>
      <c r="H1675" s="467" t="s">
        <v>165</v>
      </c>
      <c r="I1675" s="462"/>
      <c r="J1675" s="467" t="s">
        <v>165</v>
      </c>
      <c r="K1675" s="462"/>
      <c r="L1675" s="125" t="s">
        <v>166</v>
      </c>
      <c r="M1675" s="125" t="s">
        <v>167</v>
      </c>
      <c r="N1675" s="38"/>
      <c r="P1675" s="144">
        <v>1</v>
      </c>
      <c r="Q1675" s="144">
        <v>1</v>
      </c>
      <c r="R1675" s="144">
        <v>1</v>
      </c>
      <c r="S1675" s="144" t="str">
        <f>VLOOKUP(P1675,'WORKINGS MATRIX'!$B$200:$C$351,2,FALSE)</f>
        <v>Year</v>
      </c>
      <c r="T1675" s="144">
        <f t="shared" ref="T1675:U1679" si="153">Q1675-1</f>
        <v>0</v>
      </c>
      <c r="U1675" s="144">
        <f t="shared" si="153"/>
        <v>0</v>
      </c>
      <c r="V1675" s="144" t="str">
        <f>IF(S1675="year","",S1675)</f>
        <v/>
      </c>
      <c r="W1675" s="144" t="str">
        <f t="shared" ref="W1675:X1679" si="154">IF(T1675=0,"",T1675)</f>
        <v/>
      </c>
      <c r="X1675" s="144" t="str">
        <f t="shared" si="154"/>
        <v/>
      </c>
      <c r="Y1675" s="144" t="str">
        <f>IF(V1675="","",IF(W1675="",(V1675&amp;"/"&amp;"12"&amp;"/"&amp;"1"),IF(X1675="",(V1675&amp;"/"&amp;W1675&amp;"/"&amp;"1"),(V1675&amp;"/"&amp;W1675&amp;"/"&amp;X1675))))</f>
        <v/>
      </c>
      <c r="Z1675" s="144" t="str">
        <f>IF(Y1675="//","",Y1675)</f>
        <v/>
      </c>
    </row>
    <row r="1676" spans="2:26" ht="18" customHeight="1" x14ac:dyDescent="0.25">
      <c r="B1676" s="441" t="s">
        <v>168</v>
      </c>
      <c r="C1676" s="441"/>
      <c r="D1676" s="439">
        <v>10</v>
      </c>
      <c r="E1676" s="440"/>
      <c r="F1676" s="442"/>
      <c r="G1676" s="443"/>
      <c r="H1676" s="463">
        <v>1</v>
      </c>
      <c r="I1676" s="464"/>
      <c r="J1676" s="450"/>
      <c r="K1676" s="443"/>
      <c r="L1676" s="206"/>
      <c r="M1676" s="143" t="str">
        <f>Z1675</f>
        <v/>
      </c>
      <c r="N1676" s="38"/>
      <c r="P1676" s="144">
        <v>1</v>
      </c>
      <c r="Q1676" s="144">
        <v>1</v>
      </c>
      <c r="R1676" s="144">
        <v>1</v>
      </c>
      <c r="S1676" s="144" t="str">
        <f>VLOOKUP(P1676,'WORKINGS MATRIX'!$B$200:$C$351,2,FALSE)</f>
        <v>Year</v>
      </c>
      <c r="T1676" s="144">
        <f t="shared" si="153"/>
        <v>0</v>
      </c>
      <c r="U1676" s="144">
        <f t="shared" si="153"/>
        <v>0</v>
      </c>
      <c r="V1676" s="144" t="str">
        <f>IF(S1676="year","",S1676)</f>
        <v/>
      </c>
      <c r="W1676" s="144" t="str">
        <f t="shared" si="154"/>
        <v/>
      </c>
      <c r="X1676" s="144" t="str">
        <f t="shared" si="154"/>
        <v/>
      </c>
      <c r="Y1676" s="144" t="str">
        <f>IF(V1676="","",IF(W1676="",(V1676&amp;"/"&amp;"12"&amp;"/"&amp;"1"),IF(X1676="",(V1676&amp;"/"&amp;W1676&amp;"/"&amp;"1"),(V1676&amp;"/"&amp;W1676&amp;"/"&amp;X1676))))</f>
        <v/>
      </c>
      <c r="Z1676" s="144" t="str">
        <f>IF(Y1676="//","",Y1676)</f>
        <v/>
      </c>
    </row>
    <row r="1677" spans="2:26" ht="18" customHeight="1" x14ac:dyDescent="0.25">
      <c r="B1677" s="441" t="s">
        <v>169</v>
      </c>
      <c r="C1677" s="441"/>
      <c r="D1677" s="442"/>
      <c r="E1677" s="443"/>
      <c r="F1677" s="442"/>
      <c r="G1677" s="443"/>
      <c r="H1677" s="451" t="s">
        <v>170</v>
      </c>
      <c r="I1677" s="452"/>
      <c r="J1677" s="451" t="s">
        <v>171</v>
      </c>
      <c r="K1677" s="452"/>
      <c r="L1677" s="125" t="s">
        <v>166</v>
      </c>
      <c r="M1677" s="125" t="s">
        <v>167</v>
      </c>
      <c r="N1677" s="38"/>
      <c r="P1677" s="144">
        <v>1</v>
      </c>
      <c r="Q1677" s="144">
        <v>1</v>
      </c>
      <c r="R1677" s="144">
        <v>1</v>
      </c>
      <c r="S1677" s="144" t="str">
        <f>VLOOKUP(P1677,'WORKINGS MATRIX'!$B$200:$C$351,2,FALSE)</f>
        <v>Year</v>
      </c>
      <c r="T1677" s="144">
        <f t="shared" si="153"/>
        <v>0</v>
      </c>
      <c r="U1677" s="144">
        <f t="shared" si="153"/>
        <v>0</v>
      </c>
      <c r="V1677" s="144" t="str">
        <f>IF(S1677="year","",S1677)</f>
        <v/>
      </c>
      <c r="W1677" s="144" t="str">
        <f t="shared" si="154"/>
        <v/>
      </c>
      <c r="X1677" s="144" t="str">
        <f t="shared" si="154"/>
        <v/>
      </c>
      <c r="Y1677" s="144" t="str">
        <f>IF(V1677="","",IF(W1677="",(V1677&amp;"/"&amp;"1"&amp;"/"&amp;"1"),IF(X1677="",(V1677&amp;"/"&amp;W1677&amp;"/"&amp;"1"),(V1677&amp;"/"&amp;W1677&amp;"/"&amp;X1677))))</f>
        <v/>
      </c>
      <c r="Z1677" s="144" t="str">
        <f>IF(Y1677="//","",Y1677)</f>
        <v/>
      </c>
    </row>
    <row r="1678" spans="2:26" ht="18" customHeight="1" x14ac:dyDescent="0.25">
      <c r="B1678" s="441" t="s">
        <v>172</v>
      </c>
      <c r="C1678" s="441"/>
      <c r="D1678" s="444" t="str">
        <f>Z1677</f>
        <v/>
      </c>
      <c r="E1678" s="445"/>
      <c r="F1678" s="444" t="str">
        <f>Z1678</f>
        <v/>
      </c>
      <c r="G1678" s="445"/>
      <c r="H1678" s="446">
        <v>1</v>
      </c>
      <c r="I1678" s="447"/>
      <c r="J1678" s="450"/>
      <c r="K1678" s="443"/>
      <c r="L1678" s="206"/>
      <c r="M1678" s="143" t="str">
        <f>Z1676</f>
        <v/>
      </c>
      <c r="N1678" s="38"/>
      <c r="P1678" s="144">
        <v>1</v>
      </c>
      <c r="Q1678" s="144">
        <v>1</v>
      </c>
      <c r="R1678" s="144">
        <v>1</v>
      </c>
      <c r="S1678" s="144" t="str">
        <f>VLOOKUP(P1678,'WORKINGS MATRIX'!$B$200:$C$351,2,FALSE)</f>
        <v>Year</v>
      </c>
      <c r="T1678" s="144">
        <f t="shared" si="153"/>
        <v>0</v>
      </c>
      <c r="U1678" s="144">
        <f t="shared" si="153"/>
        <v>0</v>
      </c>
      <c r="V1678" s="144" t="str">
        <f>IF(S1678="year","",S1678)</f>
        <v/>
      </c>
      <c r="W1678" s="144" t="str">
        <f t="shared" si="154"/>
        <v/>
      </c>
      <c r="X1678" s="144" t="str">
        <f t="shared" si="154"/>
        <v/>
      </c>
      <c r="Y1678" s="144" t="str">
        <f>IF(V1678="","",IF(W1678="",(V1678&amp;"/"&amp;"1"&amp;"/"&amp;"1"),IF(X1678="",(V1678&amp;"/"&amp;W1678&amp;"/"&amp;"1"),(V1678&amp;"/"&amp;W1678&amp;"/"&amp;X1678))))</f>
        <v/>
      </c>
      <c r="Z1678" s="144" t="str">
        <f>IF(Y1678="//","",Y1678)</f>
        <v/>
      </c>
    </row>
    <row r="1679" spans="2:26" x14ac:dyDescent="0.25">
      <c r="N1679" s="38"/>
      <c r="P1679" s="144">
        <v>1</v>
      </c>
      <c r="Q1679" s="144">
        <v>1</v>
      </c>
      <c r="R1679" s="144">
        <v>1</v>
      </c>
      <c r="S1679" s="144" t="str">
        <f>VLOOKUP(P1679,'WORKINGS MATRIX'!$B$200:$C$351,2,FALSE)</f>
        <v>Year</v>
      </c>
      <c r="T1679" s="144">
        <f t="shared" si="153"/>
        <v>0</v>
      </c>
      <c r="U1679" s="144">
        <f t="shared" si="153"/>
        <v>0</v>
      </c>
      <c r="V1679" s="144" t="str">
        <f>IF(S1679="year","",S1679)</f>
        <v/>
      </c>
      <c r="W1679" s="144" t="str">
        <f t="shared" si="154"/>
        <v/>
      </c>
      <c r="X1679" s="144" t="str">
        <f t="shared" si="154"/>
        <v/>
      </c>
      <c r="Y1679" s="144" t="str">
        <f>IF(V1679="","",IF(W1679="",(V1679&amp;"/"&amp;"1"&amp;"/"&amp;"1"),IF(X1679="",(V1679&amp;"/"&amp;W1679&amp;"/"&amp;"1"),(V1679&amp;"/"&amp;W1679&amp;"/"&amp;X1679))))</f>
        <v/>
      </c>
      <c r="Z1679" s="144" t="str">
        <f>IF(Y1679="//","",Y1679)</f>
        <v/>
      </c>
    </row>
    <row r="1688" spans="2:13" x14ac:dyDescent="0.25">
      <c r="B1688" t="s">
        <v>152</v>
      </c>
      <c r="D1688" s="57"/>
      <c r="H1688" s="58"/>
      <c r="K1688" s="21"/>
    </row>
    <row r="1689" spans="2:13" x14ac:dyDescent="0.25">
      <c r="B1689" s="429"/>
      <c r="C1689" s="430"/>
      <c r="D1689" s="430"/>
      <c r="E1689" s="430"/>
      <c r="F1689" s="430"/>
      <c r="G1689" s="430"/>
      <c r="H1689" s="430"/>
      <c r="I1689" s="430"/>
      <c r="J1689" s="430"/>
      <c r="K1689" s="430"/>
      <c r="L1689" s="430"/>
      <c r="M1689" s="431"/>
    </row>
    <row r="1690" spans="2:13" x14ac:dyDescent="0.25">
      <c r="B1690" s="432"/>
      <c r="C1690" s="433"/>
      <c r="D1690" s="433"/>
      <c r="E1690" s="433"/>
      <c r="F1690" s="433"/>
      <c r="G1690" s="433"/>
      <c r="H1690" s="433"/>
      <c r="I1690" s="433"/>
      <c r="J1690" s="433"/>
      <c r="K1690" s="433"/>
      <c r="L1690" s="433"/>
      <c r="M1690" s="434"/>
    </row>
    <row r="1691" spans="2:13" x14ac:dyDescent="0.25">
      <c r="B1691" s="432"/>
      <c r="C1691" s="433"/>
      <c r="D1691" s="433"/>
      <c r="E1691" s="433"/>
      <c r="F1691" s="433"/>
      <c r="G1691" s="433"/>
      <c r="H1691" s="433"/>
      <c r="I1691" s="433"/>
      <c r="J1691" s="433"/>
      <c r="K1691" s="433"/>
      <c r="L1691" s="433"/>
      <c r="M1691" s="434"/>
    </row>
    <row r="1692" spans="2:13" x14ac:dyDescent="0.25">
      <c r="B1692" s="435"/>
      <c r="C1692" s="436"/>
      <c r="D1692" s="436"/>
      <c r="E1692" s="436"/>
      <c r="F1692" s="436"/>
      <c r="G1692" s="436"/>
      <c r="H1692" s="436"/>
      <c r="I1692" s="436"/>
      <c r="J1692" s="436"/>
      <c r="K1692" s="436"/>
      <c r="L1692" s="436"/>
      <c r="M1692" s="437"/>
    </row>
    <row r="1697" spans="2:13" x14ac:dyDescent="0.25">
      <c r="D1697" s="57"/>
      <c r="E1697" s="149"/>
      <c r="F1697" s="149"/>
      <c r="G1697" s="149"/>
      <c r="H1697" s="149"/>
      <c r="I1697" s="149"/>
      <c r="K1697" s="438" t="s">
        <v>155</v>
      </c>
      <c r="L1697" s="438"/>
      <c r="M1697" s="438"/>
    </row>
    <row r="1698" spans="2:13" x14ac:dyDescent="0.25">
      <c r="D1698" s="57"/>
      <c r="H1698" s="58"/>
      <c r="K1698" s="438"/>
      <c r="L1698" s="438"/>
      <c r="M1698" s="438"/>
    </row>
    <row r="1699" spans="2:13" x14ac:dyDescent="0.25">
      <c r="D1699" s="57"/>
      <c r="E1699" s="149"/>
      <c r="F1699" s="149"/>
      <c r="G1699" s="149"/>
      <c r="H1699" s="149"/>
      <c r="I1699" s="149"/>
      <c r="K1699" s="438"/>
      <c r="L1699" s="438"/>
      <c r="M1699" s="438"/>
    </row>
    <row r="1700" spans="2:13" x14ac:dyDescent="0.25">
      <c r="D1700" s="57"/>
      <c r="E1700" s="149"/>
      <c r="F1700" s="149"/>
      <c r="G1700" s="149"/>
      <c r="H1700" s="149"/>
      <c r="I1700" s="149"/>
      <c r="K1700" s="438"/>
      <c r="L1700" s="438"/>
      <c r="M1700" s="438"/>
    </row>
    <row r="1701" spans="2:13" ht="13.8" thickBot="1" x14ac:dyDescent="0.3">
      <c r="B1701" s="60"/>
      <c r="C1701" s="60"/>
      <c r="D1701" s="60"/>
      <c r="E1701" s="60"/>
      <c r="F1701" s="60"/>
      <c r="G1701" s="60"/>
      <c r="H1701" s="60"/>
      <c r="I1701" s="60"/>
      <c r="J1701" s="60"/>
      <c r="K1701" s="60"/>
      <c r="L1701" s="60"/>
      <c r="M1701" s="60"/>
    </row>
    <row r="1702" spans="2:13" ht="13.8" thickTop="1" x14ac:dyDescent="0.25"/>
    <row r="1703" spans="2:13" x14ac:dyDescent="0.25">
      <c r="B1703" s="24" t="s">
        <v>128</v>
      </c>
    </row>
    <row r="1736" spans="2:26" ht="13.8" thickBot="1" x14ac:dyDescent="0.3">
      <c r="B1736">
        <f>$D$1</f>
        <v>0</v>
      </c>
      <c r="C1736" s="73" t="s">
        <v>128</v>
      </c>
      <c r="D1736" s="25" t="s">
        <v>129</v>
      </c>
      <c r="P1736" s="144"/>
      <c r="Q1736" s="144"/>
      <c r="R1736" s="144"/>
      <c r="S1736" s="144"/>
      <c r="T1736" s="144"/>
      <c r="U1736" s="144"/>
      <c r="V1736" s="144"/>
      <c r="W1736" s="144"/>
      <c r="X1736" s="144"/>
      <c r="Y1736" s="144"/>
      <c r="Z1736" s="144"/>
    </row>
    <row r="1737" spans="2:26" ht="13.8" thickTop="1" x14ac:dyDescent="0.25">
      <c r="B1737" s="27" t="s">
        <v>131</v>
      </c>
      <c r="C1737" s="28"/>
      <c r="D1737" s="29" t="s">
        <v>132</v>
      </c>
      <c r="E1737" s="27" t="str">
        <f>J127</f>
        <v/>
      </c>
      <c r="F1737" s="30" t="str">
        <f>IF(L127=0,"NOT REQUIRED", IF(L127="Man","MANAGERIAL POSITION","NON-MANAGERIAL POSITION"))</f>
        <v>NON-MANAGERIAL POSITION</v>
      </c>
      <c r="G1737" s="28"/>
      <c r="H1737" s="308" t="s">
        <v>199</v>
      </c>
      <c r="I1737" s="31"/>
      <c r="J1737" s="27"/>
      <c r="K1737" s="28"/>
      <c r="L1737" s="31" t="s">
        <v>133</v>
      </c>
      <c r="M1737" s="28"/>
      <c r="N1737" s="32"/>
      <c r="P1737" s="144"/>
      <c r="Q1737" s="144"/>
      <c r="R1737" s="144"/>
      <c r="S1737" s="144"/>
      <c r="T1737" s="144"/>
      <c r="U1737" s="144"/>
      <c r="V1737" s="144"/>
      <c r="W1737" s="144"/>
      <c r="X1737" s="144"/>
      <c r="Y1737" s="144"/>
      <c r="Z1737" s="144"/>
    </row>
    <row r="1738" spans="2:26" x14ac:dyDescent="0.25">
      <c r="E1738" s="34"/>
      <c r="F1738" s="35"/>
      <c r="G1738" s="36"/>
      <c r="I1738" s="10"/>
      <c r="J1738" s="37"/>
      <c r="N1738" s="38"/>
      <c r="P1738" s="144"/>
      <c r="Q1738" s="144"/>
      <c r="R1738" s="144"/>
      <c r="S1738" s="144"/>
      <c r="T1738" s="144"/>
      <c r="U1738" s="144"/>
      <c r="V1738" s="144"/>
      <c r="W1738" s="144"/>
      <c r="X1738" s="144"/>
      <c r="Y1738" s="144"/>
      <c r="Z1738" s="144"/>
    </row>
    <row r="1739" spans="2:26" x14ac:dyDescent="0.25">
      <c r="B1739" t="s">
        <v>134</v>
      </c>
      <c r="L1739" s="465" t="str">
        <f>$L$39</f>
        <v>X.002-218-2024(NT)&amp;N.004-116-2024(T)</v>
      </c>
      <c r="M1739" s="465"/>
      <c r="N1739" s="38"/>
      <c r="P1739" s="144"/>
      <c r="Q1739" s="144"/>
      <c r="R1739" s="144"/>
      <c r="S1739" s="144"/>
      <c r="T1739" s="144"/>
      <c r="U1739" s="144"/>
      <c r="V1739" s="144"/>
      <c r="W1739" s="144"/>
      <c r="X1739" s="144"/>
      <c r="Y1739" s="144"/>
      <c r="Z1739" s="144"/>
    </row>
    <row r="1740" spans="2:26" ht="24.75" customHeight="1" x14ac:dyDescent="0.25">
      <c r="B1740" s="39" t="s">
        <v>135</v>
      </c>
      <c r="C1740" s="40"/>
      <c r="D1740" s="41"/>
      <c r="E1740" s="427" t="s">
        <v>136</v>
      </c>
      <c r="F1740" s="428"/>
      <c r="G1740" s="39" t="s">
        <v>137</v>
      </c>
      <c r="H1740" s="41"/>
      <c r="I1740" s="39" t="s">
        <v>138</v>
      </c>
      <c r="J1740" s="41"/>
      <c r="K1740" s="42"/>
      <c r="L1740" s="465"/>
      <c r="M1740" s="465"/>
      <c r="N1740" s="38"/>
      <c r="P1740" s="144"/>
      <c r="Q1740" s="144"/>
      <c r="R1740" s="144"/>
      <c r="S1740" s="144"/>
      <c r="T1740" s="144"/>
      <c r="U1740" s="144"/>
      <c r="V1740" s="144"/>
      <c r="W1740" s="144"/>
      <c r="X1740" s="144"/>
      <c r="Y1740" s="144"/>
      <c r="Z1740" s="144"/>
    </row>
    <row r="1741" spans="2:26" ht="18" customHeight="1" x14ac:dyDescent="0.25">
      <c r="B1741" s="194"/>
      <c r="C1741" s="195"/>
      <c r="D1741" s="196"/>
      <c r="E1741" s="425"/>
      <c r="F1741" s="426"/>
      <c r="G1741" s="159" t="str">
        <f>K127</f>
        <v/>
      </c>
      <c r="H1741" s="44"/>
      <c r="I1741" s="197"/>
      <c r="J1741" s="198"/>
      <c r="K1741" s="45"/>
      <c r="N1741" s="38"/>
      <c r="P1741" s="144">
        <v>1</v>
      </c>
      <c r="Q1741" s="144">
        <v>1</v>
      </c>
      <c r="R1741" s="144">
        <v>1</v>
      </c>
      <c r="S1741" s="144" t="str">
        <f>VLOOKUP(P1741,'WORKINGS MATRIX'!$H$200:$I$351,2,FALSE)</f>
        <v>Year</v>
      </c>
      <c r="T1741" s="144">
        <f>Q1741-1</f>
        <v>0</v>
      </c>
      <c r="U1741" s="144">
        <f>R1741-1</f>
        <v>0</v>
      </c>
      <c r="V1741" s="144" t="str">
        <f>IF(S1741="year","",S1741)</f>
        <v/>
      </c>
      <c r="W1741" s="144" t="str">
        <f>IF(T1741=0,"",T1741)</f>
        <v/>
      </c>
      <c r="X1741" s="144" t="str">
        <f>IF(U1741=0,"",U1741)</f>
        <v/>
      </c>
      <c r="Y1741" s="144" t="str">
        <f>IF(V1741="","",IF(W1741="",(V1741&amp;"/"&amp;"1"&amp;"/"&amp;"1"),IF(X1741="",(V1741&amp;"/"&amp;W1741&amp;"/"&amp;"1"),(V1741&amp;"/"&amp;W1741&amp;"/"&amp;X1741))))</f>
        <v/>
      </c>
      <c r="Z1741" s="144" t="str">
        <f>IF(Y1741="//","",Y1741)</f>
        <v/>
      </c>
    </row>
    <row r="1742" spans="2:26" x14ac:dyDescent="0.25">
      <c r="E1742" t="str">
        <f>IF(E1741="","",IF(LEN(E1741)=13,"","ID NUMBER SHOULD BE 13 DIGITS"))</f>
        <v/>
      </c>
      <c r="N1742" s="38"/>
      <c r="P1742" s="144"/>
      <c r="Q1742" s="144"/>
      <c r="R1742" s="144"/>
      <c r="S1742" s="144"/>
      <c r="T1742" s="144"/>
      <c r="U1742" s="144"/>
      <c r="V1742" s="144"/>
      <c r="W1742" s="144"/>
      <c r="X1742" s="144"/>
      <c r="Y1742" s="144"/>
      <c r="Z1742" s="144"/>
    </row>
    <row r="1743" spans="2:26" x14ac:dyDescent="0.25">
      <c r="G1743" s="170" t="str">
        <f>IF(AG1746=0,"","DATES BEYOND TENDER CLOSING DATE - PLEASE CHECK")</f>
        <v/>
      </c>
      <c r="N1743" s="38"/>
      <c r="P1743" s="144"/>
      <c r="Q1743" s="144"/>
      <c r="R1743" s="144"/>
      <c r="S1743" s="144"/>
      <c r="T1743" s="144"/>
      <c r="U1743" s="144"/>
      <c r="V1743" s="144"/>
      <c r="W1743" s="144"/>
      <c r="X1743" s="144"/>
      <c r="Y1743" s="144"/>
      <c r="Z1743" s="144"/>
    </row>
    <row r="1744" spans="2:26" x14ac:dyDescent="0.25">
      <c r="B1744" t="s">
        <v>139</v>
      </c>
      <c r="G1744" s="170" t="str">
        <f>IF(AE1746=0,"","DATES INCORRECT OR INCOMPLETE - PLEASE CHECK")</f>
        <v/>
      </c>
      <c r="N1744" s="38"/>
      <c r="P1744" s="144"/>
      <c r="Q1744" s="144"/>
      <c r="R1744" s="144"/>
      <c r="S1744" s="144"/>
      <c r="T1744" s="144"/>
      <c r="U1744" s="144"/>
      <c r="V1744" s="144"/>
      <c r="W1744" s="144"/>
      <c r="X1744" s="144"/>
      <c r="Y1744" s="144"/>
      <c r="Z1744" s="144"/>
    </row>
    <row r="1745" spans="2:33" x14ac:dyDescent="0.25">
      <c r="B1745" s="15" t="s">
        <v>140</v>
      </c>
      <c r="N1745" s="38"/>
      <c r="P1745" s="144"/>
      <c r="Q1745" s="144"/>
      <c r="R1745" s="144"/>
      <c r="S1745" s="144"/>
      <c r="T1745" s="144"/>
      <c r="U1745" s="144"/>
      <c r="V1745" s="144"/>
      <c r="W1745" s="144"/>
      <c r="X1745" s="144"/>
      <c r="Y1745" s="144"/>
      <c r="Z1745" s="144"/>
      <c r="AC1745" s="158"/>
      <c r="AD1745" s="158"/>
      <c r="AE1745" s="158"/>
      <c r="AF1745" s="158"/>
      <c r="AG1745" s="158"/>
    </row>
    <row r="1746" spans="2:33" ht="66" x14ac:dyDescent="0.25">
      <c r="B1746" s="47" t="s">
        <v>141</v>
      </c>
      <c r="C1746" s="48" t="s">
        <v>142</v>
      </c>
      <c r="D1746" s="44"/>
      <c r="E1746" s="470" t="s">
        <v>143</v>
      </c>
      <c r="F1746" s="471"/>
      <c r="G1746" s="157" t="s">
        <v>144</v>
      </c>
      <c r="H1746" s="157" t="s">
        <v>145</v>
      </c>
      <c r="I1746" s="385" t="s">
        <v>146</v>
      </c>
      <c r="J1746" s="49" t="s">
        <v>147</v>
      </c>
      <c r="K1746" s="50" t="s">
        <v>148</v>
      </c>
      <c r="L1746" s="385" t="s">
        <v>149</v>
      </c>
      <c r="M1746" s="49" t="s">
        <v>150</v>
      </c>
      <c r="N1746" s="51"/>
      <c r="O1746" s="386"/>
      <c r="P1746" s="147"/>
      <c r="Q1746" s="144"/>
      <c r="R1746" s="144"/>
      <c r="S1746" s="145"/>
      <c r="T1746" s="145"/>
      <c r="U1746" s="145"/>
      <c r="V1746" s="145"/>
      <c r="W1746" s="145"/>
      <c r="X1746" s="145"/>
      <c r="Y1746" s="145"/>
      <c r="Z1746" s="145"/>
      <c r="AC1746" s="165"/>
      <c r="AD1746" s="165"/>
      <c r="AE1746" s="165">
        <f>SUM(AE1747:AE1751)</f>
        <v>0</v>
      </c>
      <c r="AF1746" s="165"/>
      <c r="AG1746" s="165">
        <f>SUM(AG1747:AG1751)</f>
        <v>0</v>
      </c>
    </row>
    <row r="1747" spans="2:33" ht="25.5" customHeight="1" x14ac:dyDescent="0.25">
      <c r="B1747" s="200"/>
      <c r="C1747" s="53">
        <v>8</v>
      </c>
      <c r="D1747" s="54"/>
      <c r="E1747" s="55"/>
      <c r="F1747" s="55">
        <v>1</v>
      </c>
      <c r="G1747" s="143" t="str">
        <f>Z1747</f>
        <v/>
      </c>
      <c r="H1747" s="143" t="str">
        <f>Z1752</f>
        <v/>
      </c>
      <c r="I1747" s="202"/>
      <c r="J1747" s="203"/>
      <c r="K1747" s="56">
        <v>23</v>
      </c>
      <c r="L1747" s="204"/>
      <c r="M1747" s="205"/>
      <c r="N1747" s="164">
        <f>IF(G1747="",0,IF(H1747="",0,(ROUND(((H1747-G1747)/30),0))))</f>
        <v>0</v>
      </c>
      <c r="O1747" s="21"/>
      <c r="P1747" s="148">
        <v>1</v>
      </c>
      <c r="Q1747" s="144">
        <v>1</v>
      </c>
      <c r="R1747" s="144">
        <v>1</v>
      </c>
      <c r="S1747" s="144" t="str">
        <f>VLOOKUP(P1747,'WORKINGS MATRIX'!$B$200:$C$351,2,FALSE)</f>
        <v>Year</v>
      </c>
      <c r="T1747" s="144">
        <f t="shared" ref="T1747:U1751" si="155">Q1747-1</f>
        <v>0</v>
      </c>
      <c r="U1747" s="144">
        <f t="shared" si="155"/>
        <v>0</v>
      </c>
      <c r="V1747" s="144" t="str">
        <f t="shared" ref="V1747:V1756" si="156">IF(S1747="year","",S1747)</f>
        <v/>
      </c>
      <c r="W1747" s="144" t="str">
        <f t="shared" ref="W1747:X1751" si="157">IF(T1747=0,"",T1747)</f>
        <v/>
      </c>
      <c r="X1747" s="144" t="str">
        <f t="shared" si="157"/>
        <v/>
      </c>
      <c r="Y1747" s="144" t="str">
        <f t="shared" ref="Y1747:Y1756" si="158">IF(V1747="","",IF(W1747="",(V1747&amp;"/"&amp;"1"&amp;"/"&amp;"1"),IF(X1747="",(V1747&amp;"/"&amp;W1747&amp;"/"&amp;"1"),(V1747&amp;"/"&amp;W1747&amp;"/"&amp;X1747))))</f>
        <v/>
      </c>
      <c r="Z1747" s="144" t="str">
        <f t="shared" ref="Z1747:Z1756" si="159">IF(Y1747="//","",Y1747)</f>
        <v/>
      </c>
      <c r="AC1747" s="172">
        <f>IF(B1747="",0,1)</f>
        <v>0</v>
      </c>
      <c r="AD1747" s="172">
        <f>IF(B1747="",0,IF(N1747&gt;0,1,IF(N1747&lt;0,2,0)))</f>
        <v>0</v>
      </c>
      <c r="AE1747" s="172">
        <f>IF(AC1747=AD1747,0,IF(AC1747&gt;AD1747,2,1))</f>
        <v>0</v>
      </c>
      <c r="AF1747" s="172">
        <f>IF(B1747="",0,IF(N1747=0,0,H1747-$F$125))</f>
        <v>0</v>
      </c>
      <c r="AG1747" s="172">
        <f>IF(AF1747&gt;0,1,0)</f>
        <v>0</v>
      </c>
    </row>
    <row r="1748" spans="2:33" ht="25.5" customHeight="1" x14ac:dyDescent="0.25">
      <c r="B1748" s="200"/>
      <c r="C1748" s="53">
        <v>8</v>
      </c>
      <c r="D1748" s="54"/>
      <c r="E1748" s="55"/>
      <c r="F1748" s="55">
        <v>1</v>
      </c>
      <c r="G1748" s="143" t="str">
        <f>Z1748</f>
        <v/>
      </c>
      <c r="H1748" s="143" t="str">
        <f>Z1753</f>
        <v/>
      </c>
      <c r="I1748" s="202"/>
      <c r="J1748" s="203"/>
      <c r="K1748" s="56">
        <v>23</v>
      </c>
      <c r="L1748" s="204"/>
      <c r="M1748" s="205"/>
      <c r="N1748" s="164">
        <f>IF(G1748="",0,IF(H1748="",0,(ROUND(((H1748-G1748)/30),0))))</f>
        <v>0</v>
      </c>
      <c r="O1748" s="21"/>
      <c r="P1748" s="148">
        <v>1</v>
      </c>
      <c r="Q1748" s="144">
        <v>1</v>
      </c>
      <c r="R1748" s="144">
        <v>1</v>
      </c>
      <c r="S1748" s="144" t="str">
        <f>VLOOKUP(P1748,'WORKINGS MATRIX'!$B$200:$C$351,2,FALSE)</f>
        <v>Year</v>
      </c>
      <c r="T1748" s="144">
        <f t="shared" si="155"/>
        <v>0</v>
      </c>
      <c r="U1748" s="144">
        <f t="shared" si="155"/>
        <v>0</v>
      </c>
      <c r="V1748" s="144" t="str">
        <f t="shared" si="156"/>
        <v/>
      </c>
      <c r="W1748" s="144" t="str">
        <f t="shared" si="157"/>
        <v/>
      </c>
      <c r="X1748" s="144" t="str">
        <f t="shared" si="157"/>
        <v/>
      </c>
      <c r="Y1748" s="144" t="str">
        <f t="shared" si="158"/>
        <v/>
      </c>
      <c r="Z1748" s="144" t="str">
        <f t="shared" si="159"/>
        <v/>
      </c>
      <c r="AC1748" s="172">
        <f>IF(B1748="",0,1)</f>
        <v>0</v>
      </c>
      <c r="AD1748" s="172">
        <f>IF(B1748="",0,IF(N1748&gt;0,1,IF(N1748&lt;0,2,0)))</f>
        <v>0</v>
      </c>
      <c r="AE1748" s="172">
        <f>IF(AC1748=AD1748,0,IF(AC1748&gt;AD1748,2,1))</f>
        <v>0</v>
      </c>
      <c r="AF1748" s="172">
        <f>IF(B1748="",0,IF(N1748=0,0,H1748-$F$125))</f>
        <v>0</v>
      </c>
      <c r="AG1748" s="172">
        <f>IF(AF1748&gt;0,1,0)</f>
        <v>0</v>
      </c>
    </row>
    <row r="1749" spans="2:33" ht="25.5" customHeight="1" x14ac:dyDescent="0.25">
      <c r="B1749" s="200"/>
      <c r="C1749" s="53">
        <v>8</v>
      </c>
      <c r="D1749" s="54"/>
      <c r="E1749" s="55"/>
      <c r="F1749" s="55">
        <v>1</v>
      </c>
      <c r="G1749" s="143" t="str">
        <f>Z1749</f>
        <v/>
      </c>
      <c r="H1749" s="143" t="str">
        <f>Z1754</f>
        <v/>
      </c>
      <c r="I1749" s="202"/>
      <c r="J1749" s="203"/>
      <c r="K1749" s="56">
        <v>23</v>
      </c>
      <c r="L1749" s="204"/>
      <c r="M1749" s="205"/>
      <c r="N1749" s="164">
        <f>IF(G1749="",0,IF(H1749="",0,(ROUND(((H1749-G1749)/30),0))))</f>
        <v>0</v>
      </c>
      <c r="O1749" s="21"/>
      <c r="P1749" s="148">
        <v>1</v>
      </c>
      <c r="Q1749" s="144">
        <v>1</v>
      </c>
      <c r="R1749" s="144">
        <v>1</v>
      </c>
      <c r="S1749" s="144" t="str">
        <f>VLOOKUP(P1749,'WORKINGS MATRIX'!$B$200:$C$351,2,FALSE)</f>
        <v>Year</v>
      </c>
      <c r="T1749" s="144">
        <f t="shared" si="155"/>
        <v>0</v>
      </c>
      <c r="U1749" s="144">
        <f t="shared" si="155"/>
        <v>0</v>
      </c>
      <c r="V1749" s="144" t="str">
        <f t="shared" si="156"/>
        <v/>
      </c>
      <c r="W1749" s="144" t="str">
        <f t="shared" si="157"/>
        <v/>
      </c>
      <c r="X1749" s="144" t="str">
        <f t="shared" si="157"/>
        <v/>
      </c>
      <c r="Y1749" s="144" t="str">
        <f t="shared" si="158"/>
        <v/>
      </c>
      <c r="Z1749" s="144" t="str">
        <f t="shared" si="159"/>
        <v/>
      </c>
      <c r="AC1749" s="172">
        <f>IF(B1749="",0,1)</f>
        <v>0</v>
      </c>
      <c r="AD1749" s="172">
        <f>IF(B1749="",0,IF(N1749&gt;0,1,IF(N1749&lt;0,2,0)))</f>
        <v>0</v>
      </c>
      <c r="AE1749" s="172">
        <f>IF(AC1749=AD1749,0,IF(AC1749&gt;AD1749,2,1))</f>
        <v>0</v>
      </c>
      <c r="AF1749" s="172">
        <f>IF(B1749="",0,IF(N1749=0,0,H1749-$F$125))</f>
        <v>0</v>
      </c>
      <c r="AG1749" s="172">
        <f>IF(AF1749&gt;0,1,0)</f>
        <v>0</v>
      </c>
    </row>
    <row r="1750" spans="2:33" ht="25.5" customHeight="1" x14ac:dyDescent="0.25">
      <c r="B1750" s="255"/>
      <c r="C1750" s="255"/>
      <c r="D1750" s="255"/>
      <c r="E1750" s="255"/>
      <c r="F1750" s="255"/>
      <c r="G1750" s="255"/>
      <c r="H1750" s="255"/>
      <c r="I1750" s="255"/>
      <c r="J1750" s="255"/>
      <c r="K1750" s="255"/>
      <c r="L1750" s="255"/>
      <c r="M1750" s="255"/>
      <c r="N1750" s="164">
        <f>IF(G1750="",0,IF(H1750="",0,(ROUND(((H1750-G1750)/30),0))))</f>
        <v>0</v>
      </c>
      <c r="O1750" s="21"/>
      <c r="P1750" s="148">
        <v>1</v>
      </c>
      <c r="Q1750" s="144">
        <v>1</v>
      </c>
      <c r="R1750" s="144">
        <v>1</v>
      </c>
      <c r="S1750" s="144" t="str">
        <f>VLOOKUP(P1750,'WORKINGS MATRIX'!$B$200:$C$351,2,FALSE)</f>
        <v>Year</v>
      </c>
      <c r="T1750" s="144">
        <f t="shared" si="155"/>
        <v>0</v>
      </c>
      <c r="U1750" s="144">
        <f t="shared" si="155"/>
        <v>0</v>
      </c>
      <c r="V1750" s="144" t="str">
        <f t="shared" si="156"/>
        <v/>
      </c>
      <c r="W1750" s="144" t="str">
        <f t="shared" si="157"/>
        <v/>
      </c>
      <c r="X1750" s="144" t="str">
        <f t="shared" si="157"/>
        <v/>
      </c>
      <c r="Y1750" s="144" t="str">
        <f t="shared" si="158"/>
        <v/>
      </c>
      <c r="Z1750" s="144" t="str">
        <f t="shared" si="159"/>
        <v/>
      </c>
      <c r="AC1750" s="172">
        <f>IF(B1750="",0,1)</f>
        <v>0</v>
      </c>
      <c r="AD1750" s="172">
        <f>IF(B1750="",0,IF(N1750&gt;0,1,IF(N1750&lt;0,2,0)))</f>
        <v>0</v>
      </c>
      <c r="AE1750" s="172">
        <f>IF(AC1750=AD1750,0,IF(AC1750&gt;AD1750,2,1))</f>
        <v>0</v>
      </c>
      <c r="AF1750" s="172">
        <f>IF(B1750="",0,IF(N1750=0,0,H1750-$F$125))</f>
        <v>0</v>
      </c>
      <c r="AG1750" s="172">
        <f>IF(AF1750&gt;0,1,0)</f>
        <v>0</v>
      </c>
    </row>
    <row r="1751" spans="2:33" ht="25.5" customHeight="1" x14ac:dyDescent="0.25">
      <c r="B1751" s="149"/>
      <c r="C1751" s="149"/>
      <c r="D1751" s="149"/>
      <c r="E1751" s="149"/>
      <c r="F1751" s="149"/>
      <c r="G1751" s="149"/>
      <c r="H1751" s="149"/>
      <c r="I1751" s="149"/>
      <c r="J1751" s="149"/>
      <c r="K1751" s="149"/>
      <c r="L1751" s="149"/>
      <c r="M1751" s="149"/>
      <c r="N1751" s="164">
        <f>IF(G1751="",0,IF(H1751="",0,(ROUND(((H1751-G1751)/30),0))))</f>
        <v>0</v>
      </c>
      <c r="O1751" s="21"/>
      <c r="P1751" s="148">
        <v>1</v>
      </c>
      <c r="Q1751" s="144">
        <v>1</v>
      </c>
      <c r="R1751" s="144">
        <v>1</v>
      </c>
      <c r="S1751" s="144" t="str">
        <f>VLOOKUP(P1751,'WORKINGS MATRIX'!$B$200:$C$351,2,FALSE)</f>
        <v>Year</v>
      </c>
      <c r="T1751" s="144">
        <f t="shared" si="155"/>
        <v>0</v>
      </c>
      <c r="U1751" s="144">
        <f t="shared" si="155"/>
        <v>0</v>
      </c>
      <c r="V1751" s="144" t="str">
        <f t="shared" si="156"/>
        <v/>
      </c>
      <c r="W1751" s="144" t="str">
        <f t="shared" si="157"/>
        <v/>
      </c>
      <c r="X1751" s="144" t="str">
        <f t="shared" si="157"/>
        <v/>
      </c>
      <c r="Y1751" s="144" t="str">
        <f t="shared" si="158"/>
        <v/>
      </c>
      <c r="Z1751" s="144" t="str">
        <f t="shared" si="159"/>
        <v/>
      </c>
      <c r="AC1751" s="172">
        <f>IF(B1751="",0,1)</f>
        <v>0</v>
      </c>
      <c r="AD1751" s="172">
        <f>IF(B1751="",0,IF(N1751&gt;0,1,IF(N1751&lt;0,2,0)))</f>
        <v>0</v>
      </c>
      <c r="AE1751" s="172">
        <f>IF(AC1751=AD1751,0,IF(AC1751&gt;AD1751,2,1))</f>
        <v>0</v>
      </c>
      <c r="AF1751" s="172">
        <f>IF(B1751="",0,IF(N1751=0,0,H1751-$F$125))</f>
        <v>0</v>
      </c>
      <c r="AG1751" s="172">
        <f>IF(AF1751&gt;0,1,0)</f>
        <v>0</v>
      </c>
    </row>
    <row r="1752" spans="2:33" x14ac:dyDescent="0.25">
      <c r="D1752" s="57"/>
      <c r="H1752" s="58"/>
      <c r="K1752" s="21"/>
      <c r="N1752" s="38"/>
      <c r="O1752" s="58"/>
      <c r="P1752" s="134">
        <v>1</v>
      </c>
      <c r="Q1752" s="144">
        <v>1</v>
      </c>
      <c r="R1752" s="144">
        <v>1</v>
      </c>
      <c r="S1752" s="144" t="str">
        <f>VLOOKUP(P1752,'WORKINGS MATRIX'!$B$200:$C$351,2,FALSE)</f>
        <v>Year</v>
      </c>
      <c r="T1752" s="144">
        <f t="shared" ref="T1752:U1756" si="160">Q1752-1</f>
        <v>0</v>
      </c>
      <c r="U1752" s="144">
        <f t="shared" si="160"/>
        <v>0</v>
      </c>
      <c r="V1752" s="144" t="str">
        <f t="shared" si="156"/>
        <v/>
      </c>
      <c r="W1752" s="144" t="str">
        <f t="shared" ref="W1752:X1756" si="161">IF(T1752=0,"",T1752)</f>
        <v/>
      </c>
      <c r="X1752" s="144" t="str">
        <f t="shared" si="161"/>
        <v/>
      </c>
      <c r="Y1752" s="144" t="str">
        <f t="shared" si="158"/>
        <v/>
      </c>
      <c r="Z1752" s="144" t="str">
        <f t="shared" si="159"/>
        <v/>
      </c>
      <c r="AC1752" s="158"/>
      <c r="AD1752" s="158"/>
      <c r="AE1752" s="158"/>
      <c r="AF1752" s="158"/>
      <c r="AG1752" s="158"/>
    </row>
    <row r="1753" spans="2:33" x14ac:dyDescent="0.25">
      <c r="B1753" t="s">
        <v>152</v>
      </c>
      <c r="D1753" s="57"/>
      <c r="H1753" s="58"/>
      <c r="K1753" s="21"/>
      <c r="N1753" s="38"/>
      <c r="O1753" s="58"/>
      <c r="P1753" s="144">
        <v>1</v>
      </c>
      <c r="Q1753" s="144">
        <v>1</v>
      </c>
      <c r="R1753" s="144">
        <v>1</v>
      </c>
      <c r="S1753" s="144" t="str">
        <f>VLOOKUP(P1753,'WORKINGS MATRIX'!$B$200:$C$351,2,FALSE)</f>
        <v>Year</v>
      </c>
      <c r="T1753" s="144">
        <f t="shared" si="160"/>
        <v>0</v>
      </c>
      <c r="U1753" s="144">
        <f t="shared" si="160"/>
        <v>0</v>
      </c>
      <c r="V1753" s="144" t="str">
        <f t="shared" si="156"/>
        <v/>
      </c>
      <c r="W1753" s="144" t="str">
        <f t="shared" si="161"/>
        <v/>
      </c>
      <c r="X1753" s="144" t="str">
        <f t="shared" si="161"/>
        <v/>
      </c>
      <c r="Y1753" s="144" t="str">
        <f t="shared" si="158"/>
        <v/>
      </c>
      <c r="Z1753" s="144" t="str">
        <f t="shared" si="159"/>
        <v/>
      </c>
      <c r="AC1753" s="158"/>
      <c r="AD1753" s="158"/>
      <c r="AE1753" s="158"/>
      <c r="AF1753" s="158"/>
      <c r="AG1753" s="158"/>
    </row>
    <row r="1754" spans="2:33" x14ac:dyDescent="0.25">
      <c r="B1754" s="429"/>
      <c r="C1754" s="430"/>
      <c r="D1754" s="430"/>
      <c r="E1754" s="430"/>
      <c r="F1754" s="430"/>
      <c r="G1754" s="430"/>
      <c r="H1754" s="430"/>
      <c r="I1754" s="430"/>
      <c r="J1754" s="430"/>
      <c r="K1754" s="430"/>
      <c r="L1754" s="430"/>
      <c r="M1754" s="431"/>
      <c r="N1754" s="38"/>
      <c r="O1754" s="58"/>
      <c r="P1754" s="144">
        <v>1</v>
      </c>
      <c r="Q1754" s="144">
        <v>1</v>
      </c>
      <c r="R1754" s="144">
        <v>1</v>
      </c>
      <c r="S1754" s="144" t="str">
        <f>VLOOKUP(P1754,'WORKINGS MATRIX'!$B$200:$C$351,2,FALSE)</f>
        <v>Year</v>
      </c>
      <c r="T1754" s="144">
        <f t="shared" si="160"/>
        <v>0</v>
      </c>
      <c r="U1754" s="144">
        <f t="shared" si="160"/>
        <v>0</v>
      </c>
      <c r="V1754" s="144" t="str">
        <f t="shared" si="156"/>
        <v/>
      </c>
      <c r="W1754" s="144" t="str">
        <f t="shared" si="161"/>
        <v/>
      </c>
      <c r="X1754" s="144" t="str">
        <f t="shared" si="161"/>
        <v/>
      </c>
      <c r="Y1754" s="144" t="str">
        <f t="shared" si="158"/>
        <v/>
      </c>
      <c r="Z1754" s="144" t="str">
        <f t="shared" si="159"/>
        <v/>
      </c>
      <c r="AC1754" s="158"/>
      <c r="AD1754" s="158"/>
      <c r="AE1754" s="158"/>
      <c r="AF1754" s="158"/>
      <c r="AG1754" s="158"/>
    </row>
    <row r="1755" spans="2:33" x14ac:dyDescent="0.25">
      <c r="B1755" s="432"/>
      <c r="C1755" s="433"/>
      <c r="D1755" s="433"/>
      <c r="E1755" s="433"/>
      <c r="F1755" s="433"/>
      <c r="G1755" s="433"/>
      <c r="H1755" s="433"/>
      <c r="I1755" s="433"/>
      <c r="J1755" s="433"/>
      <c r="K1755" s="433"/>
      <c r="L1755" s="433"/>
      <c r="M1755" s="434"/>
      <c r="N1755" s="38"/>
      <c r="O1755" s="58"/>
      <c r="P1755" s="144">
        <v>1</v>
      </c>
      <c r="Q1755" s="144">
        <v>1</v>
      </c>
      <c r="R1755" s="144">
        <v>1</v>
      </c>
      <c r="S1755" s="144" t="str">
        <f>VLOOKUP(P1755,'WORKINGS MATRIX'!$B$200:$C$351,2,FALSE)</f>
        <v>Year</v>
      </c>
      <c r="T1755" s="144">
        <f t="shared" si="160"/>
        <v>0</v>
      </c>
      <c r="U1755" s="144">
        <f t="shared" si="160"/>
        <v>0</v>
      </c>
      <c r="V1755" s="144" t="str">
        <f t="shared" si="156"/>
        <v/>
      </c>
      <c r="W1755" s="144" t="str">
        <f t="shared" si="161"/>
        <v/>
      </c>
      <c r="X1755" s="144" t="str">
        <f t="shared" si="161"/>
        <v/>
      </c>
      <c r="Y1755" s="144" t="str">
        <f t="shared" si="158"/>
        <v/>
      </c>
      <c r="Z1755" s="144" t="str">
        <f t="shared" si="159"/>
        <v/>
      </c>
      <c r="AC1755" s="158"/>
      <c r="AD1755" s="158"/>
      <c r="AE1755" s="158"/>
      <c r="AF1755" s="158"/>
      <c r="AG1755" s="158"/>
    </row>
    <row r="1756" spans="2:33" x14ac:dyDescent="0.25">
      <c r="B1756" s="432"/>
      <c r="C1756" s="433"/>
      <c r="D1756" s="433"/>
      <c r="E1756" s="433"/>
      <c r="F1756" s="433"/>
      <c r="G1756" s="433"/>
      <c r="H1756" s="433"/>
      <c r="I1756" s="433"/>
      <c r="J1756" s="433"/>
      <c r="K1756" s="433"/>
      <c r="L1756" s="433"/>
      <c r="M1756" s="434"/>
      <c r="N1756" s="38"/>
      <c r="O1756" s="58"/>
      <c r="P1756" s="144">
        <v>1</v>
      </c>
      <c r="Q1756" s="144">
        <v>1</v>
      </c>
      <c r="R1756" s="144">
        <v>1</v>
      </c>
      <c r="S1756" s="144" t="str">
        <f>VLOOKUP(P1756,'WORKINGS MATRIX'!$B$200:$C$351,2,FALSE)</f>
        <v>Year</v>
      </c>
      <c r="T1756" s="144">
        <f t="shared" si="160"/>
        <v>0</v>
      </c>
      <c r="U1756" s="144">
        <f t="shared" si="160"/>
        <v>0</v>
      </c>
      <c r="V1756" s="144" t="str">
        <f t="shared" si="156"/>
        <v/>
      </c>
      <c r="W1756" s="144" t="str">
        <f t="shared" si="161"/>
        <v/>
      </c>
      <c r="X1756" s="144" t="str">
        <f t="shared" si="161"/>
        <v/>
      </c>
      <c r="Y1756" s="144" t="str">
        <f t="shared" si="158"/>
        <v/>
      </c>
      <c r="Z1756" s="144" t="str">
        <f t="shared" si="159"/>
        <v/>
      </c>
      <c r="AC1756" s="158"/>
      <c r="AD1756" s="158"/>
      <c r="AE1756" s="158"/>
      <c r="AF1756" s="158"/>
      <c r="AG1756" s="158"/>
    </row>
    <row r="1757" spans="2:33" x14ac:dyDescent="0.25">
      <c r="B1757" s="435"/>
      <c r="C1757" s="436"/>
      <c r="D1757" s="436"/>
      <c r="E1757" s="436"/>
      <c r="F1757" s="436"/>
      <c r="G1757" s="436"/>
      <c r="H1757" s="436"/>
      <c r="I1757" s="436"/>
      <c r="J1757" s="436"/>
      <c r="K1757" s="436"/>
      <c r="L1757" s="436"/>
      <c r="M1757" s="437"/>
      <c r="N1757" s="38"/>
      <c r="O1757" s="58"/>
      <c r="P1757" s="144"/>
      <c r="Q1757" s="144"/>
      <c r="R1757" s="144"/>
      <c r="S1757" s="144"/>
      <c r="T1757" s="144"/>
      <c r="U1757" s="144"/>
      <c r="V1757" s="144"/>
      <c r="W1757" s="144"/>
      <c r="X1757" s="144"/>
      <c r="Y1757" s="144"/>
      <c r="Z1757" s="144"/>
      <c r="AC1757" s="158"/>
      <c r="AD1757" s="158"/>
      <c r="AE1757" s="158"/>
      <c r="AF1757" s="158"/>
      <c r="AG1757" s="158"/>
    </row>
    <row r="1758" spans="2:33" x14ac:dyDescent="0.25">
      <c r="B1758" s="15" t="s">
        <v>153</v>
      </c>
      <c r="D1758" s="57"/>
      <c r="H1758" s="58"/>
      <c r="K1758" s="21"/>
      <c r="N1758" s="38"/>
      <c r="O1758" s="58"/>
      <c r="P1758" s="144"/>
      <c r="Q1758" s="144"/>
      <c r="R1758" s="144"/>
      <c r="S1758" s="144"/>
      <c r="T1758" s="144"/>
      <c r="U1758" s="144"/>
      <c r="V1758" s="144"/>
      <c r="W1758" s="144"/>
      <c r="X1758" s="144"/>
      <c r="Y1758" s="144"/>
      <c r="Z1758" s="144"/>
      <c r="AC1758" s="158"/>
      <c r="AD1758" s="158"/>
      <c r="AE1758" s="158"/>
      <c r="AF1758" s="158"/>
      <c r="AG1758" s="158"/>
    </row>
    <row r="1759" spans="2:33" x14ac:dyDescent="0.25">
      <c r="B1759" s="15" t="s">
        <v>154</v>
      </c>
      <c r="D1759" s="57"/>
      <c r="H1759" s="58"/>
      <c r="K1759" s="21"/>
      <c r="N1759" s="38"/>
      <c r="O1759" s="58"/>
      <c r="P1759" s="144"/>
      <c r="Q1759" s="144"/>
      <c r="R1759" s="144"/>
      <c r="S1759" s="144"/>
      <c r="T1759" s="144"/>
      <c r="U1759" s="144"/>
      <c r="V1759" s="144"/>
      <c r="W1759" s="144"/>
      <c r="X1759" s="144"/>
      <c r="Y1759" s="144"/>
      <c r="Z1759" s="144"/>
      <c r="AC1759" s="158"/>
      <c r="AD1759" s="158"/>
      <c r="AE1759" s="158"/>
      <c r="AF1759" s="158"/>
      <c r="AG1759" s="158"/>
    </row>
    <row r="1762" spans="2:26" x14ac:dyDescent="0.25">
      <c r="D1762" s="57"/>
      <c r="E1762" s="149"/>
      <c r="F1762" s="149"/>
      <c r="G1762" s="149"/>
      <c r="H1762" s="149"/>
      <c r="I1762" s="149"/>
      <c r="K1762" s="438" t="s">
        <v>155</v>
      </c>
      <c r="L1762" s="438"/>
      <c r="M1762" s="438"/>
      <c r="N1762" s="38"/>
      <c r="O1762" s="58"/>
      <c r="P1762" s="144"/>
      <c r="Q1762" s="144"/>
      <c r="R1762" s="144"/>
      <c r="S1762" s="144"/>
      <c r="T1762" s="144"/>
      <c r="U1762" s="144"/>
      <c r="V1762" s="144"/>
      <c r="W1762" s="144"/>
      <c r="X1762" s="144"/>
      <c r="Y1762" s="144"/>
      <c r="Z1762" s="144"/>
    </row>
    <row r="1763" spans="2:26" x14ac:dyDescent="0.25">
      <c r="D1763" s="57"/>
      <c r="H1763" s="58"/>
      <c r="K1763" s="438"/>
      <c r="L1763" s="438"/>
      <c r="M1763" s="438"/>
      <c r="N1763" s="38"/>
      <c r="O1763" s="58"/>
      <c r="P1763" s="144"/>
      <c r="Q1763" s="144"/>
      <c r="R1763" s="144"/>
      <c r="S1763" s="144"/>
      <c r="T1763" s="144"/>
      <c r="U1763" s="144"/>
      <c r="V1763" s="144"/>
      <c r="W1763" s="144"/>
      <c r="X1763" s="144"/>
      <c r="Y1763" s="144"/>
      <c r="Z1763" s="144"/>
    </row>
    <row r="1764" spans="2:26" x14ac:dyDescent="0.25">
      <c r="D1764" s="57"/>
      <c r="E1764" s="149"/>
      <c r="F1764" s="149"/>
      <c r="G1764" s="149"/>
      <c r="H1764" s="149"/>
      <c r="I1764" s="149"/>
      <c r="K1764" s="438"/>
      <c r="L1764" s="438"/>
      <c r="M1764" s="438"/>
      <c r="N1764" s="38"/>
      <c r="O1764" s="58"/>
      <c r="P1764" s="144"/>
      <c r="Q1764" s="144"/>
      <c r="R1764" s="144"/>
      <c r="S1764" s="144"/>
      <c r="T1764" s="144"/>
      <c r="U1764" s="144"/>
      <c r="V1764" s="144"/>
      <c r="W1764" s="144"/>
      <c r="X1764" s="144"/>
      <c r="Y1764" s="144"/>
      <c r="Z1764" s="144"/>
    </row>
    <row r="1765" spans="2:26" x14ac:dyDescent="0.25">
      <c r="D1765" s="57"/>
      <c r="E1765" s="149"/>
      <c r="F1765" s="149"/>
      <c r="G1765" s="149"/>
      <c r="H1765" s="149"/>
      <c r="I1765" s="149"/>
      <c r="K1765" s="438"/>
      <c r="L1765" s="438"/>
      <c r="M1765" s="438"/>
      <c r="N1765" s="38"/>
      <c r="O1765" s="58"/>
      <c r="P1765" s="144"/>
      <c r="Q1765" s="144"/>
      <c r="R1765" s="144"/>
      <c r="S1765" s="144"/>
      <c r="T1765" s="144"/>
      <c r="U1765" s="144"/>
      <c r="V1765" s="144"/>
      <c r="W1765" s="144"/>
      <c r="X1765" s="144"/>
      <c r="Y1765" s="144"/>
      <c r="Z1765" s="144"/>
    </row>
    <row r="1766" spans="2:26" ht="13.8" thickBot="1" x14ac:dyDescent="0.3">
      <c r="B1766" s="60"/>
      <c r="C1766" s="60"/>
      <c r="D1766" s="61"/>
      <c r="E1766" s="60"/>
      <c r="F1766" s="60"/>
      <c r="G1766" s="60"/>
      <c r="H1766" s="62"/>
      <c r="I1766" s="60"/>
      <c r="J1766" s="60"/>
      <c r="K1766" s="63"/>
      <c r="L1766" s="60"/>
      <c r="M1766" s="60"/>
      <c r="N1766" s="64"/>
      <c r="O1766" s="58"/>
      <c r="P1766" s="144"/>
      <c r="Q1766" s="144"/>
      <c r="R1766" s="144"/>
      <c r="S1766" s="144"/>
      <c r="T1766" s="144"/>
      <c r="U1766" s="144"/>
      <c r="V1766" s="144"/>
      <c r="W1766" s="144"/>
      <c r="X1766" s="144"/>
      <c r="Y1766" s="144"/>
      <c r="Z1766" s="144"/>
    </row>
    <row r="1767" spans="2:26" ht="14.4" thickTop="1" thickBot="1" x14ac:dyDescent="0.3">
      <c r="D1767" s="57"/>
      <c r="H1767" s="58"/>
      <c r="K1767" s="21"/>
      <c r="O1767" s="58"/>
      <c r="P1767" s="144"/>
      <c r="Q1767" s="144"/>
      <c r="R1767" s="144"/>
      <c r="S1767" s="144"/>
      <c r="T1767" s="144"/>
      <c r="U1767" s="144"/>
      <c r="V1767" s="144"/>
      <c r="W1767" s="144"/>
      <c r="X1767" s="144"/>
      <c r="Y1767" s="144"/>
      <c r="Z1767" s="144"/>
    </row>
    <row r="1768" spans="2:26" ht="13.8" thickTop="1" x14ac:dyDescent="0.25">
      <c r="B1768" s="27" t="s">
        <v>156</v>
      </c>
      <c r="C1768" s="29"/>
      <c r="D1768" s="28"/>
      <c r="E1768" s="65"/>
      <c r="F1768" s="65"/>
      <c r="G1768" s="65"/>
      <c r="H1768" s="28"/>
      <c r="I1768" s="28"/>
      <c r="J1768" s="28"/>
      <c r="K1768" s="28"/>
      <c r="L1768" s="31" t="s">
        <v>157</v>
      </c>
      <c r="M1768" s="28"/>
      <c r="N1768" s="32"/>
      <c r="P1768" s="144"/>
      <c r="Q1768" s="144"/>
      <c r="R1768" s="144"/>
      <c r="S1768" s="144"/>
      <c r="T1768" s="144"/>
      <c r="U1768" s="144"/>
      <c r="V1768" s="144"/>
      <c r="W1768" s="144"/>
      <c r="X1768" s="144"/>
      <c r="Y1768" s="144"/>
      <c r="Z1768" s="144"/>
    </row>
    <row r="1769" spans="2:26" x14ac:dyDescent="0.25">
      <c r="E1769" s="134">
        <v>5</v>
      </c>
      <c r="F1769" s="12"/>
      <c r="N1769" s="38"/>
      <c r="P1769" s="144"/>
      <c r="Q1769" s="144"/>
      <c r="R1769" s="144"/>
      <c r="S1769" s="144"/>
      <c r="T1769" s="144"/>
      <c r="U1769" s="144"/>
      <c r="V1769" s="144"/>
      <c r="W1769" s="144"/>
      <c r="X1769" s="144"/>
      <c r="Y1769" s="144"/>
      <c r="Z1769" s="144"/>
    </row>
    <row r="1770" spans="2:26" x14ac:dyDescent="0.25">
      <c r="B1770" t="s">
        <v>134</v>
      </c>
      <c r="L1770" s="465" t="str">
        <f>$L$39</f>
        <v>X.002-218-2024(NT)&amp;N.004-116-2024(T)</v>
      </c>
      <c r="M1770" s="465"/>
      <c r="N1770" s="38"/>
      <c r="P1770" s="144"/>
      <c r="Q1770" s="144"/>
      <c r="R1770" s="144"/>
      <c r="S1770" s="144"/>
      <c r="T1770" s="144"/>
      <c r="U1770" s="144"/>
      <c r="V1770" s="144"/>
      <c r="W1770" s="144"/>
      <c r="X1770" s="144"/>
      <c r="Y1770" s="144"/>
      <c r="Z1770" s="144"/>
    </row>
    <row r="1771" spans="2:26" x14ac:dyDescent="0.25">
      <c r="B1771" s="39" t="s">
        <v>135</v>
      </c>
      <c r="C1771" s="40"/>
      <c r="D1771" s="41"/>
      <c r="E1771" s="448" t="s">
        <v>158</v>
      </c>
      <c r="F1771" s="449"/>
      <c r="G1771" s="466" t="s">
        <v>159</v>
      </c>
      <c r="H1771" s="449"/>
      <c r="L1771" s="465"/>
      <c r="M1771" s="465"/>
      <c r="N1771" s="38"/>
      <c r="P1771" s="144"/>
      <c r="Q1771" s="144"/>
      <c r="R1771" s="144"/>
      <c r="S1771" s="144"/>
      <c r="T1771" s="144"/>
      <c r="U1771" s="144"/>
      <c r="V1771" s="144"/>
      <c r="W1771" s="144"/>
      <c r="X1771" s="144"/>
      <c r="Y1771" s="144"/>
      <c r="Z1771" s="144"/>
    </row>
    <row r="1772" spans="2:26" ht="18" customHeight="1" x14ac:dyDescent="0.25">
      <c r="B1772" s="66">
        <f>B1741</f>
        <v>0</v>
      </c>
      <c r="C1772" s="67"/>
      <c r="D1772" s="68"/>
      <c r="E1772" s="441" t="str">
        <f>G1741</f>
        <v/>
      </c>
      <c r="F1772" s="441"/>
      <c r="G1772" s="42"/>
      <c r="H1772" s="12">
        <v>1</v>
      </c>
      <c r="N1772" s="38"/>
      <c r="P1772" s="144"/>
      <c r="Q1772" s="144"/>
      <c r="R1772" s="144"/>
      <c r="S1772" s="144"/>
      <c r="T1772" s="144"/>
      <c r="U1772" s="144"/>
      <c r="V1772" s="144"/>
      <c r="W1772" s="144"/>
      <c r="X1772" s="144"/>
      <c r="Y1772" s="144"/>
      <c r="Z1772" s="144"/>
    </row>
    <row r="1773" spans="2:26" x14ac:dyDescent="0.25">
      <c r="N1773" s="38"/>
      <c r="P1773" s="144"/>
      <c r="Q1773" s="144"/>
      <c r="R1773" s="144"/>
      <c r="S1773" s="144"/>
      <c r="T1773" s="144"/>
      <c r="U1773" s="144"/>
      <c r="V1773" s="144"/>
      <c r="W1773" s="144"/>
      <c r="X1773" s="144"/>
      <c r="Y1773" s="144"/>
      <c r="Z1773" s="144"/>
    </row>
    <row r="1774" spans="2:26" x14ac:dyDescent="0.25">
      <c r="B1774" t="s">
        <v>161</v>
      </c>
      <c r="N1774" s="38"/>
      <c r="P1774" s="144"/>
      <c r="Q1774" s="144"/>
      <c r="R1774" s="144"/>
      <c r="S1774" s="144"/>
      <c r="T1774" s="144"/>
      <c r="U1774" s="144"/>
      <c r="V1774" s="144"/>
      <c r="W1774" s="144"/>
      <c r="X1774" s="144"/>
      <c r="Y1774" s="144"/>
      <c r="Z1774" s="144"/>
    </row>
    <row r="1775" spans="2:26" ht="18" customHeight="1" x14ac:dyDescent="0.25">
      <c r="B1775" s="468" t="s">
        <v>162</v>
      </c>
      <c r="C1775" s="468"/>
      <c r="D1775" s="469" t="s">
        <v>163</v>
      </c>
      <c r="E1775" s="469"/>
      <c r="F1775" s="461" t="s">
        <v>164</v>
      </c>
      <c r="G1775" s="462"/>
      <c r="H1775" s="467" t="s">
        <v>165</v>
      </c>
      <c r="I1775" s="462"/>
      <c r="J1775" s="467" t="s">
        <v>165</v>
      </c>
      <c r="K1775" s="462"/>
      <c r="L1775" s="125" t="s">
        <v>166</v>
      </c>
      <c r="M1775" s="125" t="s">
        <v>167</v>
      </c>
      <c r="N1775" s="38"/>
      <c r="P1775" s="144">
        <v>1</v>
      </c>
      <c r="Q1775" s="144">
        <v>1</v>
      </c>
      <c r="R1775" s="144">
        <v>1</v>
      </c>
      <c r="S1775" s="144" t="str">
        <f>VLOOKUP(P1775,'WORKINGS MATRIX'!$B$200:$C$351,2,FALSE)</f>
        <v>Year</v>
      </c>
      <c r="T1775" s="144">
        <f t="shared" ref="T1775:U1779" si="162">Q1775-1</f>
        <v>0</v>
      </c>
      <c r="U1775" s="144">
        <f t="shared" si="162"/>
        <v>0</v>
      </c>
      <c r="V1775" s="144" t="str">
        <f>IF(S1775="year","",S1775)</f>
        <v/>
      </c>
      <c r="W1775" s="144" t="str">
        <f t="shared" ref="W1775:X1779" si="163">IF(T1775=0,"",T1775)</f>
        <v/>
      </c>
      <c r="X1775" s="144" t="str">
        <f t="shared" si="163"/>
        <v/>
      </c>
      <c r="Y1775" s="144" t="str">
        <f>IF(V1775="","",IF(W1775="",(V1775&amp;"/"&amp;"12"&amp;"/"&amp;"1"),IF(X1775="",(V1775&amp;"/"&amp;W1775&amp;"/"&amp;"1"),(V1775&amp;"/"&amp;W1775&amp;"/"&amp;X1775))))</f>
        <v/>
      </c>
      <c r="Z1775" s="144" t="str">
        <f>IF(Y1775="//","",Y1775)</f>
        <v/>
      </c>
    </row>
    <row r="1776" spans="2:26" ht="18" customHeight="1" x14ac:dyDescent="0.25">
      <c r="B1776" s="441" t="s">
        <v>168</v>
      </c>
      <c r="C1776" s="441"/>
      <c r="D1776" s="439">
        <v>10</v>
      </c>
      <c r="E1776" s="440"/>
      <c r="F1776" s="442"/>
      <c r="G1776" s="443"/>
      <c r="H1776" s="463">
        <v>1</v>
      </c>
      <c r="I1776" s="464"/>
      <c r="J1776" s="450"/>
      <c r="K1776" s="443"/>
      <c r="L1776" s="206"/>
      <c r="M1776" s="143" t="str">
        <f>Z1775</f>
        <v/>
      </c>
      <c r="N1776" s="38"/>
      <c r="P1776" s="144">
        <v>1</v>
      </c>
      <c r="Q1776" s="144">
        <v>1</v>
      </c>
      <c r="R1776" s="144">
        <v>1</v>
      </c>
      <c r="S1776" s="144" t="str">
        <f>VLOOKUP(P1776,'WORKINGS MATRIX'!$B$200:$C$351,2,FALSE)</f>
        <v>Year</v>
      </c>
      <c r="T1776" s="144">
        <f t="shared" si="162"/>
        <v>0</v>
      </c>
      <c r="U1776" s="144">
        <f t="shared" si="162"/>
        <v>0</v>
      </c>
      <c r="V1776" s="144" t="str">
        <f>IF(S1776="year","",S1776)</f>
        <v/>
      </c>
      <c r="W1776" s="144" t="str">
        <f t="shared" si="163"/>
        <v/>
      </c>
      <c r="X1776" s="144" t="str">
        <f t="shared" si="163"/>
        <v/>
      </c>
      <c r="Y1776" s="144" t="str">
        <f>IF(V1776="","",IF(W1776="",(V1776&amp;"/"&amp;"12"&amp;"/"&amp;"1"),IF(X1776="",(V1776&amp;"/"&amp;W1776&amp;"/"&amp;"1"),(V1776&amp;"/"&amp;W1776&amp;"/"&amp;X1776))))</f>
        <v/>
      </c>
      <c r="Z1776" s="144" t="str">
        <f>IF(Y1776="//","",Y1776)</f>
        <v/>
      </c>
    </row>
    <row r="1777" spans="2:26" ht="18" customHeight="1" x14ac:dyDescent="0.25">
      <c r="B1777" s="441" t="s">
        <v>169</v>
      </c>
      <c r="C1777" s="441"/>
      <c r="D1777" s="442"/>
      <c r="E1777" s="443"/>
      <c r="F1777" s="442"/>
      <c r="G1777" s="443"/>
      <c r="H1777" s="451" t="s">
        <v>170</v>
      </c>
      <c r="I1777" s="452"/>
      <c r="J1777" s="451" t="s">
        <v>171</v>
      </c>
      <c r="K1777" s="452"/>
      <c r="L1777" s="125" t="s">
        <v>166</v>
      </c>
      <c r="M1777" s="125" t="s">
        <v>167</v>
      </c>
      <c r="N1777" s="38"/>
      <c r="P1777" s="144">
        <v>1</v>
      </c>
      <c r="Q1777" s="144">
        <v>1</v>
      </c>
      <c r="R1777" s="144">
        <v>1</v>
      </c>
      <c r="S1777" s="144" t="str">
        <f>VLOOKUP(P1777,'WORKINGS MATRIX'!$B$200:$C$351,2,FALSE)</f>
        <v>Year</v>
      </c>
      <c r="T1777" s="144">
        <f t="shared" si="162"/>
        <v>0</v>
      </c>
      <c r="U1777" s="144">
        <f t="shared" si="162"/>
        <v>0</v>
      </c>
      <c r="V1777" s="144" t="str">
        <f>IF(S1777="year","",S1777)</f>
        <v/>
      </c>
      <c r="W1777" s="144" t="str">
        <f t="shared" si="163"/>
        <v/>
      </c>
      <c r="X1777" s="144" t="str">
        <f t="shared" si="163"/>
        <v/>
      </c>
      <c r="Y1777" s="144" t="str">
        <f>IF(V1777="","",IF(W1777="",(V1777&amp;"/"&amp;"1"&amp;"/"&amp;"1"),IF(X1777="",(V1777&amp;"/"&amp;W1777&amp;"/"&amp;"1"),(V1777&amp;"/"&amp;W1777&amp;"/"&amp;X1777))))</f>
        <v/>
      </c>
      <c r="Z1777" s="144" t="str">
        <f>IF(Y1777="//","",Y1777)</f>
        <v/>
      </c>
    </row>
    <row r="1778" spans="2:26" ht="18" customHeight="1" x14ac:dyDescent="0.25">
      <c r="B1778" s="441" t="s">
        <v>172</v>
      </c>
      <c r="C1778" s="441"/>
      <c r="D1778" s="444" t="str">
        <f>Z1777</f>
        <v/>
      </c>
      <c r="E1778" s="445"/>
      <c r="F1778" s="444" t="str">
        <f>Z1778</f>
        <v/>
      </c>
      <c r="G1778" s="445"/>
      <c r="H1778" s="446">
        <v>1</v>
      </c>
      <c r="I1778" s="447"/>
      <c r="J1778" s="450"/>
      <c r="K1778" s="443"/>
      <c r="L1778" s="206"/>
      <c r="M1778" s="143" t="str">
        <f>Z1776</f>
        <v/>
      </c>
      <c r="N1778" s="38"/>
      <c r="P1778" s="144">
        <v>1</v>
      </c>
      <c r="Q1778" s="144">
        <v>1</v>
      </c>
      <c r="R1778" s="144">
        <v>1</v>
      </c>
      <c r="S1778" s="144" t="str">
        <f>VLOOKUP(P1778,'WORKINGS MATRIX'!$B$200:$C$351,2,FALSE)</f>
        <v>Year</v>
      </c>
      <c r="T1778" s="144">
        <f t="shared" si="162"/>
        <v>0</v>
      </c>
      <c r="U1778" s="144">
        <f t="shared" si="162"/>
        <v>0</v>
      </c>
      <c r="V1778" s="144" t="str">
        <f>IF(S1778="year","",S1778)</f>
        <v/>
      </c>
      <c r="W1778" s="144" t="str">
        <f t="shared" si="163"/>
        <v/>
      </c>
      <c r="X1778" s="144" t="str">
        <f t="shared" si="163"/>
        <v/>
      </c>
      <c r="Y1778" s="144" t="str">
        <f>IF(V1778="","",IF(W1778="",(V1778&amp;"/"&amp;"1"&amp;"/"&amp;"1"),IF(X1778="",(V1778&amp;"/"&amp;W1778&amp;"/"&amp;"1"),(V1778&amp;"/"&amp;W1778&amp;"/"&amp;X1778))))</f>
        <v/>
      </c>
      <c r="Z1778" s="144" t="str">
        <f>IF(Y1778="//","",Y1778)</f>
        <v/>
      </c>
    </row>
    <row r="1779" spans="2:26" x14ac:dyDescent="0.25">
      <c r="N1779" s="38"/>
      <c r="P1779" s="144">
        <v>1</v>
      </c>
      <c r="Q1779" s="144">
        <v>1</v>
      </c>
      <c r="R1779" s="144">
        <v>1</v>
      </c>
      <c r="S1779" s="144" t="str">
        <f>VLOOKUP(P1779,'WORKINGS MATRIX'!$B$200:$C$351,2,FALSE)</f>
        <v>Year</v>
      </c>
      <c r="T1779" s="144">
        <f t="shared" si="162"/>
        <v>0</v>
      </c>
      <c r="U1779" s="144">
        <f t="shared" si="162"/>
        <v>0</v>
      </c>
      <c r="V1779" s="144" t="str">
        <f>IF(S1779="year","",S1779)</f>
        <v/>
      </c>
      <c r="W1779" s="144" t="str">
        <f t="shared" si="163"/>
        <v/>
      </c>
      <c r="X1779" s="144" t="str">
        <f t="shared" si="163"/>
        <v/>
      </c>
      <c r="Y1779" s="144" t="str">
        <f>IF(V1779="","",IF(W1779="",(V1779&amp;"/"&amp;"1"&amp;"/"&amp;"1"),IF(X1779="",(V1779&amp;"/"&amp;W1779&amp;"/"&amp;"1"),(V1779&amp;"/"&amp;W1779&amp;"/"&amp;X1779))))</f>
        <v/>
      </c>
      <c r="Z1779" s="144" t="str">
        <f>IF(Y1779="//","",Y1779)</f>
        <v/>
      </c>
    </row>
    <row r="1780" spans="2:26" x14ac:dyDescent="0.25">
      <c r="M1780" s="217"/>
      <c r="N1780" s="38"/>
      <c r="P1780" s="144"/>
      <c r="Q1780" s="144"/>
      <c r="R1780" s="144"/>
      <c r="S1780" s="144"/>
      <c r="T1780" s="144"/>
      <c r="U1780" s="144"/>
      <c r="V1780" s="144"/>
      <c r="W1780" s="144"/>
      <c r="X1780" s="144"/>
      <c r="Y1780" s="144"/>
      <c r="Z1780" s="144"/>
    </row>
    <row r="1781" spans="2:26" x14ac:dyDescent="0.25">
      <c r="B1781" s="21"/>
      <c r="C1781" s="77"/>
      <c r="D1781" s="216"/>
      <c r="E1781" s="21"/>
      <c r="F1781" s="10"/>
      <c r="G1781" s="10"/>
      <c r="H1781" s="10"/>
      <c r="I1781" s="10"/>
      <c r="J1781" s="21"/>
      <c r="K1781" s="21"/>
      <c r="L1781" s="21"/>
      <c r="M1781" s="217"/>
      <c r="N1781" s="387"/>
      <c r="O1781" s="21"/>
      <c r="P1781" s="144"/>
      <c r="Q1781" s="144"/>
      <c r="R1781" s="144"/>
      <c r="S1781" s="145"/>
      <c r="T1781" s="145"/>
      <c r="U1781" s="145"/>
      <c r="V1781" s="145"/>
      <c r="W1781" s="145"/>
      <c r="X1781" s="145"/>
      <c r="Y1781" s="145"/>
      <c r="Z1781" s="145"/>
    </row>
    <row r="1782" spans="2:26" ht="26.25" customHeight="1" x14ac:dyDescent="0.25">
      <c r="B1782" s="149"/>
      <c r="C1782" s="149"/>
      <c r="D1782" s="3"/>
      <c r="E1782" s="149"/>
      <c r="F1782" s="149"/>
      <c r="G1782" s="3"/>
      <c r="H1782" s="149"/>
      <c r="I1782" s="3"/>
      <c r="J1782" s="213"/>
      <c r="K1782" s="214"/>
      <c r="L1782" s="149"/>
      <c r="M1782" s="70"/>
      <c r="N1782" s="71"/>
      <c r="O1782" s="10"/>
      <c r="P1782" s="144"/>
      <c r="Q1782" s="144"/>
      <c r="R1782" s="144"/>
      <c r="S1782" s="144"/>
      <c r="T1782" s="144"/>
      <c r="U1782" s="144"/>
      <c r="V1782" s="144"/>
      <c r="W1782" s="144"/>
      <c r="X1782" s="144"/>
      <c r="Y1782" s="144"/>
      <c r="Z1782" s="144"/>
    </row>
    <row r="1783" spans="2:26" ht="26.25" customHeight="1" x14ac:dyDescent="0.25">
      <c r="B1783" s="149"/>
      <c r="C1783" s="149"/>
      <c r="D1783" s="3"/>
      <c r="E1783" s="149"/>
      <c r="F1783" s="149"/>
      <c r="G1783" s="3"/>
      <c r="H1783" s="149"/>
      <c r="I1783" s="3"/>
      <c r="J1783" s="213"/>
      <c r="K1783" s="214"/>
      <c r="L1783" s="149"/>
      <c r="M1783" s="70"/>
      <c r="N1783" s="71"/>
      <c r="O1783" s="10"/>
      <c r="P1783" s="144"/>
      <c r="Q1783" s="144"/>
      <c r="R1783" s="144"/>
      <c r="S1783" s="144"/>
      <c r="T1783" s="144"/>
      <c r="U1783" s="144"/>
      <c r="V1783" s="144"/>
      <c r="W1783" s="144"/>
      <c r="X1783" s="144"/>
      <c r="Y1783" s="144"/>
      <c r="Z1783" s="144"/>
    </row>
    <row r="1784" spans="2:26" ht="26.25" customHeight="1" x14ac:dyDescent="0.25">
      <c r="B1784" s="149"/>
      <c r="C1784" s="149"/>
      <c r="D1784" s="3"/>
      <c r="E1784" s="149"/>
      <c r="F1784" s="149"/>
      <c r="G1784" s="3"/>
      <c r="H1784" s="149"/>
      <c r="I1784" s="3"/>
      <c r="J1784" s="213"/>
      <c r="K1784" s="214"/>
      <c r="L1784" s="149"/>
      <c r="M1784" s="70"/>
      <c r="N1784" s="71"/>
      <c r="O1784" s="10"/>
      <c r="P1784" s="144"/>
      <c r="Q1784" s="144"/>
      <c r="R1784" s="144"/>
      <c r="S1784" s="144"/>
      <c r="T1784" s="144"/>
      <c r="U1784" s="144"/>
      <c r="V1784" s="144"/>
      <c r="W1784" s="144"/>
      <c r="X1784" s="144"/>
      <c r="Y1784" s="144"/>
      <c r="Z1784" s="144"/>
    </row>
    <row r="1785" spans="2:26" ht="26.25" customHeight="1" x14ac:dyDescent="0.25">
      <c r="B1785" s="149"/>
      <c r="C1785" s="149"/>
      <c r="D1785" s="3"/>
      <c r="E1785" s="149"/>
      <c r="F1785" s="149"/>
      <c r="G1785" s="3"/>
      <c r="H1785" s="149"/>
      <c r="I1785" s="3"/>
      <c r="J1785" s="213"/>
      <c r="K1785" s="214"/>
      <c r="L1785" s="149"/>
      <c r="M1785" s="70"/>
      <c r="N1785" s="71"/>
      <c r="O1785" s="10"/>
      <c r="P1785" s="144"/>
      <c r="Q1785" s="144"/>
      <c r="R1785" s="144"/>
      <c r="S1785" s="144"/>
      <c r="T1785" s="144"/>
      <c r="U1785" s="144"/>
      <c r="V1785" s="144"/>
      <c r="W1785" s="144"/>
      <c r="X1785" s="144"/>
      <c r="Y1785" s="144"/>
      <c r="Z1785" s="144"/>
    </row>
    <row r="1786" spans="2:26" ht="26.25" customHeight="1" x14ac:dyDescent="0.25">
      <c r="B1786" s="149"/>
      <c r="C1786" s="149"/>
      <c r="D1786" s="3"/>
      <c r="E1786" s="149"/>
      <c r="F1786" s="149"/>
      <c r="G1786" s="3"/>
      <c r="H1786" s="149"/>
      <c r="I1786" s="3"/>
      <c r="J1786" s="213"/>
      <c r="K1786" s="214"/>
      <c r="L1786" s="149"/>
      <c r="M1786" s="70"/>
      <c r="N1786" s="71"/>
      <c r="O1786" s="10"/>
      <c r="P1786" s="144"/>
      <c r="Q1786" s="144"/>
      <c r="R1786" s="144"/>
      <c r="S1786" s="144"/>
      <c r="T1786" s="144"/>
      <c r="U1786" s="144"/>
      <c r="V1786" s="144"/>
      <c r="W1786" s="144"/>
      <c r="X1786" s="144"/>
      <c r="Y1786" s="144"/>
      <c r="Z1786" s="144"/>
    </row>
    <row r="1787" spans="2:26" x14ac:dyDescent="0.25">
      <c r="D1787" s="3"/>
      <c r="G1787" s="3"/>
      <c r="I1787" s="3"/>
      <c r="N1787" s="71"/>
      <c r="P1787" s="144"/>
      <c r="Q1787" s="144"/>
      <c r="R1787" s="144"/>
      <c r="S1787" s="144"/>
      <c r="T1787" s="144"/>
      <c r="U1787" s="144"/>
      <c r="V1787" s="144"/>
      <c r="W1787" s="144"/>
      <c r="X1787" s="144"/>
      <c r="Y1787" s="144"/>
      <c r="Z1787" s="144"/>
    </row>
    <row r="1788" spans="2:26" x14ac:dyDescent="0.25">
      <c r="B1788" t="s">
        <v>152</v>
      </c>
      <c r="D1788" s="57"/>
      <c r="H1788" s="58"/>
      <c r="K1788" s="21"/>
      <c r="N1788" s="38"/>
      <c r="P1788" s="144"/>
      <c r="Q1788" s="144"/>
      <c r="R1788" s="144"/>
      <c r="S1788" s="144"/>
      <c r="T1788" s="144"/>
      <c r="U1788" s="144"/>
      <c r="V1788" s="144"/>
      <c r="W1788" s="144"/>
      <c r="X1788" s="144"/>
      <c r="Y1788" s="144"/>
      <c r="Z1788" s="144"/>
    </row>
    <row r="1789" spans="2:26" x14ac:dyDescent="0.25">
      <c r="B1789" s="429"/>
      <c r="C1789" s="430"/>
      <c r="D1789" s="430"/>
      <c r="E1789" s="430"/>
      <c r="F1789" s="430"/>
      <c r="G1789" s="430"/>
      <c r="H1789" s="430"/>
      <c r="I1789" s="430"/>
      <c r="J1789" s="430"/>
      <c r="K1789" s="430"/>
      <c r="L1789" s="430"/>
      <c r="M1789" s="431"/>
      <c r="N1789" s="38"/>
      <c r="P1789" s="144"/>
      <c r="Q1789" s="144"/>
      <c r="R1789" s="144"/>
      <c r="S1789" s="144"/>
      <c r="T1789" s="144"/>
      <c r="U1789" s="144"/>
      <c r="V1789" s="144"/>
      <c r="W1789" s="144"/>
      <c r="X1789" s="144"/>
      <c r="Y1789" s="144"/>
      <c r="Z1789" s="144"/>
    </row>
    <row r="1790" spans="2:26" x14ac:dyDescent="0.25">
      <c r="B1790" s="432"/>
      <c r="C1790" s="433"/>
      <c r="D1790" s="433"/>
      <c r="E1790" s="433"/>
      <c r="F1790" s="433"/>
      <c r="G1790" s="433"/>
      <c r="H1790" s="433"/>
      <c r="I1790" s="433"/>
      <c r="J1790" s="433"/>
      <c r="K1790" s="433"/>
      <c r="L1790" s="433"/>
      <c r="M1790" s="434"/>
      <c r="N1790" s="38"/>
      <c r="P1790" s="144"/>
      <c r="Q1790" s="144"/>
      <c r="R1790" s="144"/>
      <c r="S1790" s="144"/>
      <c r="T1790" s="144"/>
      <c r="U1790" s="144"/>
      <c r="V1790" s="144"/>
      <c r="W1790" s="144"/>
      <c r="X1790" s="144"/>
      <c r="Y1790" s="144"/>
      <c r="Z1790" s="144"/>
    </row>
    <row r="1791" spans="2:26" x14ac:dyDescent="0.25">
      <c r="B1791" s="432"/>
      <c r="C1791" s="433"/>
      <c r="D1791" s="433"/>
      <c r="E1791" s="433"/>
      <c r="F1791" s="433"/>
      <c r="G1791" s="433"/>
      <c r="H1791" s="433"/>
      <c r="I1791" s="433"/>
      <c r="J1791" s="433"/>
      <c r="K1791" s="433"/>
      <c r="L1791" s="433"/>
      <c r="M1791" s="434"/>
      <c r="N1791" s="38"/>
      <c r="P1791" s="144"/>
      <c r="Q1791" s="144"/>
      <c r="R1791" s="144"/>
      <c r="S1791" s="144"/>
      <c r="T1791" s="144"/>
      <c r="U1791" s="144"/>
      <c r="V1791" s="144"/>
      <c r="W1791" s="144"/>
      <c r="X1791" s="144"/>
      <c r="Y1791" s="144"/>
      <c r="Z1791" s="144"/>
    </row>
    <row r="1792" spans="2:26" x14ac:dyDescent="0.25">
      <c r="B1792" s="435"/>
      <c r="C1792" s="436"/>
      <c r="D1792" s="436"/>
      <c r="E1792" s="436"/>
      <c r="F1792" s="436"/>
      <c r="G1792" s="436"/>
      <c r="H1792" s="436"/>
      <c r="I1792" s="436"/>
      <c r="J1792" s="436"/>
      <c r="K1792" s="436"/>
      <c r="L1792" s="436"/>
      <c r="M1792" s="437"/>
      <c r="N1792" s="38"/>
      <c r="P1792" s="144"/>
      <c r="Q1792" s="144"/>
      <c r="R1792" s="144"/>
      <c r="S1792" s="144"/>
      <c r="T1792" s="144"/>
      <c r="U1792" s="144"/>
      <c r="V1792" s="144"/>
      <c r="W1792" s="144"/>
      <c r="X1792" s="144"/>
      <c r="Y1792" s="144"/>
      <c r="Z1792" s="144"/>
    </row>
    <row r="1797" spans="2:13" x14ac:dyDescent="0.25">
      <c r="D1797" s="57"/>
      <c r="E1797" s="149"/>
      <c r="F1797" s="149"/>
      <c r="G1797" s="149"/>
      <c r="H1797" s="149"/>
      <c r="I1797" s="149"/>
      <c r="K1797" s="438" t="s">
        <v>155</v>
      </c>
      <c r="L1797" s="438"/>
      <c r="M1797" s="438"/>
    </row>
    <row r="1798" spans="2:13" x14ac:dyDescent="0.25">
      <c r="D1798" s="57"/>
      <c r="H1798" s="58"/>
      <c r="K1798" s="438"/>
      <c r="L1798" s="438"/>
      <c r="M1798" s="438"/>
    </row>
    <row r="1799" spans="2:13" x14ac:dyDescent="0.25">
      <c r="D1799" s="57"/>
      <c r="E1799" s="149"/>
      <c r="F1799" s="149"/>
      <c r="G1799" s="149"/>
      <c r="H1799" s="149"/>
      <c r="I1799" s="149"/>
      <c r="K1799" s="438"/>
      <c r="L1799" s="438"/>
      <c r="M1799" s="438"/>
    </row>
    <row r="1800" spans="2:13" x14ac:dyDescent="0.25">
      <c r="D1800" s="57"/>
      <c r="E1800" s="149"/>
      <c r="F1800" s="149"/>
      <c r="G1800" s="149"/>
      <c r="H1800" s="149"/>
      <c r="I1800" s="149"/>
      <c r="K1800" s="438"/>
      <c r="L1800" s="438"/>
      <c r="M1800" s="438"/>
    </row>
    <row r="1801" spans="2:13" ht="13.8" thickBot="1" x14ac:dyDescent="0.3">
      <c r="B1801" s="60"/>
      <c r="C1801" s="60"/>
      <c r="D1801" s="60"/>
      <c r="E1801" s="60"/>
      <c r="F1801" s="60"/>
      <c r="G1801" s="60"/>
      <c r="H1801" s="60"/>
      <c r="I1801" s="60"/>
      <c r="J1801" s="60"/>
      <c r="K1801" s="60"/>
      <c r="L1801" s="60"/>
      <c r="M1801" s="60"/>
    </row>
    <row r="1802" spans="2:13" ht="13.8" thickTop="1" x14ac:dyDescent="0.25"/>
    <row r="1803" spans="2:13" x14ac:dyDescent="0.25">
      <c r="B1803" s="24" t="s">
        <v>128</v>
      </c>
    </row>
    <row r="1836" spans="2:13" ht="13.8" thickBot="1" x14ac:dyDescent="0.3">
      <c r="B1836">
        <f>$D$1</f>
        <v>0</v>
      </c>
      <c r="C1836" s="73" t="s">
        <v>128</v>
      </c>
      <c r="D1836" s="25" t="s">
        <v>129</v>
      </c>
    </row>
    <row r="1837" spans="2:13" ht="13.8" thickTop="1" x14ac:dyDescent="0.25">
      <c r="B1837" s="27" t="s">
        <v>131</v>
      </c>
      <c r="C1837" s="28"/>
      <c r="D1837" s="29" t="s">
        <v>132</v>
      </c>
      <c r="E1837" s="27" t="str">
        <f>J128</f>
        <v/>
      </c>
      <c r="F1837" s="30" t="str">
        <f>IF(L128=0,"NOT REQUIRED", IF(L128="MAn","MANAGERIAL POSITION","NON-MANAGERIAL POSITION"))</f>
        <v>NON-MANAGERIAL POSITION</v>
      </c>
      <c r="G1837" s="28"/>
      <c r="H1837" s="308" t="s">
        <v>199</v>
      </c>
      <c r="I1837" s="31"/>
      <c r="J1837" s="27"/>
      <c r="K1837" s="28"/>
      <c r="L1837" s="31" t="s">
        <v>133</v>
      </c>
      <c r="M1837" s="28"/>
    </row>
    <row r="1838" spans="2:13" x14ac:dyDescent="0.25">
      <c r="E1838" s="34"/>
      <c r="F1838" s="35"/>
      <c r="G1838" s="36"/>
      <c r="I1838" s="10"/>
      <c r="J1838" s="37"/>
    </row>
    <row r="1839" spans="2:13" x14ac:dyDescent="0.25">
      <c r="B1839" t="s">
        <v>134</v>
      </c>
      <c r="L1839" s="465" t="str">
        <f>$L$39</f>
        <v>X.002-218-2024(NT)&amp;N.004-116-2024(T)</v>
      </c>
      <c r="M1839" s="465"/>
    </row>
    <row r="1840" spans="2:13" ht="24.75" customHeight="1" x14ac:dyDescent="0.25">
      <c r="B1840" s="39" t="s">
        <v>135</v>
      </c>
      <c r="C1840" s="40"/>
      <c r="D1840" s="41"/>
      <c r="E1840" s="427" t="s">
        <v>136</v>
      </c>
      <c r="F1840" s="428"/>
      <c r="G1840" s="39" t="s">
        <v>137</v>
      </c>
      <c r="H1840" s="41"/>
      <c r="I1840" s="39" t="s">
        <v>138</v>
      </c>
      <c r="J1840" s="41"/>
      <c r="K1840" s="42"/>
      <c r="L1840" s="465"/>
      <c r="M1840" s="465"/>
    </row>
    <row r="1841" spans="2:33" ht="16.5" customHeight="1" x14ac:dyDescent="0.25">
      <c r="B1841" s="194"/>
      <c r="C1841" s="195"/>
      <c r="D1841" s="196"/>
      <c r="E1841" s="425"/>
      <c r="F1841" s="426"/>
      <c r="G1841" s="43" t="str">
        <f>K128</f>
        <v/>
      </c>
      <c r="H1841" s="44"/>
      <c r="I1841" s="197"/>
      <c r="J1841" s="198"/>
      <c r="K1841" s="45"/>
      <c r="N1841" s="38"/>
      <c r="P1841" s="144">
        <v>1</v>
      </c>
      <c r="Q1841" s="144">
        <v>1</v>
      </c>
      <c r="R1841" s="144">
        <v>1</v>
      </c>
      <c r="S1841" s="144" t="str">
        <f>VLOOKUP(P1841,'WORKINGS MATRIX'!$H$200:$I$351,2,FALSE)</f>
        <v>Year</v>
      </c>
      <c r="T1841" s="144">
        <f>Q1841-1</f>
        <v>0</v>
      </c>
      <c r="U1841" s="144">
        <f>R1841-1</f>
        <v>0</v>
      </c>
      <c r="V1841" s="144" t="str">
        <f>IF(S1841="year","",S1841)</f>
        <v/>
      </c>
      <c r="W1841" s="144" t="str">
        <f>IF(T1841=0,"",T1841)</f>
        <v/>
      </c>
      <c r="X1841" s="144" t="str">
        <f>IF(U1841=0,"",U1841)</f>
        <v/>
      </c>
      <c r="Y1841" s="144" t="str">
        <f>IF(V1841="","",IF(W1841="",(V1841&amp;"/"&amp;"1"&amp;"/"&amp;"1"),IF(X1841="",(V1841&amp;"/"&amp;W1841&amp;"/"&amp;"1"),(V1841&amp;"/"&amp;W1841&amp;"/"&amp;X1841))))</f>
        <v/>
      </c>
      <c r="Z1841" s="144" t="str">
        <f>IF(Y1841="//","",Y1841)</f>
        <v/>
      </c>
      <c r="AC1841" s="158"/>
      <c r="AD1841" s="158"/>
      <c r="AE1841" s="158"/>
      <c r="AF1841" s="158"/>
      <c r="AG1841" s="158"/>
    </row>
    <row r="1842" spans="2:33" x14ac:dyDescent="0.25">
      <c r="E1842" t="str">
        <f>IF(E1841="","",IF(LEN(E1841)=13,"","ID NUMBER SHOULD BE 13 DIGITS"))</f>
        <v/>
      </c>
      <c r="N1842" s="38"/>
      <c r="P1842" s="144"/>
      <c r="Q1842" s="144"/>
      <c r="R1842" s="144"/>
      <c r="S1842" s="144"/>
      <c r="T1842" s="144"/>
      <c r="U1842" s="144"/>
      <c r="V1842" s="144"/>
      <c r="W1842" s="144"/>
      <c r="X1842" s="144"/>
      <c r="Y1842" s="144"/>
      <c r="Z1842" s="144"/>
      <c r="AC1842" s="158"/>
      <c r="AD1842" s="158"/>
      <c r="AE1842" s="158"/>
      <c r="AF1842" s="158"/>
      <c r="AG1842" s="158"/>
    </row>
    <row r="1843" spans="2:33" x14ac:dyDescent="0.25">
      <c r="G1843" s="170" t="str">
        <f>IF(AG1846=0,"","DATES BEYOND TENDER CLOSING DATE - PLEASE CHECK")</f>
        <v/>
      </c>
      <c r="N1843" s="38"/>
      <c r="P1843" s="144"/>
      <c r="Q1843" s="144"/>
      <c r="R1843" s="144"/>
      <c r="S1843" s="144"/>
      <c r="T1843" s="144"/>
      <c r="U1843" s="144"/>
      <c r="V1843" s="144"/>
      <c r="W1843" s="144"/>
      <c r="X1843" s="144"/>
      <c r="Y1843" s="144"/>
      <c r="Z1843" s="144"/>
      <c r="AC1843" s="158"/>
      <c r="AD1843" s="158"/>
      <c r="AE1843" s="158"/>
      <c r="AF1843" s="158"/>
      <c r="AG1843" s="158"/>
    </row>
    <row r="1844" spans="2:33" x14ac:dyDescent="0.25">
      <c r="B1844" t="s">
        <v>139</v>
      </c>
      <c r="G1844" s="170" t="str">
        <f>IF(AE1846=0,"","DATES INCORRECT OR INCOMPLETE - PLEASE CHECK")</f>
        <v/>
      </c>
      <c r="N1844" s="38"/>
      <c r="P1844" s="144"/>
      <c r="Q1844" s="144"/>
      <c r="R1844" s="144"/>
      <c r="S1844" s="144"/>
      <c r="T1844" s="144"/>
      <c r="U1844" s="144"/>
      <c r="V1844" s="144"/>
      <c r="W1844" s="144"/>
      <c r="X1844" s="144"/>
      <c r="Y1844" s="144"/>
      <c r="Z1844" s="144"/>
      <c r="AC1844" s="158"/>
      <c r="AD1844" s="158"/>
      <c r="AE1844" s="158"/>
      <c r="AF1844" s="158"/>
      <c r="AG1844" s="158"/>
    </row>
    <row r="1845" spans="2:33" x14ac:dyDescent="0.25">
      <c r="B1845" s="15" t="s">
        <v>140</v>
      </c>
      <c r="N1845" s="38"/>
      <c r="P1845" s="144"/>
      <c r="Q1845" s="144"/>
      <c r="R1845" s="144"/>
      <c r="S1845" s="144"/>
      <c r="T1845" s="144"/>
      <c r="U1845" s="144"/>
      <c r="V1845" s="144"/>
      <c r="W1845" s="144"/>
      <c r="X1845" s="144"/>
      <c r="Y1845" s="144"/>
      <c r="Z1845" s="144"/>
      <c r="AC1845" s="158"/>
      <c r="AD1845" s="158"/>
      <c r="AE1845" s="158"/>
      <c r="AF1845" s="158"/>
      <c r="AG1845" s="158"/>
    </row>
    <row r="1846" spans="2:33" ht="66" x14ac:dyDescent="0.25">
      <c r="B1846" s="47" t="s">
        <v>141</v>
      </c>
      <c r="C1846" s="48" t="s">
        <v>142</v>
      </c>
      <c r="D1846" s="44"/>
      <c r="E1846" s="470" t="s">
        <v>143</v>
      </c>
      <c r="F1846" s="471"/>
      <c r="G1846" s="157" t="s">
        <v>144</v>
      </c>
      <c r="H1846" s="157" t="s">
        <v>145</v>
      </c>
      <c r="I1846" s="385" t="s">
        <v>146</v>
      </c>
      <c r="J1846" s="49" t="s">
        <v>147</v>
      </c>
      <c r="K1846" s="50" t="s">
        <v>148</v>
      </c>
      <c r="L1846" s="385" t="s">
        <v>149</v>
      </c>
      <c r="M1846" s="49" t="s">
        <v>150</v>
      </c>
      <c r="N1846" s="51"/>
      <c r="O1846" s="386"/>
      <c r="P1846" s="147"/>
      <c r="Q1846" s="144"/>
      <c r="R1846" s="160"/>
      <c r="S1846" s="161"/>
      <c r="T1846" s="161"/>
      <c r="U1846" s="161"/>
      <c r="V1846" s="161"/>
      <c r="W1846" s="161"/>
      <c r="X1846" s="161"/>
      <c r="Y1846" s="161"/>
      <c r="Z1846" s="161"/>
      <c r="AA1846" s="15"/>
      <c r="AB1846" s="15"/>
      <c r="AC1846" s="165"/>
      <c r="AD1846" s="165"/>
      <c r="AE1846" s="165">
        <f>SUM(AE1847:AE1851)</f>
        <v>0</v>
      </c>
      <c r="AF1846" s="165"/>
      <c r="AG1846" s="165">
        <f>SUM(AG1847:AG1851)</f>
        <v>0</v>
      </c>
    </row>
    <row r="1847" spans="2:33" ht="25.5" customHeight="1" x14ac:dyDescent="0.25">
      <c r="B1847" s="200"/>
      <c r="C1847" s="53">
        <v>8</v>
      </c>
      <c r="D1847" s="54"/>
      <c r="E1847" s="55"/>
      <c r="F1847" s="56">
        <v>1</v>
      </c>
      <c r="G1847" s="143" t="str">
        <f>Z1847</f>
        <v/>
      </c>
      <c r="H1847" s="143" t="str">
        <f>Z1852</f>
        <v/>
      </c>
      <c r="I1847" s="202"/>
      <c r="J1847" s="203"/>
      <c r="K1847" s="56">
        <v>23</v>
      </c>
      <c r="L1847" s="204"/>
      <c r="M1847" s="205"/>
      <c r="N1847" s="164">
        <f>IF(G1847="",0,IF(H1847="",0,(ROUND(((H1847-G1847)/30),0))))</f>
        <v>0</v>
      </c>
      <c r="O1847" s="165"/>
      <c r="P1847" s="166">
        <v>1</v>
      </c>
      <c r="Q1847" s="166">
        <v>1</v>
      </c>
      <c r="R1847" s="166">
        <v>1</v>
      </c>
      <c r="S1847" s="166" t="str">
        <f>VLOOKUP(P1847,'WORKINGS MATRIX'!$B$200:$C$351,2,FALSE)</f>
        <v>Year</v>
      </c>
      <c r="T1847" s="166">
        <f t="shared" ref="T1847:U1851" si="164">Q1847-1</f>
        <v>0</v>
      </c>
      <c r="U1847" s="166">
        <f t="shared" si="164"/>
        <v>0</v>
      </c>
      <c r="V1847" s="166" t="str">
        <f t="shared" ref="V1847:V1856" si="165">IF(S1847="year","",S1847)</f>
        <v/>
      </c>
      <c r="W1847" s="166" t="str">
        <f t="shared" ref="W1847:X1851" si="166">IF(T1847=0,"",T1847)</f>
        <v/>
      </c>
      <c r="X1847" s="166" t="str">
        <f t="shared" si="166"/>
        <v/>
      </c>
      <c r="Y1847" s="166" t="str">
        <f t="shared" ref="Y1847:Y1856" si="167">IF(V1847="","",IF(W1847="",(V1847&amp;"/"&amp;"1"&amp;"/"&amp;"1"),IF(X1847="",(V1847&amp;"/"&amp;W1847&amp;"/"&amp;"1"),(V1847&amp;"/"&amp;W1847&amp;"/"&amp;X1847))))</f>
        <v/>
      </c>
      <c r="Z1847" s="166" t="str">
        <f t="shared" ref="Z1847:Z1856" si="168">IF(Y1847="//","",Y1847)</f>
        <v/>
      </c>
      <c r="AA1847" s="15"/>
      <c r="AB1847" s="15"/>
      <c r="AC1847" s="172">
        <f>IF(B1847="",0,1)</f>
        <v>0</v>
      </c>
      <c r="AD1847" s="172">
        <f>IF(B1847="",0,IF(N1847&gt;0,1,IF(N1847&lt;0,2,0)))</f>
        <v>0</v>
      </c>
      <c r="AE1847" s="172">
        <f>IF(AC1847=AD1847,0,IF(AC1847&gt;AD1847,2,1))</f>
        <v>0</v>
      </c>
      <c r="AF1847" s="172">
        <f>IF(B1847="",0,IF(N1847=0,0,H1847-$F$125))</f>
        <v>0</v>
      </c>
      <c r="AG1847" s="172">
        <f>IF(AF1847&gt;0,1,0)</f>
        <v>0</v>
      </c>
    </row>
    <row r="1848" spans="2:33" ht="25.5" customHeight="1" x14ac:dyDescent="0.25">
      <c r="B1848" s="200"/>
      <c r="C1848" s="53">
        <v>8</v>
      </c>
      <c r="D1848" s="54"/>
      <c r="E1848" s="55"/>
      <c r="F1848" s="56">
        <v>1</v>
      </c>
      <c r="G1848" s="143" t="str">
        <f>Z1848</f>
        <v/>
      </c>
      <c r="H1848" s="143" t="str">
        <f>Z1853</f>
        <v/>
      </c>
      <c r="I1848" s="202"/>
      <c r="J1848" s="203"/>
      <c r="K1848" s="56">
        <v>23</v>
      </c>
      <c r="L1848" s="204"/>
      <c r="M1848" s="205"/>
      <c r="N1848" s="164">
        <f>IF(G1848="",0,IF(H1848="",0,(ROUND(((H1848-G1848)/30),0))))</f>
        <v>0</v>
      </c>
      <c r="O1848" s="165"/>
      <c r="P1848" s="166">
        <v>1</v>
      </c>
      <c r="Q1848" s="166">
        <v>1</v>
      </c>
      <c r="R1848" s="166">
        <v>1</v>
      </c>
      <c r="S1848" s="166" t="str">
        <f>VLOOKUP(P1848,'WORKINGS MATRIX'!$B$200:$C$351,2,FALSE)</f>
        <v>Year</v>
      </c>
      <c r="T1848" s="166">
        <f t="shared" si="164"/>
        <v>0</v>
      </c>
      <c r="U1848" s="166">
        <f t="shared" si="164"/>
        <v>0</v>
      </c>
      <c r="V1848" s="166" t="str">
        <f t="shared" si="165"/>
        <v/>
      </c>
      <c r="W1848" s="166" t="str">
        <f t="shared" si="166"/>
        <v/>
      </c>
      <c r="X1848" s="166" t="str">
        <f t="shared" si="166"/>
        <v/>
      </c>
      <c r="Y1848" s="166" t="str">
        <f t="shared" si="167"/>
        <v/>
      </c>
      <c r="Z1848" s="166" t="str">
        <f t="shared" si="168"/>
        <v/>
      </c>
      <c r="AA1848" s="15"/>
      <c r="AB1848" s="15"/>
      <c r="AC1848" s="172">
        <f>IF(B1848="",0,1)</f>
        <v>0</v>
      </c>
      <c r="AD1848" s="172">
        <f>IF(B1848="",0,IF(N1848&gt;0,1,IF(N1848&lt;0,2,0)))</f>
        <v>0</v>
      </c>
      <c r="AE1848" s="172">
        <f>IF(AC1848=AD1848,0,IF(AC1848&gt;AD1848,2,1))</f>
        <v>0</v>
      </c>
      <c r="AF1848" s="172">
        <f>IF(B1848="",0,IF(N1848=0,0,H1848-$F$125))</f>
        <v>0</v>
      </c>
      <c r="AG1848" s="172">
        <f>IF(AF1848&gt;0,1,0)</f>
        <v>0</v>
      </c>
    </row>
    <row r="1849" spans="2:33" ht="25.5" customHeight="1" x14ac:dyDescent="0.25">
      <c r="B1849" s="200"/>
      <c r="C1849" s="53">
        <v>8</v>
      </c>
      <c r="D1849" s="54"/>
      <c r="E1849" s="55"/>
      <c r="F1849" s="56">
        <v>1</v>
      </c>
      <c r="G1849" s="143" t="str">
        <f>Z1849</f>
        <v/>
      </c>
      <c r="H1849" s="143" t="str">
        <f>Z1854</f>
        <v/>
      </c>
      <c r="I1849" s="202"/>
      <c r="J1849" s="203"/>
      <c r="K1849" s="56">
        <v>23</v>
      </c>
      <c r="L1849" s="204"/>
      <c r="M1849" s="205"/>
      <c r="N1849" s="164">
        <f>IF(G1849="",0,IF(H1849="",0,(ROUND(((H1849-G1849)/30),0))))</f>
        <v>0</v>
      </c>
      <c r="O1849" s="165"/>
      <c r="P1849" s="166">
        <v>1</v>
      </c>
      <c r="Q1849" s="166">
        <v>1</v>
      </c>
      <c r="R1849" s="166">
        <v>1</v>
      </c>
      <c r="S1849" s="166" t="str">
        <f>VLOOKUP(P1849,'WORKINGS MATRIX'!$B$200:$C$351,2,FALSE)</f>
        <v>Year</v>
      </c>
      <c r="T1849" s="166">
        <f t="shared" si="164"/>
        <v>0</v>
      </c>
      <c r="U1849" s="166">
        <f t="shared" si="164"/>
        <v>0</v>
      </c>
      <c r="V1849" s="166" t="str">
        <f t="shared" si="165"/>
        <v/>
      </c>
      <c r="W1849" s="166" t="str">
        <f t="shared" si="166"/>
        <v/>
      </c>
      <c r="X1849" s="166" t="str">
        <f t="shared" si="166"/>
        <v/>
      </c>
      <c r="Y1849" s="166" t="str">
        <f t="shared" si="167"/>
        <v/>
      </c>
      <c r="Z1849" s="166" t="str">
        <f t="shared" si="168"/>
        <v/>
      </c>
      <c r="AA1849" s="15"/>
      <c r="AB1849" s="15"/>
      <c r="AC1849" s="172">
        <f>IF(B1849="",0,1)</f>
        <v>0</v>
      </c>
      <c r="AD1849" s="172">
        <f>IF(B1849="",0,IF(N1849&gt;0,1,IF(N1849&lt;0,2,0)))</f>
        <v>0</v>
      </c>
      <c r="AE1849" s="172">
        <f>IF(AC1849=AD1849,0,IF(AC1849&gt;AD1849,2,1))</f>
        <v>0</v>
      </c>
      <c r="AF1849" s="172">
        <f>IF(B1849="",0,IF(N1849=0,0,H1849-$F$125))</f>
        <v>0</v>
      </c>
      <c r="AG1849" s="172">
        <f>IF(AF1849&gt;0,1,0)</f>
        <v>0</v>
      </c>
    </row>
    <row r="1850" spans="2:33" ht="25.5" customHeight="1" x14ac:dyDescent="0.25">
      <c r="B1850" s="255"/>
      <c r="C1850" s="255"/>
      <c r="D1850" s="255"/>
      <c r="E1850" s="255"/>
      <c r="F1850" s="255"/>
      <c r="G1850" s="255"/>
      <c r="H1850" s="255"/>
      <c r="I1850" s="255"/>
      <c r="J1850" s="255"/>
      <c r="K1850" s="255"/>
      <c r="L1850" s="255"/>
      <c r="M1850" s="255"/>
      <c r="N1850" s="164">
        <f>IF(G1850="",0,IF(H1850="",0,(ROUND(((H1850-G1850)/30),0))))</f>
        <v>0</v>
      </c>
      <c r="O1850" s="165"/>
      <c r="P1850" s="166">
        <v>1</v>
      </c>
      <c r="Q1850" s="166">
        <v>1</v>
      </c>
      <c r="R1850" s="166">
        <v>1</v>
      </c>
      <c r="S1850" s="166" t="str">
        <f>VLOOKUP(P1850,'WORKINGS MATRIX'!$B$200:$C$351,2,FALSE)</f>
        <v>Year</v>
      </c>
      <c r="T1850" s="166">
        <f t="shared" si="164"/>
        <v>0</v>
      </c>
      <c r="U1850" s="166">
        <f t="shared" si="164"/>
        <v>0</v>
      </c>
      <c r="V1850" s="166" t="str">
        <f t="shared" si="165"/>
        <v/>
      </c>
      <c r="W1850" s="166" t="str">
        <f t="shared" si="166"/>
        <v/>
      </c>
      <c r="X1850" s="166" t="str">
        <f t="shared" si="166"/>
        <v/>
      </c>
      <c r="Y1850" s="166" t="str">
        <f t="shared" si="167"/>
        <v/>
      </c>
      <c r="Z1850" s="166" t="str">
        <f t="shared" si="168"/>
        <v/>
      </c>
      <c r="AA1850" s="15"/>
      <c r="AB1850" s="15"/>
      <c r="AC1850" s="172">
        <f>IF(B1850="",0,1)</f>
        <v>0</v>
      </c>
      <c r="AD1850" s="172">
        <f>IF(B1850="",0,IF(N1850&gt;0,1,IF(N1850&lt;0,2,0)))</f>
        <v>0</v>
      </c>
      <c r="AE1850" s="172">
        <f>IF(AC1850=AD1850,0,IF(AC1850&gt;AD1850,2,1))</f>
        <v>0</v>
      </c>
      <c r="AF1850" s="172">
        <f>IF(B1850="",0,IF(N1850=0,0,H1850-$F$125))</f>
        <v>0</v>
      </c>
      <c r="AG1850" s="172">
        <f>IF(AF1850&gt;0,1,0)</f>
        <v>0</v>
      </c>
    </row>
    <row r="1851" spans="2:33" ht="25.5" customHeight="1" x14ac:dyDescent="0.25">
      <c r="B1851" s="149"/>
      <c r="C1851" s="149"/>
      <c r="D1851" s="149"/>
      <c r="E1851" s="149"/>
      <c r="F1851" s="149"/>
      <c r="G1851" s="149"/>
      <c r="H1851" s="149"/>
      <c r="I1851" s="149"/>
      <c r="J1851" s="149"/>
      <c r="K1851" s="149"/>
      <c r="L1851" s="149"/>
      <c r="M1851" s="149"/>
      <c r="N1851" s="164">
        <f>IF(G1851="",0,IF(H1851="",0,(ROUND(((H1851-G1851)/30),0))))</f>
        <v>0</v>
      </c>
      <c r="O1851" s="165"/>
      <c r="P1851" s="166">
        <v>1</v>
      </c>
      <c r="Q1851" s="166">
        <v>1</v>
      </c>
      <c r="R1851" s="166">
        <v>1</v>
      </c>
      <c r="S1851" s="166" t="str">
        <f>VLOOKUP(P1851,'WORKINGS MATRIX'!$B$200:$C$351,2,FALSE)</f>
        <v>Year</v>
      </c>
      <c r="T1851" s="166">
        <f t="shared" si="164"/>
        <v>0</v>
      </c>
      <c r="U1851" s="166">
        <f t="shared" si="164"/>
        <v>0</v>
      </c>
      <c r="V1851" s="166" t="str">
        <f t="shared" si="165"/>
        <v/>
      </c>
      <c r="W1851" s="166" t="str">
        <f t="shared" si="166"/>
        <v/>
      </c>
      <c r="X1851" s="166" t="str">
        <f t="shared" si="166"/>
        <v/>
      </c>
      <c r="Y1851" s="166" t="str">
        <f t="shared" si="167"/>
        <v/>
      </c>
      <c r="Z1851" s="166" t="str">
        <f t="shared" si="168"/>
        <v/>
      </c>
      <c r="AA1851" s="15"/>
      <c r="AB1851" s="15"/>
      <c r="AC1851" s="172">
        <f>IF(B1851="",0,1)</f>
        <v>0</v>
      </c>
      <c r="AD1851" s="172">
        <f>IF(B1851="",0,IF(N1851&gt;0,1,IF(N1851&lt;0,2,0)))</f>
        <v>0</v>
      </c>
      <c r="AE1851" s="172">
        <f>IF(AC1851=AD1851,0,IF(AC1851&gt;AD1851,2,1))</f>
        <v>0</v>
      </c>
      <c r="AF1851" s="172">
        <f>IF(B1851="",0,IF(N1851=0,0,H1851-$F$125))</f>
        <v>0</v>
      </c>
      <c r="AG1851" s="172">
        <f>IF(AF1851&gt;0,1,0)</f>
        <v>0</v>
      </c>
    </row>
    <row r="1852" spans="2:33" x14ac:dyDescent="0.25">
      <c r="D1852" s="57"/>
      <c r="H1852" s="58"/>
      <c r="K1852" s="21"/>
      <c r="N1852" s="167"/>
      <c r="O1852" s="168"/>
      <c r="P1852" s="166">
        <v>1</v>
      </c>
      <c r="Q1852" s="166">
        <v>1</v>
      </c>
      <c r="R1852" s="166">
        <v>1</v>
      </c>
      <c r="S1852" s="166" t="str">
        <f>VLOOKUP(P1852,'WORKINGS MATRIX'!$B$200:$C$351,2,FALSE)</f>
        <v>Year</v>
      </c>
      <c r="T1852" s="166">
        <f t="shared" ref="T1852:U1856" si="169">Q1852-1</f>
        <v>0</v>
      </c>
      <c r="U1852" s="166">
        <f t="shared" si="169"/>
        <v>0</v>
      </c>
      <c r="V1852" s="166" t="str">
        <f t="shared" si="165"/>
        <v/>
      </c>
      <c r="W1852" s="166" t="str">
        <f t="shared" ref="W1852:X1856" si="170">IF(T1852=0,"",T1852)</f>
        <v/>
      </c>
      <c r="X1852" s="166" t="str">
        <f t="shared" si="170"/>
        <v/>
      </c>
      <c r="Y1852" s="166" t="str">
        <f t="shared" si="167"/>
        <v/>
      </c>
      <c r="Z1852" s="166" t="str">
        <f t="shared" si="168"/>
        <v/>
      </c>
      <c r="AA1852" s="15"/>
      <c r="AB1852" s="15"/>
      <c r="AC1852" s="158"/>
      <c r="AD1852" s="158"/>
      <c r="AE1852" s="158"/>
      <c r="AF1852" s="158"/>
      <c r="AG1852" s="158"/>
    </row>
    <row r="1853" spans="2:33" x14ac:dyDescent="0.25">
      <c r="B1853" t="s">
        <v>152</v>
      </c>
      <c r="D1853" s="57"/>
      <c r="H1853" s="58"/>
      <c r="K1853" s="21"/>
      <c r="N1853" s="167"/>
      <c r="O1853" s="168"/>
      <c r="P1853" s="166">
        <v>1</v>
      </c>
      <c r="Q1853" s="166">
        <v>1</v>
      </c>
      <c r="R1853" s="166">
        <v>1</v>
      </c>
      <c r="S1853" s="166" t="str">
        <f>VLOOKUP(P1853,'WORKINGS MATRIX'!$B$200:$C$351,2,FALSE)</f>
        <v>Year</v>
      </c>
      <c r="T1853" s="166">
        <f t="shared" si="169"/>
        <v>0</v>
      </c>
      <c r="U1853" s="166">
        <f t="shared" si="169"/>
        <v>0</v>
      </c>
      <c r="V1853" s="166" t="str">
        <f t="shared" si="165"/>
        <v/>
      </c>
      <c r="W1853" s="166" t="str">
        <f t="shared" si="170"/>
        <v/>
      </c>
      <c r="X1853" s="166" t="str">
        <f t="shared" si="170"/>
        <v/>
      </c>
      <c r="Y1853" s="166" t="str">
        <f t="shared" si="167"/>
        <v/>
      </c>
      <c r="Z1853" s="166" t="str">
        <f t="shared" si="168"/>
        <v/>
      </c>
      <c r="AA1853" s="15"/>
      <c r="AB1853" s="15"/>
      <c r="AC1853" s="158"/>
      <c r="AD1853" s="158"/>
      <c r="AE1853" s="158"/>
      <c r="AF1853" s="158"/>
      <c r="AG1853" s="158"/>
    </row>
    <row r="1854" spans="2:33" x14ac:dyDescent="0.25">
      <c r="B1854" s="429"/>
      <c r="C1854" s="430"/>
      <c r="D1854" s="430"/>
      <c r="E1854" s="430"/>
      <c r="F1854" s="430"/>
      <c r="G1854" s="430"/>
      <c r="H1854" s="430"/>
      <c r="I1854" s="430"/>
      <c r="J1854" s="430"/>
      <c r="K1854" s="430"/>
      <c r="L1854" s="430"/>
      <c r="M1854" s="431"/>
      <c r="N1854" s="167"/>
      <c r="O1854" s="168"/>
      <c r="P1854" s="166">
        <v>1</v>
      </c>
      <c r="Q1854" s="166">
        <v>1</v>
      </c>
      <c r="R1854" s="166">
        <v>1</v>
      </c>
      <c r="S1854" s="166" t="str">
        <f>VLOOKUP(P1854,'WORKINGS MATRIX'!$B$200:$C$351,2,FALSE)</f>
        <v>Year</v>
      </c>
      <c r="T1854" s="166">
        <f t="shared" si="169"/>
        <v>0</v>
      </c>
      <c r="U1854" s="166">
        <f t="shared" si="169"/>
        <v>0</v>
      </c>
      <c r="V1854" s="166" t="str">
        <f t="shared" si="165"/>
        <v/>
      </c>
      <c r="W1854" s="166" t="str">
        <f t="shared" si="170"/>
        <v/>
      </c>
      <c r="X1854" s="166" t="str">
        <f t="shared" si="170"/>
        <v/>
      </c>
      <c r="Y1854" s="166" t="str">
        <f t="shared" si="167"/>
        <v/>
      </c>
      <c r="Z1854" s="166" t="str">
        <f t="shared" si="168"/>
        <v/>
      </c>
      <c r="AA1854" s="15"/>
      <c r="AB1854" s="15"/>
      <c r="AC1854" s="158"/>
      <c r="AD1854" s="158"/>
      <c r="AE1854" s="158"/>
      <c r="AF1854" s="158"/>
      <c r="AG1854" s="158"/>
    </row>
    <row r="1855" spans="2:33" x14ac:dyDescent="0.25">
      <c r="B1855" s="432"/>
      <c r="C1855" s="433"/>
      <c r="D1855" s="433"/>
      <c r="E1855" s="433"/>
      <c r="F1855" s="433"/>
      <c r="G1855" s="433"/>
      <c r="H1855" s="433"/>
      <c r="I1855" s="433"/>
      <c r="J1855" s="433"/>
      <c r="K1855" s="433"/>
      <c r="L1855" s="433"/>
      <c r="M1855" s="434"/>
      <c r="N1855" s="167"/>
      <c r="O1855" s="168"/>
      <c r="P1855" s="166">
        <v>1</v>
      </c>
      <c r="Q1855" s="166">
        <v>1</v>
      </c>
      <c r="R1855" s="166">
        <v>1</v>
      </c>
      <c r="S1855" s="166" t="str">
        <f>VLOOKUP(P1855,'WORKINGS MATRIX'!$B$200:$C$351,2,FALSE)</f>
        <v>Year</v>
      </c>
      <c r="T1855" s="166">
        <f t="shared" si="169"/>
        <v>0</v>
      </c>
      <c r="U1855" s="166">
        <f t="shared" si="169"/>
        <v>0</v>
      </c>
      <c r="V1855" s="166" t="str">
        <f t="shared" si="165"/>
        <v/>
      </c>
      <c r="W1855" s="166" t="str">
        <f t="shared" si="170"/>
        <v/>
      </c>
      <c r="X1855" s="166" t="str">
        <f t="shared" si="170"/>
        <v/>
      </c>
      <c r="Y1855" s="166" t="str">
        <f t="shared" si="167"/>
        <v/>
      </c>
      <c r="Z1855" s="166" t="str">
        <f t="shared" si="168"/>
        <v/>
      </c>
      <c r="AA1855" s="15"/>
      <c r="AB1855" s="15"/>
      <c r="AC1855" s="158"/>
      <c r="AD1855" s="158"/>
      <c r="AE1855" s="158"/>
      <c r="AF1855" s="158"/>
      <c r="AG1855" s="158"/>
    </row>
    <row r="1856" spans="2:33" x14ac:dyDescent="0.25">
      <c r="B1856" s="432"/>
      <c r="C1856" s="433"/>
      <c r="D1856" s="433"/>
      <c r="E1856" s="433"/>
      <c r="F1856" s="433"/>
      <c r="G1856" s="433"/>
      <c r="H1856" s="433"/>
      <c r="I1856" s="433"/>
      <c r="J1856" s="433"/>
      <c r="K1856" s="433"/>
      <c r="L1856" s="433"/>
      <c r="M1856" s="434"/>
      <c r="N1856" s="167"/>
      <c r="O1856" s="168"/>
      <c r="P1856" s="166">
        <v>1</v>
      </c>
      <c r="Q1856" s="166">
        <v>1</v>
      </c>
      <c r="R1856" s="166">
        <v>1</v>
      </c>
      <c r="S1856" s="166" t="str">
        <f>VLOOKUP(P1856,'WORKINGS MATRIX'!$B$200:$C$351,2,FALSE)</f>
        <v>Year</v>
      </c>
      <c r="T1856" s="166">
        <f t="shared" si="169"/>
        <v>0</v>
      </c>
      <c r="U1856" s="166">
        <f t="shared" si="169"/>
        <v>0</v>
      </c>
      <c r="V1856" s="166" t="str">
        <f t="shared" si="165"/>
        <v/>
      </c>
      <c r="W1856" s="166" t="str">
        <f t="shared" si="170"/>
        <v/>
      </c>
      <c r="X1856" s="166" t="str">
        <f t="shared" si="170"/>
        <v/>
      </c>
      <c r="Y1856" s="166" t="str">
        <f t="shared" si="167"/>
        <v/>
      </c>
      <c r="Z1856" s="166" t="str">
        <f t="shared" si="168"/>
        <v/>
      </c>
      <c r="AA1856" s="15"/>
      <c r="AB1856" s="15"/>
      <c r="AC1856" s="158"/>
      <c r="AD1856" s="158"/>
      <c r="AE1856" s="158"/>
      <c r="AF1856" s="158"/>
      <c r="AG1856" s="158"/>
    </row>
    <row r="1857" spans="2:13" x14ac:dyDescent="0.25">
      <c r="B1857" s="435"/>
      <c r="C1857" s="436"/>
      <c r="D1857" s="436"/>
      <c r="E1857" s="436"/>
      <c r="F1857" s="436"/>
      <c r="G1857" s="436"/>
      <c r="H1857" s="436"/>
      <c r="I1857" s="436"/>
      <c r="J1857" s="436"/>
      <c r="K1857" s="436"/>
      <c r="L1857" s="436"/>
      <c r="M1857" s="437"/>
    </row>
    <row r="1858" spans="2:13" x14ac:dyDescent="0.25">
      <c r="B1858" s="15" t="s">
        <v>153</v>
      </c>
      <c r="D1858" s="57"/>
      <c r="H1858" s="58"/>
      <c r="K1858" s="21"/>
    </row>
    <row r="1859" spans="2:13" x14ac:dyDescent="0.25">
      <c r="B1859" s="15" t="s">
        <v>154</v>
      </c>
      <c r="D1859" s="57"/>
      <c r="H1859" s="58"/>
      <c r="K1859" s="21"/>
    </row>
    <row r="1860" spans="2:13" x14ac:dyDescent="0.25">
      <c r="D1860" s="57"/>
      <c r="H1860" s="58"/>
      <c r="K1860" s="21"/>
    </row>
    <row r="1861" spans="2:13" x14ac:dyDescent="0.25">
      <c r="D1861" s="57"/>
      <c r="E1861" s="149"/>
      <c r="F1861" s="149"/>
      <c r="G1861" s="149"/>
      <c r="H1861" s="149"/>
      <c r="I1861" s="149"/>
      <c r="K1861" s="21"/>
    </row>
    <row r="1862" spans="2:13" x14ac:dyDescent="0.25">
      <c r="D1862" s="57"/>
      <c r="E1862" s="149"/>
      <c r="F1862" s="149"/>
      <c r="G1862" s="149"/>
      <c r="H1862" s="149"/>
      <c r="I1862" s="149"/>
      <c r="K1862" s="438" t="s">
        <v>155</v>
      </c>
      <c r="L1862" s="438"/>
      <c r="M1862" s="438"/>
    </row>
    <row r="1863" spans="2:13" x14ac:dyDescent="0.25">
      <c r="D1863" s="57"/>
      <c r="H1863" s="58"/>
      <c r="K1863" s="438"/>
      <c r="L1863" s="438"/>
      <c r="M1863" s="438"/>
    </row>
    <row r="1864" spans="2:13" x14ac:dyDescent="0.25">
      <c r="D1864" s="57"/>
      <c r="E1864" s="149"/>
      <c r="F1864" s="149"/>
      <c r="G1864" s="149"/>
      <c r="H1864" s="149"/>
      <c r="I1864" s="149"/>
      <c r="K1864" s="438"/>
      <c r="L1864" s="438"/>
      <c r="M1864" s="438"/>
    </row>
    <row r="1865" spans="2:13" x14ac:dyDescent="0.25">
      <c r="D1865" s="57"/>
      <c r="E1865" s="149"/>
      <c r="F1865" s="149"/>
      <c r="G1865" s="149"/>
      <c r="H1865" s="149"/>
      <c r="I1865" s="149"/>
      <c r="K1865" s="438"/>
      <c r="L1865" s="438"/>
      <c r="M1865" s="438"/>
    </row>
    <row r="1866" spans="2:13" ht="13.8" thickBot="1" x14ac:dyDescent="0.3">
      <c r="B1866" s="60"/>
      <c r="C1866" s="60"/>
      <c r="D1866" s="61"/>
      <c r="E1866" s="60"/>
      <c r="F1866" s="60"/>
      <c r="G1866" s="60"/>
      <c r="H1866" s="62"/>
      <c r="I1866" s="60"/>
      <c r="J1866" s="60"/>
      <c r="K1866" s="63"/>
      <c r="L1866" s="60"/>
      <c r="M1866" s="60"/>
    </row>
    <row r="1867" spans="2:13" ht="14.4" thickTop="1" thickBot="1" x14ac:dyDescent="0.3">
      <c r="D1867" s="57"/>
      <c r="H1867" s="58"/>
      <c r="K1867" s="21"/>
    </row>
    <row r="1868" spans="2:13" ht="13.8" thickTop="1" x14ac:dyDescent="0.25">
      <c r="B1868" s="27" t="s">
        <v>156</v>
      </c>
      <c r="C1868" s="29"/>
      <c r="D1868" s="28"/>
      <c r="E1868" s="65"/>
      <c r="F1868" s="65"/>
      <c r="G1868" s="65"/>
      <c r="H1868" s="28"/>
      <c r="I1868" s="28"/>
      <c r="J1868" s="28"/>
      <c r="K1868" s="28"/>
      <c r="L1868" s="31" t="s">
        <v>157</v>
      </c>
      <c r="M1868" s="28"/>
    </row>
    <row r="1869" spans="2:13" x14ac:dyDescent="0.25">
      <c r="E1869" s="134">
        <v>5</v>
      </c>
      <c r="F1869" s="12"/>
    </row>
    <row r="1870" spans="2:13" x14ac:dyDescent="0.25">
      <c r="B1870" t="s">
        <v>134</v>
      </c>
      <c r="L1870" s="465" t="str">
        <f>$L$39</f>
        <v>X.002-218-2024(NT)&amp;N.004-116-2024(T)</v>
      </c>
      <c r="M1870" s="465"/>
    </row>
    <row r="1871" spans="2:13" x14ac:dyDescent="0.25">
      <c r="B1871" s="39" t="s">
        <v>135</v>
      </c>
      <c r="C1871" s="40"/>
      <c r="D1871" s="41"/>
      <c r="E1871" s="448" t="s">
        <v>158</v>
      </c>
      <c r="F1871" s="449"/>
      <c r="G1871" s="466" t="s">
        <v>159</v>
      </c>
      <c r="H1871" s="449"/>
      <c r="L1871" s="465"/>
      <c r="M1871" s="465"/>
    </row>
    <row r="1872" spans="2:13" ht="18" customHeight="1" x14ac:dyDescent="0.25">
      <c r="B1872" s="66">
        <f>B1841</f>
        <v>0</v>
      </c>
      <c r="C1872" s="67"/>
      <c r="D1872" s="68"/>
      <c r="E1872" s="441" t="str">
        <f>G1841</f>
        <v/>
      </c>
      <c r="F1872" s="441"/>
      <c r="G1872" s="42"/>
      <c r="H1872" s="12">
        <v>1</v>
      </c>
    </row>
    <row r="1874" spans="2:26" x14ac:dyDescent="0.25">
      <c r="B1874" t="s">
        <v>161</v>
      </c>
      <c r="N1874" s="38"/>
      <c r="P1874" s="144"/>
      <c r="Q1874" s="144"/>
      <c r="R1874" s="144"/>
      <c r="S1874" s="144"/>
      <c r="T1874" s="144"/>
      <c r="U1874" s="144"/>
      <c r="V1874" s="144"/>
      <c r="W1874" s="144"/>
      <c r="X1874" s="144"/>
      <c r="Y1874" s="144"/>
      <c r="Z1874" s="144"/>
    </row>
    <row r="1875" spans="2:26" ht="18" customHeight="1" x14ac:dyDescent="0.25">
      <c r="B1875" s="468" t="s">
        <v>162</v>
      </c>
      <c r="C1875" s="468"/>
      <c r="D1875" s="469" t="s">
        <v>163</v>
      </c>
      <c r="E1875" s="469"/>
      <c r="F1875" s="461" t="s">
        <v>164</v>
      </c>
      <c r="G1875" s="462"/>
      <c r="H1875" s="467" t="s">
        <v>165</v>
      </c>
      <c r="I1875" s="462"/>
      <c r="J1875" s="467" t="s">
        <v>165</v>
      </c>
      <c r="K1875" s="462"/>
      <c r="L1875" s="125" t="s">
        <v>166</v>
      </c>
      <c r="M1875" s="125" t="s">
        <v>167</v>
      </c>
      <c r="N1875" s="38"/>
      <c r="P1875" s="144">
        <v>1</v>
      </c>
      <c r="Q1875" s="144">
        <v>1</v>
      </c>
      <c r="R1875" s="144">
        <v>1</v>
      </c>
      <c r="S1875" s="144" t="str">
        <f>VLOOKUP(P1875,'WORKINGS MATRIX'!$B$200:$C$351,2,FALSE)</f>
        <v>Year</v>
      </c>
      <c r="T1875" s="144">
        <f t="shared" ref="T1875:U1879" si="171">Q1875-1</f>
        <v>0</v>
      </c>
      <c r="U1875" s="144">
        <f t="shared" si="171"/>
        <v>0</v>
      </c>
      <c r="V1875" s="144" t="str">
        <f>IF(S1875="year","",S1875)</f>
        <v/>
      </c>
      <c r="W1875" s="144" t="str">
        <f t="shared" ref="W1875:X1879" si="172">IF(T1875=0,"",T1875)</f>
        <v/>
      </c>
      <c r="X1875" s="144" t="str">
        <f t="shared" si="172"/>
        <v/>
      </c>
      <c r="Y1875" s="144" t="str">
        <f>IF(V1875="","",IF(W1875="",(V1875&amp;"/"&amp;"12"&amp;"/"&amp;"1"),IF(X1875="",(V1875&amp;"/"&amp;W1875&amp;"/"&amp;"1"),(V1875&amp;"/"&amp;W1875&amp;"/"&amp;X1875))))</f>
        <v/>
      </c>
      <c r="Z1875" s="144" t="str">
        <f>IF(Y1875="//","",Y1875)</f>
        <v/>
      </c>
    </row>
    <row r="1876" spans="2:26" ht="18" customHeight="1" x14ac:dyDescent="0.25">
      <c r="B1876" s="441" t="s">
        <v>168</v>
      </c>
      <c r="C1876" s="441"/>
      <c r="D1876" s="439">
        <v>10</v>
      </c>
      <c r="E1876" s="440"/>
      <c r="F1876" s="442"/>
      <c r="G1876" s="443"/>
      <c r="H1876" s="463">
        <v>1</v>
      </c>
      <c r="I1876" s="464"/>
      <c r="J1876" s="450"/>
      <c r="K1876" s="443"/>
      <c r="L1876" s="206"/>
      <c r="M1876" s="143" t="str">
        <f>Z1875</f>
        <v/>
      </c>
      <c r="N1876" s="38"/>
      <c r="P1876" s="144">
        <v>1</v>
      </c>
      <c r="Q1876" s="144">
        <v>1</v>
      </c>
      <c r="R1876" s="144">
        <v>1</v>
      </c>
      <c r="S1876" s="144" t="str">
        <f>VLOOKUP(P1876,'WORKINGS MATRIX'!$B$200:$C$351,2,FALSE)</f>
        <v>Year</v>
      </c>
      <c r="T1876" s="144">
        <f t="shared" si="171"/>
        <v>0</v>
      </c>
      <c r="U1876" s="144">
        <f t="shared" si="171"/>
        <v>0</v>
      </c>
      <c r="V1876" s="144" t="str">
        <f>IF(S1876="year","",S1876)</f>
        <v/>
      </c>
      <c r="W1876" s="144" t="str">
        <f t="shared" si="172"/>
        <v/>
      </c>
      <c r="X1876" s="144" t="str">
        <f t="shared" si="172"/>
        <v/>
      </c>
      <c r="Y1876" s="144" t="str">
        <f>IF(V1876="","",IF(W1876="",(V1876&amp;"/"&amp;"12"&amp;"/"&amp;"1"),IF(X1876="",(V1876&amp;"/"&amp;W1876&amp;"/"&amp;"1"),(V1876&amp;"/"&amp;W1876&amp;"/"&amp;X1876))))</f>
        <v/>
      </c>
      <c r="Z1876" s="144" t="str">
        <f>IF(Y1876="//","",Y1876)</f>
        <v/>
      </c>
    </row>
    <row r="1877" spans="2:26" ht="18" customHeight="1" x14ac:dyDescent="0.25">
      <c r="B1877" s="441" t="s">
        <v>169</v>
      </c>
      <c r="C1877" s="441"/>
      <c r="D1877" s="442"/>
      <c r="E1877" s="443"/>
      <c r="F1877" s="442"/>
      <c r="G1877" s="443"/>
      <c r="H1877" s="451" t="s">
        <v>170</v>
      </c>
      <c r="I1877" s="452"/>
      <c r="J1877" s="451" t="s">
        <v>171</v>
      </c>
      <c r="K1877" s="452"/>
      <c r="L1877" s="125" t="s">
        <v>166</v>
      </c>
      <c r="M1877" s="125" t="s">
        <v>167</v>
      </c>
      <c r="N1877" s="38"/>
      <c r="P1877" s="144">
        <v>1</v>
      </c>
      <c r="Q1877" s="144">
        <v>1</v>
      </c>
      <c r="R1877" s="144">
        <v>1</v>
      </c>
      <c r="S1877" s="144" t="str">
        <f>VLOOKUP(P1877,'WORKINGS MATRIX'!$B$200:$C$351,2,FALSE)</f>
        <v>Year</v>
      </c>
      <c r="T1877" s="144">
        <f t="shared" si="171"/>
        <v>0</v>
      </c>
      <c r="U1877" s="144">
        <f t="shared" si="171"/>
        <v>0</v>
      </c>
      <c r="V1877" s="144" t="str">
        <f>IF(S1877="year","",S1877)</f>
        <v/>
      </c>
      <c r="W1877" s="144" t="str">
        <f t="shared" si="172"/>
        <v/>
      </c>
      <c r="X1877" s="144" t="str">
        <f t="shared" si="172"/>
        <v/>
      </c>
      <c r="Y1877" s="144" t="str">
        <f>IF(V1877="","",IF(W1877="",(V1877&amp;"/"&amp;"1"&amp;"/"&amp;"1"),IF(X1877="",(V1877&amp;"/"&amp;W1877&amp;"/"&amp;"1"),(V1877&amp;"/"&amp;W1877&amp;"/"&amp;X1877))))</f>
        <v/>
      </c>
      <c r="Z1877" s="144" t="str">
        <f>IF(Y1877="//","",Y1877)</f>
        <v/>
      </c>
    </row>
    <row r="1878" spans="2:26" ht="18" customHeight="1" x14ac:dyDescent="0.25">
      <c r="B1878" s="441" t="s">
        <v>172</v>
      </c>
      <c r="C1878" s="441"/>
      <c r="D1878" s="444" t="str">
        <f>Z1877</f>
        <v/>
      </c>
      <c r="E1878" s="445"/>
      <c r="F1878" s="444" t="str">
        <f>Z1878</f>
        <v/>
      </c>
      <c r="G1878" s="445"/>
      <c r="H1878" s="446">
        <v>1</v>
      </c>
      <c r="I1878" s="447"/>
      <c r="J1878" s="450"/>
      <c r="K1878" s="443"/>
      <c r="L1878" s="206"/>
      <c r="M1878" s="143" t="str">
        <f>Z1876</f>
        <v/>
      </c>
      <c r="N1878" s="38"/>
      <c r="P1878" s="144">
        <v>1</v>
      </c>
      <c r="Q1878" s="144">
        <v>1</v>
      </c>
      <c r="R1878" s="144">
        <v>1</v>
      </c>
      <c r="S1878" s="144" t="str">
        <f>VLOOKUP(P1878,'WORKINGS MATRIX'!$B$200:$C$351,2,FALSE)</f>
        <v>Year</v>
      </c>
      <c r="T1878" s="144">
        <f t="shared" si="171"/>
        <v>0</v>
      </c>
      <c r="U1878" s="144">
        <f t="shared" si="171"/>
        <v>0</v>
      </c>
      <c r="V1878" s="144" t="str">
        <f>IF(S1878="year","",S1878)</f>
        <v/>
      </c>
      <c r="W1878" s="144" t="str">
        <f t="shared" si="172"/>
        <v/>
      </c>
      <c r="X1878" s="144" t="str">
        <f t="shared" si="172"/>
        <v/>
      </c>
      <c r="Y1878" s="144" t="str">
        <f>IF(V1878="","",IF(W1878="",(V1878&amp;"/"&amp;"1"&amp;"/"&amp;"1"),IF(X1878="",(V1878&amp;"/"&amp;W1878&amp;"/"&amp;"1"),(V1878&amp;"/"&amp;W1878&amp;"/"&amp;X1878))))</f>
        <v/>
      </c>
      <c r="Z1878" s="144" t="str">
        <f>IF(Y1878="//","",Y1878)</f>
        <v/>
      </c>
    </row>
    <row r="1879" spans="2:26" x14ac:dyDescent="0.25">
      <c r="N1879" s="38"/>
      <c r="P1879" s="144">
        <v>1</v>
      </c>
      <c r="Q1879" s="144">
        <v>1</v>
      </c>
      <c r="R1879" s="144">
        <v>1</v>
      </c>
      <c r="S1879" s="144" t="str">
        <f>VLOOKUP(P1879,'WORKINGS MATRIX'!$B$200:$C$351,2,FALSE)</f>
        <v>Year</v>
      </c>
      <c r="T1879" s="144">
        <f t="shared" si="171"/>
        <v>0</v>
      </c>
      <c r="U1879" s="144">
        <f t="shared" si="171"/>
        <v>0</v>
      </c>
      <c r="V1879" s="144" t="str">
        <f>IF(S1879="year","",S1879)</f>
        <v/>
      </c>
      <c r="W1879" s="144" t="str">
        <f t="shared" si="172"/>
        <v/>
      </c>
      <c r="X1879" s="144" t="str">
        <f t="shared" si="172"/>
        <v/>
      </c>
      <c r="Y1879" s="144" t="str">
        <f>IF(V1879="","",IF(W1879="",(V1879&amp;"/"&amp;"1"&amp;"/"&amp;"1"),IF(X1879="",(V1879&amp;"/"&amp;W1879&amp;"/"&amp;"1"),(V1879&amp;"/"&amp;W1879&amp;"/"&amp;X1879))))</f>
        <v/>
      </c>
      <c r="Z1879" s="144" t="str">
        <f>IF(Y1879="//","",Y1879)</f>
        <v/>
      </c>
    </row>
    <row r="1880" spans="2:26" x14ac:dyDescent="0.25">
      <c r="M1880" s="217"/>
      <c r="N1880" s="38"/>
      <c r="P1880" s="144"/>
      <c r="Q1880" s="144"/>
      <c r="R1880" s="144"/>
      <c r="S1880" s="144"/>
      <c r="T1880" s="144"/>
      <c r="U1880" s="144"/>
      <c r="V1880" s="144"/>
      <c r="W1880" s="144"/>
      <c r="X1880" s="144"/>
      <c r="Y1880" s="144"/>
      <c r="Z1880" s="144"/>
    </row>
    <row r="1881" spans="2:26" x14ac:dyDescent="0.25">
      <c r="B1881" s="21"/>
      <c r="C1881" s="77"/>
      <c r="D1881" s="216"/>
      <c r="E1881" s="21"/>
      <c r="F1881" s="10"/>
      <c r="G1881" s="10"/>
      <c r="H1881" s="10"/>
      <c r="I1881" s="10"/>
      <c r="J1881" s="21"/>
      <c r="K1881" s="21"/>
      <c r="L1881" s="21"/>
      <c r="M1881" s="217"/>
      <c r="N1881" s="387"/>
      <c r="O1881" s="21"/>
      <c r="P1881" s="144"/>
      <c r="Q1881" s="144"/>
      <c r="R1881" s="144"/>
      <c r="S1881" s="145"/>
      <c r="T1881" s="145"/>
      <c r="U1881" s="145"/>
      <c r="V1881" s="145"/>
      <c r="W1881" s="145"/>
      <c r="X1881" s="145"/>
      <c r="Y1881" s="145"/>
      <c r="Z1881" s="145"/>
    </row>
    <row r="1882" spans="2:26" ht="26.25" customHeight="1" x14ac:dyDescent="0.25">
      <c r="B1882" s="149"/>
      <c r="C1882" s="149"/>
      <c r="D1882" s="3"/>
      <c r="E1882" s="149"/>
      <c r="F1882" s="149"/>
      <c r="G1882" s="3"/>
      <c r="H1882" s="149"/>
      <c r="I1882" s="3"/>
      <c r="J1882" s="213"/>
      <c r="K1882" s="214"/>
      <c r="L1882" s="149"/>
      <c r="M1882" s="70"/>
      <c r="N1882" s="71"/>
      <c r="O1882" s="10"/>
      <c r="P1882" s="144"/>
      <c r="Q1882" s="144"/>
      <c r="R1882" s="144"/>
      <c r="S1882" s="144"/>
      <c r="T1882" s="144"/>
      <c r="U1882" s="144"/>
      <c r="V1882" s="144"/>
      <c r="W1882" s="144"/>
      <c r="X1882" s="144"/>
      <c r="Y1882" s="144"/>
      <c r="Z1882" s="144"/>
    </row>
    <row r="1883" spans="2:26" ht="26.25" customHeight="1" x14ac:dyDescent="0.25">
      <c r="B1883" s="149"/>
      <c r="C1883" s="149"/>
      <c r="D1883" s="3"/>
      <c r="E1883" s="149"/>
      <c r="F1883" s="149"/>
      <c r="G1883" s="3"/>
      <c r="H1883" s="149"/>
      <c r="I1883" s="3"/>
      <c r="J1883" s="213"/>
      <c r="K1883" s="214"/>
      <c r="L1883" s="149"/>
      <c r="M1883" s="70"/>
      <c r="N1883" s="71"/>
      <c r="O1883" s="10"/>
      <c r="P1883" s="144"/>
      <c r="Q1883" s="144"/>
      <c r="R1883" s="144"/>
      <c r="S1883" s="144"/>
      <c r="T1883" s="144"/>
      <c r="U1883" s="144"/>
      <c r="V1883" s="144"/>
      <c r="W1883" s="144"/>
      <c r="X1883" s="144"/>
      <c r="Y1883" s="144"/>
      <c r="Z1883" s="144"/>
    </row>
    <row r="1884" spans="2:26" ht="26.25" customHeight="1" x14ac:dyDescent="0.25">
      <c r="B1884" s="149"/>
      <c r="C1884" s="149"/>
      <c r="D1884" s="3"/>
      <c r="E1884" s="149"/>
      <c r="F1884" s="149"/>
      <c r="G1884" s="3"/>
      <c r="H1884" s="149"/>
      <c r="I1884" s="3"/>
      <c r="J1884" s="213"/>
      <c r="K1884" s="214"/>
      <c r="L1884" s="149"/>
      <c r="M1884" s="70"/>
      <c r="N1884" s="71"/>
      <c r="O1884" s="10"/>
      <c r="P1884" s="144"/>
      <c r="Q1884" s="144"/>
      <c r="R1884" s="144"/>
      <c r="S1884" s="144"/>
      <c r="T1884" s="144"/>
      <c r="U1884" s="144"/>
      <c r="V1884" s="144"/>
      <c r="W1884" s="144"/>
      <c r="X1884" s="144"/>
      <c r="Y1884" s="144"/>
      <c r="Z1884" s="144"/>
    </row>
    <row r="1885" spans="2:26" ht="26.25" customHeight="1" x14ac:dyDescent="0.25">
      <c r="B1885" s="149"/>
      <c r="C1885" s="149"/>
      <c r="D1885" s="3"/>
      <c r="E1885" s="149"/>
      <c r="F1885" s="149"/>
      <c r="G1885" s="3"/>
      <c r="H1885" s="149"/>
      <c r="I1885" s="3"/>
      <c r="J1885" s="213"/>
      <c r="K1885" s="214"/>
      <c r="L1885" s="149"/>
      <c r="M1885" s="70"/>
      <c r="N1885" s="71"/>
      <c r="O1885" s="10"/>
      <c r="P1885" s="144"/>
      <c r="Q1885" s="144"/>
      <c r="R1885" s="144"/>
      <c r="S1885" s="144"/>
      <c r="T1885" s="144"/>
      <c r="U1885" s="144"/>
      <c r="V1885" s="144"/>
      <c r="W1885" s="144"/>
      <c r="X1885" s="144"/>
      <c r="Y1885" s="144"/>
      <c r="Z1885" s="144"/>
    </row>
    <row r="1886" spans="2:26" ht="26.25" customHeight="1" x14ac:dyDescent="0.25">
      <c r="B1886" s="149"/>
      <c r="C1886" s="149"/>
      <c r="D1886" s="3"/>
      <c r="E1886" s="149"/>
      <c r="F1886" s="149"/>
      <c r="G1886" s="3"/>
      <c r="H1886" s="149"/>
      <c r="I1886" s="3"/>
      <c r="J1886" s="213"/>
      <c r="K1886" s="214"/>
      <c r="L1886" s="149"/>
      <c r="M1886" s="70"/>
      <c r="N1886" s="71"/>
      <c r="O1886" s="10"/>
      <c r="P1886" s="144"/>
      <c r="Q1886" s="144"/>
      <c r="R1886" s="144"/>
      <c r="S1886" s="144"/>
      <c r="T1886" s="144"/>
      <c r="U1886" s="144"/>
      <c r="V1886" s="144"/>
      <c r="W1886" s="144"/>
      <c r="X1886" s="144"/>
      <c r="Y1886" s="144"/>
      <c r="Z1886" s="144"/>
    </row>
    <row r="1887" spans="2:26" x14ac:dyDescent="0.25">
      <c r="D1887" s="3"/>
      <c r="G1887" s="3"/>
      <c r="I1887" s="3"/>
      <c r="N1887" s="71"/>
      <c r="P1887" s="144"/>
      <c r="Q1887" s="144"/>
      <c r="R1887" s="144"/>
      <c r="S1887" s="144"/>
      <c r="T1887" s="144"/>
      <c r="U1887" s="144"/>
      <c r="V1887" s="144"/>
      <c r="W1887" s="144"/>
      <c r="X1887" s="144"/>
      <c r="Y1887" s="144"/>
      <c r="Z1887" s="144"/>
    </row>
    <row r="1888" spans="2:26" x14ac:dyDescent="0.25">
      <c r="B1888" t="s">
        <v>152</v>
      </c>
      <c r="D1888" s="57"/>
      <c r="H1888" s="58"/>
      <c r="K1888" s="21"/>
      <c r="N1888" s="38"/>
      <c r="P1888" s="144"/>
      <c r="Q1888" s="144"/>
      <c r="R1888" s="144"/>
      <c r="S1888" s="144"/>
      <c r="T1888" s="144"/>
      <c r="U1888" s="144"/>
      <c r="V1888" s="144"/>
      <c r="W1888" s="144"/>
      <c r="X1888" s="144"/>
      <c r="Y1888" s="144"/>
      <c r="Z1888" s="144"/>
    </row>
    <row r="1889" spans="2:13" x14ac:dyDescent="0.25">
      <c r="B1889" s="429"/>
      <c r="C1889" s="430"/>
      <c r="D1889" s="430"/>
      <c r="E1889" s="430"/>
      <c r="F1889" s="430"/>
      <c r="G1889" s="430"/>
      <c r="H1889" s="430"/>
      <c r="I1889" s="430"/>
      <c r="J1889" s="430"/>
      <c r="K1889" s="430"/>
      <c r="L1889" s="430"/>
      <c r="M1889" s="431"/>
    </row>
    <row r="1890" spans="2:13" x14ac:dyDescent="0.25">
      <c r="B1890" s="432"/>
      <c r="C1890" s="433"/>
      <c r="D1890" s="433"/>
      <c r="E1890" s="433"/>
      <c r="F1890" s="433"/>
      <c r="G1890" s="433"/>
      <c r="H1890" s="433"/>
      <c r="I1890" s="433"/>
      <c r="J1890" s="433"/>
      <c r="K1890" s="433"/>
      <c r="L1890" s="433"/>
      <c r="M1890" s="434"/>
    </row>
    <row r="1891" spans="2:13" x14ac:dyDescent="0.25">
      <c r="B1891" s="432"/>
      <c r="C1891" s="433"/>
      <c r="D1891" s="433"/>
      <c r="E1891" s="433"/>
      <c r="F1891" s="433"/>
      <c r="G1891" s="433"/>
      <c r="H1891" s="433"/>
      <c r="I1891" s="433"/>
      <c r="J1891" s="433"/>
      <c r="K1891" s="433"/>
      <c r="L1891" s="433"/>
      <c r="M1891" s="434"/>
    </row>
    <row r="1892" spans="2:13" x14ac:dyDescent="0.25">
      <c r="B1892" s="435"/>
      <c r="C1892" s="436"/>
      <c r="D1892" s="436"/>
      <c r="E1892" s="436"/>
      <c r="F1892" s="436"/>
      <c r="G1892" s="436"/>
      <c r="H1892" s="436"/>
      <c r="I1892" s="436"/>
      <c r="J1892" s="436"/>
      <c r="K1892" s="436"/>
      <c r="L1892" s="436"/>
      <c r="M1892" s="437"/>
    </row>
    <row r="1893" spans="2:13" x14ac:dyDescent="0.25">
      <c r="B1893" s="15"/>
      <c r="D1893" s="57"/>
      <c r="H1893" s="58"/>
      <c r="K1893" s="21"/>
    </row>
    <row r="1894" spans="2:13" x14ac:dyDescent="0.25">
      <c r="D1894" s="57"/>
      <c r="H1894" s="58"/>
      <c r="K1894" s="21"/>
    </row>
    <row r="1895" spans="2:13" x14ac:dyDescent="0.25">
      <c r="D1895" s="57"/>
      <c r="H1895" s="58"/>
      <c r="K1895" s="21"/>
    </row>
    <row r="1896" spans="2:13" x14ac:dyDescent="0.25">
      <c r="D1896" s="57"/>
      <c r="E1896" s="149"/>
      <c r="F1896" s="149"/>
      <c r="G1896" s="149"/>
      <c r="H1896" s="149"/>
      <c r="I1896" s="149"/>
      <c r="K1896" s="21"/>
    </row>
    <row r="1897" spans="2:13" x14ac:dyDescent="0.25">
      <c r="D1897" s="57"/>
      <c r="E1897" s="149"/>
      <c r="F1897" s="149"/>
      <c r="G1897" s="149"/>
      <c r="H1897" s="149"/>
      <c r="I1897" s="149"/>
      <c r="K1897" s="438" t="s">
        <v>155</v>
      </c>
      <c r="L1897" s="438"/>
      <c r="M1897" s="438"/>
    </row>
    <row r="1898" spans="2:13" x14ac:dyDescent="0.25">
      <c r="D1898" s="57"/>
      <c r="H1898" s="58"/>
      <c r="K1898" s="438"/>
      <c r="L1898" s="438"/>
      <c r="M1898" s="438"/>
    </row>
    <row r="1899" spans="2:13" x14ac:dyDescent="0.25">
      <c r="D1899" s="57"/>
      <c r="E1899" s="149"/>
      <c r="F1899" s="149"/>
      <c r="G1899" s="149"/>
      <c r="H1899" s="149"/>
      <c r="I1899" s="149"/>
      <c r="K1899" s="438"/>
      <c r="L1899" s="438"/>
      <c r="M1899" s="438"/>
    </row>
    <row r="1900" spans="2:13" x14ac:dyDescent="0.25">
      <c r="D1900" s="57"/>
      <c r="E1900" s="149"/>
      <c r="F1900" s="149"/>
      <c r="G1900" s="149"/>
      <c r="H1900" s="149"/>
      <c r="I1900" s="149"/>
      <c r="K1900" s="438"/>
      <c r="L1900" s="438"/>
      <c r="M1900" s="438"/>
    </row>
    <row r="1901" spans="2:13" ht="13.8" thickBot="1" x14ac:dyDescent="0.3">
      <c r="B1901" s="60"/>
      <c r="C1901" s="60"/>
      <c r="D1901" s="60"/>
      <c r="E1901" s="60"/>
      <c r="F1901" s="60"/>
      <c r="G1901" s="60"/>
      <c r="H1901" s="60"/>
      <c r="I1901" s="60"/>
      <c r="J1901" s="60"/>
      <c r="K1901" s="60"/>
      <c r="L1901" s="60"/>
      <c r="M1901" s="60"/>
    </row>
    <row r="1902" spans="2:13" ht="13.8" thickTop="1" x14ac:dyDescent="0.25"/>
    <row r="1903" spans="2:13" x14ac:dyDescent="0.25">
      <c r="B1903" s="24" t="s">
        <v>128</v>
      </c>
    </row>
    <row r="1936" spans="2:4" ht="13.8" thickBot="1" x14ac:dyDescent="0.3">
      <c r="B1936">
        <f>$D$1</f>
        <v>0</v>
      </c>
      <c r="C1936" s="73" t="s">
        <v>128</v>
      </c>
      <c r="D1936" s="25" t="s">
        <v>129</v>
      </c>
    </row>
    <row r="1937" spans="2:33" ht="13.8" thickTop="1" x14ac:dyDescent="0.25">
      <c r="B1937" s="27" t="s">
        <v>131</v>
      </c>
      <c r="C1937" s="28"/>
      <c r="D1937" s="29" t="s">
        <v>132</v>
      </c>
      <c r="E1937" s="27" t="str">
        <f>J129</f>
        <v/>
      </c>
      <c r="F1937" s="30" t="str">
        <f>IF(L129=0,"NOT REQUIRED", IF(L129="Man","MANAGERIAL POSITION","NON-MANAGERIAL POSITION"))</f>
        <v>NON-MANAGERIAL POSITION</v>
      </c>
      <c r="G1937" s="28"/>
      <c r="H1937" s="308" t="s">
        <v>199</v>
      </c>
      <c r="I1937" s="31"/>
      <c r="J1937" s="27"/>
      <c r="K1937" s="28"/>
      <c r="L1937" s="31" t="s">
        <v>133</v>
      </c>
      <c r="M1937" s="28"/>
      <c r="N1937" s="32"/>
      <c r="P1937" s="144"/>
      <c r="Q1937" s="144"/>
      <c r="R1937" s="144"/>
      <c r="S1937" s="144"/>
      <c r="T1937" s="144"/>
      <c r="U1937" s="144"/>
      <c r="V1937" s="144"/>
      <c r="W1937" s="144"/>
      <c r="X1937" s="144"/>
      <c r="Y1937" s="144"/>
      <c r="Z1937" s="144"/>
      <c r="AC1937" s="158"/>
      <c r="AD1937" s="158"/>
      <c r="AE1937" s="158"/>
      <c r="AF1937" s="158"/>
      <c r="AG1937" s="158"/>
    </row>
    <row r="1938" spans="2:33" x14ac:dyDescent="0.25">
      <c r="E1938" s="34"/>
      <c r="F1938" s="35"/>
      <c r="G1938" s="36"/>
      <c r="I1938" s="10"/>
      <c r="J1938" s="37"/>
      <c r="N1938" s="38"/>
      <c r="P1938" s="144"/>
      <c r="Q1938" s="144"/>
      <c r="R1938" s="144"/>
      <c r="S1938" s="144"/>
      <c r="T1938" s="144"/>
      <c r="U1938" s="144"/>
      <c r="V1938" s="144"/>
      <c r="W1938" s="144"/>
      <c r="X1938" s="144"/>
      <c r="Y1938" s="144"/>
      <c r="Z1938" s="144"/>
      <c r="AC1938" s="158"/>
      <c r="AD1938" s="158"/>
      <c r="AE1938" s="158"/>
      <c r="AF1938" s="158"/>
      <c r="AG1938" s="158"/>
    </row>
    <row r="1939" spans="2:33" x14ac:dyDescent="0.25">
      <c r="B1939" t="s">
        <v>134</v>
      </c>
      <c r="L1939" s="465" t="str">
        <f>$L$39</f>
        <v>X.002-218-2024(NT)&amp;N.004-116-2024(T)</v>
      </c>
      <c r="M1939" s="465"/>
      <c r="N1939" s="38"/>
      <c r="P1939" s="144"/>
      <c r="Q1939" s="144"/>
      <c r="R1939" s="144"/>
      <c r="S1939" s="144"/>
      <c r="T1939" s="144"/>
      <c r="U1939" s="144"/>
      <c r="V1939" s="144"/>
      <c r="W1939" s="144"/>
      <c r="X1939" s="144"/>
      <c r="Y1939" s="144"/>
      <c r="Z1939" s="144"/>
      <c r="AC1939" s="158"/>
      <c r="AD1939" s="158"/>
      <c r="AE1939" s="158"/>
      <c r="AF1939" s="158"/>
      <c r="AG1939" s="158"/>
    </row>
    <row r="1940" spans="2:33" ht="24.75" customHeight="1" x14ac:dyDescent="0.25">
      <c r="B1940" s="39" t="s">
        <v>135</v>
      </c>
      <c r="C1940" s="40"/>
      <c r="D1940" s="41"/>
      <c r="E1940" s="427" t="s">
        <v>136</v>
      </c>
      <c r="F1940" s="428"/>
      <c r="G1940" s="39" t="s">
        <v>137</v>
      </c>
      <c r="H1940" s="41"/>
      <c r="I1940" s="39" t="s">
        <v>138</v>
      </c>
      <c r="J1940" s="41"/>
      <c r="K1940" s="42"/>
      <c r="L1940" s="465"/>
      <c r="M1940" s="465"/>
      <c r="N1940" s="38"/>
      <c r="P1940" s="144"/>
      <c r="Q1940" s="144"/>
      <c r="R1940" s="144"/>
      <c r="S1940" s="144"/>
      <c r="T1940" s="144"/>
      <c r="U1940" s="144"/>
      <c r="V1940" s="144"/>
      <c r="W1940" s="144"/>
      <c r="X1940" s="144"/>
      <c r="Y1940" s="144"/>
      <c r="Z1940" s="144"/>
      <c r="AC1940" s="158"/>
      <c r="AD1940" s="158"/>
      <c r="AE1940" s="158"/>
      <c r="AF1940" s="158"/>
      <c r="AG1940" s="158"/>
    </row>
    <row r="1941" spans="2:33" ht="16.5" customHeight="1" x14ac:dyDescent="0.25">
      <c r="B1941" s="194"/>
      <c r="C1941" s="195"/>
      <c r="D1941" s="196"/>
      <c r="E1941" s="425"/>
      <c r="F1941" s="426"/>
      <c r="G1941" s="43" t="str">
        <f>K129</f>
        <v/>
      </c>
      <c r="H1941" s="44"/>
      <c r="I1941" s="197"/>
      <c r="J1941" s="198"/>
      <c r="K1941" s="45"/>
      <c r="N1941" s="38"/>
      <c r="P1941" s="144">
        <v>1</v>
      </c>
      <c r="Q1941" s="144">
        <v>1</v>
      </c>
      <c r="R1941" s="144">
        <v>1</v>
      </c>
      <c r="S1941" s="144" t="str">
        <f>VLOOKUP(P1941,'WORKINGS MATRIX'!$H$200:$I$351,2,FALSE)</f>
        <v>Year</v>
      </c>
      <c r="T1941" s="144">
        <f>Q1941-1</f>
        <v>0</v>
      </c>
      <c r="U1941" s="144">
        <f>R1941-1</f>
        <v>0</v>
      </c>
      <c r="V1941" s="144" t="str">
        <f>IF(S1941="year","",S1941)</f>
        <v/>
      </c>
      <c r="W1941" s="144" t="str">
        <f>IF(T1941=0,"",T1941)</f>
        <v/>
      </c>
      <c r="X1941" s="144" t="str">
        <f>IF(U1941=0,"",U1941)</f>
        <v/>
      </c>
      <c r="Y1941" s="144" t="str">
        <f>IF(V1941="","",IF(W1941="",(V1941&amp;"/"&amp;"1"&amp;"/"&amp;"1"),IF(X1941="",(V1941&amp;"/"&amp;W1941&amp;"/"&amp;"1"),(V1941&amp;"/"&amp;W1941&amp;"/"&amp;X1941))))</f>
        <v/>
      </c>
      <c r="Z1941" s="144" t="str">
        <f>IF(Y1941="//","",Y1941)</f>
        <v/>
      </c>
      <c r="AC1941" s="158"/>
      <c r="AD1941" s="158"/>
      <c r="AE1941" s="158"/>
      <c r="AF1941" s="158"/>
      <c r="AG1941" s="158"/>
    </row>
    <row r="1942" spans="2:33" x14ac:dyDescent="0.25">
      <c r="E1942" t="str">
        <f>IF(E1941="","",IF(LEN(E1941)=13,"","ID NUMBER SHOULD BE 13 DIGITS"))</f>
        <v/>
      </c>
      <c r="N1942" s="38"/>
      <c r="P1942" s="144"/>
      <c r="Q1942" s="144"/>
      <c r="R1942" s="144"/>
      <c r="S1942" s="144"/>
      <c r="T1942" s="144"/>
      <c r="U1942" s="144"/>
      <c r="V1942" s="144"/>
      <c r="W1942" s="144"/>
      <c r="X1942" s="144"/>
      <c r="Y1942" s="144"/>
      <c r="Z1942" s="144"/>
      <c r="AC1942" s="158"/>
      <c r="AD1942" s="158"/>
      <c r="AE1942" s="158"/>
      <c r="AF1942" s="158"/>
      <c r="AG1942" s="158"/>
    </row>
    <row r="1943" spans="2:33" x14ac:dyDescent="0.25">
      <c r="G1943" s="170" t="str">
        <f>IF(AG1946=0,"","DATES BEYOND TENDER CLOSING DATE - PLEASE CHECK")</f>
        <v/>
      </c>
      <c r="N1943" s="38"/>
      <c r="P1943" s="144"/>
      <c r="Q1943" s="144"/>
      <c r="R1943" s="144"/>
      <c r="S1943" s="144"/>
      <c r="T1943" s="144"/>
      <c r="U1943" s="144"/>
      <c r="V1943" s="144"/>
      <c r="W1943" s="144"/>
      <c r="X1943" s="144"/>
      <c r="Y1943" s="144"/>
      <c r="Z1943" s="144"/>
      <c r="AC1943" s="158"/>
      <c r="AD1943" s="158"/>
      <c r="AE1943" s="158"/>
      <c r="AF1943" s="158"/>
      <c r="AG1943" s="158"/>
    </row>
    <row r="1944" spans="2:33" x14ac:dyDescent="0.25">
      <c r="B1944" t="s">
        <v>139</v>
      </c>
      <c r="G1944" s="170" t="str">
        <f>IF(AE1946=0,"","DATES INCORRECT OR INCOMPLETE - PLEASE CHECK")</f>
        <v/>
      </c>
      <c r="N1944" s="38"/>
      <c r="P1944" s="144"/>
      <c r="Q1944" s="144"/>
      <c r="R1944" s="144"/>
      <c r="S1944" s="144"/>
      <c r="T1944" s="144"/>
      <c r="U1944" s="144"/>
      <c r="V1944" s="144"/>
      <c r="W1944" s="144"/>
      <c r="X1944" s="144"/>
      <c r="Y1944" s="144"/>
      <c r="Z1944" s="144"/>
      <c r="AC1944" s="158"/>
      <c r="AD1944" s="158"/>
      <c r="AE1944" s="158"/>
      <c r="AF1944" s="158"/>
      <c r="AG1944" s="158"/>
    </row>
    <row r="1945" spans="2:33" x14ac:dyDescent="0.25">
      <c r="B1945" s="15" t="s">
        <v>140</v>
      </c>
      <c r="N1945" s="38"/>
      <c r="P1945" s="144"/>
      <c r="Q1945" s="144"/>
      <c r="R1945" s="144"/>
      <c r="S1945" s="144"/>
      <c r="T1945" s="144"/>
      <c r="U1945" s="144"/>
      <c r="V1945" s="144"/>
      <c r="W1945" s="144"/>
      <c r="X1945" s="144"/>
      <c r="Y1945" s="144"/>
      <c r="Z1945" s="144"/>
      <c r="AC1945" s="158"/>
      <c r="AD1945" s="158"/>
      <c r="AE1945" s="158"/>
      <c r="AF1945" s="158"/>
      <c r="AG1945" s="158"/>
    </row>
    <row r="1946" spans="2:33" ht="66" x14ac:dyDescent="0.25">
      <c r="B1946" s="47" t="s">
        <v>141</v>
      </c>
      <c r="C1946" s="48" t="s">
        <v>142</v>
      </c>
      <c r="D1946" s="44"/>
      <c r="E1946" s="470" t="s">
        <v>143</v>
      </c>
      <c r="F1946" s="471"/>
      <c r="G1946" s="157" t="s">
        <v>144</v>
      </c>
      <c r="H1946" s="157" t="s">
        <v>145</v>
      </c>
      <c r="I1946" s="385" t="s">
        <v>146</v>
      </c>
      <c r="J1946" s="49" t="s">
        <v>147</v>
      </c>
      <c r="K1946" s="50" t="s">
        <v>148</v>
      </c>
      <c r="L1946" s="385" t="s">
        <v>149</v>
      </c>
      <c r="M1946" s="49" t="s">
        <v>150</v>
      </c>
      <c r="N1946" s="51"/>
      <c r="O1946" s="386"/>
      <c r="P1946" s="147"/>
      <c r="Q1946" s="144"/>
      <c r="R1946" s="144"/>
      <c r="S1946" s="145"/>
      <c r="T1946" s="145"/>
      <c r="U1946" s="145"/>
      <c r="V1946" s="145"/>
      <c r="W1946" s="145"/>
      <c r="X1946" s="145"/>
      <c r="Y1946" s="145"/>
      <c r="Z1946" s="145"/>
      <c r="AC1946" s="165"/>
      <c r="AD1946" s="165"/>
      <c r="AE1946" s="165">
        <f>SUM(AE1947:AE1951)</f>
        <v>0</v>
      </c>
      <c r="AF1946" s="165"/>
      <c r="AG1946" s="165">
        <f>SUM(AG1947:AG1951)</f>
        <v>0</v>
      </c>
    </row>
    <row r="1947" spans="2:33" ht="25.5" customHeight="1" x14ac:dyDescent="0.25">
      <c r="B1947" s="200"/>
      <c r="C1947" s="53">
        <v>8</v>
      </c>
      <c r="D1947" s="54"/>
      <c r="E1947" s="55"/>
      <c r="F1947" s="56">
        <v>1</v>
      </c>
      <c r="G1947" s="143" t="str">
        <f>Z1947</f>
        <v/>
      </c>
      <c r="H1947" s="143" t="str">
        <f>Z1952</f>
        <v/>
      </c>
      <c r="I1947" s="202"/>
      <c r="J1947" s="203"/>
      <c r="K1947" s="56">
        <v>23</v>
      </c>
      <c r="L1947" s="204"/>
      <c r="M1947" s="205"/>
      <c r="N1947" s="164">
        <f>IF(G1947="",0,IF(H1947="",0,(ROUND(((H1947-G1947)/30),0))))</f>
        <v>0</v>
      </c>
      <c r="O1947" s="162"/>
      <c r="P1947" s="166">
        <v>1</v>
      </c>
      <c r="Q1947" s="166">
        <v>1</v>
      </c>
      <c r="R1947" s="166">
        <v>1</v>
      </c>
      <c r="S1947" s="166" t="str">
        <f>VLOOKUP(P1947,'WORKINGS MATRIX'!$B$200:$C$351,2,FALSE)</f>
        <v>Year</v>
      </c>
      <c r="T1947" s="166">
        <f t="shared" ref="T1947:U1951" si="173">Q1947-1</f>
        <v>0</v>
      </c>
      <c r="U1947" s="166">
        <f t="shared" si="173"/>
        <v>0</v>
      </c>
      <c r="V1947" s="166" t="str">
        <f t="shared" ref="V1947:V1956" si="174">IF(S1947="year","",S1947)</f>
        <v/>
      </c>
      <c r="W1947" s="166" t="str">
        <f t="shared" ref="W1947:X1951" si="175">IF(T1947=0,"",T1947)</f>
        <v/>
      </c>
      <c r="X1947" s="166" t="str">
        <f t="shared" si="175"/>
        <v/>
      </c>
      <c r="Y1947" s="166" t="str">
        <f t="shared" ref="Y1947:Y1956" si="176">IF(V1947="","",IF(W1947="",(V1947&amp;"/"&amp;"1"&amp;"/"&amp;"1"),IF(X1947="",(V1947&amp;"/"&amp;W1947&amp;"/"&amp;"1"),(V1947&amp;"/"&amp;W1947&amp;"/"&amp;X1947))))</f>
        <v/>
      </c>
      <c r="Z1947" s="166" t="str">
        <f t="shared" ref="Z1947:Z1956" si="177">IF(Y1947="//","",Y1947)</f>
        <v/>
      </c>
      <c r="AC1947" s="172">
        <f>IF(B1947="",0,1)</f>
        <v>0</v>
      </c>
      <c r="AD1947" s="172">
        <f>IF(B1947="",0,IF(N1947&gt;0,1,IF(N1947&lt;0,2,0)))</f>
        <v>0</v>
      </c>
      <c r="AE1947" s="172">
        <f>IF(AC1947=AD1947,0,IF(AC1947&gt;AD1947,2,1))</f>
        <v>0</v>
      </c>
      <c r="AF1947" s="172">
        <f>IF(B1947="",0,IF(N1947=0,0,H1947-$F$125))</f>
        <v>0</v>
      </c>
      <c r="AG1947" s="172">
        <f>IF(AF1947&gt;0,1,0)</f>
        <v>0</v>
      </c>
    </row>
    <row r="1948" spans="2:33" ht="25.5" customHeight="1" x14ac:dyDescent="0.25">
      <c r="B1948" s="200"/>
      <c r="C1948" s="53">
        <v>8</v>
      </c>
      <c r="D1948" s="54"/>
      <c r="E1948" s="55"/>
      <c r="F1948" s="56">
        <v>1</v>
      </c>
      <c r="G1948" s="143" t="str">
        <f>Z1948</f>
        <v/>
      </c>
      <c r="H1948" s="143" t="str">
        <f>Z1953</f>
        <v/>
      </c>
      <c r="I1948" s="202"/>
      <c r="J1948" s="203"/>
      <c r="K1948" s="56">
        <v>23</v>
      </c>
      <c r="L1948" s="204"/>
      <c r="M1948" s="205"/>
      <c r="N1948" s="164">
        <f>IF(G1948="",0,IF(H1948="",0,(ROUND(((H1948-G1948)/30),0))))</f>
        <v>0</v>
      </c>
      <c r="O1948" s="162"/>
      <c r="P1948" s="166">
        <v>1</v>
      </c>
      <c r="Q1948" s="166">
        <v>1</v>
      </c>
      <c r="R1948" s="166">
        <v>1</v>
      </c>
      <c r="S1948" s="166" t="str">
        <f>VLOOKUP(P1948,'WORKINGS MATRIX'!$B$200:$C$351,2,FALSE)</f>
        <v>Year</v>
      </c>
      <c r="T1948" s="166">
        <f t="shared" si="173"/>
        <v>0</v>
      </c>
      <c r="U1948" s="166">
        <f t="shared" si="173"/>
        <v>0</v>
      </c>
      <c r="V1948" s="166" t="str">
        <f t="shared" si="174"/>
        <v/>
      </c>
      <c r="W1948" s="166" t="str">
        <f t="shared" si="175"/>
        <v/>
      </c>
      <c r="X1948" s="166" t="str">
        <f t="shared" si="175"/>
        <v/>
      </c>
      <c r="Y1948" s="166" t="str">
        <f t="shared" si="176"/>
        <v/>
      </c>
      <c r="Z1948" s="166" t="str">
        <f t="shared" si="177"/>
        <v/>
      </c>
      <c r="AC1948" s="172">
        <f>IF(B1948="",0,1)</f>
        <v>0</v>
      </c>
      <c r="AD1948" s="172">
        <f>IF(B1948="",0,IF(N1948&gt;0,1,IF(N1948&lt;0,2,0)))</f>
        <v>0</v>
      </c>
      <c r="AE1948" s="172">
        <f>IF(AC1948=AD1948,0,IF(AC1948&gt;AD1948,2,1))</f>
        <v>0</v>
      </c>
      <c r="AF1948" s="172">
        <f>IF(B1948="",0,IF(N1948=0,0,H1948-$F$125))</f>
        <v>0</v>
      </c>
      <c r="AG1948" s="172">
        <f>IF(AF1948&gt;0,1,0)</f>
        <v>0</v>
      </c>
    </row>
    <row r="1949" spans="2:33" ht="25.5" customHeight="1" x14ac:dyDescent="0.25">
      <c r="B1949" s="200"/>
      <c r="C1949" s="53">
        <v>8</v>
      </c>
      <c r="D1949" s="54"/>
      <c r="E1949" s="55"/>
      <c r="F1949" s="56">
        <v>1</v>
      </c>
      <c r="G1949" s="143" t="str">
        <f>Z1949</f>
        <v/>
      </c>
      <c r="H1949" s="143" t="str">
        <f>Z1954</f>
        <v/>
      </c>
      <c r="I1949" s="202"/>
      <c r="J1949" s="203"/>
      <c r="K1949" s="56">
        <v>23</v>
      </c>
      <c r="L1949" s="204"/>
      <c r="M1949" s="205"/>
      <c r="N1949" s="164">
        <f>IF(G1949="",0,IF(H1949="",0,(ROUND(((H1949-G1949)/30),0))))</f>
        <v>0</v>
      </c>
      <c r="O1949" s="162"/>
      <c r="P1949" s="166">
        <v>1</v>
      </c>
      <c r="Q1949" s="166">
        <v>1</v>
      </c>
      <c r="R1949" s="166">
        <v>1</v>
      </c>
      <c r="S1949" s="166" t="str">
        <f>VLOOKUP(P1949,'WORKINGS MATRIX'!$B$200:$C$351,2,FALSE)</f>
        <v>Year</v>
      </c>
      <c r="T1949" s="166">
        <f t="shared" si="173"/>
        <v>0</v>
      </c>
      <c r="U1949" s="166">
        <f t="shared" si="173"/>
        <v>0</v>
      </c>
      <c r="V1949" s="166" t="str">
        <f t="shared" si="174"/>
        <v/>
      </c>
      <c r="W1949" s="166" t="str">
        <f t="shared" si="175"/>
        <v/>
      </c>
      <c r="X1949" s="166" t="str">
        <f t="shared" si="175"/>
        <v/>
      </c>
      <c r="Y1949" s="166" t="str">
        <f t="shared" si="176"/>
        <v/>
      </c>
      <c r="Z1949" s="166" t="str">
        <f t="shared" si="177"/>
        <v/>
      </c>
      <c r="AC1949" s="172">
        <f>IF(B1949="",0,1)</f>
        <v>0</v>
      </c>
      <c r="AD1949" s="172">
        <f>IF(B1949="",0,IF(N1949&gt;0,1,IF(N1949&lt;0,2,0)))</f>
        <v>0</v>
      </c>
      <c r="AE1949" s="172">
        <f>IF(AC1949=AD1949,0,IF(AC1949&gt;AD1949,2,1))</f>
        <v>0</v>
      </c>
      <c r="AF1949" s="172">
        <f>IF(B1949="",0,IF(N1949=0,0,H1949-$F$125))</f>
        <v>0</v>
      </c>
      <c r="AG1949" s="172">
        <f>IF(AF1949&gt;0,1,0)</f>
        <v>0</v>
      </c>
    </row>
    <row r="1950" spans="2:33" ht="25.5" customHeight="1" x14ac:dyDescent="0.25">
      <c r="B1950" s="255"/>
      <c r="C1950" s="255"/>
      <c r="D1950" s="255"/>
      <c r="E1950" s="255"/>
      <c r="F1950" s="255"/>
      <c r="G1950" s="255"/>
      <c r="H1950" s="255"/>
      <c r="I1950" s="255"/>
      <c r="J1950" s="255"/>
      <c r="K1950" s="255"/>
      <c r="L1950" s="255"/>
      <c r="M1950" s="255"/>
      <c r="N1950" s="256"/>
      <c r="O1950" s="162"/>
      <c r="P1950" s="166">
        <v>1</v>
      </c>
      <c r="Q1950" s="166">
        <v>1</v>
      </c>
      <c r="R1950" s="166">
        <v>1</v>
      </c>
      <c r="S1950" s="166" t="str">
        <f>VLOOKUP(P1950,'WORKINGS MATRIX'!$B$200:$C$351,2,FALSE)</f>
        <v>Year</v>
      </c>
      <c r="T1950" s="166">
        <f t="shared" si="173"/>
        <v>0</v>
      </c>
      <c r="U1950" s="166">
        <f t="shared" si="173"/>
        <v>0</v>
      </c>
      <c r="V1950" s="166" t="str">
        <f t="shared" si="174"/>
        <v/>
      </c>
      <c r="W1950" s="166" t="str">
        <f t="shared" si="175"/>
        <v/>
      </c>
      <c r="X1950" s="166" t="str">
        <f t="shared" si="175"/>
        <v/>
      </c>
      <c r="Y1950" s="166" t="str">
        <f t="shared" si="176"/>
        <v/>
      </c>
      <c r="Z1950" s="166" t="str">
        <f t="shared" si="177"/>
        <v/>
      </c>
      <c r="AC1950" s="172">
        <f>IF(B1950="",0,1)</f>
        <v>0</v>
      </c>
      <c r="AD1950" s="172">
        <f>IF(B1950="",0,IF(N1950&gt;0,1,IF(N1950&lt;0,2,0)))</f>
        <v>0</v>
      </c>
      <c r="AE1950" s="172">
        <f>IF(AC1950=AD1950,0,IF(AC1950&gt;AD1950,2,1))</f>
        <v>0</v>
      </c>
      <c r="AF1950" s="172">
        <f>IF(B1950="",0,IF(N1950=0,0,H1950-$F$125))</f>
        <v>0</v>
      </c>
      <c r="AG1950" s="172">
        <f>IF(AF1950&gt;0,1,0)</f>
        <v>0</v>
      </c>
    </row>
    <row r="1951" spans="2:33" ht="25.5" customHeight="1" x14ac:dyDescent="0.25">
      <c r="B1951" s="149"/>
      <c r="C1951" s="149"/>
      <c r="D1951" s="149"/>
      <c r="E1951" s="149"/>
      <c r="F1951" s="149"/>
      <c r="G1951" s="149"/>
      <c r="H1951" s="149"/>
      <c r="I1951" s="149"/>
      <c r="J1951" s="149"/>
      <c r="K1951" s="149"/>
      <c r="L1951" s="149"/>
      <c r="M1951" s="149"/>
      <c r="N1951" s="256"/>
      <c r="O1951" s="162"/>
      <c r="P1951" s="166">
        <v>1</v>
      </c>
      <c r="Q1951" s="166">
        <v>1</v>
      </c>
      <c r="R1951" s="166">
        <v>1</v>
      </c>
      <c r="S1951" s="166" t="str">
        <f>VLOOKUP(P1951,'WORKINGS MATRIX'!$B$200:$C$351,2,FALSE)</f>
        <v>Year</v>
      </c>
      <c r="T1951" s="166">
        <f t="shared" si="173"/>
        <v>0</v>
      </c>
      <c r="U1951" s="166">
        <f t="shared" si="173"/>
        <v>0</v>
      </c>
      <c r="V1951" s="166" t="str">
        <f t="shared" si="174"/>
        <v/>
      </c>
      <c r="W1951" s="166" t="str">
        <f t="shared" si="175"/>
        <v/>
      </c>
      <c r="X1951" s="166" t="str">
        <f t="shared" si="175"/>
        <v/>
      </c>
      <c r="Y1951" s="166" t="str">
        <f t="shared" si="176"/>
        <v/>
      </c>
      <c r="Z1951" s="166" t="str">
        <f t="shared" si="177"/>
        <v/>
      </c>
      <c r="AC1951" s="172">
        <f>IF(B1951="",0,1)</f>
        <v>0</v>
      </c>
      <c r="AD1951" s="172">
        <f>IF(B1951="",0,IF(N1951&gt;0,1,IF(N1951&lt;0,2,0)))</f>
        <v>0</v>
      </c>
      <c r="AE1951" s="172">
        <f>IF(AC1951=AD1951,0,IF(AC1951&gt;AD1951,2,1))</f>
        <v>0</v>
      </c>
      <c r="AF1951" s="172">
        <f>IF(B1951="",0,IF(N1951=0,0,H1951-$F$125))</f>
        <v>0</v>
      </c>
      <c r="AG1951" s="172">
        <f>IF(AF1951&gt;0,1,0)</f>
        <v>0</v>
      </c>
    </row>
    <row r="1952" spans="2:33" x14ac:dyDescent="0.25">
      <c r="D1952" s="57"/>
      <c r="H1952" s="58"/>
      <c r="K1952" s="21"/>
      <c r="N1952" s="163"/>
      <c r="O1952" s="16"/>
      <c r="P1952" s="166">
        <v>1</v>
      </c>
      <c r="Q1952" s="166">
        <v>1</v>
      </c>
      <c r="R1952" s="166">
        <v>1</v>
      </c>
      <c r="S1952" s="166" t="str">
        <f>VLOOKUP(P1952,'WORKINGS MATRIX'!$B$200:$C$351,2,FALSE)</f>
        <v>Year</v>
      </c>
      <c r="T1952" s="166">
        <f t="shared" ref="T1952:U1956" si="178">Q1952-1</f>
        <v>0</v>
      </c>
      <c r="U1952" s="166">
        <f t="shared" si="178"/>
        <v>0</v>
      </c>
      <c r="V1952" s="166" t="str">
        <f t="shared" si="174"/>
        <v/>
      </c>
      <c r="W1952" s="166" t="str">
        <f t="shared" ref="W1952:X1956" si="179">IF(T1952=0,"",T1952)</f>
        <v/>
      </c>
      <c r="X1952" s="166" t="str">
        <f t="shared" si="179"/>
        <v/>
      </c>
      <c r="Y1952" s="166" t="str">
        <f t="shared" si="176"/>
        <v/>
      </c>
      <c r="Z1952" s="166" t="str">
        <f t="shared" si="177"/>
        <v/>
      </c>
      <c r="AC1952" s="158"/>
      <c r="AD1952" s="158"/>
      <c r="AE1952" s="158"/>
      <c r="AF1952" s="158"/>
      <c r="AG1952" s="158"/>
    </row>
    <row r="1953" spans="2:26" x14ac:dyDescent="0.25">
      <c r="B1953" t="s">
        <v>152</v>
      </c>
      <c r="D1953" s="57"/>
      <c r="H1953" s="58"/>
      <c r="K1953" s="21"/>
      <c r="N1953" s="163"/>
      <c r="O1953" s="16"/>
      <c r="P1953" s="166">
        <v>1</v>
      </c>
      <c r="Q1953" s="166">
        <v>1</v>
      </c>
      <c r="R1953" s="166">
        <v>1</v>
      </c>
      <c r="S1953" s="166" t="str">
        <f>VLOOKUP(P1953,'WORKINGS MATRIX'!$B$200:$C$351,2,FALSE)</f>
        <v>Year</v>
      </c>
      <c r="T1953" s="166">
        <f t="shared" si="178"/>
        <v>0</v>
      </c>
      <c r="U1953" s="166">
        <f t="shared" si="178"/>
        <v>0</v>
      </c>
      <c r="V1953" s="166" t="str">
        <f t="shared" si="174"/>
        <v/>
      </c>
      <c r="W1953" s="166" t="str">
        <f t="shared" si="179"/>
        <v/>
      </c>
      <c r="X1953" s="166" t="str">
        <f t="shared" si="179"/>
        <v/>
      </c>
      <c r="Y1953" s="166" t="str">
        <f t="shared" si="176"/>
        <v/>
      </c>
      <c r="Z1953" s="166" t="str">
        <f t="shared" si="177"/>
        <v/>
      </c>
    </row>
    <row r="1954" spans="2:26" x14ac:dyDescent="0.25">
      <c r="B1954" s="429"/>
      <c r="C1954" s="430"/>
      <c r="D1954" s="430"/>
      <c r="E1954" s="430"/>
      <c r="F1954" s="430"/>
      <c r="G1954" s="430"/>
      <c r="H1954" s="430"/>
      <c r="I1954" s="430"/>
      <c r="J1954" s="430"/>
      <c r="K1954" s="430"/>
      <c r="L1954" s="430"/>
      <c r="M1954" s="431"/>
      <c r="N1954" s="163"/>
      <c r="O1954" s="16"/>
      <c r="P1954" s="166">
        <v>1</v>
      </c>
      <c r="Q1954" s="166">
        <v>1</v>
      </c>
      <c r="R1954" s="166">
        <v>1</v>
      </c>
      <c r="S1954" s="166" t="str">
        <f>VLOOKUP(P1954,'WORKINGS MATRIX'!$B$200:$C$351,2,FALSE)</f>
        <v>Year</v>
      </c>
      <c r="T1954" s="166">
        <f t="shared" si="178"/>
        <v>0</v>
      </c>
      <c r="U1954" s="166">
        <f t="shared" si="178"/>
        <v>0</v>
      </c>
      <c r="V1954" s="166" t="str">
        <f t="shared" si="174"/>
        <v/>
      </c>
      <c r="W1954" s="166" t="str">
        <f t="shared" si="179"/>
        <v/>
      </c>
      <c r="X1954" s="166" t="str">
        <f t="shared" si="179"/>
        <v/>
      </c>
      <c r="Y1954" s="166" t="str">
        <f t="shared" si="176"/>
        <v/>
      </c>
      <c r="Z1954" s="166" t="str">
        <f t="shared" si="177"/>
        <v/>
      </c>
    </row>
    <row r="1955" spans="2:26" x14ac:dyDescent="0.25">
      <c r="B1955" s="432"/>
      <c r="C1955" s="433"/>
      <c r="D1955" s="433"/>
      <c r="E1955" s="433"/>
      <c r="F1955" s="433"/>
      <c r="G1955" s="433"/>
      <c r="H1955" s="433"/>
      <c r="I1955" s="433"/>
      <c r="J1955" s="433"/>
      <c r="K1955" s="433"/>
      <c r="L1955" s="433"/>
      <c r="M1955" s="434"/>
      <c r="N1955" s="163"/>
      <c r="O1955" s="16"/>
      <c r="P1955" s="166">
        <v>1</v>
      </c>
      <c r="Q1955" s="166">
        <v>1</v>
      </c>
      <c r="R1955" s="166">
        <v>1</v>
      </c>
      <c r="S1955" s="166" t="str">
        <f>VLOOKUP(P1955,'WORKINGS MATRIX'!$B$200:$C$351,2,FALSE)</f>
        <v>Year</v>
      </c>
      <c r="T1955" s="166">
        <f t="shared" si="178"/>
        <v>0</v>
      </c>
      <c r="U1955" s="166">
        <f t="shared" si="178"/>
        <v>0</v>
      </c>
      <c r="V1955" s="166" t="str">
        <f t="shared" si="174"/>
        <v/>
      </c>
      <c r="W1955" s="166" t="str">
        <f t="shared" si="179"/>
        <v/>
      </c>
      <c r="X1955" s="166" t="str">
        <f t="shared" si="179"/>
        <v/>
      </c>
      <c r="Y1955" s="166" t="str">
        <f t="shared" si="176"/>
        <v/>
      </c>
      <c r="Z1955" s="166" t="str">
        <f t="shared" si="177"/>
        <v/>
      </c>
    </row>
    <row r="1956" spans="2:26" x14ac:dyDescent="0.25">
      <c r="B1956" s="432"/>
      <c r="C1956" s="433"/>
      <c r="D1956" s="433"/>
      <c r="E1956" s="433"/>
      <c r="F1956" s="433"/>
      <c r="G1956" s="433"/>
      <c r="H1956" s="433"/>
      <c r="I1956" s="433"/>
      <c r="J1956" s="433"/>
      <c r="K1956" s="433"/>
      <c r="L1956" s="433"/>
      <c r="M1956" s="434"/>
      <c r="N1956" s="38"/>
      <c r="O1956" s="58"/>
      <c r="P1956" s="166">
        <v>1</v>
      </c>
      <c r="Q1956" s="166">
        <v>1</v>
      </c>
      <c r="R1956" s="166">
        <v>1</v>
      </c>
      <c r="S1956" s="166" t="str">
        <f>VLOOKUP(P1956,'WORKINGS MATRIX'!$B$200:$C$351,2,FALSE)</f>
        <v>Year</v>
      </c>
      <c r="T1956" s="166">
        <f t="shared" si="178"/>
        <v>0</v>
      </c>
      <c r="U1956" s="166">
        <f t="shared" si="178"/>
        <v>0</v>
      </c>
      <c r="V1956" s="166" t="str">
        <f t="shared" si="174"/>
        <v/>
      </c>
      <c r="W1956" s="166" t="str">
        <f t="shared" si="179"/>
        <v/>
      </c>
      <c r="X1956" s="166" t="str">
        <f t="shared" si="179"/>
        <v/>
      </c>
      <c r="Y1956" s="166" t="str">
        <f t="shared" si="176"/>
        <v/>
      </c>
      <c r="Z1956" s="166" t="str">
        <f t="shared" si="177"/>
        <v/>
      </c>
    </row>
    <row r="1957" spans="2:26" x14ac:dyDescent="0.25">
      <c r="B1957" s="435"/>
      <c r="C1957" s="436"/>
      <c r="D1957" s="436"/>
      <c r="E1957" s="436"/>
      <c r="F1957" s="436"/>
      <c r="G1957" s="436"/>
      <c r="H1957" s="436"/>
      <c r="I1957" s="436"/>
      <c r="J1957" s="436"/>
      <c r="K1957" s="436"/>
      <c r="L1957" s="436"/>
      <c r="M1957" s="437"/>
      <c r="N1957" s="38"/>
      <c r="O1957" s="58"/>
      <c r="P1957" s="144"/>
      <c r="Q1957" s="144"/>
      <c r="R1957" s="144"/>
      <c r="S1957" s="144"/>
      <c r="T1957" s="144"/>
      <c r="U1957" s="144"/>
      <c r="V1957" s="144"/>
      <c r="W1957" s="144"/>
      <c r="X1957" s="144"/>
      <c r="Y1957" s="144"/>
      <c r="Z1957" s="144"/>
    </row>
    <row r="1958" spans="2:26" x14ac:dyDescent="0.25">
      <c r="B1958" s="15" t="s">
        <v>153</v>
      </c>
      <c r="D1958" s="57"/>
      <c r="H1958" s="58"/>
      <c r="K1958" s="21"/>
      <c r="N1958" s="38"/>
      <c r="O1958" s="58"/>
      <c r="P1958" s="144"/>
      <c r="Q1958" s="144"/>
      <c r="R1958" s="144"/>
      <c r="S1958" s="144"/>
      <c r="T1958" s="144"/>
      <c r="U1958" s="144"/>
      <c r="V1958" s="144"/>
      <c r="W1958" s="144"/>
      <c r="X1958" s="144"/>
      <c r="Y1958" s="144"/>
      <c r="Z1958" s="144"/>
    </row>
    <row r="1959" spans="2:26" x14ac:dyDescent="0.25">
      <c r="B1959" s="15" t="s">
        <v>154</v>
      </c>
      <c r="D1959" s="57"/>
      <c r="H1959" s="58"/>
      <c r="K1959" s="21"/>
      <c r="N1959" s="38"/>
      <c r="O1959" s="58"/>
      <c r="P1959" s="144"/>
      <c r="Q1959" s="144"/>
      <c r="R1959" s="144"/>
      <c r="S1959" s="144"/>
      <c r="T1959" s="144"/>
      <c r="U1959" s="144"/>
      <c r="V1959" s="144"/>
      <c r="W1959" s="144"/>
      <c r="X1959" s="144"/>
      <c r="Y1959" s="144"/>
      <c r="Z1959" s="144"/>
    </row>
    <row r="1960" spans="2:26" x14ac:dyDescent="0.25">
      <c r="D1960" s="57"/>
      <c r="H1960" s="58"/>
      <c r="K1960" s="21"/>
      <c r="N1960" s="38"/>
      <c r="O1960" s="58"/>
      <c r="P1960" s="144"/>
      <c r="Q1960" s="144"/>
      <c r="R1960" s="144"/>
      <c r="S1960" s="144"/>
      <c r="T1960" s="144"/>
      <c r="U1960" s="144"/>
      <c r="V1960" s="144"/>
      <c r="W1960" s="144"/>
      <c r="X1960" s="144"/>
      <c r="Y1960" s="144"/>
      <c r="Z1960" s="144"/>
    </row>
    <row r="1961" spans="2:26" x14ac:dyDescent="0.25">
      <c r="D1961" s="57"/>
      <c r="E1961" s="149"/>
      <c r="F1961" s="149"/>
      <c r="G1961" s="149"/>
      <c r="H1961" s="149"/>
      <c r="I1961" s="149"/>
      <c r="K1961" s="21"/>
      <c r="N1961" s="38"/>
      <c r="O1961" s="58"/>
      <c r="P1961" s="144"/>
      <c r="Q1961" s="144"/>
      <c r="R1961" s="144"/>
      <c r="S1961" s="144"/>
      <c r="T1961" s="144"/>
      <c r="U1961" s="144"/>
      <c r="V1961" s="144"/>
      <c r="W1961" s="144"/>
      <c r="X1961" s="144"/>
      <c r="Y1961" s="144"/>
      <c r="Z1961" s="144"/>
    </row>
    <row r="1962" spans="2:26" x14ac:dyDescent="0.25">
      <c r="D1962" s="57"/>
      <c r="E1962" s="149"/>
      <c r="F1962" s="149"/>
      <c r="G1962" s="149"/>
      <c r="H1962" s="149"/>
      <c r="I1962" s="149"/>
      <c r="K1962" s="438" t="s">
        <v>155</v>
      </c>
      <c r="L1962" s="438"/>
      <c r="M1962" s="438"/>
      <c r="N1962" s="38"/>
      <c r="O1962" s="58"/>
      <c r="P1962" s="144"/>
      <c r="Q1962" s="144"/>
      <c r="R1962" s="144"/>
      <c r="S1962" s="144"/>
      <c r="T1962" s="144"/>
      <c r="U1962" s="144"/>
      <c r="V1962" s="144"/>
      <c r="W1962" s="144"/>
      <c r="X1962" s="144"/>
      <c r="Y1962" s="144"/>
      <c r="Z1962" s="144"/>
    </row>
    <row r="1963" spans="2:26" x14ac:dyDescent="0.25">
      <c r="D1963" s="57"/>
      <c r="H1963" s="58"/>
      <c r="K1963" s="438"/>
      <c r="L1963" s="438"/>
      <c r="M1963" s="438"/>
      <c r="N1963" s="38"/>
      <c r="O1963" s="58"/>
      <c r="P1963" s="144"/>
      <c r="Q1963" s="144"/>
      <c r="R1963" s="144"/>
      <c r="S1963" s="144"/>
      <c r="T1963" s="144"/>
      <c r="U1963" s="144"/>
      <c r="V1963" s="144"/>
      <c r="W1963" s="144"/>
      <c r="X1963" s="144"/>
      <c r="Y1963" s="144"/>
      <c r="Z1963" s="144"/>
    </row>
    <row r="1964" spans="2:26" x14ac:dyDescent="0.25">
      <c r="D1964" s="57"/>
      <c r="E1964" s="149"/>
      <c r="F1964" s="149"/>
      <c r="G1964" s="149"/>
      <c r="H1964" s="149"/>
      <c r="I1964" s="149"/>
      <c r="K1964" s="438"/>
      <c r="L1964" s="438"/>
      <c r="M1964" s="438"/>
      <c r="N1964" s="38"/>
      <c r="O1964" s="58"/>
      <c r="P1964" s="144"/>
      <c r="Q1964" s="144"/>
      <c r="R1964" s="144"/>
      <c r="S1964" s="144"/>
      <c r="T1964" s="144"/>
      <c r="U1964" s="144"/>
      <c r="V1964" s="144"/>
      <c r="W1964" s="144"/>
      <c r="X1964" s="144"/>
      <c r="Y1964" s="144"/>
      <c r="Z1964" s="144"/>
    </row>
    <row r="1965" spans="2:26" x14ac:dyDescent="0.25">
      <c r="D1965" s="57"/>
      <c r="E1965" s="149"/>
      <c r="F1965" s="149"/>
      <c r="G1965" s="149"/>
      <c r="H1965" s="149"/>
      <c r="I1965" s="149"/>
      <c r="K1965" s="438"/>
      <c r="L1965" s="438"/>
      <c r="M1965" s="438"/>
      <c r="N1965" s="38"/>
      <c r="O1965" s="58"/>
      <c r="P1965" s="144"/>
      <c r="Q1965" s="144"/>
      <c r="R1965" s="144"/>
      <c r="S1965" s="144"/>
      <c r="T1965" s="144"/>
      <c r="U1965" s="144"/>
      <c r="V1965" s="144"/>
      <c r="W1965" s="144"/>
      <c r="X1965" s="144"/>
      <c r="Y1965" s="144"/>
      <c r="Z1965" s="144"/>
    </row>
    <row r="1966" spans="2:26" ht="13.8" thickBot="1" x14ac:dyDescent="0.3">
      <c r="B1966" s="60"/>
      <c r="C1966" s="60"/>
      <c r="D1966" s="61"/>
      <c r="E1966" s="60"/>
      <c r="F1966" s="60"/>
      <c r="G1966" s="60"/>
      <c r="H1966" s="62"/>
      <c r="I1966" s="60"/>
      <c r="J1966" s="60"/>
      <c r="K1966" s="63"/>
      <c r="L1966" s="60"/>
      <c r="M1966" s="60"/>
      <c r="N1966" s="64"/>
      <c r="O1966" s="58"/>
      <c r="P1966" s="144"/>
      <c r="Q1966" s="144"/>
      <c r="R1966" s="144"/>
      <c r="S1966" s="144"/>
      <c r="T1966" s="144"/>
      <c r="U1966" s="144"/>
      <c r="V1966" s="144"/>
      <c r="W1966" s="144"/>
      <c r="X1966" s="144"/>
      <c r="Y1966" s="144"/>
      <c r="Z1966" s="144"/>
    </row>
    <row r="1967" spans="2:26" ht="14.4" thickTop="1" thickBot="1" x14ac:dyDescent="0.3">
      <c r="D1967" s="57"/>
      <c r="H1967" s="58"/>
      <c r="K1967" s="21"/>
      <c r="O1967" s="58"/>
      <c r="P1967" s="144"/>
      <c r="Q1967" s="144"/>
      <c r="R1967" s="144"/>
      <c r="S1967" s="144"/>
      <c r="T1967" s="144"/>
      <c r="U1967" s="144"/>
      <c r="V1967" s="144"/>
      <c r="W1967" s="144"/>
      <c r="X1967" s="144"/>
      <c r="Y1967" s="144"/>
      <c r="Z1967" s="144"/>
    </row>
    <row r="1968" spans="2:26" ht="13.8" thickTop="1" x14ac:dyDescent="0.25">
      <c r="B1968" s="27" t="s">
        <v>156</v>
      </c>
      <c r="C1968" s="29"/>
      <c r="D1968" s="28"/>
      <c r="E1968" s="65"/>
      <c r="F1968" s="65"/>
      <c r="G1968" s="65"/>
      <c r="H1968" s="28"/>
      <c r="I1968" s="28"/>
      <c r="J1968" s="28"/>
      <c r="K1968" s="28"/>
      <c r="L1968" s="31" t="s">
        <v>157</v>
      </c>
      <c r="M1968" s="28"/>
      <c r="N1968" s="32"/>
      <c r="P1968" s="144"/>
      <c r="Q1968" s="144"/>
      <c r="R1968" s="144"/>
      <c r="S1968" s="144"/>
      <c r="T1968" s="144"/>
      <c r="U1968" s="144"/>
      <c r="V1968" s="144"/>
      <c r="W1968" s="144"/>
      <c r="X1968" s="144"/>
      <c r="Y1968" s="144"/>
      <c r="Z1968" s="144"/>
    </row>
    <row r="1969" spans="2:26" x14ac:dyDescent="0.25">
      <c r="E1969" s="134">
        <v>5</v>
      </c>
      <c r="F1969" s="12"/>
      <c r="N1969" s="38"/>
      <c r="P1969" s="144"/>
      <c r="Q1969" s="144"/>
      <c r="R1969" s="144"/>
      <c r="S1969" s="144"/>
      <c r="T1969" s="144"/>
      <c r="U1969" s="144"/>
      <c r="V1969" s="144"/>
      <c r="W1969" s="144"/>
      <c r="X1969" s="144"/>
      <c r="Y1969" s="144"/>
      <c r="Z1969" s="144"/>
    </row>
    <row r="1970" spans="2:26" x14ac:dyDescent="0.25">
      <c r="B1970" t="s">
        <v>134</v>
      </c>
      <c r="L1970" s="465" t="str">
        <f>$L$39</f>
        <v>X.002-218-2024(NT)&amp;N.004-116-2024(T)</v>
      </c>
      <c r="M1970" s="465"/>
      <c r="N1970" s="38"/>
      <c r="P1970" s="144"/>
      <c r="Q1970" s="144"/>
      <c r="R1970" s="144"/>
      <c r="S1970" s="144"/>
      <c r="T1970" s="144"/>
      <c r="U1970" s="144"/>
      <c r="V1970" s="144"/>
      <c r="W1970" s="144"/>
      <c r="X1970" s="144"/>
      <c r="Y1970" s="144"/>
      <c r="Z1970" s="144"/>
    </row>
    <row r="1971" spans="2:26" x14ac:dyDescent="0.25">
      <c r="B1971" s="39" t="s">
        <v>135</v>
      </c>
      <c r="C1971" s="40"/>
      <c r="D1971" s="41"/>
      <c r="E1971" s="448" t="s">
        <v>158</v>
      </c>
      <c r="F1971" s="449"/>
      <c r="G1971" s="466" t="s">
        <v>159</v>
      </c>
      <c r="H1971" s="449"/>
      <c r="L1971" s="465"/>
      <c r="M1971" s="465"/>
      <c r="N1971" s="38"/>
      <c r="P1971" s="144"/>
      <c r="Q1971" s="144"/>
      <c r="R1971" s="144"/>
      <c r="S1971" s="144"/>
      <c r="T1971" s="144"/>
      <c r="U1971" s="144"/>
      <c r="V1971" s="144"/>
      <c r="W1971" s="144"/>
      <c r="X1971" s="144"/>
      <c r="Y1971" s="144"/>
      <c r="Z1971" s="144"/>
    </row>
    <row r="1972" spans="2:26" ht="18" customHeight="1" x14ac:dyDescent="0.25">
      <c r="B1972" s="66">
        <f>B1941</f>
        <v>0</v>
      </c>
      <c r="C1972" s="67"/>
      <c r="D1972" s="68"/>
      <c r="E1972" s="441" t="str">
        <f>G1941</f>
        <v/>
      </c>
      <c r="F1972" s="441"/>
      <c r="G1972" s="42"/>
      <c r="H1972" s="12">
        <v>1</v>
      </c>
      <c r="N1972" s="38"/>
      <c r="P1972" s="144"/>
      <c r="Q1972" s="144"/>
      <c r="R1972" s="144"/>
      <c r="S1972" s="144"/>
      <c r="T1972" s="144"/>
      <c r="U1972" s="144"/>
      <c r="V1972" s="144"/>
      <c r="W1972" s="144"/>
      <c r="X1972" s="144"/>
      <c r="Y1972" s="144"/>
      <c r="Z1972" s="144"/>
    </row>
    <row r="1973" spans="2:26" x14ac:dyDescent="0.25">
      <c r="N1973" s="38"/>
      <c r="P1973" s="144"/>
      <c r="Q1973" s="144"/>
      <c r="R1973" s="144"/>
      <c r="S1973" s="144"/>
      <c r="T1973" s="144"/>
      <c r="U1973" s="144"/>
      <c r="V1973" s="144"/>
      <c r="W1973" s="144"/>
      <c r="X1973" s="144"/>
      <c r="Y1973" s="144"/>
      <c r="Z1973" s="144"/>
    </row>
    <row r="1974" spans="2:26" x14ac:dyDescent="0.25">
      <c r="B1974" t="s">
        <v>161</v>
      </c>
      <c r="N1974" s="38"/>
      <c r="P1974" s="144"/>
      <c r="Q1974" s="144"/>
      <c r="R1974" s="144"/>
      <c r="S1974" s="144"/>
      <c r="T1974" s="144"/>
      <c r="U1974" s="144"/>
      <c r="V1974" s="144"/>
      <c r="W1974" s="144"/>
      <c r="X1974" s="144"/>
      <c r="Y1974" s="144"/>
      <c r="Z1974" s="144"/>
    </row>
    <row r="1975" spans="2:26" ht="18" customHeight="1" x14ac:dyDescent="0.25">
      <c r="B1975" s="468" t="s">
        <v>162</v>
      </c>
      <c r="C1975" s="468"/>
      <c r="D1975" s="469" t="s">
        <v>163</v>
      </c>
      <c r="E1975" s="469"/>
      <c r="F1975" s="461" t="s">
        <v>164</v>
      </c>
      <c r="G1975" s="462"/>
      <c r="H1975" s="467" t="s">
        <v>165</v>
      </c>
      <c r="I1975" s="462"/>
      <c r="J1975" s="467" t="s">
        <v>165</v>
      </c>
      <c r="K1975" s="462"/>
      <c r="L1975" s="125" t="s">
        <v>166</v>
      </c>
      <c r="M1975" s="125" t="s">
        <v>167</v>
      </c>
      <c r="N1975" s="38"/>
      <c r="P1975" s="144">
        <v>1</v>
      </c>
      <c r="Q1975" s="144">
        <v>1</v>
      </c>
      <c r="R1975" s="144">
        <v>1</v>
      </c>
      <c r="S1975" s="144" t="str">
        <f>VLOOKUP(P1975,'WORKINGS MATRIX'!$B$200:$C$351,2,FALSE)</f>
        <v>Year</v>
      </c>
      <c r="T1975" s="144">
        <f t="shared" ref="T1975:U1979" si="180">Q1975-1</f>
        <v>0</v>
      </c>
      <c r="U1975" s="144">
        <f t="shared" si="180"/>
        <v>0</v>
      </c>
      <c r="V1975" s="144" t="str">
        <f>IF(S1975="year","",S1975)</f>
        <v/>
      </c>
      <c r="W1975" s="144" t="str">
        <f t="shared" ref="W1975:X1979" si="181">IF(T1975=0,"",T1975)</f>
        <v/>
      </c>
      <c r="X1975" s="144" t="str">
        <f t="shared" si="181"/>
        <v/>
      </c>
      <c r="Y1975" s="144" t="str">
        <f>IF(V1975="","",IF(W1975="",(V1975&amp;"/"&amp;"12"&amp;"/"&amp;"1"),IF(X1975="",(V1975&amp;"/"&amp;W1975&amp;"/"&amp;"1"),(V1975&amp;"/"&amp;W1975&amp;"/"&amp;X1975))))</f>
        <v/>
      </c>
      <c r="Z1975" s="144" t="str">
        <f>IF(Y1975="//","",Y1975)</f>
        <v/>
      </c>
    </row>
    <row r="1976" spans="2:26" ht="18" customHeight="1" x14ac:dyDescent="0.25">
      <c r="B1976" s="441" t="s">
        <v>168</v>
      </c>
      <c r="C1976" s="441"/>
      <c r="D1976" s="439">
        <v>10</v>
      </c>
      <c r="E1976" s="440"/>
      <c r="F1976" s="442"/>
      <c r="G1976" s="443"/>
      <c r="H1976" s="463">
        <v>1</v>
      </c>
      <c r="I1976" s="464"/>
      <c r="J1976" s="450"/>
      <c r="K1976" s="443"/>
      <c r="L1976" s="206"/>
      <c r="M1976" s="143" t="str">
        <f>Z1975</f>
        <v/>
      </c>
      <c r="N1976" s="38"/>
      <c r="P1976" s="144">
        <v>1</v>
      </c>
      <c r="Q1976" s="144">
        <v>1</v>
      </c>
      <c r="R1976" s="144">
        <v>1</v>
      </c>
      <c r="S1976" s="144" t="str">
        <f>VLOOKUP(P1976,'WORKINGS MATRIX'!$B$200:$C$351,2,FALSE)</f>
        <v>Year</v>
      </c>
      <c r="T1976" s="144">
        <f t="shared" si="180"/>
        <v>0</v>
      </c>
      <c r="U1976" s="144">
        <f t="shared" si="180"/>
        <v>0</v>
      </c>
      <c r="V1976" s="144" t="str">
        <f>IF(S1976="year","",S1976)</f>
        <v/>
      </c>
      <c r="W1976" s="144" t="str">
        <f t="shared" si="181"/>
        <v/>
      </c>
      <c r="X1976" s="144" t="str">
        <f t="shared" si="181"/>
        <v/>
      </c>
      <c r="Y1976" s="144" t="str">
        <f>IF(V1976="","",IF(W1976="",(V1976&amp;"/"&amp;"12"&amp;"/"&amp;"1"),IF(X1976="",(V1976&amp;"/"&amp;W1976&amp;"/"&amp;"1"),(V1976&amp;"/"&amp;W1976&amp;"/"&amp;X1976))))</f>
        <v/>
      </c>
      <c r="Z1976" s="144" t="str">
        <f>IF(Y1976="//","",Y1976)</f>
        <v/>
      </c>
    </row>
    <row r="1977" spans="2:26" ht="18" customHeight="1" x14ac:dyDescent="0.25">
      <c r="B1977" s="441" t="s">
        <v>169</v>
      </c>
      <c r="C1977" s="441"/>
      <c r="D1977" s="442"/>
      <c r="E1977" s="443"/>
      <c r="F1977" s="442"/>
      <c r="G1977" s="443"/>
      <c r="H1977" s="451" t="s">
        <v>170</v>
      </c>
      <c r="I1977" s="452"/>
      <c r="J1977" s="451" t="s">
        <v>171</v>
      </c>
      <c r="K1977" s="452"/>
      <c r="L1977" s="125" t="s">
        <v>166</v>
      </c>
      <c r="M1977" s="125" t="s">
        <v>167</v>
      </c>
      <c r="N1977" s="38"/>
      <c r="P1977" s="144">
        <v>1</v>
      </c>
      <c r="Q1977" s="144">
        <v>1</v>
      </c>
      <c r="R1977" s="144">
        <v>1</v>
      </c>
      <c r="S1977" s="144" t="str">
        <f>VLOOKUP(P1977,'WORKINGS MATRIX'!$B$200:$C$351,2,FALSE)</f>
        <v>Year</v>
      </c>
      <c r="T1977" s="144">
        <f t="shared" si="180"/>
        <v>0</v>
      </c>
      <c r="U1977" s="144">
        <f t="shared" si="180"/>
        <v>0</v>
      </c>
      <c r="V1977" s="144" t="str">
        <f>IF(S1977="year","",S1977)</f>
        <v/>
      </c>
      <c r="W1977" s="144" t="str">
        <f t="shared" si="181"/>
        <v/>
      </c>
      <c r="X1977" s="144" t="str">
        <f t="shared" si="181"/>
        <v/>
      </c>
      <c r="Y1977" s="144" t="str">
        <f>IF(V1977="","",IF(W1977="",(V1977&amp;"/"&amp;"1"&amp;"/"&amp;"1"),IF(X1977="",(V1977&amp;"/"&amp;W1977&amp;"/"&amp;"1"),(V1977&amp;"/"&amp;W1977&amp;"/"&amp;X1977))))</f>
        <v/>
      </c>
      <c r="Z1977" s="144" t="str">
        <f>IF(Y1977="//","",Y1977)</f>
        <v/>
      </c>
    </row>
    <row r="1978" spans="2:26" ht="18" customHeight="1" x14ac:dyDescent="0.25">
      <c r="B1978" s="441" t="s">
        <v>172</v>
      </c>
      <c r="C1978" s="441"/>
      <c r="D1978" s="444" t="str">
        <f>Z1977</f>
        <v/>
      </c>
      <c r="E1978" s="445"/>
      <c r="F1978" s="444" t="str">
        <f>Z1978</f>
        <v/>
      </c>
      <c r="G1978" s="445"/>
      <c r="H1978" s="446">
        <v>1</v>
      </c>
      <c r="I1978" s="447"/>
      <c r="J1978" s="450"/>
      <c r="K1978" s="443"/>
      <c r="L1978" s="206"/>
      <c r="M1978" s="143" t="str">
        <f>Z1976</f>
        <v/>
      </c>
      <c r="N1978" s="38"/>
      <c r="P1978" s="144">
        <v>1</v>
      </c>
      <c r="Q1978" s="144">
        <v>1</v>
      </c>
      <c r="R1978" s="144">
        <v>1</v>
      </c>
      <c r="S1978" s="144" t="str">
        <f>VLOOKUP(P1978,'WORKINGS MATRIX'!$B$200:$C$351,2,FALSE)</f>
        <v>Year</v>
      </c>
      <c r="T1978" s="144">
        <f t="shared" si="180"/>
        <v>0</v>
      </c>
      <c r="U1978" s="144">
        <f t="shared" si="180"/>
        <v>0</v>
      </c>
      <c r="V1978" s="144" t="str">
        <f>IF(S1978="year","",S1978)</f>
        <v/>
      </c>
      <c r="W1978" s="144" t="str">
        <f t="shared" si="181"/>
        <v/>
      </c>
      <c r="X1978" s="144" t="str">
        <f t="shared" si="181"/>
        <v/>
      </c>
      <c r="Y1978" s="144" t="str">
        <f>IF(V1978="","",IF(W1978="",(V1978&amp;"/"&amp;"1"&amp;"/"&amp;"1"),IF(X1978="",(V1978&amp;"/"&amp;W1978&amp;"/"&amp;"1"),(V1978&amp;"/"&amp;W1978&amp;"/"&amp;X1978))))</f>
        <v/>
      </c>
      <c r="Z1978" s="144" t="str">
        <f>IF(Y1978="//","",Y1978)</f>
        <v/>
      </c>
    </row>
    <row r="1979" spans="2:26" x14ac:dyDescent="0.25">
      <c r="N1979" s="38"/>
      <c r="P1979" s="144">
        <v>1</v>
      </c>
      <c r="Q1979" s="144">
        <v>1</v>
      </c>
      <c r="R1979" s="144">
        <v>1</v>
      </c>
      <c r="S1979" s="144" t="str">
        <f>VLOOKUP(P1979,'WORKINGS MATRIX'!$B$200:$C$351,2,FALSE)</f>
        <v>Year</v>
      </c>
      <c r="T1979" s="144">
        <f t="shared" si="180"/>
        <v>0</v>
      </c>
      <c r="U1979" s="144">
        <f t="shared" si="180"/>
        <v>0</v>
      </c>
      <c r="V1979" s="144" t="str">
        <f>IF(S1979="year","",S1979)</f>
        <v/>
      </c>
      <c r="W1979" s="144" t="str">
        <f t="shared" si="181"/>
        <v/>
      </c>
      <c r="X1979" s="144" t="str">
        <f t="shared" si="181"/>
        <v/>
      </c>
      <c r="Y1979" s="144" t="str">
        <f>IF(V1979="","",IF(W1979="",(V1979&amp;"/"&amp;"1"&amp;"/"&amp;"1"),IF(X1979="",(V1979&amp;"/"&amp;W1979&amp;"/"&amp;"1"),(V1979&amp;"/"&amp;W1979&amp;"/"&amp;X1979))))</f>
        <v/>
      </c>
      <c r="Z1979" s="144" t="str">
        <f>IF(Y1979="//","",Y1979)</f>
        <v/>
      </c>
    </row>
    <row r="1988" spans="2:13" x14ac:dyDescent="0.25">
      <c r="B1988" t="s">
        <v>152</v>
      </c>
      <c r="D1988" s="57"/>
      <c r="H1988" s="58"/>
      <c r="K1988" s="21"/>
    </row>
    <row r="1989" spans="2:13" x14ac:dyDescent="0.25">
      <c r="B1989" s="429"/>
      <c r="C1989" s="430"/>
      <c r="D1989" s="430"/>
      <c r="E1989" s="430"/>
      <c r="F1989" s="430"/>
      <c r="G1989" s="430"/>
      <c r="H1989" s="430"/>
      <c r="I1989" s="430"/>
      <c r="J1989" s="430"/>
      <c r="K1989" s="430"/>
      <c r="L1989" s="430"/>
      <c r="M1989" s="431"/>
    </row>
    <row r="1990" spans="2:13" x14ac:dyDescent="0.25">
      <c r="B1990" s="432"/>
      <c r="C1990" s="433"/>
      <c r="D1990" s="433"/>
      <c r="E1990" s="433"/>
      <c r="F1990" s="433"/>
      <c r="G1990" s="433"/>
      <c r="H1990" s="433"/>
      <c r="I1990" s="433"/>
      <c r="J1990" s="433"/>
      <c r="K1990" s="433"/>
      <c r="L1990" s="433"/>
      <c r="M1990" s="434"/>
    </row>
    <row r="1991" spans="2:13" x14ac:dyDescent="0.25">
      <c r="B1991" s="432"/>
      <c r="C1991" s="433"/>
      <c r="D1991" s="433"/>
      <c r="E1991" s="433"/>
      <c r="F1991" s="433"/>
      <c r="G1991" s="433"/>
      <c r="H1991" s="433"/>
      <c r="I1991" s="433"/>
      <c r="J1991" s="433"/>
      <c r="K1991" s="433"/>
      <c r="L1991" s="433"/>
      <c r="M1991" s="434"/>
    </row>
    <row r="1992" spans="2:13" x14ac:dyDescent="0.25">
      <c r="B1992" s="435"/>
      <c r="C1992" s="436"/>
      <c r="D1992" s="436"/>
      <c r="E1992" s="436"/>
      <c r="F1992" s="436"/>
      <c r="G1992" s="436"/>
      <c r="H1992" s="436"/>
      <c r="I1992" s="436"/>
      <c r="J1992" s="436"/>
      <c r="K1992" s="436"/>
      <c r="L1992" s="436"/>
      <c r="M1992" s="437"/>
    </row>
    <row r="1993" spans="2:13" x14ac:dyDescent="0.25">
      <c r="B1993" s="15" t="s">
        <v>198</v>
      </c>
      <c r="D1993" s="57"/>
      <c r="H1993" s="58"/>
      <c r="K1993" s="21"/>
    </row>
    <row r="1994" spans="2:13" x14ac:dyDescent="0.25">
      <c r="D1994" s="57"/>
      <c r="H1994" s="58"/>
      <c r="K1994" s="21"/>
    </row>
    <row r="1995" spans="2:13" x14ac:dyDescent="0.25">
      <c r="D1995" s="57"/>
      <c r="H1995" s="58"/>
      <c r="K1995" s="21"/>
    </row>
    <row r="1996" spans="2:13" x14ac:dyDescent="0.25">
      <c r="D1996" s="57"/>
      <c r="E1996" s="149"/>
      <c r="F1996" s="149"/>
      <c r="G1996" s="149"/>
      <c r="H1996" s="149"/>
      <c r="I1996" s="149"/>
      <c r="K1996" s="21"/>
    </row>
    <row r="1997" spans="2:13" x14ac:dyDescent="0.25">
      <c r="D1997" s="57"/>
      <c r="E1997" s="149"/>
      <c r="F1997" s="149"/>
      <c r="G1997" s="149"/>
      <c r="H1997" s="149"/>
      <c r="I1997" s="149"/>
      <c r="K1997" s="438" t="s">
        <v>155</v>
      </c>
      <c r="L1997" s="438"/>
      <c r="M1997" s="438"/>
    </row>
    <row r="1998" spans="2:13" x14ac:dyDescent="0.25">
      <c r="D1998" s="57"/>
      <c r="H1998" s="58"/>
      <c r="K1998" s="438"/>
      <c r="L1998" s="438"/>
      <c r="M1998" s="438"/>
    </row>
    <row r="1999" spans="2:13" x14ac:dyDescent="0.25">
      <c r="D1999" s="57"/>
      <c r="E1999" s="149"/>
      <c r="F1999" s="149"/>
      <c r="G1999" s="149"/>
      <c r="H1999" s="149"/>
      <c r="I1999" s="149"/>
      <c r="K1999" s="438"/>
      <c r="L1999" s="438"/>
      <c r="M1999" s="438"/>
    </row>
    <row r="2000" spans="2:13" x14ac:dyDescent="0.25">
      <c r="D2000" s="57"/>
      <c r="E2000" s="149"/>
      <c r="F2000" s="149"/>
      <c r="G2000" s="149"/>
      <c r="H2000" s="149"/>
      <c r="I2000" s="149"/>
      <c r="K2000" s="438"/>
      <c r="L2000" s="438"/>
      <c r="M2000" s="438"/>
    </row>
    <row r="2003" spans="2:2" x14ac:dyDescent="0.25">
      <c r="B2003" s="24" t="s">
        <v>128</v>
      </c>
    </row>
    <row r="3333" spans="2:13" ht="18" customHeight="1" x14ac:dyDescent="0.25">
      <c r="E3333" s="78" t="s">
        <v>202</v>
      </c>
      <c r="F3333" s="12">
        <v>1</v>
      </c>
    </row>
    <row r="3336" spans="2:13" ht="13.8" thickBot="1" x14ac:dyDescent="0.3">
      <c r="B3336">
        <f>$D$1</f>
        <v>0</v>
      </c>
      <c r="C3336" s="24" t="s">
        <v>128</v>
      </c>
      <c r="D3336" s="25" t="s">
        <v>203</v>
      </c>
    </row>
    <row r="3337" spans="2:13" ht="13.8" thickTop="1" x14ac:dyDescent="0.25">
      <c r="B3337" s="27" t="s">
        <v>204</v>
      </c>
      <c r="C3337" s="28"/>
      <c r="D3337" s="28" t="s">
        <v>205</v>
      </c>
      <c r="E3337" s="207"/>
      <c r="F3337" s="28"/>
      <c r="G3337" s="28"/>
      <c r="H3337" s="28"/>
      <c r="I3337" s="31" t="s">
        <v>206</v>
      </c>
      <c r="J3337" s="32"/>
      <c r="L3337" s="484" t="s">
        <v>207</v>
      </c>
      <c r="M3337" s="484" t="s">
        <v>208</v>
      </c>
    </row>
    <row r="3338" spans="2:13" x14ac:dyDescent="0.25">
      <c r="J3338" s="38"/>
      <c r="L3338" s="485"/>
      <c r="M3338" s="485"/>
    </row>
    <row r="3339" spans="2:13" x14ac:dyDescent="0.25">
      <c r="B3339" s="487" t="s">
        <v>209</v>
      </c>
      <c r="C3339" s="488"/>
      <c r="D3339" s="488"/>
      <c r="E3339" s="489"/>
      <c r="F3339" s="490"/>
      <c r="G3339" s="490"/>
      <c r="H3339" s="490"/>
      <c r="I3339" s="490"/>
      <c r="J3339" s="38"/>
      <c r="L3339" s="485"/>
      <c r="M3339" s="485"/>
    </row>
    <row r="3340" spans="2:13" ht="13.8" thickBot="1" x14ac:dyDescent="0.3">
      <c r="B3340" s="487" t="s">
        <v>210</v>
      </c>
      <c r="C3340" s="488"/>
      <c r="D3340" s="488"/>
      <c r="E3340" s="489"/>
      <c r="F3340" s="497"/>
      <c r="G3340" s="490"/>
      <c r="H3340" s="490"/>
      <c r="I3340" s="490"/>
      <c r="J3340" s="38"/>
      <c r="L3340" s="486"/>
      <c r="M3340" s="486"/>
    </row>
    <row r="3341" spans="2:13" ht="13.8" thickTop="1" x14ac:dyDescent="0.25">
      <c r="B3341" s="487" t="s">
        <v>211</v>
      </c>
      <c r="C3341" s="488"/>
      <c r="D3341" s="488"/>
      <c r="E3341" s="489"/>
      <c r="F3341" s="490"/>
      <c r="G3341" s="490"/>
      <c r="H3341" s="490"/>
      <c r="I3341" s="490"/>
      <c r="J3341" s="38"/>
      <c r="L3341" s="79" t="str">
        <f>RIGHT(B3341,4)</f>
        <v>ECSA</v>
      </c>
      <c r="M3341" s="80">
        <f>F3341+F3354+F3367+F3380+F3393</f>
        <v>0</v>
      </c>
    </row>
    <row r="3342" spans="2:13" x14ac:dyDescent="0.25">
      <c r="B3342" s="487" t="s">
        <v>212</v>
      </c>
      <c r="C3342" s="488"/>
      <c r="D3342" s="488"/>
      <c r="E3342" s="489"/>
      <c r="F3342" s="490"/>
      <c r="G3342" s="490"/>
      <c r="H3342" s="490"/>
      <c r="I3342" s="490"/>
      <c r="J3342" s="38"/>
      <c r="L3342" s="81" t="str">
        <f>RIGHT(B3342,7)</f>
        <v>SACPCMP</v>
      </c>
      <c r="M3342" s="82">
        <f>F3342+F3355+F3368+F3381+F3394</f>
        <v>0</v>
      </c>
    </row>
    <row r="3343" spans="2:13" x14ac:dyDescent="0.25">
      <c r="B3343" s="487"/>
      <c r="C3343" s="488"/>
      <c r="D3343" s="488"/>
      <c r="E3343" s="489"/>
      <c r="F3343" s="509"/>
      <c r="G3343" s="509"/>
      <c r="H3343" s="509"/>
      <c r="I3343" s="509"/>
      <c r="J3343" s="38"/>
      <c r="L3343" s="81" t="str">
        <f>RIGHT(B3343,5)</f>
        <v/>
      </c>
      <c r="M3343" s="189">
        <f>F3343+F3356+F3369</f>
        <v>0</v>
      </c>
    </row>
    <row r="3344" spans="2:13" x14ac:dyDescent="0.25">
      <c r="B3344" s="487" t="s">
        <v>213</v>
      </c>
      <c r="C3344" s="488"/>
      <c r="D3344" s="488"/>
      <c r="E3344" s="489"/>
      <c r="F3344" s="490"/>
      <c r="G3344" s="490"/>
      <c r="H3344" s="490"/>
      <c r="I3344" s="490"/>
      <c r="J3344" s="38"/>
      <c r="L3344" s="81" t="str">
        <f>RIGHT(B3344,15)</f>
        <v>TOTAL EMPLOYEES</v>
      </c>
      <c r="M3344" s="82">
        <f>F3344+F3357+F3370+F3383+F3396</f>
        <v>0</v>
      </c>
    </row>
    <row r="3345" spans="2:13" x14ac:dyDescent="0.25">
      <c r="B3345" s="487" t="s">
        <v>214</v>
      </c>
      <c r="C3345" s="488"/>
      <c r="D3345" s="488"/>
      <c r="E3345" s="489"/>
      <c r="F3345" s="490"/>
      <c r="G3345" s="490"/>
      <c r="H3345" s="490"/>
      <c r="I3345" s="490"/>
      <c r="J3345" s="38"/>
      <c r="L3345" s="81" t="str">
        <f>RIGHT(B3345,12)</f>
        <v>JV AGREEMENT</v>
      </c>
      <c r="M3345" s="82">
        <f>F3345+F3358+F3371+F3384+F3397</f>
        <v>0</v>
      </c>
    </row>
    <row r="3346" spans="2:13" ht="13.8" thickBot="1" x14ac:dyDescent="0.3">
      <c r="B3346" s="421" t="s">
        <v>215</v>
      </c>
      <c r="C3346" s="422"/>
      <c r="D3346" s="422"/>
      <c r="E3346" s="423"/>
      <c r="F3346" s="424"/>
      <c r="G3346" s="424"/>
      <c r="H3346" s="424"/>
      <c r="I3346" s="424"/>
      <c r="J3346" s="64"/>
      <c r="L3346" s="83"/>
      <c r="M3346" s="84"/>
    </row>
    <row r="3347" spans="2:13" ht="13.8" thickTop="1" x14ac:dyDescent="0.25"/>
    <row r="3348" spans="2:13" x14ac:dyDescent="0.25">
      <c r="B3348" s="85"/>
    </row>
    <row r="3349" spans="2:13" ht="13.5" customHeight="1" thickBot="1" x14ac:dyDescent="0.3"/>
    <row r="3350" spans="2:13" ht="13.5" customHeight="1" thickTop="1" x14ac:dyDescent="0.25">
      <c r="B3350" s="27" t="s">
        <v>204</v>
      </c>
      <c r="C3350" s="28"/>
      <c r="D3350" s="28" t="s">
        <v>216</v>
      </c>
      <c r="E3350" s="207"/>
      <c r="F3350" s="28"/>
      <c r="G3350" s="28"/>
      <c r="H3350" s="28"/>
      <c r="I3350" s="31" t="s">
        <v>206</v>
      </c>
      <c r="J3350" s="32"/>
    </row>
    <row r="3351" spans="2:13" x14ac:dyDescent="0.25">
      <c r="J3351" s="38"/>
    </row>
    <row r="3352" spans="2:13" x14ac:dyDescent="0.25">
      <c r="B3352" s="487" t="s">
        <v>209</v>
      </c>
      <c r="C3352" s="488"/>
      <c r="D3352" s="488"/>
      <c r="E3352" s="489"/>
      <c r="F3352" s="490"/>
      <c r="G3352" s="490"/>
      <c r="H3352" s="490"/>
      <c r="I3352" s="490"/>
      <c r="J3352" s="38"/>
    </row>
    <row r="3353" spans="2:13" x14ac:dyDescent="0.25">
      <c r="B3353" s="487" t="s">
        <v>210</v>
      </c>
      <c r="C3353" s="488"/>
      <c r="D3353" s="488"/>
      <c r="E3353" s="489"/>
      <c r="F3353" s="490"/>
      <c r="G3353" s="490"/>
      <c r="H3353" s="490"/>
      <c r="I3353" s="490"/>
      <c r="J3353" s="38"/>
    </row>
    <row r="3354" spans="2:13" x14ac:dyDescent="0.25">
      <c r="B3354" s="487" t="s">
        <v>211</v>
      </c>
      <c r="C3354" s="488"/>
      <c r="D3354" s="488"/>
      <c r="E3354" s="489"/>
      <c r="F3354" s="490"/>
      <c r="G3354" s="490"/>
      <c r="H3354" s="490"/>
      <c r="I3354" s="490"/>
      <c r="J3354" s="38"/>
    </row>
    <row r="3355" spans="2:13" x14ac:dyDescent="0.25">
      <c r="B3355" s="487" t="s">
        <v>212</v>
      </c>
      <c r="C3355" s="488"/>
      <c r="D3355" s="488"/>
      <c r="E3355" s="489"/>
      <c r="F3355" s="490"/>
      <c r="G3355" s="490"/>
      <c r="H3355" s="490"/>
      <c r="I3355" s="490"/>
      <c r="J3355" s="38"/>
    </row>
    <row r="3356" spans="2:13" x14ac:dyDescent="0.25">
      <c r="B3356" s="487"/>
      <c r="C3356" s="488"/>
      <c r="D3356" s="488"/>
      <c r="E3356" s="489"/>
      <c r="F3356" s="493"/>
      <c r="G3356" s="493"/>
      <c r="H3356" s="493"/>
      <c r="I3356" s="493"/>
      <c r="J3356" s="38"/>
    </row>
    <row r="3357" spans="2:13" x14ac:dyDescent="0.25">
      <c r="B3357" s="487" t="s">
        <v>213</v>
      </c>
      <c r="C3357" s="488"/>
      <c r="D3357" s="488"/>
      <c r="E3357" s="489"/>
      <c r="F3357" s="490"/>
      <c r="G3357" s="490"/>
      <c r="H3357" s="490"/>
      <c r="I3357" s="490"/>
      <c r="J3357" s="38"/>
    </row>
    <row r="3358" spans="2:13" x14ac:dyDescent="0.25">
      <c r="B3358" s="487" t="s">
        <v>214</v>
      </c>
      <c r="C3358" s="488"/>
      <c r="D3358" s="488"/>
      <c r="E3358" s="489"/>
      <c r="F3358" s="490"/>
      <c r="G3358" s="490"/>
      <c r="H3358" s="490"/>
      <c r="I3358" s="490"/>
      <c r="J3358" s="38"/>
    </row>
    <row r="3359" spans="2:13" ht="13.8" thickBot="1" x14ac:dyDescent="0.3">
      <c r="B3359" s="421" t="s">
        <v>215</v>
      </c>
      <c r="C3359" s="422"/>
      <c r="D3359" s="422"/>
      <c r="E3359" s="423"/>
      <c r="F3359" s="424"/>
      <c r="G3359" s="424"/>
      <c r="H3359" s="424"/>
      <c r="I3359" s="424"/>
      <c r="J3359" s="64"/>
    </row>
    <row r="3363" spans="2:9" ht="13.8" thickTop="1" x14ac:dyDescent="0.25">
      <c r="B3363" s="27" t="s">
        <v>204</v>
      </c>
      <c r="C3363" s="28"/>
      <c r="D3363" s="28" t="s">
        <v>217</v>
      </c>
      <c r="E3363" s="207"/>
      <c r="F3363" s="28"/>
      <c r="G3363" s="28"/>
      <c r="H3363" s="28"/>
      <c r="I3363" s="31" t="s">
        <v>206</v>
      </c>
    </row>
    <row r="3365" spans="2:9" x14ac:dyDescent="0.25">
      <c r="B3365" s="487" t="s">
        <v>209</v>
      </c>
      <c r="C3365" s="488"/>
      <c r="D3365" s="488"/>
      <c r="E3365" s="489"/>
      <c r="F3365" s="490"/>
      <c r="G3365" s="490"/>
      <c r="H3365" s="490"/>
      <c r="I3365" s="490"/>
    </row>
    <row r="3366" spans="2:9" x14ac:dyDescent="0.25">
      <c r="B3366" s="487" t="s">
        <v>210</v>
      </c>
      <c r="C3366" s="488"/>
      <c r="D3366" s="488"/>
      <c r="E3366" s="489"/>
      <c r="F3366" s="490"/>
      <c r="G3366" s="490"/>
      <c r="H3366" s="490"/>
      <c r="I3366" s="490"/>
    </row>
    <row r="3367" spans="2:9" x14ac:dyDescent="0.25">
      <c r="B3367" s="487" t="s">
        <v>211</v>
      </c>
      <c r="C3367" s="488"/>
      <c r="D3367" s="488"/>
      <c r="E3367" s="489"/>
      <c r="F3367" s="490"/>
      <c r="G3367" s="490"/>
      <c r="H3367" s="490"/>
      <c r="I3367" s="490"/>
    </row>
    <row r="3368" spans="2:9" x14ac:dyDescent="0.25">
      <c r="B3368" s="487" t="s">
        <v>212</v>
      </c>
      <c r="C3368" s="488"/>
      <c r="D3368" s="488"/>
      <c r="E3368" s="489"/>
      <c r="F3368" s="490"/>
      <c r="G3368" s="490"/>
      <c r="H3368" s="490"/>
      <c r="I3368" s="490"/>
    </row>
    <row r="3369" spans="2:9" x14ac:dyDescent="0.25">
      <c r="B3369" s="487"/>
      <c r="C3369" s="488"/>
      <c r="D3369" s="488"/>
      <c r="E3369" s="489"/>
      <c r="F3369" s="493"/>
      <c r="G3369" s="493"/>
      <c r="H3369" s="493"/>
      <c r="I3369" s="493"/>
    </row>
    <row r="3370" spans="2:9" x14ac:dyDescent="0.25">
      <c r="B3370" s="487" t="s">
        <v>213</v>
      </c>
      <c r="C3370" s="488"/>
      <c r="D3370" s="488"/>
      <c r="E3370" s="489"/>
      <c r="F3370" s="490"/>
      <c r="G3370" s="490"/>
      <c r="H3370" s="490"/>
      <c r="I3370" s="490"/>
    </row>
    <row r="3371" spans="2:9" x14ac:dyDescent="0.25">
      <c r="B3371" s="487" t="s">
        <v>214</v>
      </c>
      <c r="C3371" s="488"/>
      <c r="D3371" s="488"/>
      <c r="E3371" s="489"/>
      <c r="F3371" s="490"/>
      <c r="G3371" s="490"/>
      <c r="H3371" s="490"/>
      <c r="I3371" s="490"/>
    </row>
    <row r="3372" spans="2:9" ht="13.8" thickBot="1" x14ac:dyDescent="0.3">
      <c r="B3372" s="421" t="s">
        <v>215</v>
      </c>
      <c r="C3372" s="422"/>
      <c r="D3372" s="422"/>
      <c r="E3372" s="423"/>
      <c r="F3372" s="424"/>
      <c r="G3372" s="424"/>
      <c r="H3372" s="424"/>
      <c r="I3372" s="424"/>
    </row>
    <row r="3373" spans="2:9" ht="13.8" thickTop="1" x14ac:dyDescent="0.25"/>
    <row r="3375" spans="2:9" ht="13.8" thickBot="1" x14ac:dyDescent="0.3"/>
    <row r="3376" spans="2:9" ht="13.8" thickTop="1" x14ac:dyDescent="0.25">
      <c r="B3376" s="27" t="s">
        <v>204</v>
      </c>
      <c r="C3376" s="28"/>
      <c r="D3376" s="28" t="s">
        <v>218</v>
      </c>
      <c r="E3376" s="207"/>
      <c r="F3376" s="28"/>
      <c r="G3376" s="28"/>
      <c r="H3376" s="28"/>
      <c r="I3376" s="31" t="s">
        <v>206</v>
      </c>
    </row>
    <row r="3378" spans="2:9" x14ac:dyDescent="0.25">
      <c r="B3378" s="487" t="s">
        <v>209</v>
      </c>
      <c r="C3378" s="488"/>
      <c r="D3378" s="488"/>
      <c r="E3378" s="489"/>
      <c r="F3378" s="490"/>
      <c r="G3378" s="490"/>
      <c r="H3378" s="490"/>
      <c r="I3378" s="490"/>
    </row>
    <row r="3379" spans="2:9" x14ac:dyDescent="0.25">
      <c r="B3379" s="487" t="s">
        <v>210</v>
      </c>
      <c r="C3379" s="488"/>
      <c r="D3379" s="488"/>
      <c r="E3379" s="489"/>
      <c r="F3379" s="490"/>
      <c r="G3379" s="490"/>
      <c r="H3379" s="490"/>
      <c r="I3379" s="490"/>
    </row>
    <row r="3380" spans="2:9" x14ac:dyDescent="0.25">
      <c r="B3380" s="487" t="s">
        <v>211</v>
      </c>
      <c r="C3380" s="488"/>
      <c r="D3380" s="488"/>
      <c r="E3380" s="489"/>
      <c r="F3380" s="490"/>
      <c r="G3380" s="490"/>
      <c r="H3380" s="490"/>
      <c r="I3380" s="490"/>
    </row>
    <row r="3381" spans="2:9" x14ac:dyDescent="0.25">
      <c r="B3381" s="487" t="s">
        <v>212</v>
      </c>
      <c r="C3381" s="488"/>
      <c r="D3381" s="488"/>
      <c r="E3381" s="489"/>
      <c r="F3381" s="490"/>
      <c r="G3381" s="490"/>
      <c r="H3381" s="490"/>
      <c r="I3381" s="490"/>
    </row>
    <row r="3382" spans="2:9" x14ac:dyDescent="0.25">
      <c r="B3382" s="487"/>
      <c r="C3382" s="488"/>
      <c r="D3382" s="488"/>
      <c r="E3382" s="489"/>
      <c r="F3382" s="493"/>
      <c r="G3382" s="493"/>
      <c r="H3382" s="493"/>
      <c r="I3382" s="493"/>
    </row>
    <row r="3383" spans="2:9" x14ac:dyDescent="0.25">
      <c r="B3383" s="487" t="s">
        <v>213</v>
      </c>
      <c r="C3383" s="488"/>
      <c r="D3383" s="488"/>
      <c r="E3383" s="489"/>
      <c r="F3383" s="490"/>
      <c r="G3383" s="490"/>
      <c r="H3383" s="490"/>
      <c r="I3383" s="490"/>
    </row>
    <row r="3384" spans="2:9" x14ac:dyDescent="0.25">
      <c r="B3384" s="487" t="s">
        <v>214</v>
      </c>
      <c r="C3384" s="488"/>
      <c r="D3384" s="488"/>
      <c r="E3384" s="489"/>
      <c r="F3384" s="490"/>
      <c r="G3384" s="490"/>
      <c r="H3384" s="490"/>
      <c r="I3384" s="490"/>
    </row>
    <row r="3385" spans="2:9" ht="13.8" thickBot="1" x14ac:dyDescent="0.3">
      <c r="B3385" s="421" t="s">
        <v>215</v>
      </c>
      <c r="C3385" s="422"/>
      <c r="D3385" s="422"/>
      <c r="E3385" s="423"/>
      <c r="F3385" s="424"/>
      <c r="G3385" s="424"/>
      <c r="H3385" s="424"/>
      <c r="I3385" s="424"/>
    </row>
    <row r="3386" spans="2:9" ht="13.8" thickTop="1" x14ac:dyDescent="0.25"/>
    <row r="3388" spans="2:9" ht="12.75" customHeight="1" thickBot="1" x14ac:dyDescent="0.3"/>
    <row r="3389" spans="2:9" ht="13.8" thickTop="1" x14ac:dyDescent="0.25">
      <c r="B3389" s="27" t="s">
        <v>204</v>
      </c>
      <c r="C3389" s="28"/>
      <c r="D3389" s="28" t="s">
        <v>219</v>
      </c>
      <c r="E3389" s="207"/>
      <c r="F3389" s="28"/>
      <c r="G3389" s="28"/>
      <c r="H3389" s="28"/>
      <c r="I3389" s="31" t="s">
        <v>206</v>
      </c>
    </row>
    <row r="3391" spans="2:9" x14ac:dyDescent="0.25">
      <c r="B3391" s="487" t="s">
        <v>209</v>
      </c>
      <c r="C3391" s="488"/>
      <c r="D3391" s="488"/>
      <c r="E3391" s="489"/>
      <c r="F3391" s="490"/>
      <c r="G3391" s="490"/>
      <c r="H3391" s="490"/>
      <c r="I3391" s="490"/>
    </row>
    <row r="3392" spans="2:9" x14ac:dyDescent="0.25">
      <c r="B3392" s="487" t="s">
        <v>210</v>
      </c>
      <c r="C3392" s="488"/>
      <c r="D3392" s="488"/>
      <c r="E3392" s="489"/>
      <c r="F3392" s="490"/>
      <c r="G3392" s="490"/>
      <c r="H3392" s="490"/>
      <c r="I3392" s="490"/>
    </row>
    <row r="3393" spans="2:13" x14ac:dyDescent="0.25">
      <c r="B3393" s="487" t="s">
        <v>211</v>
      </c>
      <c r="C3393" s="488"/>
      <c r="D3393" s="488"/>
      <c r="E3393" s="489"/>
      <c r="F3393" s="490"/>
      <c r="G3393" s="490"/>
      <c r="H3393" s="490"/>
      <c r="I3393" s="490"/>
      <c r="J3393" s="38"/>
    </row>
    <row r="3394" spans="2:13" x14ac:dyDescent="0.25">
      <c r="B3394" s="487" t="s">
        <v>212</v>
      </c>
      <c r="C3394" s="488"/>
      <c r="D3394" s="488"/>
      <c r="E3394" s="489"/>
      <c r="F3394" s="490"/>
      <c r="G3394" s="490"/>
      <c r="H3394" s="490"/>
      <c r="I3394" s="490"/>
      <c r="J3394" s="38"/>
    </row>
    <row r="3395" spans="2:13" x14ac:dyDescent="0.25">
      <c r="B3395" s="487"/>
      <c r="C3395" s="488"/>
      <c r="D3395" s="488"/>
      <c r="E3395" s="489"/>
      <c r="F3395" s="493"/>
      <c r="G3395" s="493"/>
      <c r="H3395" s="493"/>
      <c r="I3395" s="493"/>
      <c r="J3395" s="38"/>
    </row>
    <row r="3396" spans="2:13" x14ac:dyDescent="0.25">
      <c r="B3396" s="487" t="s">
        <v>213</v>
      </c>
      <c r="C3396" s="488"/>
      <c r="D3396" s="488"/>
      <c r="E3396" s="489"/>
      <c r="F3396" s="490"/>
      <c r="G3396" s="490"/>
      <c r="H3396" s="490"/>
      <c r="I3396" s="490"/>
      <c r="J3396" s="38"/>
    </row>
    <row r="3397" spans="2:13" x14ac:dyDescent="0.25">
      <c r="B3397" s="487" t="s">
        <v>214</v>
      </c>
      <c r="C3397" s="488"/>
      <c r="D3397" s="488"/>
      <c r="E3397" s="489"/>
      <c r="F3397" s="490"/>
      <c r="G3397" s="490"/>
      <c r="H3397" s="490"/>
      <c r="I3397" s="490"/>
      <c r="J3397" s="38"/>
    </row>
    <row r="3398" spans="2:13" ht="15.75" customHeight="1" thickBot="1" x14ac:dyDescent="0.3">
      <c r="B3398" s="421" t="s">
        <v>215</v>
      </c>
      <c r="C3398" s="422"/>
      <c r="D3398" s="422"/>
      <c r="E3398" s="423"/>
      <c r="F3398" s="424"/>
      <c r="G3398" s="424"/>
      <c r="H3398" s="424"/>
      <c r="I3398" s="424"/>
      <c r="J3398" s="64"/>
    </row>
    <row r="3399" spans="2:13" ht="13.8" thickTop="1" x14ac:dyDescent="0.25"/>
    <row r="3400" spans="2:13" x14ac:dyDescent="0.25">
      <c r="B3400" t="s">
        <v>152</v>
      </c>
      <c r="D3400" s="57"/>
      <c r="H3400" s="58"/>
      <c r="K3400" s="21"/>
    </row>
    <row r="3401" spans="2:13" x14ac:dyDescent="0.25">
      <c r="B3401" s="429"/>
      <c r="C3401" s="430"/>
      <c r="D3401" s="430"/>
      <c r="E3401" s="430"/>
      <c r="F3401" s="430"/>
      <c r="G3401" s="430"/>
      <c r="H3401" s="430"/>
      <c r="I3401" s="430"/>
      <c r="J3401" s="430"/>
      <c r="K3401" s="430"/>
      <c r="L3401" s="430"/>
      <c r="M3401" s="431"/>
    </row>
    <row r="3402" spans="2:13" x14ac:dyDescent="0.25">
      <c r="B3402" s="432"/>
      <c r="C3402" s="433"/>
      <c r="D3402" s="433"/>
      <c r="E3402" s="433"/>
      <c r="F3402" s="433"/>
      <c r="G3402" s="433"/>
      <c r="H3402" s="433"/>
      <c r="I3402" s="433"/>
      <c r="J3402" s="433"/>
      <c r="K3402" s="433"/>
      <c r="L3402" s="433"/>
      <c r="M3402" s="434"/>
    </row>
    <row r="3403" spans="2:13" x14ac:dyDescent="0.25">
      <c r="B3403" s="432"/>
      <c r="C3403" s="433"/>
      <c r="D3403" s="433"/>
      <c r="E3403" s="433"/>
      <c r="F3403" s="433"/>
      <c r="G3403" s="433"/>
      <c r="H3403" s="433"/>
      <c r="I3403" s="433"/>
      <c r="J3403" s="433"/>
      <c r="K3403" s="433"/>
      <c r="L3403" s="433"/>
      <c r="M3403" s="434"/>
    </row>
    <row r="3404" spans="2:13" x14ac:dyDescent="0.25">
      <c r="B3404" s="435"/>
      <c r="C3404" s="436"/>
      <c r="D3404" s="436"/>
      <c r="E3404" s="436"/>
      <c r="F3404" s="436"/>
      <c r="G3404" s="436"/>
      <c r="H3404" s="436"/>
      <c r="I3404" s="436"/>
      <c r="J3404" s="436"/>
      <c r="K3404" s="436"/>
      <c r="L3404" s="436"/>
      <c r="M3404" s="437"/>
    </row>
    <row r="3405" spans="2:13" x14ac:dyDescent="0.25">
      <c r="B3405" s="15" t="s">
        <v>220</v>
      </c>
      <c r="D3405" s="57"/>
      <c r="H3405" s="58"/>
      <c r="K3405" s="21"/>
    </row>
    <row r="3406" spans="2:13" x14ac:dyDescent="0.25">
      <c r="D3406" s="57"/>
      <c r="H3406" s="58"/>
      <c r="K3406" s="21"/>
    </row>
    <row r="3407" spans="2:13" x14ac:dyDescent="0.25">
      <c r="D3407" s="57"/>
      <c r="H3407" s="58"/>
      <c r="K3407" s="21"/>
    </row>
    <row r="3408" spans="2:13" x14ac:dyDescent="0.25">
      <c r="B3408" s="465" t="str">
        <f>$L$39</f>
        <v>X.002-218-2024(NT)&amp;N.004-116-2024(T)</v>
      </c>
      <c r="C3408" s="465"/>
      <c r="D3408" s="57"/>
      <c r="H3408" s="58"/>
      <c r="K3408" s="438" t="s">
        <v>155</v>
      </c>
      <c r="L3408" s="438"/>
      <c r="M3408" s="438"/>
    </row>
    <row r="3409" spans="2:13" x14ac:dyDescent="0.25">
      <c r="B3409" s="465"/>
      <c r="C3409" s="465"/>
      <c r="D3409" s="57"/>
      <c r="E3409" s="12"/>
      <c r="F3409" s="12"/>
      <c r="G3409" s="12"/>
      <c r="H3409" s="13"/>
      <c r="I3409" s="12"/>
      <c r="K3409" s="438"/>
      <c r="L3409" s="438"/>
      <c r="M3409" s="438"/>
    </row>
    <row r="3410" spans="2:13" x14ac:dyDescent="0.25">
      <c r="D3410" s="57"/>
      <c r="E3410" s="12"/>
      <c r="F3410" s="12"/>
      <c r="G3410" s="12"/>
      <c r="H3410" s="12"/>
      <c r="I3410" s="12"/>
      <c r="K3410" s="438"/>
      <c r="L3410" s="438"/>
      <c r="M3410" s="438"/>
    </row>
    <row r="3411" spans="2:13" x14ac:dyDescent="0.25">
      <c r="D3411" s="57"/>
      <c r="E3411" s="12"/>
      <c r="F3411" s="12"/>
      <c r="G3411" s="12"/>
      <c r="H3411" s="12"/>
      <c r="I3411" s="12"/>
      <c r="K3411" s="438"/>
      <c r="L3411" s="438"/>
      <c r="M3411" s="438"/>
    </row>
    <row r="3412" spans="2:13" x14ac:dyDescent="0.25">
      <c r="D3412" s="57"/>
      <c r="E3412" s="12"/>
      <c r="F3412" s="12"/>
      <c r="G3412" s="12"/>
      <c r="H3412" s="12"/>
      <c r="I3412" s="12"/>
      <c r="K3412" s="21"/>
    </row>
    <row r="3414" spans="2:13" x14ac:dyDescent="0.25">
      <c r="B3414" s="498" t="s">
        <v>221</v>
      </c>
      <c r="C3414" s="499"/>
      <c r="D3414" s="499"/>
      <c r="E3414" s="499"/>
      <c r="F3414" s="499"/>
      <c r="G3414" s="499"/>
      <c r="H3414" s="499"/>
      <c r="I3414" s="499"/>
      <c r="J3414" s="499"/>
      <c r="K3414" s="499"/>
      <c r="L3414" s="499"/>
      <c r="M3414" s="500"/>
    </row>
    <row r="3415" spans="2:13" x14ac:dyDescent="0.25">
      <c r="B3415" s="501"/>
      <c r="C3415" s="502"/>
      <c r="D3415" s="502"/>
      <c r="E3415" s="502"/>
      <c r="F3415" s="502"/>
      <c r="G3415" s="502"/>
      <c r="H3415" s="502"/>
      <c r="I3415" s="502"/>
      <c r="J3415" s="502"/>
      <c r="K3415" s="502"/>
      <c r="L3415" s="502"/>
      <c r="M3415" s="503"/>
    </row>
    <row r="3416" spans="2:13" x14ac:dyDescent="0.25">
      <c r="B3416" s="501"/>
      <c r="C3416" s="502"/>
      <c r="D3416" s="502"/>
      <c r="E3416" s="502"/>
      <c r="F3416" s="502"/>
      <c r="G3416" s="502"/>
      <c r="H3416" s="502"/>
      <c r="I3416" s="502"/>
      <c r="J3416" s="502"/>
      <c r="K3416" s="502"/>
      <c r="L3416" s="502"/>
      <c r="M3416" s="503"/>
    </row>
    <row r="3417" spans="2:13" x14ac:dyDescent="0.25">
      <c r="B3417" s="501"/>
      <c r="C3417" s="502"/>
      <c r="D3417" s="502"/>
      <c r="E3417" s="502"/>
      <c r="F3417" s="502"/>
      <c r="G3417" s="502"/>
      <c r="H3417" s="502"/>
      <c r="I3417" s="502"/>
      <c r="J3417" s="502"/>
      <c r="K3417" s="502"/>
      <c r="L3417" s="502"/>
      <c r="M3417" s="503"/>
    </row>
    <row r="3418" spans="2:13" x14ac:dyDescent="0.25">
      <c r="B3418" s="501"/>
      <c r="C3418" s="502"/>
      <c r="D3418" s="502"/>
      <c r="E3418" s="502"/>
      <c r="F3418" s="502"/>
      <c r="G3418" s="502"/>
      <c r="H3418" s="502"/>
      <c r="I3418" s="502"/>
      <c r="J3418" s="502"/>
      <c r="K3418" s="502"/>
      <c r="L3418" s="502"/>
      <c r="M3418" s="503"/>
    </row>
    <row r="3419" spans="2:13" x14ac:dyDescent="0.25">
      <c r="B3419" s="501"/>
      <c r="C3419" s="502"/>
      <c r="D3419" s="502"/>
      <c r="E3419" s="502"/>
      <c r="F3419" s="502"/>
      <c r="G3419" s="502"/>
      <c r="H3419" s="502"/>
      <c r="I3419" s="502"/>
      <c r="J3419" s="502"/>
      <c r="K3419" s="502"/>
      <c r="L3419" s="502"/>
      <c r="M3419" s="503"/>
    </row>
    <row r="3420" spans="2:13" x14ac:dyDescent="0.25">
      <c r="B3420" s="501"/>
      <c r="C3420" s="502"/>
      <c r="D3420" s="502"/>
      <c r="E3420" s="502"/>
      <c r="F3420" s="502"/>
      <c r="G3420" s="502"/>
      <c r="H3420" s="502"/>
      <c r="I3420" s="502"/>
      <c r="J3420" s="502"/>
      <c r="K3420" s="502"/>
      <c r="L3420" s="502"/>
      <c r="M3420" s="503"/>
    </row>
    <row r="3421" spans="2:13" x14ac:dyDescent="0.25">
      <c r="B3421" s="501"/>
      <c r="C3421" s="502"/>
      <c r="D3421" s="502"/>
      <c r="E3421" s="502"/>
      <c r="F3421" s="502"/>
      <c r="G3421" s="502"/>
      <c r="H3421" s="502"/>
      <c r="I3421" s="502"/>
      <c r="J3421" s="502"/>
      <c r="K3421" s="502"/>
      <c r="L3421" s="502"/>
      <c r="M3421" s="503"/>
    </row>
    <row r="3422" spans="2:13" x14ac:dyDescent="0.25">
      <c r="B3422" s="501"/>
      <c r="C3422" s="502"/>
      <c r="D3422" s="502"/>
      <c r="E3422" s="502"/>
      <c r="F3422" s="502"/>
      <c r="G3422" s="502"/>
      <c r="H3422" s="502"/>
      <c r="I3422" s="502"/>
      <c r="J3422" s="502"/>
      <c r="K3422" s="502"/>
      <c r="L3422" s="502"/>
      <c r="M3422" s="503"/>
    </row>
    <row r="3423" spans="2:13" x14ac:dyDescent="0.25">
      <c r="B3423" s="501"/>
      <c r="C3423" s="502"/>
      <c r="D3423" s="502"/>
      <c r="E3423" s="502"/>
      <c r="F3423" s="502"/>
      <c r="G3423" s="502"/>
      <c r="H3423" s="502"/>
      <c r="I3423" s="502"/>
      <c r="J3423" s="502"/>
      <c r="K3423" s="502"/>
      <c r="L3423" s="502"/>
      <c r="M3423" s="503"/>
    </row>
    <row r="3424" spans="2:13" x14ac:dyDescent="0.25">
      <c r="B3424" s="504"/>
      <c r="C3424" s="505"/>
      <c r="D3424" s="505"/>
      <c r="E3424" s="505"/>
      <c r="F3424" s="505"/>
      <c r="G3424" s="505"/>
      <c r="H3424" s="505"/>
      <c r="I3424" s="505"/>
      <c r="J3424" s="505"/>
      <c r="K3424" s="505"/>
      <c r="L3424" s="505"/>
      <c r="M3424" s="506"/>
    </row>
    <row r="3427" spans="2:13" x14ac:dyDescent="0.25">
      <c r="B3427" s="24" t="s">
        <v>128</v>
      </c>
      <c r="C3427" s="3"/>
      <c r="D3427" s="92"/>
      <c r="F3427" s="3"/>
      <c r="G3427" s="3"/>
      <c r="H3427" s="92"/>
    </row>
    <row r="3437" spans="2:13" ht="13.8" thickBot="1" x14ac:dyDescent="0.3">
      <c r="B3437">
        <f>$D$1</f>
        <v>0</v>
      </c>
      <c r="C3437" s="24" t="s">
        <v>128</v>
      </c>
      <c r="D3437" s="25" t="s">
        <v>129</v>
      </c>
    </row>
    <row r="3438" spans="2:13" ht="13.8" thickTop="1" x14ac:dyDescent="0.25">
      <c r="B3438" s="27" t="s">
        <v>222</v>
      </c>
      <c r="C3438" s="28"/>
      <c r="D3438" s="29"/>
      <c r="E3438" s="27" t="s">
        <v>223</v>
      </c>
      <c r="F3438" s="30"/>
      <c r="G3438" s="28"/>
      <c r="H3438" s="28"/>
      <c r="I3438" s="31"/>
      <c r="J3438" s="27"/>
      <c r="K3438" s="28"/>
      <c r="L3438" s="31"/>
      <c r="M3438" s="28"/>
    </row>
    <row r="3439" spans="2:13" x14ac:dyDescent="0.25">
      <c r="E3439" s="34"/>
      <c r="F3439" s="35"/>
      <c r="G3439" s="36"/>
      <c r="I3439" s="10"/>
      <c r="J3439" s="86"/>
      <c r="K3439" s="465" t="str">
        <f>$L$39</f>
        <v>X.002-218-2024(NT)&amp;N.004-116-2024(T)</v>
      </c>
      <c r="L3439" s="465"/>
      <c r="M3439" s="74" t="s">
        <v>224</v>
      </c>
    </row>
    <row r="3440" spans="2:13" x14ac:dyDescent="0.25">
      <c r="B3440" s="8" t="s">
        <v>225</v>
      </c>
      <c r="K3440" s="465"/>
      <c r="L3440" s="465"/>
    </row>
    <row r="3441" spans="2:13" x14ac:dyDescent="0.25">
      <c r="B3441" s="77" t="s">
        <v>226</v>
      </c>
      <c r="C3441" s="3"/>
      <c r="D3441" s="3"/>
      <c r="E3441" s="3"/>
      <c r="F3441" s="3"/>
      <c r="G3441" s="3"/>
      <c r="H3441" s="3"/>
      <c r="I3441" s="3"/>
      <c r="J3441" s="3"/>
      <c r="K3441" s="3"/>
      <c r="L3441" s="3"/>
      <c r="M3441" s="3"/>
    </row>
    <row r="3442" spans="2:13" x14ac:dyDescent="0.25">
      <c r="B3442" s="77" t="s">
        <v>227</v>
      </c>
      <c r="C3442" s="77"/>
      <c r="D3442" s="77"/>
      <c r="E3442" s="87"/>
      <c r="F3442" s="87"/>
      <c r="G3442" s="10"/>
      <c r="H3442" s="10"/>
      <c r="I3442" s="3"/>
      <c r="J3442" s="3"/>
      <c r="K3442" s="10"/>
      <c r="L3442" s="10"/>
      <c r="M3442" s="86"/>
    </row>
    <row r="3443" spans="2:13" x14ac:dyDescent="0.25">
      <c r="B3443" t="s">
        <v>228</v>
      </c>
    </row>
    <row r="3444" spans="2:13" x14ac:dyDescent="0.25">
      <c r="B3444" t="s">
        <v>229</v>
      </c>
    </row>
    <row r="3446" spans="2:13" ht="12.75" customHeight="1" x14ac:dyDescent="0.25">
      <c r="B3446" s="88"/>
      <c r="C3446" s="492" t="s">
        <v>18</v>
      </c>
      <c r="D3446" s="492"/>
      <c r="E3446" s="492"/>
      <c r="H3446" s="11"/>
      <c r="I3446" s="11"/>
      <c r="J3446" s="11"/>
      <c r="K3446" s="88"/>
      <c r="L3446" s="88"/>
      <c r="M3446" s="88"/>
    </row>
    <row r="3447" spans="2:13" x14ac:dyDescent="0.25">
      <c r="B3447" s="128"/>
      <c r="C3447" s="129"/>
      <c r="D3447" s="129"/>
      <c r="E3447" s="129"/>
      <c r="H3447" s="128"/>
      <c r="I3447" s="128"/>
      <c r="J3447" s="128"/>
      <c r="K3447" s="128"/>
      <c r="L3447" s="88"/>
      <c r="M3447" s="88"/>
    </row>
    <row r="3448" spans="2:13" x14ac:dyDescent="0.25">
      <c r="B3448" s="128"/>
      <c r="C3448" s="129"/>
      <c r="D3448" s="129"/>
      <c r="E3448" s="129"/>
      <c r="H3448" s="128"/>
      <c r="I3448" s="128"/>
      <c r="J3448" s="128"/>
      <c r="K3448" s="128"/>
      <c r="L3448" s="88"/>
      <c r="M3448" s="88"/>
    </row>
    <row r="3449" spans="2:13" x14ac:dyDescent="0.25">
      <c r="B3449" s="88"/>
      <c r="C3449" s="88"/>
      <c r="D3449" s="88"/>
      <c r="E3449" s="88"/>
      <c r="F3449" s="88"/>
      <c r="G3449" s="88"/>
      <c r="H3449" s="88"/>
      <c r="I3449" s="88"/>
      <c r="J3449" s="88"/>
      <c r="K3449" s="88"/>
      <c r="L3449" s="88"/>
      <c r="M3449" s="88"/>
    </row>
    <row r="3450" spans="2:13" x14ac:dyDescent="0.25">
      <c r="B3450" s="433"/>
      <c r="C3450" s="433"/>
      <c r="D3450" s="433"/>
      <c r="E3450" s="433"/>
      <c r="F3450" s="433"/>
      <c r="G3450" s="433"/>
      <c r="H3450" s="433"/>
      <c r="I3450" s="433"/>
      <c r="J3450" s="433"/>
      <c r="K3450" s="433"/>
      <c r="L3450" s="433"/>
      <c r="M3450" s="433"/>
    </row>
    <row r="3451" spans="2:13" x14ac:dyDescent="0.25">
      <c r="B3451" s="433"/>
      <c r="C3451" s="433"/>
      <c r="D3451" s="433"/>
      <c r="E3451" s="433"/>
      <c r="F3451" s="433"/>
      <c r="G3451" s="433"/>
      <c r="H3451" s="433"/>
      <c r="I3451" s="433"/>
      <c r="J3451" s="433"/>
      <c r="K3451" s="433"/>
      <c r="L3451" s="433"/>
      <c r="M3451" s="433"/>
    </row>
    <row r="3452" spans="2:13" x14ac:dyDescent="0.25">
      <c r="B3452" s="433"/>
      <c r="C3452" s="433"/>
      <c r="D3452" s="433"/>
      <c r="E3452" s="433"/>
      <c r="F3452" s="433"/>
      <c r="G3452" s="433"/>
      <c r="H3452" s="433"/>
      <c r="I3452" s="433"/>
      <c r="J3452" s="433"/>
      <c r="K3452" s="433"/>
      <c r="L3452" s="433"/>
      <c r="M3452" s="433"/>
    </row>
    <row r="3453" spans="2:13" x14ac:dyDescent="0.25">
      <c r="B3453" s="433"/>
      <c r="C3453" s="433"/>
      <c r="D3453" s="433"/>
      <c r="E3453" s="433"/>
      <c r="F3453" s="433"/>
      <c r="G3453" s="433"/>
      <c r="H3453" s="433"/>
      <c r="I3453" s="433"/>
      <c r="J3453" s="433"/>
      <c r="K3453" s="433"/>
      <c r="L3453" s="433"/>
      <c r="M3453" s="433"/>
    </row>
    <row r="3454" spans="2:13" x14ac:dyDescent="0.25">
      <c r="B3454" s="433"/>
      <c r="C3454" s="433"/>
      <c r="D3454" s="433"/>
      <c r="E3454" s="433"/>
      <c r="F3454" s="433"/>
      <c r="G3454" s="433"/>
      <c r="H3454" s="433"/>
      <c r="I3454" s="433"/>
      <c r="J3454" s="433"/>
      <c r="K3454" s="433"/>
      <c r="L3454" s="433"/>
      <c r="M3454" s="433"/>
    </row>
    <row r="3455" spans="2:13" x14ac:dyDescent="0.25">
      <c r="B3455" s="433"/>
      <c r="C3455" s="433"/>
      <c r="D3455" s="433"/>
      <c r="E3455" s="433"/>
      <c r="F3455" s="433"/>
      <c r="G3455" s="433"/>
      <c r="H3455" s="433"/>
      <c r="I3455" s="433"/>
      <c r="J3455" s="433"/>
      <c r="K3455" s="433"/>
      <c r="L3455" s="433"/>
      <c r="M3455" s="433"/>
    </row>
    <row r="3456" spans="2:13" x14ac:dyDescent="0.25">
      <c r="B3456" s="433"/>
      <c r="C3456" s="433"/>
      <c r="D3456" s="433"/>
      <c r="E3456" s="433"/>
      <c r="F3456" s="433"/>
      <c r="G3456" s="433"/>
      <c r="H3456" s="433"/>
      <c r="I3456" s="433"/>
      <c r="J3456" s="433"/>
      <c r="K3456" s="433"/>
      <c r="L3456" s="433"/>
      <c r="M3456" s="433"/>
    </row>
    <row r="3457" spans="2:13" x14ac:dyDescent="0.25">
      <c r="B3457" s="433"/>
      <c r="C3457" s="433"/>
      <c r="D3457" s="433"/>
      <c r="E3457" s="433"/>
      <c r="F3457" s="433"/>
      <c r="G3457" s="433"/>
      <c r="H3457" s="433"/>
      <c r="I3457" s="433"/>
      <c r="J3457" s="433"/>
      <c r="K3457" s="433"/>
      <c r="L3457" s="433"/>
      <c r="M3457" s="433"/>
    </row>
    <row r="3458" spans="2:13" x14ac:dyDescent="0.25">
      <c r="B3458" s="433"/>
      <c r="C3458" s="433"/>
      <c r="D3458" s="433"/>
      <c r="E3458" s="433"/>
      <c r="F3458" s="433"/>
      <c r="G3458" s="433"/>
      <c r="H3458" s="433"/>
      <c r="I3458" s="433"/>
      <c r="J3458" s="433"/>
      <c r="K3458" s="433"/>
      <c r="L3458" s="433"/>
      <c r="M3458" s="433"/>
    </row>
    <row r="3459" spans="2:13" x14ac:dyDescent="0.25">
      <c r="B3459" s="433"/>
      <c r="C3459" s="433"/>
      <c r="D3459" s="433"/>
      <c r="E3459" s="433"/>
      <c r="F3459" s="433"/>
      <c r="G3459" s="433"/>
      <c r="H3459" s="433"/>
      <c r="I3459" s="433"/>
      <c r="J3459" s="433"/>
      <c r="K3459" s="433"/>
      <c r="L3459" s="433"/>
      <c r="M3459" s="433"/>
    </row>
    <row r="3460" spans="2:13" x14ac:dyDescent="0.25">
      <c r="B3460" s="433"/>
      <c r="C3460" s="433"/>
      <c r="D3460" s="433"/>
      <c r="E3460" s="433"/>
      <c r="F3460" s="433"/>
      <c r="G3460" s="433"/>
      <c r="H3460" s="433"/>
      <c r="I3460" s="433"/>
      <c r="J3460" s="433"/>
      <c r="K3460" s="433"/>
      <c r="L3460" s="433"/>
      <c r="M3460" s="433"/>
    </row>
    <row r="3461" spans="2:13" x14ac:dyDescent="0.25">
      <c r="B3461" s="433"/>
      <c r="C3461" s="433"/>
      <c r="D3461" s="433"/>
      <c r="E3461" s="433"/>
      <c r="F3461" s="433"/>
      <c r="G3461" s="433"/>
      <c r="H3461" s="433"/>
      <c r="I3461" s="433"/>
      <c r="J3461" s="433"/>
      <c r="K3461" s="433"/>
      <c r="L3461" s="433"/>
      <c r="M3461" s="433"/>
    </row>
    <row r="3462" spans="2:13" x14ac:dyDescent="0.25">
      <c r="B3462" s="433"/>
      <c r="C3462" s="433"/>
      <c r="D3462" s="433"/>
      <c r="E3462" s="433"/>
      <c r="F3462" s="433"/>
      <c r="G3462" s="433"/>
      <c r="H3462" s="433"/>
      <c r="I3462" s="433"/>
      <c r="J3462" s="433"/>
      <c r="K3462" s="433"/>
      <c r="L3462" s="433"/>
      <c r="M3462" s="433"/>
    </row>
    <row r="3463" spans="2:13" x14ac:dyDescent="0.25">
      <c r="B3463" s="433"/>
      <c r="C3463" s="433"/>
      <c r="D3463" s="433"/>
      <c r="E3463" s="433"/>
      <c r="F3463" s="433"/>
      <c r="G3463" s="433"/>
      <c r="H3463" s="433"/>
      <c r="I3463" s="433"/>
      <c r="J3463" s="433"/>
      <c r="K3463" s="433"/>
      <c r="L3463" s="433"/>
      <c r="M3463" s="433"/>
    </row>
    <row r="3464" spans="2:13" x14ac:dyDescent="0.25">
      <c r="B3464" s="433"/>
      <c r="C3464" s="433"/>
      <c r="D3464" s="433"/>
      <c r="E3464" s="433"/>
      <c r="F3464" s="433"/>
      <c r="G3464" s="433"/>
      <c r="H3464" s="433"/>
      <c r="I3464" s="433"/>
      <c r="J3464" s="433"/>
      <c r="K3464" s="433"/>
      <c r="L3464" s="433"/>
      <c r="M3464" s="433"/>
    </row>
    <row r="3465" spans="2:13" x14ac:dyDescent="0.25">
      <c r="B3465" s="433"/>
      <c r="C3465" s="433"/>
      <c r="D3465" s="433"/>
      <c r="E3465" s="433"/>
      <c r="F3465" s="433"/>
      <c r="G3465" s="433"/>
      <c r="H3465" s="433"/>
      <c r="I3465" s="433"/>
      <c r="J3465" s="433"/>
      <c r="K3465" s="433"/>
      <c r="L3465" s="433"/>
      <c r="M3465" s="433"/>
    </row>
    <row r="3466" spans="2:13" x14ac:dyDescent="0.25">
      <c r="B3466" s="433"/>
      <c r="C3466" s="433"/>
      <c r="D3466" s="433"/>
      <c r="E3466" s="433"/>
      <c r="F3466" s="433"/>
      <c r="G3466" s="433"/>
      <c r="H3466" s="433"/>
      <c r="I3466" s="433"/>
      <c r="J3466" s="433"/>
      <c r="K3466" s="433"/>
      <c r="L3466" s="433"/>
      <c r="M3466" s="433"/>
    </row>
    <row r="3467" spans="2:13" x14ac:dyDescent="0.25">
      <c r="B3467" s="433"/>
      <c r="C3467" s="433"/>
      <c r="D3467" s="433"/>
      <c r="E3467" s="433"/>
      <c r="F3467" s="433"/>
      <c r="G3467" s="433"/>
      <c r="H3467" s="433"/>
      <c r="I3467" s="433"/>
      <c r="J3467" s="433"/>
      <c r="K3467" s="433"/>
      <c r="L3467" s="433"/>
      <c r="M3467" s="433"/>
    </row>
    <row r="3468" spans="2:13" x14ac:dyDescent="0.25">
      <c r="B3468" s="433"/>
      <c r="C3468" s="433"/>
      <c r="D3468" s="433"/>
      <c r="E3468" s="433"/>
      <c r="F3468" s="433"/>
      <c r="G3468" s="433"/>
      <c r="H3468" s="433"/>
      <c r="I3468" s="433"/>
      <c r="J3468" s="433"/>
      <c r="K3468" s="433"/>
      <c r="L3468" s="433"/>
      <c r="M3468" s="433"/>
    </row>
    <row r="3469" spans="2:13" x14ac:dyDescent="0.25">
      <c r="B3469" s="433"/>
      <c r="C3469" s="433"/>
      <c r="D3469" s="433"/>
      <c r="E3469" s="433"/>
      <c r="F3469" s="433"/>
      <c r="G3469" s="433"/>
      <c r="H3469" s="433"/>
      <c r="I3469" s="433"/>
      <c r="J3469" s="433"/>
      <c r="K3469" s="433"/>
      <c r="L3469" s="433"/>
      <c r="M3469" s="433"/>
    </row>
    <row r="3470" spans="2:13" x14ac:dyDescent="0.25">
      <c r="B3470" s="433"/>
      <c r="C3470" s="433"/>
      <c r="D3470" s="433"/>
      <c r="E3470" s="433"/>
      <c r="F3470" s="433"/>
      <c r="G3470" s="433"/>
      <c r="H3470" s="433"/>
      <c r="I3470" s="433"/>
      <c r="J3470" s="433"/>
      <c r="K3470" s="433"/>
      <c r="L3470" s="433"/>
      <c r="M3470" s="433"/>
    </row>
    <row r="3471" spans="2:13" x14ac:dyDescent="0.25">
      <c r="B3471" s="433"/>
      <c r="C3471" s="433"/>
      <c r="D3471" s="433"/>
      <c r="E3471" s="433"/>
      <c r="F3471" s="433"/>
      <c r="G3471" s="433"/>
      <c r="H3471" s="433"/>
      <c r="I3471" s="433"/>
      <c r="J3471" s="433"/>
      <c r="K3471" s="433"/>
      <c r="L3471" s="433"/>
      <c r="M3471" s="433"/>
    </row>
    <row r="3472" spans="2:13" x14ac:dyDescent="0.25">
      <c r="B3472" s="433"/>
      <c r="C3472" s="433"/>
      <c r="D3472" s="433"/>
      <c r="E3472" s="433"/>
      <c r="F3472" s="433"/>
      <c r="G3472" s="433"/>
      <c r="H3472" s="433"/>
      <c r="I3472" s="433"/>
      <c r="J3472" s="433"/>
      <c r="K3472" s="433"/>
      <c r="L3472" s="433"/>
      <c r="M3472" s="433"/>
    </row>
    <row r="3473" spans="2:13" x14ac:dyDescent="0.25">
      <c r="B3473" s="433"/>
      <c r="C3473" s="433"/>
      <c r="D3473" s="433"/>
      <c r="E3473" s="433"/>
      <c r="F3473" s="433"/>
      <c r="G3473" s="433"/>
      <c r="H3473" s="433"/>
      <c r="I3473" s="433"/>
      <c r="J3473" s="433"/>
      <c r="K3473" s="433"/>
      <c r="L3473" s="433"/>
      <c r="M3473" s="433"/>
    </row>
    <row r="3474" spans="2:13" x14ac:dyDescent="0.25">
      <c r="B3474" s="433"/>
      <c r="C3474" s="433"/>
      <c r="D3474" s="433"/>
      <c r="E3474" s="433"/>
      <c r="F3474" s="433"/>
      <c r="G3474" s="433"/>
      <c r="H3474" s="433"/>
      <c r="I3474" s="433"/>
      <c r="J3474" s="433"/>
      <c r="K3474" s="433"/>
      <c r="L3474" s="433"/>
      <c r="M3474" s="433"/>
    </row>
    <row r="3475" spans="2:13" x14ac:dyDescent="0.25">
      <c r="B3475" s="433"/>
      <c r="C3475" s="433"/>
      <c r="D3475" s="433"/>
      <c r="E3475" s="433"/>
      <c r="F3475" s="433"/>
      <c r="G3475" s="433"/>
      <c r="H3475" s="433"/>
      <c r="I3475" s="433"/>
      <c r="J3475" s="433"/>
      <c r="K3475" s="433"/>
      <c r="L3475" s="433"/>
      <c r="M3475" s="433"/>
    </row>
    <row r="3476" spans="2:13" x14ac:dyDescent="0.25">
      <c r="B3476" s="433"/>
      <c r="C3476" s="433"/>
      <c r="D3476" s="433"/>
      <c r="E3476" s="433"/>
      <c r="F3476" s="433"/>
      <c r="G3476" s="433"/>
      <c r="H3476" s="433"/>
      <c r="I3476" s="433"/>
      <c r="J3476" s="433"/>
      <c r="K3476" s="433"/>
      <c r="L3476" s="433"/>
      <c r="M3476" s="433"/>
    </row>
    <row r="3477" spans="2:13" x14ac:dyDescent="0.25">
      <c r="B3477" s="433"/>
      <c r="C3477" s="433"/>
      <c r="D3477" s="433"/>
      <c r="E3477" s="433"/>
      <c r="F3477" s="433"/>
      <c r="G3477" s="433"/>
      <c r="H3477" s="433"/>
      <c r="I3477" s="433"/>
      <c r="J3477" s="433"/>
      <c r="K3477" s="433"/>
      <c r="L3477" s="433"/>
      <c r="M3477" s="433"/>
    </row>
    <row r="3478" spans="2:13" x14ac:dyDescent="0.25">
      <c r="B3478" s="433"/>
      <c r="C3478" s="433"/>
      <c r="D3478" s="433"/>
      <c r="E3478" s="433"/>
      <c r="F3478" s="433"/>
      <c r="G3478" s="433"/>
      <c r="H3478" s="433"/>
      <c r="I3478" s="433"/>
      <c r="J3478" s="433"/>
      <c r="K3478" s="433"/>
      <c r="L3478" s="433"/>
      <c r="M3478" s="433"/>
    </row>
    <row r="3479" spans="2:13" x14ac:dyDescent="0.25">
      <c r="B3479" s="433"/>
      <c r="C3479" s="433"/>
      <c r="D3479" s="433"/>
      <c r="E3479" s="433"/>
      <c r="F3479" s="433"/>
      <c r="G3479" s="433"/>
      <c r="H3479" s="433"/>
      <c r="I3479" s="433"/>
      <c r="J3479" s="433"/>
      <c r="K3479" s="433"/>
      <c r="L3479" s="433"/>
      <c r="M3479" s="433"/>
    </row>
    <row r="3480" spans="2:13" x14ac:dyDescent="0.25">
      <c r="B3480" s="433"/>
      <c r="C3480" s="433"/>
      <c r="D3480" s="433"/>
      <c r="E3480" s="433"/>
      <c r="F3480" s="433"/>
      <c r="G3480" s="433"/>
      <c r="H3480" s="433"/>
      <c r="I3480" s="433"/>
      <c r="J3480" s="433"/>
      <c r="K3480" s="433"/>
      <c r="L3480" s="433"/>
      <c r="M3480" s="433"/>
    </row>
    <row r="3481" spans="2:13" x14ac:dyDescent="0.25">
      <c r="B3481" s="433"/>
      <c r="C3481" s="433"/>
      <c r="D3481" s="433"/>
      <c r="E3481" s="433"/>
      <c r="F3481" s="433"/>
      <c r="G3481" s="433"/>
      <c r="H3481" s="433"/>
      <c r="I3481" s="433"/>
      <c r="J3481" s="433"/>
      <c r="K3481" s="433"/>
      <c r="L3481" s="433"/>
      <c r="M3481" s="433"/>
    </row>
    <row r="3482" spans="2:13" x14ac:dyDescent="0.25">
      <c r="B3482" s="433"/>
      <c r="C3482" s="433"/>
      <c r="D3482" s="433"/>
      <c r="E3482" s="433"/>
      <c r="F3482" s="433"/>
      <c r="G3482" s="433"/>
      <c r="H3482" s="433"/>
      <c r="I3482" s="433"/>
      <c r="J3482" s="433"/>
      <c r="K3482" s="433"/>
      <c r="L3482" s="433"/>
      <c r="M3482" s="433"/>
    </row>
    <row r="3483" spans="2:13" x14ac:dyDescent="0.25">
      <c r="B3483" s="433"/>
      <c r="C3483" s="433"/>
      <c r="D3483" s="433"/>
      <c r="E3483" s="433"/>
      <c r="F3483" s="433"/>
      <c r="G3483" s="433"/>
      <c r="H3483" s="433"/>
      <c r="I3483" s="433"/>
      <c r="J3483" s="433"/>
      <c r="K3483" s="433"/>
      <c r="L3483" s="433"/>
      <c r="M3483" s="433"/>
    </row>
    <row r="3484" spans="2:13" x14ac:dyDescent="0.25">
      <c r="B3484" s="433"/>
      <c r="C3484" s="433"/>
      <c r="D3484" s="433"/>
      <c r="E3484" s="433"/>
      <c r="F3484" s="433"/>
      <c r="G3484" s="433"/>
      <c r="H3484" s="433"/>
      <c r="I3484" s="433"/>
      <c r="J3484" s="433"/>
      <c r="K3484" s="433"/>
      <c r="L3484" s="433"/>
      <c r="M3484" s="433"/>
    </row>
    <row r="3485" spans="2:13" x14ac:dyDescent="0.25">
      <c r="B3485" s="433"/>
      <c r="C3485" s="433"/>
      <c r="D3485" s="433"/>
      <c r="E3485" s="433"/>
      <c r="F3485" s="433"/>
      <c r="G3485" s="433"/>
      <c r="H3485" s="433"/>
      <c r="I3485" s="433"/>
      <c r="J3485" s="433"/>
      <c r="K3485" s="433"/>
      <c r="L3485" s="433"/>
      <c r="M3485" s="433"/>
    </row>
    <row r="3486" spans="2:13" x14ac:dyDescent="0.25">
      <c r="B3486" s="433"/>
      <c r="C3486" s="433"/>
      <c r="D3486" s="433"/>
      <c r="E3486" s="433"/>
      <c r="F3486" s="433"/>
      <c r="G3486" s="433"/>
      <c r="H3486" s="433"/>
      <c r="I3486" s="433"/>
      <c r="J3486" s="433"/>
      <c r="K3486" s="433"/>
      <c r="L3486" s="433"/>
      <c r="M3486" s="433"/>
    </row>
    <row r="3487" spans="2:13" x14ac:dyDescent="0.25">
      <c r="B3487" s="433"/>
      <c r="C3487" s="433"/>
      <c r="D3487" s="433"/>
      <c r="E3487" s="433"/>
      <c r="F3487" s="433"/>
      <c r="G3487" s="433"/>
      <c r="H3487" s="433"/>
      <c r="I3487" s="433"/>
      <c r="J3487" s="433"/>
      <c r="K3487" s="433"/>
      <c r="L3487" s="433"/>
      <c r="M3487" s="433"/>
    </row>
    <row r="3488" spans="2:13" x14ac:dyDescent="0.25">
      <c r="B3488" s="433"/>
      <c r="C3488" s="433"/>
      <c r="D3488" s="433"/>
      <c r="E3488" s="433"/>
      <c r="F3488" s="433"/>
      <c r="G3488" s="433"/>
      <c r="H3488" s="433"/>
      <c r="I3488" s="433"/>
      <c r="J3488" s="433"/>
      <c r="K3488" s="433"/>
      <c r="L3488" s="433"/>
      <c r="M3488" s="433"/>
    </row>
    <row r="3489" spans="2:13" x14ac:dyDescent="0.25">
      <c r="B3489" s="433"/>
      <c r="C3489" s="433"/>
      <c r="D3489" s="433"/>
      <c r="E3489" s="433"/>
      <c r="F3489" s="433"/>
      <c r="G3489" s="433"/>
      <c r="H3489" s="433"/>
      <c r="I3489" s="433"/>
      <c r="J3489" s="433"/>
      <c r="K3489" s="433"/>
      <c r="L3489" s="433"/>
      <c r="M3489" s="433"/>
    </row>
    <row r="3490" spans="2:13" x14ac:dyDescent="0.25">
      <c r="B3490" s="433"/>
      <c r="C3490" s="433"/>
      <c r="D3490" s="433"/>
      <c r="E3490" s="433"/>
      <c r="F3490" s="433"/>
      <c r="G3490" s="433"/>
      <c r="H3490" s="433"/>
      <c r="I3490" s="433"/>
      <c r="J3490" s="433"/>
      <c r="K3490" s="433"/>
      <c r="L3490" s="433"/>
      <c r="M3490" s="433"/>
    </row>
    <row r="3491" spans="2:13" x14ac:dyDescent="0.25">
      <c r="B3491" s="433"/>
      <c r="C3491" s="433"/>
      <c r="D3491" s="433"/>
      <c r="E3491" s="433"/>
      <c r="F3491" s="433"/>
      <c r="G3491" s="433"/>
      <c r="H3491" s="433"/>
      <c r="I3491" s="433"/>
      <c r="J3491" s="433"/>
      <c r="K3491" s="433"/>
      <c r="L3491" s="433"/>
      <c r="M3491" s="433"/>
    </row>
    <row r="3492" spans="2:13" x14ac:dyDescent="0.25">
      <c r="B3492" s="433"/>
      <c r="C3492" s="433"/>
      <c r="D3492" s="433"/>
      <c r="E3492" s="433"/>
      <c r="F3492" s="433"/>
      <c r="G3492" s="433"/>
      <c r="H3492" s="433"/>
      <c r="I3492" s="433"/>
      <c r="J3492" s="433"/>
      <c r="K3492" s="433"/>
      <c r="L3492" s="433"/>
      <c r="M3492" s="433"/>
    </row>
    <row r="3493" spans="2:13" x14ac:dyDescent="0.25">
      <c r="B3493" s="433"/>
      <c r="C3493" s="433"/>
      <c r="D3493" s="433"/>
      <c r="E3493" s="433"/>
      <c r="F3493" s="433"/>
      <c r="G3493" s="433"/>
      <c r="H3493" s="433"/>
      <c r="I3493" s="433"/>
      <c r="J3493" s="433"/>
      <c r="K3493" s="433"/>
      <c r="L3493" s="433"/>
      <c r="M3493" s="433"/>
    </row>
    <row r="3494" spans="2:13" x14ac:dyDescent="0.25">
      <c r="B3494" s="433"/>
      <c r="C3494" s="433"/>
      <c r="D3494" s="433"/>
      <c r="E3494" s="433"/>
      <c r="F3494" s="433"/>
      <c r="G3494" s="433"/>
      <c r="H3494" s="433"/>
      <c r="I3494" s="433"/>
      <c r="J3494" s="433"/>
      <c r="K3494" s="433"/>
      <c r="L3494" s="433"/>
      <c r="M3494" s="433"/>
    </row>
    <row r="3495" spans="2:13" x14ac:dyDescent="0.25">
      <c r="B3495" s="433"/>
      <c r="C3495" s="433"/>
      <c r="D3495" s="433"/>
      <c r="E3495" s="433"/>
      <c r="F3495" s="433"/>
      <c r="G3495" s="433"/>
      <c r="H3495" s="433"/>
      <c r="I3495" s="433"/>
      <c r="J3495" s="433"/>
      <c r="K3495" s="433"/>
      <c r="L3495" s="433"/>
      <c r="M3495" s="433"/>
    </row>
    <row r="3496" spans="2:13" x14ac:dyDescent="0.25">
      <c r="B3496" s="433"/>
      <c r="C3496" s="433"/>
      <c r="D3496" s="433"/>
      <c r="E3496" s="433"/>
      <c r="F3496" s="433"/>
      <c r="G3496" s="433"/>
      <c r="H3496" s="433"/>
      <c r="I3496" s="433"/>
      <c r="J3496" s="433"/>
      <c r="K3496" s="433"/>
      <c r="L3496" s="433"/>
      <c r="M3496" s="433"/>
    </row>
    <row r="3497" spans="2:13" x14ac:dyDescent="0.25">
      <c r="B3497" s="433"/>
      <c r="C3497" s="433"/>
      <c r="D3497" s="433"/>
      <c r="E3497" s="433"/>
      <c r="F3497" s="433"/>
      <c r="G3497" s="433"/>
      <c r="H3497" s="433"/>
      <c r="I3497" s="433"/>
      <c r="J3497" s="433"/>
      <c r="K3497" s="433"/>
      <c r="L3497" s="433"/>
      <c r="M3497" s="433"/>
    </row>
    <row r="3498" spans="2:13" ht="13.8" thickBot="1" x14ac:dyDescent="0.3">
      <c r="B3498" s="88"/>
      <c r="C3498" s="88"/>
      <c r="D3498" s="88"/>
      <c r="E3498" s="88"/>
      <c r="F3498" s="88"/>
      <c r="G3498" s="88"/>
      <c r="H3498" s="88"/>
      <c r="I3498" s="88"/>
      <c r="J3498" s="88"/>
      <c r="K3498" s="88"/>
      <c r="L3498" s="88"/>
      <c r="M3498" s="88"/>
    </row>
    <row r="3499" spans="2:13" ht="13.8" thickTop="1" x14ac:dyDescent="0.25">
      <c r="B3499" s="89"/>
      <c r="C3499" s="89"/>
      <c r="D3499" s="89"/>
      <c r="E3499" s="89"/>
      <c r="F3499" s="89"/>
      <c r="G3499" s="89"/>
      <c r="H3499" s="89"/>
      <c r="I3499" s="89"/>
      <c r="J3499" s="89"/>
      <c r="K3499" s="89"/>
      <c r="L3499" s="89"/>
      <c r="M3499" s="89"/>
    </row>
    <row r="3500" spans="2:13" x14ac:dyDescent="0.25">
      <c r="B3500" s="90"/>
      <c r="C3500" s="90"/>
      <c r="D3500" s="90"/>
      <c r="E3500" s="90"/>
      <c r="F3500" s="90"/>
      <c r="G3500" s="90"/>
      <c r="H3500" s="90"/>
      <c r="I3500" s="90"/>
      <c r="J3500" s="90"/>
      <c r="K3500" s="90"/>
      <c r="L3500" s="90"/>
      <c r="M3500" s="90"/>
    </row>
    <row r="3501" spans="2:13" ht="13.8" thickBot="1" x14ac:dyDescent="0.3">
      <c r="B3501" s="90"/>
      <c r="C3501" s="90"/>
      <c r="D3501" s="90"/>
      <c r="E3501" s="90"/>
      <c r="F3501" s="90"/>
      <c r="G3501" s="90"/>
      <c r="H3501" s="90"/>
      <c r="I3501" s="90"/>
      <c r="J3501" s="90"/>
      <c r="K3501" s="90"/>
      <c r="L3501" s="90"/>
      <c r="M3501" s="90"/>
    </row>
    <row r="3502" spans="2:13" ht="13.8" thickTop="1" x14ac:dyDescent="0.25">
      <c r="B3502" s="27" t="s">
        <v>222</v>
      </c>
      <c r="C3502" s="91"/>
      <c r="D3502" s="91"/>
      <c r="E3502" s="91"/>
      <c r="F3502" s="91"/>
      <c r="G3502" s="91"/>
      <c r="H3502" s="91"/>
      <c r="I3502" s="91"/>
      <c r="J3502" s="91"/>
      <c r="K3502" s="91"/>
      <c r="L3502" s="91"/>
      <c r="M3502" s="31" t="s">
        <v>230</v>
      </c>
    </row>
    <row r="3503" spans="2:13" x14ac:dyDescent="0.25">
      <c r="B3503" s="88"/>
      <c r="C3503" s="88"/>
      <c r="D3503" s="88"/>
      <c r="E3503" s="88"/>
      <c r="F3503" s="88"/>
      <c r="G3503" s="88"/>
      <c r="H3503" s="88"/>
      <c r="I3503" s="88"/>
      <c r="J3503" s="88"/>
      <c r="K3503" s="88"/>
      <c r="L3503" s="88"/>
      <c r="M3503" s="88"/>
    </row>
    <row r="3504" spans="2:13" x14ac:dyDescent="0.25">
      <c r="B3504" s="433"/>
      <c r="C3504" s="433"/>
      <c r="D3504" s="433"/>
      <c r="E3504" s="433"/>
      <c r="F3504" s="433"/>
      <c r="G3504" s="433"/>
      <c r="H3504" s="433"/>
      <c r="I3504" s="433"/>
      <c r="J3504" s="433"/>
      <c r="K3504" s="433"/>
      <c r="L3504" s="433"/>
      <c r="M3504" s="433"/>
    </row>
    <row r="3505" spans="2:13" x14ac:dyDescent="0.25">
      <c r="B3505" s="433"/>
      <c r="C3505" s="433"/>
      <c r="D3505" s="433"/>
      <c r="E3505" s="433"/>
      <c r="F3505" s="433"/>
      <c r="G3505" s="433"/>
      <c r="H3505" s="433"/>
      <c r="I3505" s="433"/>
      <c r="J3505" s="433"/>
      <c r="K3505" s="433"/>
      <c r="L3505" s="433"/>
      <c r="M3505" s="433"/>
    </row>
    <row r="3506" spans="2:13" x14ac:dyDescent="0.25">
      <c r="B3506" s="433"/>
      <c r="C3506" s="433"/>
      <c r="D3506" s="433"/>
      <c r="E3506" s="433"/>
      <c r="F3506" s="433"/>
      <c r="G3506" s="433"/>
      <c r="H3506" s="433"/>
      <c r="I3506" s="433"/>
      <c r="J3506" s="433"/>
      <c r="K3506" s="433"/>
      <c r="L3506" s="433"/>
      <c r="M3506" s="433"/>
    </row>
    <row r="3507" spans="2:13" x14ac:dyDescent="0.25">
      <c r="B3507" s="433"/>
      <c r="C3507" s="433"/>
      <c r="D3507" s="433"/>
      <c r="E3507" s="433"/>
      <c r="F3507" s="433"/>
      <c r="G3507" s="433"/>
      <c r="H3507" s="433"/>
      <c r="I3507" s="433"/>
      <c r="J3507" s="433"/>
      <c r="K3507" s="433"/>
      <c r="L3507" s="433"/>
      <c r="M3507" s="433"/>
    </row>
    <row r="3508" spans="2:13" x14ac:dyDescent="0.25">
      <c r="B3508" s="433"/>
      <c r="C3508" s="433"/>
      <c r="D3508" s="433"/>
      <c r="E3508" s="433"/>
      <c r="F3508" s="433"/>
      <c r="G3508" s="433"/>
      <c r="H3508" s="433"/>
      <c r="I3508" s="433"/>
      <c r="J3508" s="433"/>
      <c r="K3508" s="433"/>
      <c r="L3508" s="433"/>
      <c r="M3508" s="433"/>
    </row>
    <row r="3509" spans="2:13" x14ac:dyDescent="0.25">
      <c r="B3509" s="433"/>
      <c r="C3509" s="433"/>
      <c r="D3509" s="433"/>
      <c r="E3509" s="433"/>
      <c r="F3509" s="433"/>
      <c r="G3509" s="433"/>
      <c r="H3509" s="433"/>
      <c r="I3509" s="433"/>
      <c r="J3509" s="433"/>
      <c r="K3509" s="433"/>
      <c r="L3509" s="433"/>
      <c r="M3509" s="433"/>
    </row>
    <row r="3510" spans="2:13" x14ac:dyDescent="0.25">
      <c r="B3510" s="433"/>
      <c r="C3510" s="433"/>
      <c r="D3510" s="433"/>
      <c r="E3510" s="433"/>
      <c r="F3510" s="433"/>
      <c r="G3510" s="433"/>
      <c r="H3510" s="433"/>
      <c r="I3510" s="433"/>
      <c r="J3510" s="433"/>
      <c r="K3510" s="433"/>
      <c r="L3510" s="433"/>
      <c r="M3510" s="433"/>
    </row>
    <row r="3511" spans="2:13" x14ac:dyDescent="0.25">
      <c r="B3511" s="433"/>
      <c r="C3511" s="433"/>
      <c r="D3511" s="433"/>
      <c r="E3511" s="433"/>
      <c r="F3511" s="433"/>
      <c r="G3511" s="433"/>
      <c r="H3511" s="433"/>
      <c r="I3511" s="433"/>
      <c r="J3511" s="433"/>
      <c r="K3511" s="433"/>
      <c r="L3511" s="433"/>
      <c r="M3511" s="433"/>
    </row>
    <row r="3512" spans="2:13" x14ac:dyDescent="0.25">
      <c r="B3512" s="433"/>
      <c r="C3512" s="433"/>
      <c r="D3512" s="433"/>
      <c r="E3512" s="433"/>
      <c r="F3512" s="433"/>
      <c r="G3512" s="433"/>
      <c r="H3512" s="433"/>
      <c r="I3512" s="433"/>
      <c r="J3512" s="433"/>
      <c r="K3512" s="433"/>
      <c r="L3512" s="433"/>
      <c r="M3512" s="433"/>
    </row>
    <row r="3513" spans="2:13" x14ac:dyDescent="0.25">
      <c r="B3513" s="433"/>
      <c r="C3513" s="433"/>
      <c r="D3513" s="433"/>
      <c r="E3513" s="433"/>
      <c r="F3513" s="433"/>
      <c r="G3513" s="433"/>
      <c r="H3513" s="433"/>
      <c r="I3513" s="433"/>
      <c r="J3513" s="433"/>
      <c r="K3513" s="433"/>
      <c r="L3513" s="433"/>
      <c r="M3513" s="433"/>
    </row>
    <row r="3514" spans="2:13" x14ac:dyDescent="0.25">
      <c r="B3514" s="433"/>
      <c r="C3514" s="433"/>
      <c r="D3514" s="433"/>
      <c r="E3514" s="433"/>
      <c r="F3514" s="433"/>
      <c r="G3514" s="433"/>
      <c r="H3514" s="433"/>
      <c r="I3514" s="433"/>
      <c r="J3514" s="433"/>
      <c r="K3514" s="433"/>
      <c r="L3514" s="433"/>
      <c r="M3514" s="433"/>
    </row>
    <row r="3515" spans="2:13" x14ac:dyDescent="0.25">
      <c r="B3515" s="433"/>
      <c r="C3515" s="433"/>
      <c r="D3515" s="433"/>
      <c r="E3515" s="433"/>
      <c r="F3515" s="433"/>
      <c r="G3515" s="433"/>
      <c r="H3515" s="433"/>
      <c r="I3515" s="433"/>
      <c r="J3515" s="433"/>
      <c r="K3515" s="433"/>
      <c r="L3515" s="433"/>
      <c r="M3515" s="433"/>
    </row>
    <row r="3516" spans="2:13" x14ac:dyDescent="0.25">
      <c r="B3516" s="433"/>
      <c r="C3516" s="433"/>
      <c r="D3516" s="433"/>
      <c r="E3516" s="433"/>
      <c r="F3516" s="433"/>
      <c r="G3516" s="433"/>
      <c r="H3516" s="433"/>
      <c r="I3516" s="433"/>
      <c r="J3516" s="433"/>
      <c r="K3516" s="433"/>
      <c r="L3516" s="433"/>
      <c r="M3516" s="433"/>
    </row>
    <row r="3517" spans="2:13" x14ac:dyDescent="0.25">
      <c r="B3517" s="433"/>
      <c r="C3517" s="433"/>
      <c r="D3517" s="433"/>
      <c r="E3517" s="433"/>
      <c r="F3517" s="433"/>
      <c r="G3517" s="433"/>
      <c r="H3517" s="433"/>
      <c r="I3517" s="433"/>
      <c r="J3517" s="433"/>
      <c r="K3517" s="433"/>
      <c r="L3517" s="433"/>
      <c r="M3517" s="433"/>
    </row>
    <row r="3518" spans="2:13" x14ac:dyDescent="0.25">
      <c r="B3518" s="433"/>
      <c r="C3518" s="433"/>
      <c r="D3518" s="433"/>
      <c r="E3518" s="433"/>
      <c r="F3518" s="433"/>
      <c r="G3518" s="433"/>
      <c r="H3518" s="433"/>
      <c r="I3518" s="433"/>
      <c r="J3518" s="433"/>
      <c r="K3518" s="433"/>
      <c r="L3518" s="433"/>
      <c r="M3518" s="433"/>
    </row>
    <row r="3519" spans="2:13" ht="12.75" customHeight="1" x14ac:dyDescent="0.25">
      <c r="B3519" s="433"/>
      <c r="C3519" s="433"/>
      <c r="D3519" s="433"/>
      <c r="E3519" s="433"/>
      <c r="F3519" s="433"/>
      <c r="G3519" s="433"/>
      <c r="H3519" s="433"/>
      <c r="I3519" s="433"/>
      <c r="J3519" s="433"/>
      <c r="K3519" s="433"/>
      <c r="L3519" s="433"/>
      <c r="M3519" s="433"/>
    </row>
    <row r="3520" spans="2:13" ht="12.75" customHeight="1" x14ac:dyDescent="0.25">
      <c r="B3520" s="433"/>
      <c r="C3520" s="433"/>
      <c r="D3520" s="433"/>
      <c r="E3520" s="433"/>
      <c r="F3520" s="433"/>
      <c r="G3520" s="433"/>
      <c r="H3520" s="433"/>
      <c r="I3520" s="433"/>
      <c r="J3520" s="433"/>
      <c r="K3520" s="433"/>
      <c r="L3520" s="433"/>
      <c r="M3520" s="433"/>
    </row>
    <row r="3521" spans="2:13" ht="12.75" customHeight="1" x14ac:dyDescent="0.25">
      <c r="B3521" s="433"/>
      <c r="C3521" s="433"/>
      <c r="D3521" s="433"/>
      <c r="E3521" s="433"/>
      <c r="F3521" s="433"/>
      <c r="G3521" s="433"/>
      <c r="H3521" s="433"/>
      <c r="I3521" s="433"/>
      <c r="J3521" s="433"/>
      <c r="K3521" s="433"/>
      <c r="L3521" s="433"/>
      <c r="M3521" s="433"/>
    </row>
    <row r="3522" spans="2:13" ht="12.75" customHeight="1" x14ac:dyDescent="0.25">
      <c r="B3522" s="433"/>
      <c r="C3522" s="433"/>
      <c r="D3522" s="433"/>
      <c r="E3522" s="433"/>
      <c r="F3522" s="433"/>
      <c r="G3522" s="433"/>
      <c r="H3522" s="433"/>
      <c r="I3522" s="433"/>
      <c r="J3522" s="433"/>
      <c r="K3522" s="433"/>
      <c r="L3522" s="433"/>
      <c r="M3522" s="433"/>
    </row>
    <row r="3523" spans="2:13" s="58" customFormat="1" ht="12.75" customHeight="1" x14ac:dyDescent="0.25">
      <c r="B3523" s="433"/>
      <c r="C3523" s="433"/>
      <c r="D3523" s="433"/>
      <c r="E3523" s="433"/>
      <c r="F3523" s="433"/>
      <c r="G3523" s="433"/>
      <c r="H3523" s="433"/>
      <c r="I3523" s="433"/>
      <c r="J3523" s="433"/>
      <c r="K3523" s="433"/>
      <c r="L3523" s="433"/>
      <c r="M3523" s="433"/>
    </row>
    <row r="3524" spans="2:13" s="58" customFormat="1" ht="12.75" customHeight="1" x14ac:dyDescent="0.25">
      <c r="B3524" s="433"/>
      <c r="C3524" s="433"/>
      <c r="D3524" s="433"/>
      <c r="E3524" s="433"/>
      <c r="F3524" s="433"/>
      <c r="G3524" s="433"/>
      <c r="H3524" s="433"/>
      <c r="I3524" s="433"/>
      <c r="J3524" s="433"/>
      <c r="K3524" s="433"/>
      <c r="L3524" s="433"/>
      <c r="M3524" s="433"/>
    </row>
    <row r="3525" spans="2:13" ht="12.75" customHeight="1" x14ac:dyDescent="0.25">
      <c r="B3525" s="433"/>
      <c r="C3525" s="433"/>
      <c r="D3525" s="433"/>
      <c r="E3525" s="433"/>
      <c r="F3525" s="433"/>
      <c r="G3525" s="433"/>
      <c r="H3525" s="433"/>
      <c r="I3525" s="433"/>
      <c r="J3525" s="433"/>
      <c r="K3525" s="433"/>
      <c r="L3525" s="433"/>
      <c r="M3525" s="433"/>
    </row>
    <row r="3526" spans="2:13" ht="12.75" customHeight="1" x14ac:dyDescent="0.25">
      <c r="B3526" s="433"/>
      <c r="C3526" s="433"/>
      <c r="D3526" s="433"/>
      <c r="E3526" s="433"/>
      <c r="F3526" s="433"/>
      <c r="G3526" s="433"/>
      <c r="H3526" s="433"/>
      <c r="I3526" s="433"/>
      <c r="J3526" s="433"/>
      <c r="K3526" s="433"/>
      <c r="L3526" s="433"/>
      <c r="M3526" s="433"/>
    </row>
    <row r="3527" spans="2:13" ht="12.75" customHeight="1" x14ac:dyDescent="0.25">
      <c r="B3527" s="433"/>
      <c r="C3527" s="433"/>
      <c r="D3527" s="433"/>
      <c r="E3527" s="433"/>
      <c r="F3527" s="433"/>
      <c r="G3527" s="433"/>
      <c r="H3527" s="433"/>
      <c r="I3527" s="433"/>
      <c r="J3527" s="433"/>
      <c r="K3527" s="433"/>
      <c r="L3527" s="433"/>
      <c r="M3527" s="433"/>
    </row>
    <row r="3528" spans="2:13" ht="12.75" customHeight="1" x14ac:dyDescent="0.25">
      <c r="B3528" s="433"/>
      <c r="C3528" s="433"/>
      <c r="D3528" s="433"/>
      <c r="E3528" s="433"/>
      <c r="F3528" s="433"/>
      <c r="G3528" s="433"/>
      <c r="H3528" s="433"/>
      <c r="I3528" s="433"/>
      <c r="J3528" s="433"/>
      <c r="K3528" s="433"/>
      <c r="L3528" s="433"/>
      <c r="M3528" s="433"/>
    </row>
    <row r="3529" spans="2:13" ht="12.75" customHeight="1" x14ac:dyDescent="0.25">
      <c r="B3529" s="433"/>
      <c r="C3529" s="433"/>
      <c r="D3529" s="433"/>
      <c r="E3529" s="433"/>
      <c r="F3529" s="433"/>
      <c r="G3529" s="433"/>
      <c r="H3529" s="433"/>
      <c r="I3529" s="433"/>
      <c r="J3529" s="433"/>
      <c r="K3529" s="433"/>
      <c r="L3529" s="433"/>
      <c r="M3529" s="433"/>
    </row>
    <row r="3530" spans="2:13" ht="12.75" customHeight="1" x14ac:dyDescent="0.25">
      <c r="B3530" s="433"/>
      <c r="C3530" s="433"/>
      <c r="D3530" s="433"/>
      <c r="E3530" s="433"/>
      <c r="F3530" s="433"/>
      <c r="G3530" s="433"/>
      <c r="H3530" s="433"/>
      <c r="I3530" s="433"/>
      <c r="J3530" s="433"/>
      <c r="K3530" s="433"/>
      <c r="L3530" s="433"/>
      <c r="M3530" s="433"/>
    </row>
    <row r="3531" spans="2:13" s="11" customFormat="1" ht="12.75" customHeight="1" x14ac:dyDescent="0.25">
      <c r="B3531" s="433"/>
      <c r="C3531" s="433"/>
      <c r="D3531" s="433"/>
      <c r="E3531" s="433"/>
      <c r="F3531" s="433"/>
      <c r="G3531" s="433"/>
      <c r="H3531" s="433"/>
      <c r="I3531" s="433"/>
      <c r="J3531" s="433"/>
      <c r="K3531" s="433"/>
      <c r="L3531" s="433"/>
      <c r="M3531" s="433"/>
    </row>
    <row r="3532" spans="2:13" ht="12.75" customHeight="1" x14ac:dyDescent="0.25">
      <c r="B3532" s="433"/>
      <c r="C3532" s="433"/>
      <c r="D3532" s="433"/>
      <c r="E3532" s="433"/>
      <c r="F3532" s="433"/>
      <c r="G3532" s="433"/>
      <c r="H3532" s="433"/>
      <c r="I3532" s="433"/>
      <c r="J3532" s="433"/>
      <c r="K3532" s="433"/>
      <c r="L3532" s="433"/>
      <c r="M3532" s="433"/>
    </row>
    <row r="3533" spans="2:13" ht="12.75" customHeight="1" x14ac:dyDescent="0.25">
      <c r="B3533" s="433"/>
      <c r="C3533" s="433"/>
      <c r="D3533" s="433"/>
      <c r="E3533" s="433"/>
      <c r="F3533" s="433"/>
      <c r="G3533" s="433"/>
      <c r="H3533" s="433"/>
      <c r="I3533" s="433"/>
      <c r="J3533" s="433"/>
      <c r="K3533" s="433"/>
      <c r="L3533" s="433"/>
      <c r="M3533" s="433"/>
    </row>
    <row r="3534" spans="2:13" ht="12.75" customHeight="1" x14ac:dyDescent="0.25">
      <c r="B3534" s="433"/>
      <c r="C3534" s="433"/>
      <c r="D3534" s="433"/>
      <c r="E3534" s="433"/>
      <c r="F3534" s="433"/>
      <c r="G3534" s="433"/>
      <c r="H3534" s="433"/>
      <c r="I3534" s="433"/>
      <c r="J3534" s="433"/>
      <c r="K3534" s="433"/>
      <c r="L3534" s="433"/>
      <c r="M3534" s="433"/>
    </row>
    <row r="3535" spans="2:13" ht="12.75" customHeight="1" x14ac:dyDescent="0.25">
      <c r="B3535" s="433"/>
      <c r="C3535" s="433"/>
      <c r="D3535" s="433"/>
      <c r="E3535" s="433"/>
      <c r="F3535" s="433"/>
      <c r="G3535" s="433"/>
      <c r="H3535" s="433"/>
      <c r="I3535" s="433"/>
      <c r="J3535" s="433"/>
      <c r="K3535" s="433"/>
      <c r="L3535" s="433"/>
      <c r="M3535" s="433"/>
    </row>
    <row r="3536" spans="2:13" ht="12.75" customHeight="1" x14ac:dyDescent="0.25">
      <c r="B3536" s="433"/>
      <c r="C3536" s="433"/>
      <c r="D3536" s="433"/>
      <c r="E3536" s="433"/>
      <c r="F3536" s="433"/>
      <c r="G3536" s="433"/>
      <c r="H3536" s="433"/>
      <c r="I3536" s="433"/>
      <c r="J3536" s="433"/>
      <c r="K3536" s="433"/>
      <c r="L3536" s="433"/>
      <c r="M3536" s="433"/>
    </row>
    <row r="3537" spans="2:13" ht="12.75" customHeight="1" x14ac:dyDescent="0.25">
      <c r="B3537" s="433"/>
      <c r="C3537" s="433"/>
      <c r="D3537" s="433"/>
      <c r="E3537" s="433"/>
      <c r="F3537" s="433"/>
      <c r="G3537" s="433"/>
      <c r="H3537" s="433"/>
      <c r="I3537" s="433"/>
      <c r="J3537" s="433"/>
      <c r="K3537" s="433"/>
      <c r="L3537" s="433"/>
      <c r="M3537" s="433"/>
    </row>
    <row r="3538" spans="2:13" ht="12.75" customHeight="1" x14ac:dyDescent="0.25">
      <c r="B3538" s="433"/>
      <c r="C3538" s="433"/>
      <c r="D3538" s="433"/>
      <c r="E3538" s="433"/>
      <c r="F3538" s="433"/>
      <c r="G3538" s="433"/>
      <c r="H3538" s="433"/>
      <c r="I3538" s="433"/>
      <c r="J3538" s="433"/>
      <c r="K3538" s="433"/>
      <c r="L3538" s="433"/>
      <c r="M3538" s="433"/>
    </row>
    <row r="3539" spans="2:13" ht="12.75" customHeight="1" x14ac:dyDescent="0.25">
      <c r="B3539" s="433"/>
      <c r="C3539" s="433"/>
      <c r="D3539" s="433"/>
      <c r="E3539" s="433"/>
      <c r="F3539" s="433"/>
      <c r="G3539" s="433"/>
      <c r="H3539" s="433"/>
      <c r="I3539" s="433"/>
      <c r="J3539" s="433"/>
      <c r="K3539" s="433"/>
      <c r="L3539" s="433"/>
      <c r="M3539" s="433"/>
    </row>
    <row r="3540" spans="2:13" x14ac:dyDescent="0.25">
      <c r="B3540" s="433"/>
      <c r="C3540" s="433"/>
      <c r="D3540" s="433"/>
      <c r="E3540" s="433"/>
      <c r="F3540" s="433"/>
      <c r="G3540" s="433"/>
      <c r="H3540" s="433"/>
      <c r="I3540" s="433"/>
      <c r="J3540" s="433"/>
      <c r="K3540" s="433"/>
      <c r="L3540" s="433"/>
      <c r="M3540" s="433"/>
    </row>
    <row r="3541" spans="2:13" x14ac:dyDescent="0.25">
      <c r="B3541" s="433"/>
      <c r="C3541" s="433"/>
      <c r="D3541" s="433"/>
      <c r="E3541" s="433"/>
      <c r="F3541" s="433"/>
      <c r="G3541" s="433"/>
      <c r="H3541" s="433"/>
      <c r="I3541" s="433"/>
      <c r="J3541" s="433"/>
      <c r="K3541" s="433"/>
      <c r="L3541" s="433"/>
      <c r="M3541" s="433"/>
    </row>
    <row r="3542" spans="2:13" x14ac:dyDescent="0.25">
      <c r="B3542" s="433"/>
      <c r="C3542" s="433"/>
      <c r="D3542" s="433"/>
      <c r="E3542" s="433"/>
      <c r="F3542" s="433"/>
      <c r="G3542" s="433"/>
      <c r="H3542" s="433"/>
      <c r="I3542" s="433"/>
      <c r="J3542" s="433"/>
      <c r="K3542" s="433"/>
      <c r="L3542" s="433"/>
      <c r="M3542" s="433"/>
    </row>
    <row r="3543" spans="2:13" ht="12.75" customHeight="1" x14ac:dyDescent="0.25">
      <c r="B3543" s="433"/>
      <c r="C3543" s="433"/>
      <c r="D3543" s="433"/>
      <c r="E3543" s="433"/>
      <c r="F3543" s="433"/>
      <c r="G3543" s="433"/>
      <c r="H3543" s="433"/>
      <c r="I3543" s="433"/>
      <c r="J3543" s="433"/>
      <c r="K3543" s="433"/>
      <c r="L3543" s="433"/>
      <c r="M3543" s="433"/>
    </row>
    <row r="3544" spans="2:13" ht="12.75" customHeight="1" x14ac:dyDescent="0.25">
      <c r="B3544" s="433"/>
      <c r="C3544" s="433"/>
      <c r="D3544" s="433"/>
      <c r="E3544" s="433"/>
      <c r="F3544" s="433"/>
      <c r="G3544" s="433"/>
      <c r="H3544" s="433"/>
      <c r="I3544" s="433"/>
      <c r="J3544" s="433"/>
      <c r="K3544" s="433"/>
      <c r="L3544" s="433"/>
      <c r="M3544" s="433"/>
    </row>
    <row r="3545" spans="2:13" ht="12.75" customHeight="1" x14ac:dyDescent="0.25">
      <c r="B3545" s="433"/>
      <c r="C3545" s="433"/>
      <c r="D3545" s="433"/>
      <c r="E3545" s="433"/>
      <c r="F3545" s="433"/>
      <c r="G3545" s="433"/>
      <c r="H3545" s="433"/>
      <c r="I3545" s="433"/>
      <c r="J3545" s="433"/>
      <c r="K3545" s="433"/>
      <c r="L3545" s="433"/>
      <c r="M3545" s="433"/>
    </row>
    <row r="3546" spans="2:13" ht="12.75" customHeight="1" x14ac:dyDescent="0.25">
      <c r="B3546" s="433"/>
      <c r="C3546" s="433"/>
      <c r="D3546" s="433"/>
      <c r="E3546" s="433"/>
      <c r="F3546" s="433"/>
      <c r="G3546" s="433"/>
      <c r="H3546" s="433"/>
      <c r="I3546" s="433"/>
      <c r="J3546" s="433"/>
      <c r="K3546" s="433"/>
      <c r="L3546" s="433"/>
      <c r="M3546" s="433"/>
    </row>
    <row r="3547" spans="2:13" ht="12.75" customHeight="1" x14ac:dyDescent="0.25">
      <c r="B3547" s="433"/>
      <c r="C3547" s="433"/>
      <c r="D3547" s="433"/>
      <c r="E3547" s="433"/>
      <c r="F3547" s="433"/>
      <c r="G3547" s="433"/>
      <c r="H3547" s="433"/>
      <c r="I3547" s="433"/>
      <c r="J3547" s="433"/>
      <c r="K3547" s="433"/>
      <c r="L3547" s="433"/>
      <c r="M3547" s="433"/>
    </row>
    <row r="3548" spans="2:13" ht="12.75" customHeight="1" x14ac:dyDescent="0.25">
      <c r="B3548" s="433"/>
      <c r="C3548" s="433"/>
      <c r="D3548" s="433"/>
      <c r="E3548" s="433"/>
      <c r="F3548" s="433"/>
      <c r="G3548" s="433"/>
      <c r="H3548" s="433"/>
      <c r="I3548" s="433"/>
      <c r="J3548" s="433"/>
      <c r="K3548" s="433"/>
      <c r="L3548" s="433"/>
      <c r="M3548" s="433"/>
    </row>
    <row r="3549" spans="2:13" ht="12.75" customHeight="1" x14ac:dyDescent="0.25">
      <c r="B3549" s="433"/>
      <c r="C3549" s="433"/>
      <c r="D3549" s="433"/>
      <c r="E3549" s="433"/>
      <c r="F3549" s="433"/>
      <c r="G3549" s="433"/>
      <c r="H3549" s="433"/>
      <c r="I3549" s="433"/>
      <c r="J3549" s="433"/>
      <c r="K3549" s="433"/>
      <c r="L3549" s="433"/>
      <c r="M3549" s="433"/>
    </row>
    <row r="3550" spans="2:13" ht="12.75" customHeight="1" x14ac:dyDescent="0.25">
      <c r="B3550" s="433"/>
      <c r="C3550" s="433"/>
      <c r="D3550" s="433"/>
      <c r="E3550" s="433"/>
      <c r="F3550" s="433"/>
      <c r="G3550" s="433"/>
      <c r="H3550" s="433"/>
      <c r="I3550" s="433"/>
      <c r="J3550" s="433"/>
      <c r="K3550" s="433"/>
      <c r="L3550" s="433"/>
      <c r="M3550" s="433"/>
    </row>
    <row r="3551" spans="2:13" ht="12.75" customHeight="1" x14ac:dyDescent="0.25">
      <c r="B3551" s="433"/>
      <c r="C3551" s="433"/>
      <c r="D3551" s="433"/>
      <c r="E3551" s="433"/>
      <c r="F3551" s="433"/>
      <c r="G3551" s="433"/>
      <c r="H3551" s="433"/>
      <c r="I3551" s="433"/>
      <c r="J3551" s="433"/>
      <c r="K3551" s="433"/>
      <c r="L3551" s="433"/>
      <c r="M3551" s="433"/>
    </row>
    <row r="3553" spans="2:13" ht="12.75" customHeight="1" x14ac:dyDescent="0.25">
      <c r="B3553" s="15" t="s">
        <v>220</v>
      </c>
      <c r="D3553" s="57"/>
      <c r="H3553" s="58"/>
      <c r="K3553" s="21"/>
    </row>
    <row r="3554" spans="2:13" ht="12.75" customHeight="1" x14ac:dyDescent="0.25">
      <c r="D3554" s="57"/>
      <c r="H3554" s="58"/>
      <c r="K3554" s="21"/>
    </row>
    <row r="3555" spans="2:13" ht="12.75" customHeight="1" x14ac:dyDescent="0.25">
      <c r="D3555" s="57"/>
      <c r="H3555" s="58"/>
      <c r="K3555" s="21"/>
    </row>
    <row r="3556" spans="2:13" ht="12.75" customHeight="1" x14ac:dyDescent="0.25">
      <c r="D3556" s="57"/>
      <c r="H3556" s="58"/>
      <c r="K3556" s="438" t="s">
        <v>155</v>
      </c>
      <c r="L3556" s="438"/>
      <c r="M3556" s="438"/>
    </row>
    <row r="3557" spans="2:13" ht="12.75" customHeight="1" x14ac:dyDescent="0.25">
      <c r="D3557" s="57"/>
      <c r="E3557" s="12"/>
      <c r="F3557" s="12"/>
      <c r="G3557" s="12"/>
      <c r="H3557" s="13"/>
      <c r="I3557" s="12"/>
      <c r="K3557" s="438"/>
      <c r="L3557" s="438"/>
      <c r="M3557" s="438"/>
    </row>
    <row r="3558" spans="2:13" ht="12.75" customHeight="1" x14ac:dyDescent="0.25">
      <c r="D3558" s="57"/>
      <c r="E3558" s="12"/>
      <c r="F3558" s="12"/>
      <c r="G3558" s="12"/>
      <c r="H3558" s="12"/>
      <c r="I3558" s="12"/>
      <c r="K3558" s="438"/>
      <c r="L3558" s="438"/>
      <c r="M3558" s="438"/>
    </row>
    <row r="3559" spans="2:13" ht="12.75" customHeight="1" x14ac:dyDescent="0.25">
      <c r="D3559" s="57"/>
      <c r="E3559" s="12"/>
      <c r="F3559" s="12"/>
      <c r="G3559" s="12"/>
      <c r="H3559" s="12"/>
      <c r="I3559" s="12"/>
      <c r="K3559" s="438"/>
      <c r="L3559" s="438"/>
      <c r="M3559" s="438"/>
    </row>
    <row r="3560" spans="2:13" ht="12.75" customHeight="1" x14ac:dyDescent="0.25">
      <c r="D3560" s="57"/>
      <c r="E3560" s="12"/>
      <c r="F3560" s="12"/>
      <c r="G3560" s="12"/>
      <c r="H3560" s="12"/>
      <c r="I3560" s="12"/>
      <c r="K3560" s="21"/>
    </row>
    <row r="3561" spans="2:13" ht="12.75" customHeight="1" thickBot="1" x14ac:dyDescent="0.3">
      <c r="B3561" s="60"/>
      <c r="C3561" s="60"/>
      <c r="D3561" s="60"/>
      <c r="E3561" s="60"/>
      <c r="F3561" s="60"/>
      <c r="G3561" s="60"/>
      <c r="H3561" s="60"/>
      <c r="I3561" s="60"/>
      <c r="J3561" s="60"/>
      <c r="K3561" s="60"/>
      <c r="L3561" s="60"/>
      <c r="M3561" s="60"/>
    </row>
    <row r="3562" spans="2:13" ht="12.75" customHeight="1" thickTop="1" x14ac:dyDescent="0.25"/>
    <row r="3563" spans="2:13" ht="12.75" customHeight="1" x14ac:dyDescent="0.25"/>
    <row r="3564" spans="2:13" ht="12.75" customHeight="1" x14ac:dyDescent="0.25"/>
    <row r="3565" spans="2:13" x14ac:dyDescent="0.25">
      <c r="B3565" s="24" t="s">
        <v>128</v>
      </c>
    </row>
    <row r="3578" spans="34:50" x14ac:dyDescent="0.25">
      <c r="AH3578" s="100" t="str">
        <f>IF($J$3137="Yes","SA2","")</f>
        <v/>
      </c>
      <c r="AI3578" s="494" t="str">
        <f>IF(AH3578="","",$AW$3522)</f>
        <v/>
      </c>
      <c r="AJ3578" s="495"/>
      <c r="AK3578" s="495"/>
      <c r="AL3578" s="495"/>
      <c r="AM3578" s="496"/>
      <c r="AN3578" s="101" t="str">
        <f>IF(AH3578="","",ROUND(($AW$3524/30*50),1) &amp; "/50")</f>
        <v/>
      </c>
      <c r="AO3578" s="101" t="str">
        <f>IF(AH3578="","",ROUND(($AW$3525/20*30),1) &amp; "/30")</f>
        <v/>
      </c>
      <c r="AP3578" s="101" t="str">
        <f>IF(AH3578="","",ROUND(($AW$3526/40*5),2) &amp; "/5")</f>
        <v/>
      </c>
      <c r="AQ3578" s="102" t="str">
        <f>IF(AH3578="","",(ROUND(SUM($AW$3524/30*50+$AW$3525/20*30+$AW$3526/40*5),1)))</f>
        <v/>
      </c>
      <c r="AR3578" s="103" t="str">
        <f>IF(AH3578="","","/85")</f>
        <v/>
      </c>
      <c r="AS3578" s="388" t="str">
        <f>IF(AH3578="","",(($AW$3524/30*50+$AW$3525/20*30+$AW$3526/40*5)/(50+30+5)))</f>
        <v/>
      </c>
      <c r="AT3578" s="101" t="str">
        <f>IF(AH3578="","",ROUND(($AW$3527/15*5),2) &amp; "/5")</f>
        <v/>
      </c>
      <c r="AU3578" s="101" t="str">
        <f>IF(AH3578="","",ROUND(($AW$3528/20*10),1) &amp; "/10")</f>
        <v/>
      </c>
      <c r="AV3578" s="102" t="str">
        <f>IF(AH3578="","",(ROUND(SUM($AW$3524/30*50+$AW$3525/20*30+$AW$3526/40*5+$AW$3527/15*5+$AW$3528/20*10),1)))</f>
        <v/>
      </c>
      <c r="AW3578" s="103" t="str">
        <f>IF(AH3578="","","/100")</f>
        <v/>
      </c>
      <c r="AX3578" s="388" t="str">
        <f>IF(AH3578="","",(($AW$3524/30*50+$AW$3525/20*30+$AW$3526/40*5+$AW$3527/15*5+$AW$3528/20*10)/(50+30+5+5+10)))</f>
        <v/>
      </c>
    </row>
    <row r="3637" spans="2:13" ht="12.75" customHeight="1" thickBot="1" x14ac:dyDescent="0.3">
      <c r="B3637">
        <f>$D$1</f>
        <v>0</v>
      </c>
      <c r="C3637" s="24" t="s">
        <v>128</v>
      </c>
      <c r="D3637" s="25" t="s">
        <v>129</v>
      </c>
    </row>
    <row r="3638" spans="2:13" ht="12.75" customHeight="1" thickTop="1" x14ac:dyDescent="0.25">
      <c r="B3638" s="27" t="s">
        <v>231</v>
      </c>
      <c r="C3638" s="28"/>
      <c r="D3638" s="29"/>
      <c r="E3638" s="27" t="str">
        <f>IF(DV1=26,"MANAGEMENT PROPOSAL","PRELIMINARY PROGRAMME (INCLUDING UNDERSTANDING AND APPROACH)")</f>
        <v>MANAGEMENT PROPOSAL</v>
      </c>
      <c r="F3638" s="30"/>
      <c r="G3638" s="28"/>
      <c r="H3638" s="28"/>
      <c r="I3638" s="31"/>
      <c r="J3638" s="27"/>
      <c r="K3638" s="28"/>
      <c r="L3638" s="31"/>
      <c r="M3638" s="28"/>
    </row>
    <row r="3639" spans="2:13" ht="12.75" customHeight="1" x14ac:dyDescent="0.25">
      <c r="E3639" s="34"/>
      <c r="F3639" s="35"/>
      <c r="G3639" s="36"/>
      <c r="I3639" s="10"/>
      <c r="J3639" s="86"/>
      <c r="M3639" s="74" t="s">
        <v>224</v>
      </c>
    </row>
    <row r="3640" spans="2:13" ht="12.75" customHeight="1" x14ac:dyDescent="0.25">
      <c r="K3640" s="465" t="str">
        <f>$L$39</f>
        <v>X.002-218-2024(NT)&amp;N.004-116-2024(T)</v>
      </c>
      <c r="L3640" s="465"/>
    </row>
    <row r="3641" spans="2:13" x14ac:dyDescent="0.25">
      <c r="B3641" s="75"/>
      <c r="C3641" s="3"/>
      <c r="D3641" s="3"/>
      <c r="E3641" s="3"/>
      <c r="F3641" s="3"/>
      <c r="G3641" s="3"/>
      <c r="H3641" s="3"/>
      <c r="I3641" s="3"/>
      <c r="J3641" s="3"/>
      <c r="K3641" s="465"/>
      <c r="L3641" s="465"/>
      <c r="M3641" s="3"/>
    </row>
    <row r="3642" spans="2:13" ht="186.75" customHeight="1" x14ac:dyDescent="0.25">
      <c r="B3642" s="455" t="s">
        <v>151</v>
      </c>
      <c r="C3642" s="455"/>
      <c r="D3642" s="455"/>
      <c r="E3642" s="455"/>
      <c r="F3642" s="455"/>
      <c r="G3642" s="455"/>
      <c r="H3642" s="455"/>
      <c r="I3642" s="455"/>
      <c r="J3642" s="455"/>
      <c r="K3642" s="455"/>
      <c r="L3642" s="455"/>
      <c r="M3642" s="455"/>
    </row>
    <row r="3643" spans="2:13" x14ac:dyDescent="0.25">
      <c r="B3643" s="8"/>
    </row>
    <row r="3644" spans="2:13" x14ac:dyDescent="0.25">
      <c r="B3644" s="142"/>
      <c r="C3644" s="142"/>
      <c r="D3644" s="142"/>
      <c r="E3644" s="142"/>
      <c r="F3644" s="142"/>
      <c r="G3644" s="142"/>
      <c r="H3644" s="142"/>
      <c r="I3644" s="142"/>
      <c r="J3644" s="142"/>
      <c r="K3644" s="142"/>
      <c r="L3644" s="142"/>
      <c r="M3644" s="142"/>
    </row>
    <row r="3645" spans="2:13" x14ac:dyDescent="0.25">
      <c r="B3645" s="491"/>
      <c r="C3645" s="491"/>
      <c r="D3645" s="491"/>
      <c r="E3645" s="491"/>
      <c r="F3645" s="491"/>
      <c r="G3645" s="491"/>
      <c r="H3645" s="491"/>
      <c r="I3645" s="491"/>
      <c r="J3645" s="491"/>
      <c r="K3645" s="491"/>
      <c r="L3645" s="491"/>
      <c r="M3645" s="491"/>
    </row>
    <row r="3646" spans="2:13" x14ac:dyDescent="0.25">
      <c r="B3646" s="491"/>
      <c r="C3646" s="491"/>
      <c r="D3646" s="491"/>
      <c r="E3646" s="491"/>
      <c r="F3646" s="491"/>
      <c r="G3646" s="491"/>
      <c r="H3646" s="491"/>
      <c r="I3646" s="491"/>
      <c r="J3646" s="491"/>
      <c r="K3646" s="491"/>
      <c r="L3646" s="491"/>
      <c r="M3646" s="491"/>
    </row>
    <row r="3647" spans="2:13" x14ac:dyDescent="0.25">
      <c r="B3647" s="491"/>
      <c r="C3647" s="491"/>
      <c r="D3647" s="491"/>
      <c r="E3647" s="491"/>
      <c r="F3647" s="491"/>
      <c r="G3647" s="491"/>
      <c r="H3647" s="491"/>
      <c r="I3647" s="491"/>
      <c r="J3647" s="491"/>
      <c r="K3647" s="491"/>
      <c r="L3647" s="491"/>
      <c r="M3647" s="491"/>
    </row>
    <row r="3648" spans="2:13" x14ac:dyDescent="0.25">
      <c r="B3648" s="491"/>
      <c r="C3648" s="491"/>
      <c r="D3648" s="491"/>
      <c r="E3648" s="491"/>
      <c r="F3648" s="491"/>
      <c r="G3648" s="491"/>
      <c r="H3648" s="491"/>
      <c r="I3648" s="491"/>
      <c r="J3648" s="491"/>
      <c r="K3648" s="491"/>
      <c r="L3648" s="491"/>
      <c r="M3648" s="491"/>
    </row>
    <row r="3649" spans="2:13" x14ac:dyDescent="0.25">
      <c r="B3649" s="491"/>
      <c r="C3649" s="491"/>
      <c r="D3649" s="491"/>
      <c r="E3649" s="491"/>
      <c r="F3649" s="491"/>
      <c r="G3649" s="491"/>
      <c r="H3649" s="491"/>
      <c r="I3649" s="491"/>
      <c r="J3649" s="491"/>
      <c r="K3649" s="491"/>
      <c r="L3649" s="491"/>
      <c r="M3649" s="491"/>
    </row>
    <row r="3650" spans="2:13" x14ac:dyDescent="0.25">
      <c r="B3650" s="491"/>
      <c r="C3650" s="491"/>
      <c r="D3650" s="491"/>
      <c r="E3650" s="491"/>
      <c r="F3650" s="491"/>
      <c r="G3650" s="491"/>
      <c r="H3650" s="491"/>
      <c r="I3650" s="491"/>
      <c r="J3650" s="491"/>
      <c r="K3650" s="491"/>
      <c r="L3650" s="491"/>
      <c r="M3650" s="491"/>
    </row>
    <row r="3651" spans="2:13" x14ac:dyDescent="0.25">
      <c r="B3651" s="491"/>
      <c r="C3651" s="491"/>
      <c r="D3651" s="491"/>
      <c r="E3651" s="491"/>
      <c r="F3651" s="491"/>
      <c r="G3651" s="491"/>
      <c r="H3651" s="491"/>
      <c r="I3651" s="491"/>
      <c r="J3651" s="491"/>
      <c r="K3651" s="491"/>
      <c r="L3651" s="491"/>
      <c r="M3651" s="491"/>
    </row>
    <row r="3652" spans="2:13" x14ac:dyDescent="0.25">
      <c r="B3652" s="491"/>
      <c r="C3652" s="491"/>
      <c r="D3652" s="491"/>
      <c r="E3652" s="491"/>
      <c r="F3652" s="491"/>
      <c r="G3652" s="491"/>
      <c r="H3652" s="491"/>
      <c r="I3652" s="491"/>
      <c r="J3652" s="491"/>
      <c r="K3652" s="491"/>
      <c r="L3652" s="491"/>
      <c r="M3652" s="491"/>
    </row>
    <row r="3653" spans="2:13" x14ac:dyDescent="0.25">
      <c r="B3653" s="491"/>
      <c r="C3653" s="491"/>
      <c r="D3653" s="491"/>
      <c r="E3653" s="491"/>
      <c r="F3653" s="491"/>
      <c r="G3653" s="491"/>
      <c r="H3653" s="491"/>
      <c r="I3653" s="491"/>
      <c r="J3653" s="491"/>
      <c r="K3653" s="491"/>
      <c r="L3653" s="491"/>
      <c r="M3653" s="491"/>
    </row>
    <row r="3654" spans="2:13" x14ac:dyDescent="0.25">
      <c r="B3654" s="491"/>
      <c r="C3654" s="491"/>
      <c r="D3654" s="491"/>
      <c r="E3654" s="491"/>
      <c r="F3654" s="491"/>
      <c r="G3654" s="491"/>
      <c r="H3654" s="491"/>
      <c r="I3654" s="491"/>
      <c r="J3654" s="491"/>
      <c r="K3654" s="491"/>
      <c r="L3654" s="491"/>
      <c r="M3654" s="491"/>
    </row>
    <row r="3655" spans="2:13" x14ac:dyDescent="0.25">
      <c r="B3655" s="491"/>
      <c r="C3655" s="491"/>
      <c r="D3655" s="491"/>
      <c r="E3655" s="491"/>
      <c r="F3655" s="491"/>
      <c r="G3655" s="491"/>
      <c r="H3655" s="491"/>
      <c r="I3655" s="491"/>
      <c r="J3655" s="491"/>
      <c r="K3655" s="491"/>
      <c r="L3655" s="491"/>
      <c r="M3655" s="491"/>
    </row>
    <row r="3656" spans="2:13" x14ac:dyDescent="0.25">
      <c r="B3656" s="491"/>
      <c r="C3656" s="491"/>
      <c r="D3656" s="491"/>
      <c r="E3656" s="491"/>
      <c r="F3656" s="491"/>
      <c r="G3656" s="491"/>
      <c r="H3656" s="491"/>
      <c r="I3656" s="491"/>
      <c r="J3656" s="491"/>
      <c r="K3656" s="491"/>
      <c r="L3656" s="491"/>
      <c r="M3656" s="491"/>
    </row>
    <row r="3657" spans="2:13" x14ac:dyDescent="0.25">
      <c r="B3657" s="491"/>
      <c r="C3657" s="491"/>
      <c r="D3657" s="491"/>
      <c r="E3657" s="491"/>
      <c r="F3657" s="491"/>
      <c r="G3657" s="491"/>
      <c r="H3657" s="491"/>
      <c r="I3657" s="491"/>
      <c r="J3657" s="491"/>
      <c r="K3657" s="491"/>
      <c r="L3657" s="491"/>
      <c r="M3657" s="491"/>
    </row>
    <row r="3658" spans="2:13" x14ac:dyDescent="0.25">
      <c r="B3658" s="491"/>
      <c r="C3658" s="491"/>
      <c r="D3658" s="491"/>
      <c r="E3658" s="491"/>
      <c r="F3658" s="491"/>
      <c r="G3658" s="491"/>
      <c r="H3658" s="491"/>
      <c r="I3658" s="491"/>
      <c r="J3658" s="491"/>
      <c r="K3658" s="491"/>
      <c r="L3658" s="491"/>
      <c r="M3658" s="491"/>
    </row>
    <row r="3659" spans="2:13" x14ac:dyDescent="0.25">
      <c r="B3659" s="491"/>
      <c r="C3659" s="491"/>
      <c r="D3659" s="491"/>
      <c r="E3659" s="491"/>
      <c r="F3659" s="491"/>
      <c r="G3659" s="491"/>
      <c r="H3659" s="491"/>
      <c r="I3659" s="491"/>
      <c r="J3659" s="491"/>
      <c r="K3659" s="491"/>
      <c r="L3659" s="491"/>
      <c r="M3659" s="491"/>
    </row>
    <row r="3660" spans="2:13" x14ac:dyDescent="0.25">
      <c r="B3660" s="491"/>
      <c r="C3660" s="491"/>
      <c r="D3660" s="491"/>
      <c r="E3660" s="491"/>
      <c r="F3660" s="491"/>
      <c r="G3660" s="491"/>
      <c r="H3660" s="491"/>
      <c r="I3660" s="491"/>
      <c r="J3660" s="491"/>
      <c r="K3660" s="491"/>
      <c r="L3660" s="491"/>
      <c r="M3660" s="491"/>
    </row>
    <row r="3661" spans="2:13" x14ac:dyDescent="0.25">
      <c r="B3661" s="491"/>
      <c r="C3661" s="491"/>
      <c r="D3661" s="491"/>
      <c r="E3661" s="491"/>
      <c r="F3661" s="491"/>
      <c r="G3661" s="491"/>
      <c r="H3661" s="491"/>
      <c r="I3661" s="491"/>
      <c r="J3661" s="491"/>
      <c r="K3661" s="491"/>
      <c r="L3661" s="491"/>
      <c r="M3661" s="491"/>
    </row>
    <row r="3662" spans="2:13" x14ac:dyDescent="0.25">
      <c r="B3662" s="491"/>
      <c r="C3662" s="491"/>
      <c r="D3662" s="491"/>
      <c r="E3662" s="491"/>
      <c r="F3662" s="491"/>
      <c r="G3662" s="491"/>
      <c r="H3662" s="491"/>
      <c r="I3662" s="491"/>
      <c r="J3662" s="491"/>
      <c r="K3662" s="491"/>
      <c r="L3662" s="491"/>
      <c r="M3662" s="491"/>
    </row>
    <row r="3663" spans="2:13" x14ac:dyDescent="0.25">
      <c r="B3663" s="491"/>
      <c r="C3663" s="491"/>
      <c r="D3663" s="491"/>
      <c r="E3663" s="491"/>
      <c r="F3663" s="491"/>
      <c r="G3663" s="491"/>
      <c r="H3663" s="491"/>
      <c r="I3663" s="491"/>
      <c r="J3663" s="491"/>
      <c r="K3663" s="491"/>
      <c r="L3663" s="491"/>
      <c r="M3663" s="491"/>
    </row>
    <row r="3664" spans="2:13" x14ac:dyDescent="0.25">
      <c r="B3664" s="491"/>
      <c r="C3664" s="491"/>
      <c r="D3664" s="491"/>
      <c r="E3664" s="491"/>
      <c r="F3664" s="491"/>
      <c r="G3664" s="491"/>
      <c r="H3664" s="491"/>
      <c r="I3664" s="491"/>
      <c r="J3664" s="491"/>
      <c r="K3664" s="491"/>
      <c r="L3664" s="491"/>
      <c r="M3664" s="491"/>
    </row>
    <row r="3665" spans="2:13" x14ac:dyDescent="0.25">
      <c r="B3665" s="491"/>
      <c r="C3665" s="491"/>
      <c r="D3665" s="491"/>
      <c r="E3665" s="491"/>
      <c r="F3665" s="491"/>
      <c r="G3665" s="491"/>
      <c r="H3665" s="491"/>
      <c r="I3665" s="491"/>
      <c r="J3665" s="491"/>
      <c r="K3665" s="491"/>
      <c r="L3665" s="491"/>
      <c r="M3665" s="491"/>
    </row>
    <row r="3666" spans="2:13" x14ac:dyDescent="0.25">
      <c r="B3666" s="491"/>
      <c r="C3666" s="491"/>
      <c r="D3666" s="491"/>
      <c r="E3666" s="491"/>
      <c r="F3666" s="491"/>
      <c r="G3666" s="491"/>
      <c r="H3666" s="491"/>
      <c r="I3666" s="491"/>
      <c r="J3666" s="491"/>
      <c r="K3666" s="491"/>
      <c r="L3666" s="491"/>
      <c r="M3666" s="491"/>
    </row>
    <row r="3667" spans="2:13" x14ac:dyDescent="0.25">
      <c r="B3667" s="491"/>
      <c r="C3667" s="491"/>
      <c r="D3667" s="491"/>
      <c r="E3667" s="491"/>
      <c r="F3667" s="491"/>
      <c r="G3667" s="491"/>
      <c r="H3667" s="491"/>
      <c r="I3667" s="491"/>
      <c r="J3667" s="491"/>
      <c r="K3667" s="491"/>
      <c r="L3667" s="491"/>
      <c r="M3667" s="491"/>
    </row>
    <row r="3668" spans="2:13" x14ac:dyDescent="0.25">
      <c r="B3668" s="491"/>
      <c r="C3668" s="491"/>
      <c r="D3668" s="491"/>
      <c r="E3668" s="491"/>
      <c r="F3668" s="491"/>
      <c r="G3668" s="491"/>
      <c r="H3668" s="491"/>
      <c r="I3668" s="491"/>
      <c r="J3668" s="491"/>
      <c r="K3668" s="491"/>
      <c r="L3668" s="491"/>
      <c r="M3668" s="491"/>
    </row>
    <row r="3669" spans="2:13" x14ac:dyDescent="0.25">
      <c r="B3669" s="491"/>
      <c r="C3669" s="491"/>
      <c r="D3669" s="491"/>
      <c r="E3669" s="491"/>
      <c r="F3669" s="491"/>
      <c r="G3669" s="491"/>
      <c r="H3669" s="491"/>
      <c r="I3669" s="491"/>
      <c r="J3669" s="491"/>
      <c r="K3669" s="491"/>
      <c r="L3669" s="491"/>
      <c r="M3669" s="491"/>
    </row>
    <row r="3670" spans="2:13" x14ac:dyDescent="0.25">
      <c r="B3670" s="491"/>
      <c r="C3670" s="491"/>
      <c r="D3670" s="491"/>
      <c r="E3670" s="491"/>
      <c r="F3670" s="491"/>
      <c r="G3670" s="491"/>
      <c r="H3670" s="491"/>
      <c r="I3670" s="491"/>
      <c r="J3670" s="491"/>
      <c r="K3670" s="491"/>
      <c r="L3670" s="491"/>
      <c r="M3670" s="491"/>
    </row>
    <row r="3671" spans="2:13" x14ac:dyDescent="0.25">
      <c r="B3671" s="491"/>
      <c r="C3671" s="491"/>
      <c r="D3671" s="491"/>
      <c r="E3671" s="491"/>
      <c r="F3671" s="491"/>
      <c r="G3671" s="491"/>
      <c r="H3671" s="491"/>
      <c r="I3671" s="491"/>
      <c r="J3671" s="491"/>
      <c r="K3671" s="491"/>
      <c r="L3671" s="491"/>
      <c r="M3671" s="491"/>
    </row>
    <row r="3672" spans="2:13" x14ac:dyDescent="0.25">
      <c r="B3672" s="491"/>
      <c r="C3672" s="491"/>
      <c r="D3672" s="491"/>
      <c r="E3672" s="491"/>
      <c r="F3672" s="491"/>
      <c r="G3672" s="491"/>
      <c r="H3672" s="491"/>
      <c r="I3672" s="491"/>
      <c r="J3672" s="491"/>
      <c r="K3672" s="491"/>
      <c r="L3672" s="491"/>
      <c r="M3672" s="491"/>
    </row>
    <row r="3673" spans="2:13" x14ac:dyDescent="0.25">
      <c r="B3673" s="491"/>
      <c r="C3673" s="491"/>
      <c r="D3673" s="491"/>
      <c r="E3673" s="491"/>
      <c r="F3673" s="491"/>
      <c r="G3673" s="491"/>
      <c r="H3673" s="491"/>
      <c r="I3673" s="491"/>
      <c r="J3673" s="491"/>
      <c r="K3673" s="491"/>
      <c r="L3673" s="491"/>
      <c r="M3673" s="491"/>
    </row>
    <row r="3674" spans="2:13" x14ac:dyDescent="0.25">
      <c r="B3674" s="491"/>
      <c r="C3674" s="491"/>
      <c r="D3674" s="491"/>
      <c r="E3674" s="491"/>
      <c r="F3674" s="491"/>
      <c r="G3674" s="491"/>
      <c r="H3674" s="491"/>
      <c r="I3674" s="491"/>
      <c r="J3674" s="491"/>
      <c r="K3674" s="491"/>
      <c r="L3674" s="491"/>
      <c r="M3674" s="491"/>
    </row>
    <row r="3675" spans="2:13" x14ac:dyDescent="0.25">
      <c r="B3675" s="491"/>
      <c r="C3675" s="491"/>
      <c r="D3675" s="491"/>
      <c r="E3675" s="491"/>
      <c r="F3675" s="491"/>
      <c r="G3675" s="491"/>
      <c r="H3675" s="491"/>
      <c r="I3675" s="491"/>
      <c r="J3675" s="491"/>
      <c r="K3675" s="491"/>
      <c r="L3675" s="491"/>
      <c r="M3675" s="491"/>
    </row>
    <row r="3676" spans="2:13" x14ac:dyDescent="0.25">
      <c r="B3676" s="491"/>
      <c r="C3676" s="491"/>
      <c r="D3676" s="491"/>
      <c r="E3676" s="491"/>
      <c r="F3676" s="491"/>
      <c r="G3676" s="491"/>
      <c r="H3676" s="491"/>
      <c r="I3676" s="491"/>
      <c r="J3676" s="491"/>
      <c r="K3676" s="491"/>
      <c r="L3676" s="491"/>
      <c r="M3676" s="491"/>
    </row>
    <row r="3677" spans="2:13" x14ac:dyDescent="0.25">
      <c r="B3677" s="491"/>
      <c r="C3677" s="491"/>
      <c r="D3677" s="491"/>
      <c r="E3677" s="491"/>
      <c r="F3677" s="491"/>
      <c r="G3677" s="491"/>
      <c r="H3677" s="491"/>
      <c r="I3677" s="491"/>
      <c r="J3677" s="491"/>
      <c r="K3677" s="491"/>
      <c r="L3677" s="491"/>
      <c r="M3677" s="491"/>
    </row>
    <row r="3678" spans="2:13" x14ac:dyDescent="0.25">
      <c r="B3678" s="491"/>
      <c r="C3678" s="491"/>
      <c r="D3678" s="491"/>
      <c r="E3678" s="491"/>
      <c r="F3678" s="491"/>
      <c r="G3678" s="491"/>
      <c r="H3678" s="491"/>
      <c r="I3678" s="491"/>
      <c r="J3678" s="491"/>
      <c r="K3678" s="491"/>
      <c r="L3678" s="491"/>
      <c r="M3678" s="491"/>
    </row>
    <row r="3679" spans="2:13" x14ac:dyDescent="0.25">
      <c r="B3679" s="491"/>
      <c r="C3679" s="491"/>
      <c r="D3679" s="491"/>
      <c r="E3679" s="491"/>
      <c r="F3679" s="491"/>
      <c r="G3679" s="491"/>
      <c r="H3679" s="491"/>
      <c r="I3679" s="491"/>
      <c r="J3679" s="491"/>
      <c r="K3679" s="491"/>
      <c r="L3679" s="491"/>
      <c r="M3679" s="491"/>
    </row>
    <row r="3680" spans="2:13" x14ac:dyDescent="0.25">
      <c r="B3680" s="491"/>
      <c r="C3680" s="491"/>
      <c r="D3680" s="491"/>
      <c r="E3680" s="491"/>
      <c r="F3680" s="491"/>
      <c r="G3680" s="491"/>
      <c r="H3680" s="491"/>
      <c r="I3680" s="491"/>
      <c r="J3680" s="491"/>
      <c r="K3680" s="491"/>
      <c r="L3680" s="491"/>
      <c r="M3680" s="491"/>
    </row>
    <row r="3681" spans="2:13" x14ac:dyDescent="0.25">
      <c r="B3681" s="491"/>
      <c r="C3681" s="491"/>
      <c r="D3681" s="491"/>
      <c r="E3681" s="491"/>
      <c r="F3681" s="491"/>
      <c r="G3681" s="491"/>
      <c r="H3681" s="491"/>
      <c r="I3681" s="491"/>
      <c r="J3681" s="491"/>
      <c r="K3681" s="491"/>
      <c r="L3681" s="491"/>
      <c r="M3681" s="491"/>
    </row>
    <row r="3682" spans="2:13" x14ac:dyDescent="0.25">
      <c r="B3682" s="491"/>
      <c r="C3682" s="491"/>
      <c r="D3682" s="491"/>
      <c r="E3682" s="491"/>
      <c r="F3682" s="491"/>
      <c r="G3682" s="491"/>
      <c r="H3682" s="491"/>
      <c r="I3682" s="491"/>
      <c r="J3682" s="491"/>
      <c r="K3682" s="491"/>
      <c r="L3682" s="491"/>
      <c r="M3682" s="491"/>
    </row>
    <row r="3683" spans="2:13" x14ac:dyDescent="0.25">
      <c r="B3683" s="491"/>
      <c r="C3683" s="491"/>
      <c r="D3683" s="491"/>
      <c r="E3683" s="491"/>
      <c r="F3683" s="491"/>
      <c r="G3683" s="491"/>
      <c r="H3683" s="491"/>
      <c r="I3683" s="491"/>
      <c r="J3683" s="491"/>
      <c r="K3683" s="491"/>
      <c r="L3683" s="491"/>
      <c r="M3683" s="491"/>
    </row>
    <row r="3684" spans="2:13" x14ac:dyDescent="0.25">
      <c r="B3684" s="491"/>
      <c r="C3684" s="491"/>
      <c r="D3684" s="491"/>
      <c r="E3684" s="491"/>
      <c r="F3684" s="491"/>
      <c r="G3684" s="491"/>
      <c r="H3684" s="491"/>
      <c r="I3684" s="491"/>
      <c r="J3684" s="491"/>
      <c r="K3684" s="491"/>
      <c r="L3684" s="491"/>
      <c r="M3684" s="491"/>
    </row>
    <row r="3685" spans="2:13" x14ac:dyDescent="0.25">
      <c r="B3685" s="491"/>
      <c r="C3685" s="491"/>
      <c r="D3685" s="491"/>
      <c r="E3685" s="491"/>
      <c r="F3685" s="491"/>
      <c r="G3685" s="491"/>
      <c r="H3685" s="491"/>
      <c r="I3685" s="491"/>
      <c r="J3685" s="491"/>
      <c r="K3685" s="491"/>
      <c r="L3685" s="491"/>
      <c r="M3685" s="491"/>
    </row>
    <row r="3686" spans="2:13" x14ac:dyDescent="0.25">
      <c r="B3686" s="491"/>
      <c r="C3686" s="491"/>
      <c r="D3686" s="491"/>
      <c r="E3686" s="491"/>
      <c r="F3686" s="491"/>
      <c r="G3686" s="491"/>
      <c r="H3686" s="491"/>
      <c r="I3686" s="491"/>
      <c r="J3686" s="491"/>
      <c r="K3686" s="491"/>
      <c r="L3686" s="491"/>
      <c r="M3686" s="491"/>
    </row>
    <row r="3687" spans="2:13" x14ac:dyDescent="0.25">
      <c r="B3687" s="491"/>
      <c r="C3687" s="491"/>
      <c r="D3687" s="491"/>
      <c r="E3687" s="491"/>
      <c r="F3687" s="491"/>
      <c r="G3687" s="491"/>
      <c r="H3687" s="491"/>
      <c r="I3687" s="491"/>
      <c r="J3687" s="491"/>
      <c r="K3687" s="491"/>
      <c r="L3687" s="491"/>
      <c r="M3687" s="491"/>
    </row>
    <row r="3688" spans="2:13" ht="13.8" thickBot="1" x14ac:dyDescent="0.3">
      <c r="B3688" s="88"/>
      <c r="C3688" s="88"/>
      <c r="D3688" s="88"/>
      <c r="E3688" s="88"/>
      <c r="F3688" s="88"/>
      <c r="G3688" s="88"/>
      <c r="H3688" s="88"/>
      <c r="I3688" s="88"/>
      <c r="J3688" s="88"/>
      <c r="K3688" s="88"/>
      <c r="L3688" s="88"/>
      <c r="M3688" s="88"/>
    </row>
    <row r="3689" spans="2:13" ht="13.8" thickTop="1" x14ac:dyDescent="0.25">
      <c r="B3689" s="89"/>
      <c r="C3689" s="89"/>
      <c r="D3689" s="89"/>
      <c r="E3689" s="89"/>
      <c r="F3689" s="89"/>
      <c r="G3689" s="89"/>
      <c r="H3689" s="89"/>
      <c r="I3689" s="89"/>
      <c r="J3689" s="89"/>
      <c r="K3689" s="89"/>
      <c r="L3689" s="89"/>
      <c r="M3689" s="89"/>
    </row>
    <row r="3691" spans="2:13" ht="13.8" thickBot="1" x14ac:dyDescent="0.3">
      <c r="B3691" s="90"/>
      <c r="C3691" s="90"/>
      <c r="D3691" s="90"/>
      <c r="E3691" s="90"/>
      <c r="F3691" s="90"/>
      <c r="G3691" s="90"/>
      <c r="H3691" s="90"/>
      <c r="I3691" s="90"/>
      <c r="J3691" s="90"/>
      <c r="K3691" s="90"/>
      <c r="L3691" s="90"/>
      <c r="M3691" s="90"/>
    </row>
    <row r="3692" spans="2:13" ht="13.8" thickTop="1" x14ac:dyDescent="0.25">
      <c r="B3692" s="27" t="s">
        <v>231</v>
      </c>
      <c r="C3692" s="91"/>
      <c r="D3692" s="91"/>
      <c r="E3692" s="91"/>
      <c r="F3692" s="91"/>
      <c r="G3692" s="91"/>
      <c r="H3692" s="91"/>
      <c r="I3692" s="91"/>
      <c r="J3692" s="91"/>
      <c r="K3692" s="91"/>
      <c r="L3692" s="91"/>
      <c r="M3692" s="31" t="s">
        <v>230</v>
      </c>
    </row>
    <row r="3693" spans="2:13" x14ac:dyDescent="0.25">
      <c r="B3693" s="88"/>
      <c r="C3693" s="88"/>
      <c r="D3693" s="88"/>
      <c r="E3693" s="88"/>
      <c r="F3693" s="88"/>
      <c r="G3693" s="88"/>
      <c r="H3693" s="88"/>
      <c r="I3693" s="88"/>
      <c r="J3693" s="88"/>
      <c r="K3693" s="88"/>
      <c r="L3693" s="88"/>
      <c r="M3693" s="88"/>
    </row>
    <row r="3694" spans="2:13" x14ac:dyDescent="0.25">
      <c r="B3694" s="433"/>
      <c r="C3694" s="433"/>
      <c r="D3694" s="433"/>
      <c r="E3694" s="433"/>
      <c r="F3694" s="433"/>
      <c r="G3694" s="433"/>
      <c r="H3694" s="433"/>
      <c r="I3694" s="433"/>
      <c r="J3694" s="433"/>
      <c r="K3694" s="433"/>
      <c r="L3694" s="433"/>
      <c r="M3694" s="433"/>
    </row>
    <row r="3695" spans="2:13" x14ac:dyDescent="0.25">
      <c r="B3695" s="433"/>
      <c r="C3695" s="433"/>
      <c r="D3695" s="433"/>
      <c r="E3695" s="433"/>
      <c r="F3695" s="433"/>
      <c r="G3695" s="433"/>
      <c r="H3695" s="433"/>
      <c r="I3695" s="433"/>
      <c r="J3695" s="433"/>
      <c r="K3695" s="433"/>
      <c r="L3695" s="433"/>
      <c r="M3695" s="433"/>
    </row>
    <row r="3696" spans="2:13" x14ac:dyDescent="0.25">
      <c r="B3696" s="433"/>
      <c r="C3696" s="433"/>
      <c r="D3696" s="433"/>
      <c r="E3696" s="433"/>
      <c r="F3696" s="433"/>
      <c r="G3696" s="433"/>
      <c r="H3696" s="433"/>
      <c r="I3696" s="433"/>
      <c r="J3696" s="433"/>
      <c r="K3696" s="433"/>
      <c r="L3696" s="433"/>
      <c r="M3696" s="433"/>
    </row>
    <row r="3697" spans="2:13" x14ac:dyDescent="0.25">
      <c r="B3697" s="433"/>
      <c r="C3697" s="433"/>
      <c r="D3697" s="433"/>
      <c r="E3697" s="433"/>
      <c r="F3697" s="433"/>
      <c r="G3697" s="433"/>
      <c r="H3697" s="433"/>
      <c r="I3697" s="433"/>
      <c r="J3697" s="433"/>
      <c r="K3697" s="433"/>
      <c r="L3697" s="433"/>
      <c r="M3697" s="433"/>
    </row>
    <row r="3698" spans="2:13" x14ac:dyDescent="0.25">
      <c r="B3698" s="433"/>
      <c r="C3698" s="433"/>
      <c r="D3698" s="433"/>
      <c r="E3698" s="433"/>
      <c r="F3698" s="433"/>
      <c r="G3698" s="433"/>
      <c r="H3698" s="433"/>
      <c r="I3698" s="433"/>
      <c r="J3698" s="433"/>
      <c r="K3698" s="433"/>
      <c r="L3698" s="433"/>
      <c r="M3698" s="433"/>
    </row>
    <row r="3699" spans="2:13" x14ac:dyDescent="0.25">
      <c r="B3699" s="433"/>
      <c r="C3699" s="433"/>
      <c r="D3699" s="433"/>
      <c r="E3699" s="433"/>
      <c r="F3699" s="433"/>
      <c r="G3699" s="433"/>
      <c r="H3699" s="433"/>
      <c r="I3699" s="433"/>
      <c r="J3699" s="433"/>
      <c r="K3699" s="433"/>
      <c r="L3699" s="433"/>
      <c r="M3699" s="433"/>
    </row>
    <row r="3700" spans="2:13" x14ac:dyDescent="0.25">
      <c r="B3700" s="433"/>
      <c r="C3700" s="433"/>
      <c r="D3700" s="433"/>
      <c r="E3700" s="433"/>
      <c r="F3700" s="433"/>
      <c r="G3700" s="433"/>
      <c r="H3700" s="433"/>
      <c r="I3700" s="433"/>
      <c r="J3700" s="433"/>
      <c r="K3700" s="433"/>
      <c r="L3700" s="433"/>
      <c r="M3700" s="433"/>
    </row>
    <row r="3701" spans="2:13" x14ac:dyDescent="0.25">
      <c r="B3701" s="433"/>
      <c r="C3701" s="433"/>
      <c r="D3701" s="433"/>
      <c r="E3701" s="433"/>
      <c r="F3701" s="433"/>
      <c r="G3701" s="433"/>
      <c r="H3701" s="433"/>
      <c r="I3701" s="433"/>
      <c r="J3701" s="433"/>
      <c r="K3701" s="433"/>
      <c r="L3701" s="433"/>
      <c r="M3701" s="433"/>
    </row>
    <row r="3702" spans="2:13" x14ac:dyDescent="0.25">
      <c r="B3702" s="433"/>
      <c r="C3702" s="433"/>
      <c r="D3702" s="433"/>
      <c r="E3702" s="433"/>
      <c r="F3702" s="433"/>
      <c r="G3702" s="433"/>
      <c r="H3702" s="433"/>
      <c r="I3702" s="433"/>
      <c r="J3702" s="433"/>
      <c r="K3702" s="433"/>
      <c r="L3702" s="433"/>
      <c r="M3702" s="433"/>
    </row>
    <row r="3703" spans="2:13" x14ac:dyDescent="0.25">
      <c r="B3703" s="433"/>
      <c r="C3703" s="433"/>
      <c r="D3703" s="433"/>
      <c r="E3703" s="433"/>
      <c r="F3703" s="433"/>
      <c r="G3703" s="433"/>
      <c r="H3703" s="433"/>
      <c r="I3703" s="433"/>
      <c r="J3703" s="433"/>
      <c r="K3703" s="433"/>
      <c r="L3703" s="433"/>
      <c r="M3703" s="433"/>
    </row>
    <row r="3704" spans="2:13" x14ac:dyDescent="0.25">
      <c r="B3704" s="433"/>
      <c r="C3704" s="433"/>
      <c r="D3704" s="433"/>
      <c r="E3704" s="433"/>
      <c r="F3704" s="433"/>
      <c r="G3704" s="433"/>
      <c r="H3704" s="433"/>
      <c r="I3704" s="433"/>
      <c r="J3704" s="433"/>
      <c r="K3704" s="433"/>
      <c r="L3704" s="433"/>
      <c r="M3704" s="433"/>
    </row>
    <row r="3705" spans="2:13" x14ac:dyDescent="0.25">
      <c r="B3705" s="433"/>
      <c r="C3705" s="433"/>
      <c r="D3705" s="433"/>
      <c r="E3705" s="433"/>
      <c r="F3705" s="433"/>
      <c r="G3705" s="433"/>
      <c r="H3705" s="433"/>
      <c r="I3705" s="433"/>
      <c r="J3705" s="433"/>
      <c r="K3705" s="433"/>
      <c r="L3705" s="433"/>
      <c r="M3705" s="433"/>
    </row>
    <row r="3706" spans="2:13" x14ac:dyDescent="0.25">
      <c r="B3706" s="433"/>
      <c r="C3706" s="433"/>
      <c r="D3706" s="433"/>
      <c r="E3706" s="433"/>
      <c r="F3706" s="433"/>
      <c r="G3706" s="433"/>
      <c r="H3706" s="433"/>
      <c r="I3706" s="433"/>
      <c r="J3706" s="433"/>
      <c r="K3706" s="433"/>
      <c r="L3706" s="433"/>
      <c r="M3706" s="433"/>
    </row>
    <row r="3707" spans="2:13" x14ac:dyDescent="0.25">
      <c r="B3707" s="433"/>
      <c r="C3707" s="433"/>
      <c r="D3707" s="433"/>
      <c r="E3707" s="433"/>
      <c r="F3707" s="433"/>
      <c r="G3707" s="433"/>
      <c r="H3707" s="433"/>
      <c r="I3707" s="433"/>
      <c r="J3707" s="433"/>
      <c r="K3707" s="433"/>
      <c r="L3707" s="433"/>
      <c r="M3707" s="433"/>
    </row>
    <row r="3708" spans="2:13" x14ac:dyDescent="0.25">
      <c r="B3708" s="433"/>
      <c r="C3708" s="433"/>
      <c r="D3708" s="433"/>
      <c r="E3708" s="433"/>
      <c r="F3708" s="433"/>
      <c r="G3708" s="433"/>
      <c r="H3708" s="433"/>
      <c r="I3708" s="433"/>
      <c r="J3708" s="433"/>
      <c r="K3708" s="433"/>
      <c r="L3708" s="433"/>
      <c r="M3708" s="433"/>
    </row>
    <row r="3709" spans="2:13" x14ac:dyDescent="0.25">
      <c r="B3709" s="433"/>
      <c r="C3709" s="433"/>
      <c r="D3709" s="433"/>
      <c r="E3709" s="433"/>
      <c r="F3709" s="433"/>
      <c r="G3709" s="433"/>
      <c r="H3709" s="433"/>
      <c r="I3709" s="433"/>
      <c r="J3709" s="433"/>
      <c r="K3709" s="433"/>
      <c r="L3709" s="433"/>
      <c r="M3709" s="433"/>
    </row>
    <row r="3710" spans="2:13" x14ac:dyDescent="0.25">
      <c r="B3710" s="433"/>
      <c r="C3710" s="433"/>
      <c r="D3710" s="433"/>
      <c r="E3710" s="433"/>
      <c r="F3710" s="433"/>
      <c r="G3710" s="433"/>
      <c r="H3710" s="433"/>
      <c r="I3710" s="433"/>
      <c r="J3710" s="433"/>
      <c r="K3710" s="433"/>
      <c r="L3710" s="433"/>
      <c r="M3710" s="433"/>
    </row>
    <row r="3711" spans="2:13" x14ac:dyDescent="0.25">
      <c r="B3711" s="433"/>
      <c r="C3711" s="433"/>
      <c r="D3711" s="433"/>
      <c r="E3711" s="433"/>
      <c r="F3711" s="433"/>
      <c r="G3711" s="433"/>
      <c r="H3711" s="433"/>
      <c r="I3711" s="433"/>
      <c r="J3711" s="433"/>
      <c r="K3711" s="433"/>
      <c r="L3711" s="433"/>
      <c r="M3711" s="433"/>
    </row>
    <row r="3712" spans="2:13" x14ac:dyDescent="0.25">
      <c r="B3712" s="433"/>
      <c r="C3712" s="433"/>
      <c r="D3712" s="433"/>
      <c r="E3712" s="433"/>
      <c r="F3712" s="433"/>
      <c r="G3712" s="433"/>
      <c r="H3712" s="433"/>
      <c r="I3712" s="433"/>
      <c r="J3712" s="433"/>
      <c r="K3712" s="433"/>
      <c r="L3712" s="433"/>
      <c r="M3712" s="433"/>
    </row>
    <row r="3713" spans="2:13" x14ac:dyDescent="0.25">
      <c r="B3713" s="433"/>
      <c r="C3713" s="433"/>
      <c r="D3713" s="433"/>
      <c r="E3713" s="433"/>
      <c r="F3713" s="433"/>
      <c r="G3713" s="433"/>
      <c r="H3713" s="433"/>
      <c r="I3713" s="433"/>
      <c r="J3713" s="433"/>
      <c r="K3713" s="433"/>
      <c r="L3713" s="433"/>
      <c r="M3713" s="433"/>
    </row>
    <row r="3714" spans="2:13" x14ac:dyDescent="0.25">
      <c r="B3714" s="433"/>
      <c r="C3714" s="433"/>
      <c r="D3714" s="433"/>
      <c r="E3714" s="433"/>
      <c r="F3714" s="433"/>
      <c r="G3714" s="433"/>
      <c r="H3714" s="433"/>
      <c r="I3714" s="433"/>
      <c r="J3714" s="433"/>
      <c r="K3714" s="433"/>
      <c r="L3714" s="433"/>
      <c r="M3714" s="433"/>
    </row>
    <row r="3715" spans="2:13" x14ac:dyDescent="0.25">
      <c r="B3715" s="433"/>
      <c r="C3715" s="433"/>
      <c r="D3715" s="433"/>
      <c r="E3715" s="433"/>
      <c r="F3715" s="433"/>
      <c r="G3715" s="433"/>
      <c r="H3715" s="433"/>
      <c r="I3715" s="433"/>
      <c r="J3715" s="433"/>
      <c r="K3715" s="433"/>
      <c r="L3715" s="433"/>
      <c r="M3715" s="433"/>
    </row>
    <row r="3716" spans="2:13" x14ac:dyDescent="0.25">
      <c r="B3716" s="433"/>
      <c r="C3716" s="433"/>
      <c r="D3716" s="433"/>
      <c r="E3716" s="433"/>
      <c r="F3716" s="433"/>
      <c r="G3716" s="433"/>
      <c r="H3716" s="433"/>
      <c r="I3716" s="433"/>
      <c r="J3716" s="433"/>
      <c r="K3716" s="433"/>
      <c r="L3716" s="433"/>
      <c r="M3716" s="433"/>
    </row>
    <row r="3717" spans="2:13" x14ac:dyDescent="0.25">
      <c r="B3717" s="433"/>
      <c r="C3717" s="433"/>
      <c r="D3717" s="433"/>
      <c r="E3717" s="433"/>
      <c r="F3717" s="433"/>
      <c r="G3717" s="433"/>
      <c r="H3717" s="433"/>
      <c r="I3717" s="433"/>
      <c r="J3717" s="433"/>
      <c r="K3717" s="433"/>
      <c r="L3717" s="433"/>
      <c r="M3717" s="433"/>
    </row>
    <row r="3718" spans="2:13" x14ac:dyDescent="0.25">
      <c r="B3718" s="433"/>
      <c r="C3718" s="433"/>
      <c r="D3718" s="433"/>
      <c r="E3718" s="433"/>
      <c r="F3718" s="433"/>
      <c r="G3718" s="433"/>
      <c r="H3718" s="433"/>
      <c r="I3718" s="433"/>
      <c r="J3718" s="433"/>
      <c r="K3718" s="433"/>
      <c r="L3718" s="433"/>
      <c r="M3718" s="433"/>
    </row>
    <row r="3719" spans="2:13" x14ac:dyDescent="0.25">
      <c r="B3719" s="433"/>
      <c r="C3719" s="433"/>
      <c r="D3719" s="433"/>
      <c r="E3719" s="433"/>
      <c r="F3719" s="433"/>
      <c r="G3719" s="433"/>
      <c r="H3719" s="433"/>
      <c r="I3719" s="433"/>
      <c r="J3719" s="433"/>
      <c r="K3719" s="433"/>
      <c r="L3719" s="433"/>
      <c r="M3719" s="433"/>
    </row>
    <row r="3720" spans="2:13" x14ac:dyDescent="0.25">
      <c r="B3720" s="433"/>
      <c r="C3720" s="433"/>
      <c r="D3720" s="433"/>
      <c r="E3720" s="433"/>
      <c r="F3720" s="433"/>
      <c r="G3720" s="433"/>
      <c r="H3720" s="433"/>
      <c r="I3720" s="433"/>
      <c r="J3720" s="433"/>
      <c r="K3720" s="433"/>
      <c r="L3720" s="433"/>
      <c r="M3720" s="433"/>
    </row>
    <row r="3721" spans="2:13" x14ac:dyDescent="0.25">
      <c r="B3721" s="433"/>
      <c r="C3721" s="433"/>
      <c r="D3721" s="433"/>
      <c r="E3721" s="433"/>
      <c r="F3721" s="433"/>
      <c r="G3721" s="433"/>
      <c r="H3721" s="433"/>
      <c r="I3721" s="433"/>
      <c r="J3721" s="433"/>
      <c r="K3721" s="433"/>
      <c r="L3721" s="433"/>
      <c r="M3721" s="433"/>
    </row>
    <row r="3722" spans="2:13" x14ac:dyDescent="0.25">
      <c r="B3722" s="433"/>
      <c r="C3722" s="433"/>
      <c r="D3722" s="433"/>
      <c r="E3722" s="433"/>
      <c r="F3722" s="433"/>
      <c r="G3722" s="433"/>
      <c r="H3722" s="433"/>
      <c r="I3722" s="433"/>
      <c r="J3722" s="433"/>
      <c r="K3722" s="433"/>
      <c r="L3722" s="433"/>
      <c r="M3722" s="433"/>
    </row>
    <row r="3723" spans="2:13" x14ac:dyDescent="0.25">
      <c r="B3723" s="433"/>
      <c r="C3723" s="433"/>
      <c r="D3723" s="433"/>
      <c r="E3723" s="433"/>
      <c r="F3723" s="433"/>
      <c r="G3723" s="433"/>
      <c r="H3723" s="433"/>
      <c r="I3723" s="433"/>
      <c r="J3723" s="433"/>
      <c r="K3723" s="433"/>
      <c r="L3723" s="433"/>
      <c r="M3723" s="433"/>
    </row>
    <row r="3724" spans="2:13" x14ac:dyDescent="0.25">
      <c r="B3724" s="433"/>
      <c r="C3724" s="433"/>
      <c r="D3724" s="433"/>
      <c r="E3724" s="433"/>
      <c r="F3724" s="433"/>
      <c r="G3724" s="433"/>
      <c r="H3724" s="433"/>
      <c r="I3724" s="433"/>
      <c r="J3724" s="433"/>
      <c r="K3724" s="433"/>
      <c r="L3724" s="433"/>
      <c r="M3724" s="433"/>
    </row>
    <row r="3725" spans="2:13" x14ac:dyDescent="0.25">
      <c r="B3725" s="433"/>
      <c r="C3725" s="433"/>
      <c r="D3725" s="433"/>
      <c r="E3725" s="433"/>
      <c r="F3725" s="433"/>
      <c r="G3725" s="433"/>
      <c r="H3725" s="433"/>
      <c r="I3725" s="433"/>
      <c r="J3725" s="433"/>
      <c r="K3725" s="433"/>
      <c r="L3725" s="433"/>
      <c r="M3725" s="433"/>
    </row>
    <row r="3726" spans="2:13" x14ac:dyDescent="0.25">
      <c r="B3726" s="433"/>
      <c r="C3726" s="433"/>
      <c r="D3726" s="433"/>
      <c r="E3726" s="433"/>
      <c r="F3726" s="433"/>
      <c r="G3726" s="433"/>
      <c r="H3726" s="433"/>
      <c r="I3726" s="433"/>
      <c r="J3726" s="433"/>
      <c r="K3726" s="433"/>
      <c r="L3726" s="433"/>
      <c r="M3726" s="433"/>
    </row>
    <row r="3727" spans="2:13" x14ac:dyDescent="0.25">
      <c r="B3727" s="433"/>
      <c r="C3727" s="433"/>
      <c r="D3727" s="433"/>
      <c r="E3727" s="433"/>
      <c r="F3727" s="433"/>
      <c r="G3727" s="433"/>
      <c r="H3727" s="433"/>
      <c r="I3727" s="433"/>
      <c r="J3727" s="433"/>
      <c r="K3727" s="433"/>
      <c r="L3727" s="433"/>
      <c r="M3727" s="433"/>
    </row>
    <row r="3728" spans="2:13" x14ac:dyDescent="0.25">
      <c r="B3728" s="433"/>
      <c r="C3728" s="433"/>
      <c r="D3728" s="433"/>
      <c r="E3728" s="433"/>
      <c r="F3728" s="433"/>
      <c r="G3728" s="433"/>
      <c r="H3728" s="433"/>
      <c r="I3728" s="433"/>
      <c r="J3728" s="433"/>
      <c r="K3728" s="433"/>
      <c r="L3728" s="433"/>
      <c r="M3728" s="433"/>
    </row>
    <row r="3729" spans="2:13" x14ac:dyDescent="0.25">
      <c r="B3729" s="433"/>
      <c r="C3729" s="433"/>
      <c r="D3729" s="433"/>
      <c r="E3729" s="433"/>
      <c r="F3729" s="433"/>
      <c r="G3729" s="433"/>
      <c r="H3729" s="433"/>
      <c r="I3729" s="433"/>
      <c r="J3729" s="433"/>
      <c r="K3729" s="433"/>
      <c r="L3729" s="433"/>
      <c r="M3729" s="433"/>
    </row>
    <row r="3730" spans="2:13" x14ac:dyDescent="0.25">
      <c r="B3730" s="433"/>
      <c r="C3730" s="433"/>
      <c r="D3730" s="433"/>
      <c r="E3730" s="433"/>
      <c r="F3730" s="433"/>
      <c r="G3730" s="433"/>
      <c r="H3730" s="433"/>
      <c r="I3730" s="433"/>
      <c r="J3730" s="433"/>
      <c r="K3730" s="433"/>
      <c r="L3730" s="433"/>
      <c r="M3730" s="433"/>
    </row>
    <row r="3731" spans="2:13" x14ac:dyDescent="0.25">
      <c r="B3731" s="433"/>
      <c r="C3731" s="433"/>
      <c r="D3731" s="433"/>
      <c r="E3731" s="433"/>
      <c r="F3731" s="433"/>
      <c r="G3731" s="433"/>
      <c r="H3731" s="433"/>
      <c r="I3731" s="433"/>
      <c r="J3731" s="433"/>
      <c r="K3731" s="433"/>
      <c r="L3731" s="433"/>
      <c r="M3731" s="433"/>
    </row>
    <row r="3732" spans="2:13" x14ac:dyDescent="0.25">
      <c r="B3732" s="433"/>
      <c r="C3732" s="433"/>
      <c r="D3732" s="433"/>
      <c r="E3732" s="433"/>
      <c r="F3732" s="433"/>
      <c r="G3732" s="433"/>
      <c r="H3732" s="433"/>
      <c r="I3732" s="433"/>
      <c r="J3732" s="433"/>
      <c r="K3732" s="433"/>
      <c r="L3732" s="433"/>
      <c r="M3732" s="433"/>
    </row>
    <row r="3733" spans="2:13" x14ac:dyDescent="0.25">
      <c r="B3733" s="433"/>
      <c r="C3733" s="433"/>
      <c r="D3733" s="433"/>
      <c r="E3733" s="433"/>
      <c r="F3733" s="433"/>
      <c r="G3733" s="433"/>
      <c r="H3733" s="433"/>
      <c r="I3733" s="433"/>
      <c r="J3733" s="433"/>
      <c r="K3733" s="433"/>
      <c r="L3733" s="433"/>
      <c r="M3733" s="433"/>
    </row>
    <row r="3734" spans="2:13" x14ac:dyDescent="0.25">
      <c r="B3734" s="433"/>
      <c r="C3734" s="433"/>
      <c r="D3734" s="433"/>
      <c r="E3734" s="433"/>
      <c r="F3734" s="433"/>
      <c r="G3734" s="433"/>
      <c r="H3734" s="433"/>
      <c r="I3734" s="433"/>
      <c r="J3734" s="433"/>
      <c r="K3734" s="433"/>
      <c r="L3734" s="433"/>
      <c r="M3734" s="433"/>
    </row>
    <row r="3735" spans="2:13" x14ac:dyDescent="0.25">
      <c r="B3735" s="433"/>
      <c r="C3735" s="433"/>
      <c r="D3735" s="433"/>
      <c r="E3735" s="433"/>
      <c r="F3735" s="433"/>
      <c r="G3735" s="433"/>
      <c r="H3735" s="433"/>
      <c r="I3735" s="433"/>
      <c r="J3735" s="433"/>
      <c r="K3735" s="433"/>
      <c r="L3735" s="433"/>
      <c r="M3735" s="433"/>
    </row>
    <row r="3736" spans="2:13" x14ac:dyDescent="0.25">
      <c r="B3736" s="433"/>
      <c r="C3736" s="433"/>
      <c r="D3736" s="433"/>
      <c r="E3736" s="433"/>
      <c r="F3736" s="433"/>
      <c r="G3736" s="433"/>
      <c r="H3736" s="433"/>
      <c r="I3736" s="433"/>
      <c r="J3736" s="433"/>
      <c r="K3736" s="433"/>
      <c r="L3736" s="433"/>
      <c r="M3736" s="433"/>
    </row>
    <row r="3737" spans="2:13" x14ac:dyDescent="0.25">
      <c r="B3737" s="433"/>
      <c r="C3737" s="433"/>
      <c r="D3737" s="433"/>
      <c r="E3737" s="433"/>
      <c r="F3737" s="433"/>
      <c r="G3737" s="433"/>
      <c r="H3737" s="433"/>
      <c r="I3737" s="433"/>
      <c r="J3737" s="433"/>
      <c r="K3737" s="433"/>
      <c r="L3737" s="433"/>
      <c r="M3737" s="433"/>
    </row>
    <row r="3738" spans="2:13" x14ac:dyDescent="0.25">
      <c r="B3738" s="433"/>
      <c r="C3738" s="433"/>
      <c r="D3738" s="433"/>
      <c r="E3738" s="433"/>
      <c r="F3738" s="433"/>
      <c r="G3738" s="433"/>
      <c r="H3738" s="433"/>
      <c r="I3738" s="433"/>
      <c r="J3738" s="433"/>
      <c r="K3738" s="433"/>
      <c r="L3738" s="433"/>
      <c r="M3738" s="433"/>
    </row>
    <row r="3739" spans="2:13" x14ac:dyDescent="0.25">
      <c r="B3739" s="433"/>
      <c r="C3739" s="433"/>
      <c r="D3739" s="433"/>
      <c r="E3739" s="433"/>
      <c r="F3739" s="433"/>
      <c r="G3739" s="433"/>
      <c r="H3739" s="433"/>
      <c r="I3739" s="433"/>
      <c r="J3739" s="433"/>
      <c r="K3739" s="433"/>
      <c r="L3739" s="433"/>
      <c r="M3739" s="433"/>
    </row>
    <row r="3740" spans="2:13" x14ac:dyDescent="0.25">
      <c r="B3740" s="433"/>
      <c r="C3740" s="433"/>
      <c r="D3740" s="433"/>
      <c r="E3740" s="433"/>
      <c r="F3740" s="433"/>
      <c r="G3740" s="433"/>
      <c r="H3740" s="433"/>
      <c r="I3740" s="433"/>
      <c r="J3740" s="433"/>
      <c r="K3740" s="433"/>
      <c r="L3740" s="433"/>
      <c r="M3740" s="433"/>
    </row>
    <row r="3741" spans="2:13" x14ac:dyDescent="0.25">
      <c r="B3741" s="433"/>
      <c r="C3741" s="433"/>
      <c r="D3741" s="433"/>
      <c r="E3741" s="433"/>
      <c r="F3741" s="433"/>
      <c r="G3741" s="433"/>
      <c r="H3741" s="433"/>
      <c r="I3741" s="433"/>
      <c r="J3741" s="433"/>
      <c r="K3741" s="433"/>
      <c r="L3741" s="433"/>
      <c r="M3741" s="433"/>
    </row>
    <row r="3743" spans="2:13" x14ac:dyDescent="0.25">
      <c r="B3743" s="15" t="s">
        <v>220</v>
      </c>
      <c r="D3743" s="57"/>
      <c r="H3743" s="58"/>
      <c r="K3743" s="21"/>
    </row>
    <row r="3746" spans="2:13" x14ac:dyDescent="0.25">
      <c r="D3746" s="57"/>
      <c r="H3746" s="58"/>
      <c r="K3746" s="438" t="s">
        <v>155</v>
      </c>
      <c r="L3746" s="438"/>
      <c r="M3746" s="438"/>
    </row>
    <row r="3747" spans="2:13" x14ac:dyDescent="0.25">
      <c r="D3747" s="57"/>
      <c r="E3747" s="12"/>
      <c r="F3747" s="12"/>
      <c r="G3747" s="12"/>
      <c r="H3747" s="13"/>
      <c r="I3747" s="12"/>
      <c r="K3747" s="438"/>
      <c r="L3747" s="438"/>
      <c r="M3747" s="438"/>
    </row>
    <row r="3748" spans="2:13" x14ac:dyDescent="0.25">
      <c r="D3748" s="57"/>
      <c r="E3748" s="12"/>
      <c r="F3748" s="12"/>
      <c r="G3748" s="12"/>
      <c r="H3748" s="12"/>
      <c r="I3748" s="12"/>
      <c r="K3748" s="438"/>
      <c r="L3748" s="438"/>
      <c r="M3748" s="438"/>
    </row>
    <row r="3749" spans="2:13" x14ac:dyDescent="0.25">
      <c r="D3749" s="57"/>
      <c r="E3749" s="12"/>
      <c r="F3749" s="12"/>
      <c r="G3749" s="12"/>
      <c r="H3749" s="12"/>
      <c r="I3749" s="12"/>
      <c r="K3749" s="438"/>
      <c r="L3749" s="438"/>
      <c r="M3749" s="438"/>
    </row>
    <row r="3750" spans="2:13" x14ac:dyDescent="0.25">
      <c r="D3750" s="57"/>
      <c r="E3750" s="12"/>
      <c r="F3750" s="12"/>
      <c r="G3750" s="12"/>
      <c r="H3750" s="12"/>
      <c r="I3750" s="12"/>
      <c r="K3750" s="21"/>
    </row>
    <row r="3751" spans="2:13" ht="13.8" thickBot="1" x14ac:dyDescent="0.3">
      <c r="B3751" s="60"/>
      <c r="C3751" s="60"/>
      <c r="D3751" s="60"/>
      <c r="E3751" s="60"/>
      <c r="F3751" s="60"/>
      <c r="G3751" s="60"/>
      <c r="H3751" s="60"/>
      <c r="I3751" s="60"/>
      <c r="J3751" s="60"/>
      <c r="K3751" s="60"/>
      <c r="L3751" s="60"/>
      <c r="M3751" s="60"/>
    </row>
    <row r="3752" spans="2:13" ht="13.8" thickTop="1" x14ac:dyDescent="0.25"/>
    <row r="3754" spans="2:13" x14ac:dyDescent="0.25">
      <c r="B3754" s="24" t="s">
        <v>128</v>
      </c>
    </row>
    <row r="3841" spans="23:26" x14ac:dyDescent="0.25">
      <c r="W3841" s="144" t="str">
        <f>IF(T3841=0,"",T3841)</f>
        <v/>
      </c>
      <c r="X3841" s="144" t="str">
        <f>IF(U3841=0,"",U3841)</f>
        <v/>
      </c>
      <c r="Y3841" s="144" t="str">
        <f>IF(V3841="","",IF(W3841="",(V3841&amp;"/"&amp;"1"&amp;"/"&amp;"1"),IF(X3841="",(V3841&amp;"/"&amp;W3841&amp;"/"&amp;"1"),(V3841&amp;"/"&amp;W3841&amp;"/"&amp;X3841))))</f>
        <v/>
      </c>
      <c r="Z3841" s="144" t="str">
        <f>IF(Y3841="//","",Y3841)</f>
        <v/>
      </c>
    </row>
    <row r="3842" spans="23:26" ht="25.5" customHeight="1" x14ac:dyDescent="0.25">
      <c r="W3842" s="144" t="str">
        <f>IF(T3842=0,"",T3842)</f>
        <v/>
      </c>
      <c r="X3842" s="144" t="str">
        <f>IF(U3842=0,"",U3842)</f>
        <v/>
      </c>
      <c r="Y3842" s="144" t="str">
        <f>IF(V3842="","",IF(W3842="",(V3842&amp;"/"&amp;"1"&amp;"/"&amp;"1"),IF(X3842="",(V3842&amp;"/"&amp;W3842&amp;"/"&amp;"1"),(V3842&amp;"/"&amp;W3842&amp;"/"&amp;X3842))))</f>
        <v/>
      </c>
      <c r="Z3842" s="144" t="str">
        <f>IF(Y3842="//","",Y3842)</f>
        <v/>
      </c>
    </row>
    <row r="3900" spans="2:12" ht="13.8" thickBot="1" x14ac:dyDescent="0.3">
      <c r="B3900">
        <f>$D$1</f>
        <v>0</v>
      </c>
      <c r="C3900" s="24" t="s">
        <v>128</v>
      </c>
      <c r="D3900" s="25" t="s">
        <v>129</v>
      </c>
    </row>
    <row r="3901" spans="2:12" ht="13.5" customHeight="1" thickTop="1" x14ac:dyDescent="0.25">
      <c r="B3901" s="27" t="s">
        <v>232</v>
      </c>
      <c r="C3901" s="28"/>
      <c r="D3901" s="27" t="s">
        <v>233</v>
      </c>
      <c r="E3901" s="27"/>
      <c r="F3901" s="30"/>
      <c r="G3901" s="28"/>
      <c r="H3901" s="28"/>
      <c r="I3901" s="31"/>
      <c r="J3901" s="27"/>
      <c r="K3901" s="510" t="str">
        <f>$L$39</f>
        <v>X.002-218-2024(NT)&amp;N.004-116-2024(T)</v>
      </c>
      <c r="L3901" s="510"/>
    </row>
    <row r="3902" spans="2:12" ht="12.75" customHeight="1" x14ac:dyDescent="0.25">
      <c r="E3902" s="34"/>
      <c r="F3902" s="35"/>
      <c r="G3902" s="36"/>
      <c r="I3902" s="10"/>
      <c r="J3902" s="37"/>
      <c r="K3902" s="465"/>
      <c r="L3902" s="465"/>
    </row>
    <row r="3904" spans="2:12" ht="16.5" customHeight="1" x14ac:dyDescent="0.25">
      <c r="C3904" s="310" t="s">
        <v>234</v>
      </c>
      <c r="D3904" s="12">
        <v>2</v>
      </c>
    </row>
    <row r="3906" spans="2:12" ht="25.5" customHeight="1" x14ac:dyDescent="0.25">
      <c r="B3906" s="374" t="str">
        <f>IF(D3904&gt;=2,"Name of 1st Targeted Enterprise / Subcontractor:","")</f>
        <v>Name of 1st Targeted Enterprise / Subcontractor:</v>
      </c>
      <c r="C3906" s="457"/>
      <c r="D3906" s="458"/>
      <c r="E3906" s="458"/>
      <c r="F3906" s="458"/>
      <c r="I3906" s="310" t="str">
        <f>IF(D3904&gt;=2,"State whether the Targeted Enterprise / Subcontractor is an EME or QSE:","")</f>
        <v>State whether the Targeted Enterprise / Subcontractor is an EME or QSE:</v>
      </c>
      <c r="J3906" s="313"/>
      <c r="K3906" s="453"/>
      <c r="L3906" s="453"/>
    </row>
    <row r="3908" spans="2:12" ht="50.25" customHeight="1" x14ac:dyDescent="0.25">
      <c r="B3908" s="453" t="str">
        <f>IF(D3904&gt;=2,"% Black Ownership of Targeted Enterprise / Subcontractor:","")</f>
        <v>% Black Ownership of Targeted Enterprise / Subcontractor:</v>
      </c>
      <c r="C3908" s="453"/>
      <c r="D3908" s="312"/>
      <c r="E3908" s="453" t="str">
        <f>IF(D3904&gt;=2,"B-BBEE status level of Targeted Enterprise / Subcontractor  (provide scorecard or affidavit as proof) :","")</f>
        <v>B-BBEE status level of Targeted Enterprise / Subcontractor  (provide scorecard or affidavit as proof) :</v>
      </c>
      <c r="F3908" s="453"/>
      <c r="G3908" s="453"/>
      <c r="H3908" s="311"/>
      <c r="I3908" s="456" t="str">
        <f>IF(D3904&gt;=2,"% of Contract Price (excl provisional &amp; prime cost sums and the respective tendered mark-up (if any)) but including provision for site supervision staff (payment item 3.7.4(a) and (b)) to be performed by this Targeted Enterprise)" &amp; " (Note to tenderer: the percentage tendered should comply with the minimum percentage as stated in Clause 4.1.1 of the Tender Data)","")</f>
        <v>% of Contract Price (excl provisional &amp; prime cost sums and the respective tendered mark-up (if any)) but including provision for site supervision staff (payment item 3.7.4(a) and (b)) to be performed by this Targeted Enterprise) (Note to tenderer: the percentage tendered should comply with the minimum percentage as stated in Clause 4.1.1 of the Tender Data)</v>
      </c>
      <c r="J3908" s="456"/>
      <c r="K3908" s="456"/>
      <c r="L3908" s="456"/>
    </row>
    <row r="3910" spans="2:12" ht="51" customHeight="1" x14ac:dyDescent="0.25">
      <c r="B3910" s="375" t="str">
        <f>IF(D3904&gt;=2,"Location of Head Office and other offices (if any) (provide addresses and contact numbers)","")</f>
        <v>Location of Head Office and other offices (if any) (provide addresses and contact numbers)</v>
      </c>
      <c r="C3910" s="459"/>
      <c r="D3910" s="459"/>
      <c r="E3910" s="459"/>
      <c r="F3910" s="376" t="str">
        <f>IF(D3904&gt;=2,"Is the TE Based in the Province of the project?","")</f>
        <v>Is the TE Based in the Province of the project?</v>
      </c>
      <c r="G3910" s="210"/>
      <c r="H3910" s="454" t="str">
        <f>IF(D3904&gt;=2,"Is the Targeted Enterprise a Consulting Engineering Firm as stated in the Conditions of Contract in Clause 1: Definitions?","")</f>
        <v>Is the Targeted Enterprise a Consulting Engineering Firm as stated in the Conditions of Contract in Clause 1: Definitions?</v>
      </c>
      <c r="I3910" s="454"/>
      <c r="J3910" s="211"/>
      <c r="K3910" s="453" t="str">
        <f>IF(D3904&gt;=2,"Provide SARS Tax Reference Number:
 (Attach scanned copy of current valid Tax Clearance Certificate as proof or refer to Form C1.1.5)","")</f>
        <v>Provide SARS Tax Reference Number:
 (Attach scanned copy of current valid Tax Clearance Certificate as proof or refer to Form C1.1.5)</v>
      </c>
      <c r="L3910" s="453"/>
    </row>
    <row r="3911" spans="2:12" x14ac:dyDescent="0.25">
      <c r="G3911" t="str">
        <f>IF(D3904&gt;=2,"If Yes, attach proof of address","")</f>
        <v>If Yes, attach proof of address</v>
      </c>
    </row>
    <row r="3914" spans="2:12" ht="25.5" customHeight="1" x14ac:dyDescent="0.25">
      <c r="B3914" s="374" t="str">
        <f>IF(D3904&gt;=3,"Name of 2nd Targeted Enterprise / Subcontractor:","")</f>
        <v/>
      </c>
      <c r="C3914" s="457"/>
      <c r="D3914" s="458"/>
      <c r="E3914" s="458"/>
      <c r="F3914" s="458"/>
      <c r="I3914" s="310" t="str">
        <f>IF(D3904&gt;=3,"State whether the Targeted Enterprise / Subcontractor is an EME or QSE:","")</f>
        <v/>
      </c>
      <c r="J3914" s="313"/>
      <c r="K3914" s="453"/>
      <c r="L3914" s="453"/>
    </row>
    <row r="3916" spans="2:12" ht="49.5" customHeight="1" x14ac:dyDescent="0.25">
      <c r="B3916" s="454" t="str">
        <f>IF(D3904&gt;=3,"% Black Ownership of Targeted Enterprise / Subcontractor:","")</f>
        <v/>
      </c>
      <c r="C3916" s="454"/>
      <c r="D3916" s="312"/>
      <c r="E3916" s="453" t="str">
        <f>IF(D3904&gt;=3,"B-BBEE status level of Targeted Enterprise / Subcontractor  (provide scorecard or affidavit as proof) :","")</f>
        <v/>
      </c>
      <c r="F3916" s="453"/>
      <c r="G3916" s="453"/>
      <c r="H3916" s="311"/>
      <c r="I3916" s="456" t="str">
        <f>IF(D3904&gt;=3,"% of Contract Price (excl provisional &amp; prime cost sums and the respective tendered mark-up (if any)) but including provision for site supervision staff (payment item 3.7.4(a) and (b)) to be performed by this Targeted Enterprise)" &amp; " (Note to tenderer: the percentage tendered should comply with the minimum percentage as stated in Clause 4.1.1 of the Tender Data)","")</f>
        <v/>
      </c>
      <c r="J3916" s="456"/>
      <c r="K3916" s="456"/>
      <c r="L3916" s="456"/>
    </row>
    <row r="3918" spans="2:12" ht="52.5" customHeight="1" x14ac:dyDescent="0.25">
      <c r="B3918" s="375" t="str">
        <f>IF(D3904&gt;=3,"Location of Head Office and other offices (if any) (provide addresses and contact numbers)","")</f>
        <v/>
      </c>
      <c r="C3918" s="460"/>
      <c r="D3918" s="460"/>
      <c r="E3918" s="460"/>
      <c r="F3918" s="376" t="str">
        <f>IF(D3904&gt;=3,"Is the TE Based in the Province of the project?","")</f>
        <v/>
      </c>
      <c r="G3918" s="210"/>
      <c r="H3918" s="454" t="str">
        <f>IF(D3904&gt;=3,"Is the Targeted Enterprise a Consulting Engineering Firm as stated in the Conditions of Contract in Clause 1: Definitions?","")</f>
        <v/>
      </c>
      <c r="I3918" s="454"/>
      <c r="J3918" s="211"/>
      <c r="K3918" s="453" t="str">
        <f>IF(D3904&gt;=3,"Provide SARS Tax Reference Number: 
(Attach scanned copy of current valid Tax Clearance Certificate as proof or refer to Form C1.1.5)","")</f>
        <v/>
      </c>
      <c r="L3918" s="453"/>
    </row>
    <row r="3919" spans="2:12" x14ac:dyDescent="0.25">
      <c r="G3919" t="str">
        <f>IF(D3904&gt;=3,"If Yes, attach proof of address","")</f>
        <v/>
      </c>
    </row>
    <row r="3922" spans="2:12" ht="25.5" customHeight="1" x14ac:dyDescent="0.25">
      <c r="B3922" s="374" t="str">
        <f>IF(D3904&gt;=4,"Name of 3rd Targeted Enterprise / Subcontractor:","")</f>
        <v/>
      </c>
      <c r="C3922" s="457"/>
      <c r="D3922" s="458"/>
      <c r="E3922" s="458"/>
      <c r="F3922" s="458"/>
      <c r="I3922" s="310" t="str">
        <f>IF(D3904&gt;=4,"State whether the Targeted Enterprise / Subcontractor is an EME or QSE:","")</f>
        <v/>
      </c>
      <c r="J3922" s="315"/>
      <c r="K3922" s="453"/>
      <c r="L3922" s="453"/>
    </row>
    <row r="3924" spans="2:12" ht="48.75" customHeight="1" x14ac:dyDescent="0.25">
      <c r="B3924" s="454" t="str">
        <f>IF(D3904&gt;=4,"% Black Ownership of Targeted Enterprise / Subcontractor:","")</f>
        <v/>
      </c>
      <c r="C3924" s="454"/>
      <c r="D3924" s="314"/>
      <c r="E3924" s="453" t="str">
        <f>IF(D3904&gt;=4,"B-BBEE status level of Targeted Enterprise / Subcontractor  (provide scorecard or affidavit as proof) :","")</f>
        <v/>
      </c>
      <c r="F3924" s="453"/>
      <c r="G3924" s="453"/>
      <c r="H3924" s="313"/>
      <c r="I3924" s="456" t="str">
        <f>IF(D3904&gt;=4,"% of Contract Price (excl provisional &amp; prime cost sums and the respective tendered mark-up (if any)) but including provision for site supervision staff (payment item 3.7.4(a) and (b)) to be performed by this Targeted Enterprise)" &amp; " (Note to tenderer: the percentage tendered should comply with the minimum percentage as stated in Clause 4.1.1 of the Tender Data)","")</f>
        <v/>
      </c>
      <c r="J3924" s="456"/>
      <c r="K3924" s="456"/>
      <c r="L3924" s="456"/>
    </row>
    <row r="3926" spans="2:12" ht="52.5" customHeight="1" x14ac:dyDescent="0.25">
      <c r="B3926" s="375" t="str">
        <f>IF(D3904&gt;=4,"Location of Head Office and other offices (if any) (provide addresses and contact numbers)","")</f>
        <v/>
      </c>
      <c r="C3926" s="459"/>
      <c r="D3926" s="459"/>
      <c r="E3926" s="459"/>
      <c r="F3926" s="376" t="str">
        <f>IF(D3904&gt;=4,"Is the TE Based in the Province of the project?","")</f>
        <v/>
      </c>
      <c r="G3926" s="184"/>
      <c r="H3926" s="454" t="str">
        <f>IF(D3904&gt;=4,"Is the Targeted Enterprise a Consulting Engineering Firm as stated in the Conditions of Contract in Clause 1: Definitions?","")</f>
        <v/>
      </c>
      <c r="I3926" s="454"/>
      <c r="J3926" s="185"/>
      <c r="K3926" s="453" t="str">
        <f>IF(D3904&gt;=4,"Provide SARS Tax Reference Number:
(Attach scanned copy of current valid Tax Clearance Certificate as proof or refer to Form C1.1.5)","")</f>
        <v/>
      </c>
      <c r="L3926" s="453"/>
    </row>
    <row r="3927" spans="2:12" x14ac:dyDescent="0.25">
      <c r="G3927" t="str">
        <f>IF(D3904&gt;=4,"If Yes, attach proof of address","")</f>
        <v/>
      </c>
    </row>
    <row r="3930" spans="2:12" ht="25.5" customHeight="1" x14ac:dyDescent="0.25">
      <c r="B3930" s="374" t="str">
        <f>IF(D3904&gt;=5,"Name of 4th Targeted Enterprise / Subcontractor:","")</f>
        <v/>
      </c>
      <c r="C3930" s="457"/>
      <c r="D3930" s="458"/>
      <c r="E3930" s="458"/>
      <c r="F3930" s="458"/>
      <c r="I3930" s="310" t="str">
        <f>IF(D3904&gt;=5,"State whether the Targeted Enterprise / Subcontractor is an EME or QSE:","")</f>
        <v/>
      </c>
      <c r="J3930" s="315"/>
      <c r="K3930" s="453"/>
      <c r="L3930" s="453"/>
    </row>
    <row r="3932" spans="2:12" ht="48" customHeight="1" x14ac:dyDescent="0.25">
      <c r="B3932" s="454" t="str">
        <f>IF(D3904&gt;=5,"% Black Ownership of Targeted Enterprise / Subcontractor:","")</f>
        <v/>
      </c>
      <c r="C3932" s="454"/>
      <c r="D3932" s="314"/>
      <c r="E3932" s="453" t="str">
        <f>IF(D3904&gt;=5,"B-BBEE status level of Targeted Enterprise / Subcontractor  (provide scorecard or affidavit as proof) :","")</f>
        <v/>
      </c>
      <c r="F3932" s="453"/>
      <c r="G3932" s="453"/>
      <c r="H3932" s="313"/>
      <c r="I3932" s="453" t="str">
        <f>IF(D3904&gt;=5,"% of Contract Price (excl provisional &amp; prime cost sums and the respective tendered mark-up (if any)) but including provision for site supervision staff (payment item 3.7.4(a) and (b)) to be performed by this Targeted Enterprise)" &amp; " (Note to tenderer: the percentage tendered should comply with the minimum percentage as stated in Clause 4.1.1 of the Tender Data)","")</f>
        <v/>
      </c>
      <c r="J3932" s="453"/>
      <c r="K3932" s="453"/>
      <c r="L3932" s="453"/>
    </row>
    <row r="3934" spans="2:12" ht="51" customHeight="1" x14ac:dyDescent="0.25">
      <c r="B3934" s="375" t="str">
        <f>IF(D3904&gt;=5,"Location of Head Office and other offices (if any) (provide addresses and contact numbers)","")</f>
        <v/>
      </c>
      <c r="C3934" s="511"/>
      <c r="D3934" s="511"/>
      <c r="E3934" s="511"/>
      <c r="F3934" s="376" t="str">
        <f>IF(D3904&gt;=5,"Is the TE Based in the Province of the project?","")</f>
        <v/>
      </c>
      <c r="G3934" s="184"/>
      <c r="H3934" s="454" t="str">
        <f>IF(D3904&gt;=5,"Is the Targeted Enterprise a Consulting Engineering Firm as stated in the Conditions of Contract in Clause 1: Definitions?","")</f>
        <v/>
      </c>
      <c r="I3934" s="454"/>
      <c r="J3934" s="185"/>
      <c r="K3934" s="453" t="str">
        <f>IF(D3904&gt;=5,"Provide SARS Tax Reference Number:
(Attach scanned copy of current valid Tax Clearance Certificate as proof or refer to Form C1.1.5)","")</f>
        <v/>
      </c>
      <c r="L3934" s="453"/>
    </row>
    <row r="3935" spans="2:12" x14ac:dyDescent="0.25">
      <c r="D3935" s="57"/>
      <c r="G3935" t="str">
        <f>IF(D3904&gt;=5,"If Yes, attach proof of address","")</f>
        <v/>
      </c>
      <c r="H3935" s="58"/>
      <c r="K3935" s="21"/>
    </row>
    <row r="3939" spans="2:13" x14ac:dyDescent="0.25">
      <c r="B3939" t="s">
        <v>152</v>
      </c>
      <c r="D3939" s="57"/>
      <c r="H3939" s="58"/>
      <c r="K3939" s="21"/>
    </row>
    <row r="3940" spans="2:13" x14ac:dyDescent="0.25">
      <c r="B3940" s="429"/>
      <c r="C3940" s="430"/>
      <c r="D3940" s="430"/>
      <c r="E3940" s="430"/>
      <c r="F3940" s="430"/>
      <c r="G3940" s="430"/>
      <c r="H3940" s="430"/>
      <c r="I3940" s="430"/>
      <c r="J3940" s="430"/>
      <c r="K3940" s="430"/>
      <c r="L3940" s="430"/>
      <c r="M3940" s="431"/>
    </row>
    <row r="3941" spans="2:13" x14ac:dyDescent="0.25">
      <c r="B3941" s="432"/>
      <c r="C3941" s="433"/>
      <c r="D3941" s="433"/>
      <c r="E3941" s="433"/>
      <c r="F3941" s="433"/>
      <c r="G3941" s="433"/>
      <c r="H3941" s="433"/>
      <c r="I3941" s="433"/>
      <c r="J3941" s="433"/>
      <c r="K3941" s="433"/>
      <c r="L3941" s="433"/>
      <c r="M3941" s="434"/>
    </row>
    <row r="3942" spans="2:13" x14ac:dyDescent="0.25">
      <c r="B3942" s="432"/>
      <c r="C3942" s="433"/>
      <c r="D3942" s="433"/>
      <c r="E3942" s="433"/>
      <c r="F3942" s="433"/>
      <c r="G3942" s="433"/>
      <c r="H3942" s="433"/>
      <c r="I3942" s="433"/>
      <c r="J3942" s="433"/>
      <c r="K3942" s="433"/>
      <c r="L3942" s="433"/>
      <c r="M3942" s="434"/>
    </row>
    <row r="3943" spans="2:13" x14ac:dyDescent="0.25">
      <c r="B3943" s="435"/>
      <c r="C3943" s="436"/>
      <c r="D3943" s="436"/>
      <c r="E3943" s="436"/>
      <c r="F3943" s="436"/>
      <c r="G3943" s="436"/>
      <c r="H3943" s="436"/>
      <c r="I3943" s="436"/>
      <c r="J3943" s="436"/>
      <c r="K3943" s="436"/>
      <c r="L3943" s="436"/>
      <c r="M3943" s="437"/>
    </row>
    <row r="3944" spans="2:13" x14ac:dyDescent="0.25">
      <c r="D3944" s="57"/>
      <c r="E3944" s="12"/>
      <c r="F3944" s="12"/>
      <c r="G3944" s="12"/>
      <c r="H3944" s="12"/>
      <c r="I3944" s="12"/>
    </row>
    <row r="3945" spans="2:13" x14ac:dyDescent="0.25">
      <c r="B3945" s="15" t="s">
        <v>235</v>
      </c>
      <c r="D3945" s="57"/>
      <c r="E3945" s="12"/>
      <c r="F3945" s="12"/>
      <c r="G3945" s="12"/>
      <c r="H3945" s="12"/>
      <c r="I3945" s="12"/>
      <c r="K3945" s="438" t="s">
        <v>155</v>
      </c>
      <c r="L3945" s="438"/>
      <c r="M3945" s="438"/>
    </row>
    <row r="3946" spans="2:13" x14ac:dyDescent="0.25">
      <c r="K3946" s="438"/>
      <c r="L3946" s="438"/>
      <c r="M3946" s="438"/>
    </row>
    <row r="3947" spans="2:13" ht="30.75" customHeight="1" x14ac:dyDescent="0.25">
      <c r="B3947" s="455" t="s">
        <v>236</v>
      </c>
      <c r="C3947" s="455"/>
      <c r="D3947" s="455"/>
      <c r="E3947" s="455"/>
      <c r="F3947" s="455"/>
      <c r="G3947" s="455"/>
      <c r="H3947" s="455"/>
      <c r="I3947" s="455"/>
      <c r="K3947" s="438"/>
      <c r="L3947" s="438"/>
      <c r="M3947" s="438"/>
    </row>
    <row r="3948" spans="2:13" x14ac:dyDescent="0.25">
      <c r="D3948" s="57"/>
      <c r="E3948" s="12"/>
      <c r="F3948" s="12"/>
      <c r="G3948" s="12"/>
      <c r="H3948" s="12"/>
      <c r="I3948" s="12"/>
      <c r="K3948" s="438"/>
      <c r="L3948" s="438"/>
      <c r="M3948" s="438"/>
    </row>
    <row r="3953" spans="2:2" x14ac:dyDescent="0.25">
      <c r="B3953" s="24" t="s">
        <v>128</v>
      </c>
    </row>
    <row r="4175" spans="55:85" x14ac:dyDescent="0.25">
      <c r="BC4175" s="111" t="str">
        <f>IF($BF$4016=2,"COMBINED","")</f>
        <v/>
      </c>
      <c r="BD4175" s="104" t="str">
        <f>IF($BF$4016=2,"SUMMARY OF BEE SCORE","")</f>
        <v/>
      </c>
      <c r="BE4175" s="115" t="s">
        <v>237</v>
      </c>
      <c r="BF4175" s="389">
        <f>BF4018</f>
        <v>0</v>
      </c>
      <c r="BG4175" s="389">
        <f>BF4019</f>
        <v>0</v>
      </c>
      <c r="CC4175" s="111" t="str">
        <f>IF($CF$4016=2,"COMBINED","")</f>
        <v/>
      </c>
      <c r="CD4175" s="104" t="str">
        <f>IF($CF$4016=2,"SUMMARY OF BEE SCORE","")</f>
        <v/>
      </c>
      <c r="CE4175" s="115" t="s">
        <v>237</v>
      </c>
      <c r="CF4175" s="389">
        <f>CF4018</f>
        <v>0</v>
      </c>
      <c r="CG4175" s="389">
        <f>CF4019</f>
        <v>0</v>
      </c>
    </row>
    <row r="4176" spans="55:85" x14ac:dyDescent="0.25">
      <c r="BC4176" s="10"/>
      <c r="BD4176" s="11"/>
      <c r="BE4176" s="115" t="s">
        <v>238</v>
      </c>
      <c r="BF4176" s="389">
        <f>BF4021</f>
        <v>0</v>
      </c>
      <c r="BG4176" s="389">
        <f>BF4022</f>
        <v>0</v>
      </c>
      <c r="CC4176" s="10"/>
      <c r="CD4176" s="11"/>
      <c r="CE4176" s="115" t="s">
        <v>238</v>
      </c>
      <c r="CF4176" s="389">
        <f>CF4021</f>
        <v>0</v>
      </c>
      <c r="CG4176" s="389">
        <f>CF4022</f>
        <v>0</v>
      </c>
    </row>
    <row r="4177" spans="55:93" x14ac:dyDescent="0.25">
      <c r="BC4177" s="113"/>
      <c r="BD4177" s="114"/>
      <c r="BE4177" s="115" t="s">
        <v>239</v>
      </c>
      <c r="BF4177" s="116" t="s">
        <v>240</v>
      </c>
      <c r="BG4177" s="116" t="str">
        <f>IF($BF$4016&gt;=2,("POINTS "),"")</f>
        <v/>
      </c>
      <c r="BH4177" s="98"/>
      <c r="CC4177" s="113"/>
      <c r="CD4177" s="114"/>
      <c r="CE4177" s="115" t="s">
        <v>239</v>
      </c>
      <c r="CF4177" s="116" t="s">
        <v>240</v>
      </c>
      <c r="CG4177" s="116" t="str">
        <f>IF($CF$4016&gt;=2,("POINTS "),"")</f>
        <v/>
      </c>
      <c r="CH4177" s="98"/>
    </row>
    <row r="4178" spans="55:93" x14ac:dyDescent="0.25">
      <c r="BC4178" s="117">
        <f>$BB$4026</f>
        <v>0</v>
      </c>
      <c r="BD4178" s="118">
        <f>$BC$4026</f>
        <v>0</v>
      </c>
      <c r="BE4178" s="119">
        <v>2.5</v>
      </c>
      <c r="BF4178" s="120">
        <f t="shared" ref="BF4178:BF4185" si="182">BH4088</f>
        <v>0</v>
      </c>
      <c r="BG4178" s="120">
        <f t="shared" ref="BG4178:BG4185" si="183">BH4164</f>
        <v>0</v>
      </c>
      <c r="BH4178" s="109"/>
      <c r="CC4178" s="117">
        <f>$BB$4026</f>
        <v>0</v>
      </c>
      <c r="CD4178" s="118">
        <f>$BC$4026</f>
        <v>0</v>
      </c>
      <c r="CE4178" s="119">
        <v>2.5</v>
      </c>
      <c r="CF4178" s="120">
        <f t="shared" ref="CF4178:CF4185" si="184">CH4088</f>
        <v>0</v>
      </c>
      <c r="CG4178" s="120">
        <f t="shared" ref="CG4178:CG4185" si="185">CH4164</f>
        <v>0</v>
      </c>
      <c r="CH4178" s="109"/>
    </row>
    <row r="4179" spans="55:93" x14ac:dyDescent="0.25">
      <c r="BC4179" s="117">
        <f>$BB$4036</f>
        <v>0</v>
      </c>
      <c r="BD4179" s="118">
        <f>$BC$4036</f>
        <v>0</v>
      </c>
      <c r="BE4179" s="119">
        <v>1</v>
      </c>
      <c r="BF4179" s="120">
        <f t="shared" si="182"/>
        <v>0</v>
      </c>
      <c r="BG4179" s="120">
        <f t="shared" si="183"/>
        <v>0</v>
      </c>
      <c r="BH4179" s="109"/>
      <c r="CC4179" s="117">
        <f>$BB$4036</f>
        <v>0</v>
      </c>
      <c r="CD4179" s="118">
        <f>$BC$4036</f>
        <v>0</v>
      </c>
      <c r="CE4179" s="119">
        <v>1</v>
      </c>
      <c r="CF4179" s="120">
        <f t="shared" si="184"/>
        <v>0</v>
      </c>
      <c r="CG4179" s="120">
        <f t="shared" si="185"/>
        <v>0</v>
      </c>
      <c r="CH4179" s="109"/>
    </row>
    <row r="4180" spans="55:93" x14ac:dyDescent="0.25">
      <c r="BC4180" s="117">
        <f>$BB$4043</f>
        <v>0</v>
      </c>
      <c r="BD4180" s="118">
        <f>$BC$4043</f>
        <v>0</v>
      </c>
      <c r="BE4180" s="119">
        <v>1</v>
      </c>
      <c r="BF4180" s="120">
        <f t="shared" si="182"/>
        <v>0</v>
      </c>
      <c r="BG4180" s="120">
        <f t="shared" si="183"/>
        <v>0</v>
      </c>
      <c r="BH4180" s="109"/>
      <c r="CC4180" s="117">
        <f>$BB$4043</f>
        <v>0</v>
      </c>
      <c r="CD4180" s="118">
        <f>$BC$4043</f>
        <v>0</v>
      </c>
      <c r="CE4180" s="119">
        <v>1</v>
      </c>
      <c r="CF4180" s="120">
        <f t="shared" si="184"/>
        <v>0</v>
      </c>
      <c r="CG4180" s="120">
        <f t="shared" si="185"/>
        <v>0</v>
      </c>
      <c r="CH4180" s="109"/>
    </row>
    <row r="4181" spans="55:93" x14ac:dyDescent="0.25">
      <c r="BC4181" s="117">
        <f>$BB$4048</f>
        <v>0</v>
      </c>
      <c r="BD4181" s="118">
        <f>$BC$4048</f>
        <v>0</v>
      </c>
      <c r="BE4181" s="119">
        <v>2</v>
      </c>
      <c r="BF4181" s="120">
        <f t="shared" si="182"/>
        <v>0</v>
      </c>
      <c r="BG4181" s="120">
        <f t="shared" si="183"/>
        <v>0</v>
      </c>
      <c r="BH4181" s="109"/>
      <c r="CC4181" s="117">
        <f>$BB$4048</f>
        <v>0</v>
      </c>
      <c r="CD4181" s="118">
        <f>$BC$4048</f>
        <v>0</v>
      </c>
      <c r="CE4181" s="119">
        <v>2</v>
      </c>
      <c r="CF4181" s="120">
        <f t="shared" si="184"/>
        <v>0</v>
      </c>
      <c r="CG4181" s="120">
        <f t="shared" si="185"/>
        <v>0</v>
      </c>
      <c r="CH4181" s="109"/>
    </row>
    <row r="4182" spans="55:93" x14ac:dyDescent="0.25">
      <c r="BC4182" s="117">
        <f>$BB$4062</f>
        <v>0</v>
      </c>
      <c r="BD4182" s="118">
        <f>$BC$4062</f>
        <v>0</v>
      </c>
      <c r="BE4182" s="119">
        <v>2</v>
      </c>
      <c r="BF4182" s="120">
        <f t="shared" si="182"/>
        <v>0</v>
      </c>
      <c r="BG4182" s="120">
        <f t="shared" si="183"/>
        <v>0</v>
      </c>
      <c r="BH4182" s="109"/>
      <c r="CC4182" s="117">
        <f>$BB$4062</f>
        <v>0</v>
      </c>
      <c r="CD4182" s="118">
        <f>$BC$4062</f>
        <v>0</v>
      </c>
      <c r="CE4182" s="119">
        <v>2</v>
      </c>
      <c r="CF4182" s="120">
        <f t="shared" si="184"/>
        <v>0</v>
      </c>
      <c r="CG4182" s="120">
        <f t="shared" si="185"/>
        <v>0</v>
      </c>
      <c r="CH4182" s="109"/>
    </row>
    <row r="4183" spans="55:93" ht="12.75" customHeight="1" x14ac:dyDescent="0.25">
      <c r="BC4183" s="117">
        <f>$BB$4069</f>
        <v>0</v>
      </c>
      <c r="BD4183" s="118">
        <f>$BC$4069</f>
        <v>0</v>
      </c>
      <c r="BE4183" s="119">
        <v>1</v>
      </c>
      <c r="BF4183" s="120">
        <f t="shared" si="182"/>
        <v>0</v>
      </c>
      <c r="BG4183" s="120">
        <f t="shared" si="183"/>
        <v>0</v>
      </c>
      <c r="BH4183" s="109"/>
      <c r="CC4183" s="117">
        <f>$BB$4069</f>
        <v>0</v>
      </c>
      <c r="CD4183" s="118">
        <f>$BC$4069</f>
        <v>0</v>
      </c>
      <c r="CE4183" s="119">
        <v>1</v>
      </c>
      <c r="CF4183" s="120">
        <f t="shared" si="184"/>
        <v>0</v>
      </c>
      <c r="CG4183" s="120">
        <f t="shared" si="185"/>
        <v>0</v>
      </c>
      <c r="CH4183" s="109"/>
    </row>
    <row r="4184" spans="55:93" x14ac:dyDescent="0.25">
      <c r="BC4184" s="117">
        <f>$BB$4074</f>
        <v>0</v>
      </c>
      <c r="BD4184" s="118">
        <f>$BC$4074</f>
        <v>0</v>
      </c>
      <c r="BE4184" s="119">
        <v>0.5</v>
      </c>
      <c r="BF4184" s="120">
        <f t="shared" si="182"/>
        <v>0</v>
      </c>
      <c r="BG4184" s="120">
        <f t="shared" si="183"/>
        <v>0</v>
      </c>
      <c r="BH4184" s="109"/>
      <c r="CC4184" s="117">
        <f>$BB$4074</f>
        <v>0</v>
      </c>
      <c r="CD4184" s="118">
        <f>$BC$4074</f>
        <v>0</v>
      </c>
      <c r="CE4184" s="119">
        <v>0.5</v>
      </c>
      <c r="CF4184" s="120">
        <f t="shared" si="184"/>
        <v>0</v>
      </c>
      <c r="CG4184" s="120">
        <f t="shared" si="185"/>
        <v>0</v>
      </c>
      <c r="CH4184" s="109"/>
    </row>
    <row r="4185" spans="55:93" x14ac:dyDescent="0.25">
      <c r="BC4185" s="118"/>
      <c r="BD4185" s="121" t="s">
        <v>241</v>
      </c>
      <c r="BE4185" s="115">
        <f>SUM(BE4178:BE4184)</f>
        <v>10</v>
      </c>
      <c r="BF4185" s="120">
        <f t="shared" si="182"/>
        <v>0</v>
      </c>
      <c r="BG4185" s="120">
        <f t="shared" si="183"/>
        <v>0</v>
      </c>
      <c r="BH4185" s="98"/>
      <c r="CC4185" s="118"/>
      <c r="CD4185" s="121" t="s">
        <v>241</v>
      </c>
      <c r="CE4185" s="115">
        <f>SUM(CE4178:CE4184)</f>
        <v>10</v>
      </c>
      <c r="CF4185" s="120">
        <f t="shared" si="184"/>
        <v>0</v>
      </c>
      <c r="CG4185" s="120">
        <f t="shared" si="185"/>
        <v>0</v>
      </c>
      <c r="CH4185" s="98"/>
    </row>
    <row r="4187" spans="55:93" x14ac:dyDescent="0.25">
      <c r="BC4187" s="10"/>
      <c r="BD4187" s="17"/>
      <c r="BE4187" s="3"/>
      <c r="BG4187" s="58"/>
      <c r="CC4187" s="10"/>
      <c r="CD4187" s="17"/>
      <c r="CE4187" s="3"/>
      <c r="CG4187" s="58"/>
    </row>
    <row r="4188" spans="55:93" x14ac:dyDescent="0.25">
      <c r="BC4188" s="16"/>
      <c r="BD4188" s="16"/>
      <c r="BE4188" s="16"/>
      <c r="BF4188" s="16"/>
      <c r="BG4188" s="16"/>
      <c r="BH4188" s="16"/>
      <c r="CC4188" s="16"/>
      <c r="CD4188" s="16"/>
      <c r="CE4188" s="16"/>
      <c r="CF4188" s="16"/>
      <c r="CG4188" s="16"/>
      <c r="CH4188" s="16"/>
    </row>
    <row r="4190" spans="55:93" x14ac:dyDescent="0.25">
      <c r="BC4190" s="10" t="str">
        <f>IF($BF$4016=2,"In the event of a JV:","")</f>
        <v/>
      </c>
      <c r="BD4190" s="17"/>
      <c r="BE4190" s="3"/>
      <c r="BG4190" s="58"/>
      <c r="CC4190" s="10" t="str">
        <f>IF($CF$4016=2,"In the event of a JV:","")</f>
        <v/>
      </c>
      <c r="CD4190" s="17"/>
      <c r="CE4190" s="3"/>
      <c r="CG4190" s="58"/>
    </row>
    <row r="4191" spans="55:93" x14ac:dyDescent="0.25">
      <c r="BC4191" s="374" t="str">
        <f>IF($BF$4016=2,"Scorecard Points =","")</f>
        <v/>
      </c>
      <c r="BD4191" s="456" t="str">
        <f>IF($BF$4016=2,"Wp x { [(%JVa(Bosa)+(%JVb)(Bosb)] + [(%JVa)(Bcsa)+(%JVb)(Bcsb)] + [(%JVa)(Beesa)+(%JVb)(Beesb)] + [(%JVa)(Bsdsa)+(%JVb)(Bsdsb)] + [(%JVa)(Bpsa)+(%JVb)(Bpsb)] + [(%JVa)(Bedsa)+(%JVb)(Bedsb)] + [(%Jva)(Brsa)+(%JVb)(Brsb)] } / 100","")</f>
        <v/>
      </c>
      <c r="BE4191" s="456"/>
      <c r="BF4191" s="456"/>
      <c r="BG4191" s="456"/>
      <c r="BH4191" s="456"/>
      <c r="BI4191" s="456"/>
      <c r="BJ4191" s="456"/>
      <c r="BK4191" s="456"/>
      <c r="BL4191" s="456"/>
      <c r="BM4191" s="456"/>
      <c r="BN4191" s="456"/>
      <c r="BO4191" s="456"/>
      <c r="CC4191" s="374" t="str">
        <f>IF($CF$4016=2,"Scorecard Points =","")</f>
        <v/>
      </c>
      <c r="CD4191" s="456" t="str">
        <f>IF($CF$4016=2,"Wp x { [(%JVa(Bosa)+(%JVb)(Bosb)] + [(%JVa)(Bcsa)+(%JVb)(Bcsb)] + [(%JVa)(Beesa)+(%JVb)(Beesb)] + [(%JVa)(Bsdsa)+(%JVb)(Bsdsb)] + [(%JVa)(Bpsa)+(%JVb)(Bpsb)] + [(%JVa)(Bedsa)+(%JVb)(Bedsb)] + [(%Jva)(Brsa)+(%JVb)(Brsb)] } / 100","")</f>
        <v/>
      </c>
      <c r="CE4191" s="456"/>
      <c r="CF4191" s="456"/>
      <c r="CG4191" s="456"/>
      <c r="CH4191" s="456"/>
      <c r="CI4191" s="456"/>
      <c r="CJ4191" s="456"/>
      <c r="CK4191" s="456"/>
      <c r="CL4191" s="456"/>
      <c r="CM4191" s="456"/>
      <c r="CN4191" s="456"/>
      <c r="CO4191" s="456"/>
    </row>
    <row r="4193" spans="55:82" x14ac:dyDescent="0.25">
      <c r="BC4193" s="93" t="str">
        <f>IF($BF$4016=2,"Where Wp= ","")</f>
        <v/>
      </c>
      <c r="BD4193" s="76" t="str">
        <f>IF($BF$4016=2,10,"")</f>
        <v/>
      </c>
      <c r="CC4193" s="93" t="str">
        <f>IF($CF$4016=2,"Where Wp= ","")</f>
        <v/>
      </c>
      <c r="CD4193" s="76" t="str">
        <f>IF($CF$4016=2,10,"")</f>
        <v/>
      </c>
    </row>
    <row r="4195" spans="55:82" x14ac:dyDescent="0.25">
      <c r="BC4195" s="34"/>
      <c r="BD4195" s="122"/>
      <c r="CC4195" s="34"/>
      <c r="CD4195" s="122"/>
    </row>
    <row r="4196" spans="55:82" x14ac:dyDescent="0.25">
      <c r="BC4196" s="34" t="str">
        <f>IF($BF$4016=2,BD4084,"")</f>
        <v/>
      </c>
      <c r="BD4196" s="76" t="str">
        <f>IF($BF$4016=2,(BF4021/100),"")</f>
        <v/>
      </c>
      <c r="CC4196" s="34" t="str">
        <f>IF($CF$4016=2,CD4084,"")</f>
        <v/>
      </c>
      <c r="CD4196" s="76" t="str">
        <f>IF($CF$4016=2,(CF4021/100),"")</f>
        <v/>
      </c>
    </row>
    <row r="4197" spans="55:82" x14ac:dyDescent="0.25">
      <c r="BC4197" s="34" t="str">
        <f>IF($BF$4016=2,BD4160,"")</f>
        <v/>
      </c>
      <c r="BD4197" s="76" t="str">
        <f>IF($BF$4016=2,(BF4022/100),"")</f>
        <v/>
      </c>
      <c r="CC4197" s="34" t="str">
        <f>IF($CF$4016=2,CD4160,"")</f>
        <v/>
      </c>
      <c r="CD4197" s="76" t="str">
        <f>IF($CF$4016=2,(CF4022/100),"")</f>
        <v/>
      </c>
    </row>
    <row r="4199" spans="55:82" ht="22.8" x14ac:dyDescent="0.4">
      <c r="BC4199" s="107" t="str">
        <f>IF($BF$4016=2,"Scorecard Points = ","")</f>
        <v/>
      </c>
      <c r="BD4199" s="108" t="str">
        <f>IF($BF$4016=2,ROUND((BD4193*((((BD4196*BF4178)+(BD4197*BG4178))+(((BD4196*BF4179)+(BD4197*BG4179))+(((BD4196*BF4180)+(BD4197*BG4180))+(((BD4196*BF4181)+(BD4197*BG4181))+(((BD4196*BF4182)+(BD4197*BG4182))+(((BD4196*BF4183)+(BD4197*BG4183))+(((BD4196*BF4184)+(BD4197*BG4184)))))))))/10)),2),"")</f>
        <v/>
      </c>
      <c r="CC4199" s="107" t="str">
        <f>IF($CF$4016=2,"Scorecard Points = ","")</f>
        <v/>
      </c>
      <c r="CD4199" s="108" t="str">
        <f>IF($CF$4016=2,(ROUND((CD4193*(CD4196*CH4095)/10+(CD4197*CH4171)/10),2)),"")</f>
        <v/>
      </c>
    </row>
    <row r="4217" spans="54:93" x14ac:dyDescent="0.25">
      <c r="BC4217" s="99" t="str">
        <f>IF($BF$4016=3,"PARTNER 3=","")</f>
        <v/>
      </c>
      <c r="BD4217" s="75" t="str">
        <f>IF($BF$4016=3,BF4020,"")</f>
        <v/>
      </c>
      <c r="BE4217" s="3"/>
      <c r="BF4217" s="58"/>
      <c r="BG4217" s="76"/>
      <c r="CC4217" s="99" t="str">
        <f>IF($CF$4016=3,"PARTNER 3=","")</f>
        <v/>
      </c>
      <c r="CD4217" s="75" t="str">
        <f>IF($CF$4016=3,CF4020,"")</f>
        <v/>
      </c>
      <c r="CE4217" s="3"/>
      <c r="CF4217" s="58"/>
      <c r="CG4217" s="76"/>
    </row>
    <row r="4218" spans="54:93" x14ac:dyDescent="0.25">
      <c r="BC4218" s="10"/>
      <c r="BD4218" s="11"/>
      <c r="BE4218" s="3"/>
      <c r="BG4218" s="58"/>
      <c r="CC4218" s="10"/>
      <c r="CD4218" s="11"/>
      <c r="CE4218" s="3"/>
      <c r="CG4218" s="58"/>
    </row>
    <row r="4219" spans="54:93" x14ac:dyDescent="0.25">
      <c r="BB4219" s="10" t="str">
        <f>IF($BF$4016&lt;=2,"","1")</f>
        <v/>
      </c>
      <c r="BC4219" s="105" t="str">
        <f>IF($BF$4016&lt;=2,"",BC4026)</f>
        <v/>
      </c>
      <c r="BD4219" s="105"/>
      <c r="BE4219" s="98" t="str">
        <f>IF($BF$4016&lt;=2,"","WEIGHTING (a)")</f>
        <v/>
      </c>
      <c r="BF4219" s="98" t="str">
        <f>IF($BF$4016&lt;=2,"","% TENDERED (b)")</f>
        <v/>
      </c>
      <c r="BG4219" s="109" t="str">
        <f>IF($BF$4016&lt;=2,"","% TARGETS (t) *")</f>
        <v/>
      </c>
      <c r="BH4219" s="104" t="str">
        <f>IF($BF$4016&lt;=2,"","SCORE (a x b/t)
(Max = a)")</f>
        <v/>
      </c>
      <c r="CB4219" s="10" t="str">
        <f>IF($CF$4016&lt;=2,"","1")</f>
        <v/>
      </c>
      <c r="CC4219" s="105" t="str">
        <f>IF($CF$4016&lt;=2,"",CC4026)</f>
        <v/>
      </c>
      <c r="CD4219" s="105"/>
      <c r="CE4219" s="98" t="str">
        <f>IF($CF$4016&lt;=2,"","WEIGHTING (a)")</f>
        <v/>
      </c>
      <c r="CF4219" s="98" t="str">
        <f>IF($CF$4016&lt;=2,"","% TENDERED (b)")</f>
        <v/>
      </c>
      <c r="CG4219" s="109" t="str">
        <f>IF($CF$4016&lt;=2,"","% TARGETS (t) *")</f>
        <v/>
      </c>
      <c r="CH4219" s="104" t="str">
        <f>IF($CF$4016&lt;=2,"","SCORE (a x b/t)
(Max = a)")</f>
        <v/>
      </c>
    </row>
    <row r="4220" spans="54:93" x14ac:dyDescent="0.25">
      <c r="BB4220" s="10"/>
      <c r="BC4220" s="10" t="str">
        <f>IF($BF$4016&lt;=2,"",BC4027)</f>
        <v/>
      </c>
      <c r="BD4220" s="11" t="str">
        <f>IF($BF$4016&lt;=2,"",BD4027)</f>
        <v/>
      </c>
      <c r="BE4220" s="3" t="str">
        <f>IF($BF$4016&lt;=2,"",BE4027)</f>
        <v/>
      </c>
      <c r="BF4220" s="150"/>
      <c r="BG4220" s="3" t="str">
        <f>IF($BF$4016&lt;=2,"",BG4027)</f>
        <v/>
      </c>
      <c r="BH4220" s="10" t="str">
        <f>IF($BF$4016&lt;=2,"",(ROUND(IF(BE4220*BF4220/BG4220&gt;BE4220,BE4220,BE4220*BF4220/BG4220),2)))</f>
        <v/>
      </c>
      <c r="CB4220" s="10"/>
      <c r="CC4220" s="10" t="str">
        <f>IF($CF$4016&lt;=2,"",CC4027)</f>
        <v/>
      </c>
      <c r="CD4220" s="11" t="str">
        <f t="shared" ref="CD4220:CE4223" si="186">IF($CF$4016&lt;=2,"",CD4027)</f>
        <v/>
      </c>
      <c r="CE4220" s="3" t="str">
        <f t="shared" si="186"/>
        <v/>
      </c>
      <c r="CF4220" s="150"/>
      <c r="CG4220" s="3" t="str">
        <f>IF($CF$4016&lt;=2,"",CG4027)</f>
        <v/>
      </c>
      <c r="CH4220" s="10" t="str">
        <f>IF($CF$4016&lt;=2,"",(ROUND(IF(CE4220*CF4220/CG4220&gt;CE4220,CE4220,CE4220*CF4220/CG4220),2)))</f>
        <v/>
      </c>
    </row>
    <row r="4221" spans="54:93" x14ac:dyDescent="0.25">
      <c r="BB4221" s="10"/>
      <c r="BC4221" s="10"/>
      <c r="BD4221" s="11" t="str">
        <f>IF($BF$4016&lt;=2,"",BD4028)</f>
        <v/>
      </c>
      <c r="BE4221" s="3" t="str">
        <f>IF($BF$4016&lt;=2,"",BE4028)</f>
        <v/>
      </c>
      <c r="BF4221" s="150"/>
      <c r="BG4221" s="3" t="str">
        <f>IF($BF$4016&lt;=2,"",BG4028)</f>
        <v/>
      </c>
      <c r="BH4221" s="10" t="str">
        <f>IF($BF$4016&lt;=2,"",(ROUND(IF(BE4221*BF4221/BG4221&gt;BE4221,BE4221,BE4221*BF4221/BG4221),2)))</f>
        <v/>
      </c>
      <c r="BL4221" s="12"/>
      <c r="CB4221" s="10"/>
      <c r="CC4221" s="10"/>
      <c r="CD4221" s="11" t="str">
        <f t="shared" si="186"/>
        <v/>
      </c>
      <c r="CE4221" s="3" t="str">
        <f t="shared" si="186"/>
        <v/>
      </c>
      <c r="CF4221" s="150"/>
      <c r="CG4221" s="3" t="str">
        <f>IF($CF$4016&lt;=2,"",CG4028)</f>
        <v/>
      </c>
      <c r="CH4221" s="10" t="str">
        <f>IF($CF$4016&lt;=2,"",(ROUND(IF(CE4221*CF4221/CG4221&gt;CE4221,CE4221,CE4221*CF4221/CG4221),2)))</f>
        <v/>
      </c>
      <c r="CL4221" s="12"/>
    </row>
    <row r="4222" spans="54:93" x14ac:dyDescent="0.25">
      <c r="BB4222" s="10"/>
      <c r="BC4222" s="10" t="str">
        <f>IF($BF$4016&lt;=2,"",BC4029)</f>
        <v/>
      </c>
      <c r="BD4222" s="11" t="str">
        <f t="shared" ref="BD4222:BG4226" si="187">IF($BF$4016&lt;=2,"",BD4029)</f>
        <v/>
      </c>
      <c r="BE4222" s="3" t="str">
        <f t="shared" si="187"/>
        <v/>
      </c>
      <c r="BF4222" s="150"/>
      <c r="BG4222" s="3" t="str">
        <f>IF($BF$4016&lt;=2,"",BG4029)</f>
        <v/>
      </c>
      <c r="BH4222" s="10" t="str">
        <f>IF($BF$4016&lt;=2,"",(ROUND(IF(BE4222*BF4222/BG4222&gt;BE4222,BE4222,BE4222*BF4222/BG4222),2)))</f>
        <v/>
      </c>
      <c r="CB4222" s="10"/>
      <c r="CC4222" s="10" t="str">
        <f>IF($CF$4016&lt;=2,"",CC4029)</f>
        <v/>
      </c>
      <c r="CD4222" s="11" t="str">
        <f t="shared" si="186"/>
        <v/>
      </c>
      <c r="CE4222" s="3" t="str">
        <f t="shared" si="186"/>
        <v/>
      </c>
      <c r="CF4222" s="150"/>
      <c r="CG4222" s="3" t="str">
        <f>IF($CF$4016&lt;=2,"",CG4029)</f>
        <v/>
      </c>
      <c r="CH4222" s="10" t="str">
        <f>IF($CF$4016&lt;=2,"",(ROUND(IF(CE4222*CF4222/CG4222&gt;CE4222,CE4222,CE4222*CF4222/CG4222),2)))</f>
        <v/>
      </c>
    </row>
    <row r="4223" spans="54:93" x14ac:dyDescent="0.25">
      <c r="BB4223" s="10"/>
      <c r="BC4223" s="10"/>
      <c r="BD4223" s="11" t="str">
        <f t="shared" si="187"/>
        <v/>
      </c>
      <c r="BE4223" s="3" t="str">
        <f t="shared" si="187"/>
        <v/>
      </c>
      <c r="BF4223" s="150"/>
      <c r="BG4223" s="3" t="str">
        <f>IF($BF$4016&lt;=2,"",BG4030)</f>
        <v/>
      </c>
      <c r="BH4223" s="10" t="str">
        <f>IF($BF$4016&lt;=2,"",(ROUND(IF(BE4223*BF4223/BG4223&gt;BE4223,BE4223,BE4223*BF4223/BG4223),2)))</f>
        <v/>
      </c>
      <c r="CB4223" s="10"/>
      <c r="CC4223" s="10"/>
      <c r="CD4223" s="11" t="str">
        <f t="shared" si="186"/>
        <v/>
      </c>
      <c r="CE4223" s="3" t="str">
        <f t="shared" si="186"/>
        <v/>
      </c>
      <c r="CF4223" s="150"/>
      <c r="CG4223" s="3" t="str">
        <f>IF($CF$4016&lt;=2,"",CG4030)</f>
        <v/>
      </c>
      <c r="CH4223" s="10" t="str">
        <f>IF($CF$4016&lt;=2,"",(ROUND(IF(CE4223*CF4223/CG4223&gt;CE4223,CE4223,CE4223*CF4223/CG4223),2)))</f>
        <v/>
      </c>
    </row>
    <row r="4224" spans="54:93" x14ac:dyDescent="0.25">
      <c r="BB4224" s="10"/>
      <c r="BC4224" s="10"/>
      <c r="BD4224" s="11" t="str">
        <f t="shared" si="187"/>
        <v/>
      </c>
      <c r="BE4224" s="3" t="str">
        <f t="shared" si="187"/>
        <v/>
      </c>
      <c r="BF4224" s="150"/>
      <c r="BG4224" s="3" t="str">
        <f>IF($BF$4016&lt;=2,"",BG4031)</f>
        <v/>
      </c>
      <c r="BH4224" s="10" t="str">
        <f>IF($BF$4016&lt;=2,"",(ROUND(IF(BE4224*BF4224/BG4224&gt;BE4224,BE4224,BE4224*BF4224/BG4224),2)))</f>
        <v/>
      </c>
      <c r="BO4224" s="117" t="s">
        <v>242</v>
      </c>
      <c r="CB4224" s="10"/>
      <c r="CC4224" s="10"/>
      <c r="CD4224" s="11"/>
      <c r="CE4224" s="3"/>
      <c r="CF4224" s="150"/>
      <c r="CG4224" s="3"/>
      <c r="CH4224" s="10"/>
      <c r="CO4224" s="117" t="s">
        <v>242</v>
      </c>
    </row>
    <row r="4225" spans="54:98" ht="16.5" customHeight="1" x14ac:dyDescent="0.25">
      <c r="BB4225" s="10"/>
      <c r="BC4225" s="10" t="str">
        <f>IF($BF$4016&lt;=2,"",BC4032)</f>
        <v/>
      </c>
      <c r="BD4225" s="11" t="str">
        <f t="shared" si="187"/>
        <v/>
      </c>
      <c r="BE4225" s="3" t="str">
        <f t="shared" si="187"/>
        <v/>
      </c>
      <c r="BF4225" s="21" t="str">
        <f t="shared" si="187"/>
        <v/>
      </c>
      <c r="BG4225" s="21" t="str">
        <f t="shared" si="187"/>
        <v/>
      </c>
      <c r="BH4225" s="113" t="str">
        <f>IF($BF$4016&lt;=2,"",BT4226)</f>
        <v/>
      </c>
      <c r="BM4225" s="95" t="s">
        <v>243</v>
      </c>
      <c r="BN4225" s="96" t="s">
        <v>244</v>
      </c>
      <c r="BO4225" s="96"/>
      <c r="BP4225" s="96"/>
      <c r="BQ4225" s="96"/>
      <c r="BR4225" s="96"/>
      <c r="BS4225" s="390" t="s">
        <v>245</v>
      </c>
      <c r="BT4225" s="96" t="s">
        <v>246</v>
      </c>
      <c r="CB4225" s="10"/>
      <c r="CC4225" s="10" t="str">
        <f>IF($CF$4016&lt;=2,"",CC4032)</f>
        <v/>
      </c>
      <c r="CD4225" s="11" t="str">
        <f>IF($CF$4016&lt;=2,"",CD4032)</f>
        <v/>
      </c>
      <c r="CE4225" s="3" t="str">
        <f>IF($CF$4016&lt;=2,"",CE4032)</f>
        <v/>
      </c>
      <c r="CF4225" s="21" t="str">
        <f>IF($CF$4016&lt;=2,"",CF4032)</f>
        <v/>
      </c>
      <c r="CG4225" s="21" t="str">
        <f>IF($CF$4016&lt;=2,"",CG4032)</f>
        <v/>
      </c>
      <c r="CH4225" s="113" t="str">
        <f>IF($CF$4016&lt;=2,"",CT4226)</f>
        <v/>
      </c>
      <c r="CM4225" s="95" t="s">
        <v>243</v>
      </c>
      <c r="CN4225" s="508" t="s">
        <v>244</v>
      </c>
      <c r="CO4225" s="508"/>
      <c r="CP4225" s="508"/>
      <c r="CQ4225" s="508"/>
      <c r="CR4225" s="508"/>
      <c r="CS4225" s="390" t="s">
        <v>245</v>
      </c>
      <c r="CT4225" s="96" t="s">
        <v>246</v>
      </c>
    </row>
    <row r="4226" spans="54:98" ht="145.19999999999999" x14ac:dyDescent="0.25">
      <c r="BB4226" s="10"/>
      <c r="BC4226" s="10"/>
      <c r="BD4226" s="11" t="str">
        <f t="shared" si="187"/>
        <v/>
      </c>
      <c r="BE4226" s="3" t="str">
        <f t="shared" si="187"/>
        <v/>
      </c>
      <c r="BF4226" s="150"/>
      <c r="BG4226" s="21" t="str">
        <f t="shared" si="187"/>
        <v/>
      </c>
      <c r="BH4226" s="10" t="str">
        <f>IF($BF$4016&lt;=2,"",(ROUND(IF(BE4226*BF4226/BG4226&gt;BE4226,BE4226,BE4226*BF4226/BG4226),2)))</f>
        <v/>
      </c>
      <c r="BM4226" s="95">
        <v>1</v>
      </c>
      <c r="BN4226" s="390" t="s">
        <v>247</v>
      </c>
      <c r="BO4226" s="390"/>
      <c r="BP4226" s="390"/>
      <c r="BQ4226" s="390"/>
      <c r="BR4226" s="390"/>
      <c r="BS4226" s="144"/>
      <c r="BT4226" s="96" t="e">
        <f>BS4228*BE4225</f>
        <v>#VALUE!</v>
      </c>
      <c r="CB4226" s="10"/>
      <c r="CC4226" s="10"/>
      <c r="CD4226" s="11" t="str">
        <f>IF($CF$4016&lt;=2,"",CD4033)</f>
        <v/>
      </c>
      <c r="CE4226" s="3" t="str">
        <f>IF($CF$4016&lt;=2,"",CE4033)</f>
        <v/>
      </c>
      <c r="CF4226" s="150"/>
      <c r="CG4226" s="21" t="str">
        <f>IF($CF$4016&lt;=2,"",CG4033)</f>
        <v/>
      </c>
      <c r="CH4226" s="10" t="str">
        <f>IF($CF$4016&lt;=2,"",(ROUND(IF(CE4226*CF4226/CG4226&gt;CE4226,CE4226,CE4226*CF4226/CG4226),2)))</f>
        <v/>
      </c>
      <c r="CM4226" s="95">
        <v>1</v>
      </c>
      <c r="CN4226" s="390" t="s">
        <v>247</v>
      </c>
      <c r="CO4226" s="390"/>
      <c r="CP4226" s="390"/>
      <c r="CQ4226" s="390"/>
      <c r="CR4226" s="390"/>
      <c r="CS4226" s="144"/>
      <c r="CT4226" s="96" t="e">
        <f>CS4228*CE4225</f>
        <v>#VALUE!</v>
      </c>
    </row>
    <row r="4227" spans="54:98" ht="24.75" customHeight="1" x14ac:dyDescent="0.25">
      <c r="BB4227" s="10"/>
      <c r="BC4227" s="104" t="str">
        <f>IF($BF$4016&lt;=2,"","TOTAL   ")</f>
        <v/>
      </c>
      <c r="BD4227" s="104"/>
      <c r="BE4227" s="98" t="str">
        <f>IF($BF$4016&lt;=2,"",SUM(BE4220:BE4226))</f>
        <v/>
      </c>
      <c r="BF4227" s="74" t="str">
        <f>IF($BF$4016&lt;=2,"","(Bos)")</f>
        <v/>
      </c>
      <c r="BG4227" s="17"/>
      <c r="BH4227" s="8" t="str">
        <f>IF($BF$4016&lt;=2,"",(SUM(BH4220:BH4226)))</f>
        <v/>
      </c>
      <c r="BM4227" s="95">
        <v>2</v>
      </c>
      <c r="BN4227" s="390" t="s">
        <v>248</v>
      </c>
      <c r="BO4227" s="390"/>
      <c r="BP4227" s="390"/>
      <c r="BQ4227" s="390"/>
      <c r="BR4227" s="390"/>
      <c r="BS4227" s="144"/>
      <c r="BT4227" s="96"/>
      <c r="CB4227" s="10"/>
      <c r="CC4227" s="104" t="str">
        <f>IF($CF$4016&lt;=2,"","TOTAL   ")</f>
        <v/>
      </c>
      <c r="CD4227" s="104"/>
      <c r="CE4227" s="98" t="str">
        <f>IF($CF$4016&lt;=2,"",SUM(CE4220:CE4226))</f>
        <v/>
      </c>
      <c r="CF4227" s="74" t="str">
        <f>IF($CF$4016&lt;=2,"","(Bos)")</f>
        <v/>
      </c>
      <c r="CG4227" s="17"/>
      <c r="CH4227" s="8" t="str">
        <f>IF($CF$4016&lt;=2,"",(SUM(CH4220:CH4226)))</f>
        <v/>
      </c>
      <c r="CM4227" s="95">
        <v>2</v>
      </c>
      <c r="CN4227" s="507" t="s">
        <v>248</v>
      </c>
      <c r="CO4227" s="507"/>
      <c r="CP4227" s="507"/>
      <c r="CQ4227" s="507"/>
      <c r="CR4227" s="507"/>
      <c r="CS4227" s="144"/>
      <c r="CT4227" s="96"/>
    </row>
    <row r="4228" spans="54:98" x14ac:dyDescent="0.25">
      <c r="BC4228" s="10"/>
      <c r="BD4228" s="11"/>
      <c r="BE4228" s="3"/>
      <c r="BG4228" s="58"/>
      <c r="BR4228" s="95" t="s">
        <v>249</v>
      </c>
      <c r="BS4228" s="96">
        <f>IF(BS4227="",0,(BS4226/BS4227))</f>
        <v>0</v>
      </c>
      <c r="BT4228" s="96"/>
      <c r="CC4228" s="10"/>
      <c r="CD4228" s="11"/>
      <c r="CE4228" s="3"/>
      <c r="CG4228" s="58"/>
      <c r="CR4228" s="95" t="s">
        <v>249</v>
      </c>
      <c r="CS4228" s="96">
        <f>IF(CS4227="",0,(CS4226/CS4227))</f>
        <v>0</v>
      </c>
      <c r="CT4228" s="96"/>
    </row>
    <row r="4229" spans="54:98" x14ac:dyDescent="0.25">
      <c r="BB4229" s="105" t="str">
        <f>IF($BF$4016&lt;=2,"","2")</f>
        <v/>
      </c>
      <c r="BC4229" s="105" t="str">
        <f>IF($BF$4016&lt;=2,"",BC4036)</f>
        <v/>
      </c>
      <c r="BD4229" s="105"/>
      <c r="BE4229" s="98" t="str">
        <f>IF($BF$4016&lt;=2,"","WEIGHTING (a)")</f>
        <v/>
      </c>
      <c r="BF4229" s="98" t="str">
        <f>IF($BF$4016&lt;=2,"","% TENDERED (b)")</f>
        <v/>
      </c>
      <c r="BG4229" s="109" t="str">
        <f>IF($BF$4016&lt;=2,"","% TARGETS (t) *")</f>
        <v/>
      </c>
      <c r="BH4229" s="104" t="str">
        <f>IF($BF$4016&lt;=2,"","SCORE (a x b/t)
(Max = a)")</f>
        <v/>
      </c>
      <c r="CB4229" s="105" t="str">
        <f>IF($CF$4016&lt;=2,"","2")</f>
        <v/>
      </c>
      <c r="CC4229" s="105" t="str">
        <f>IF($CF$4016&lt;=2,"",CC4036)</f>
        <v/>
      </c>
      <c r="CD4229" s="105"/>
      <c r="CE4229" s="98" t="str">
        <f>IF($CF$4016&lt;=2,"","WEIGHTING (a)")</f>
        <v/>
      </c>
      <c r="CF4229" s="98" t="str">
        <f>IF($CF$4016&lt;=2,"","% TENDERED (b)")</f>
        <v/>
      </c>
      <c r="CG4229" s="109" t="str">
        <f>IF($CF$4016&lt;=2,"","% TARGETS (t) *")</f>
        <v/>
      </c>
      <c r="CH4229" s="104" t="str">
        <f>IF($CF$4016&lt;=2,"","SCORE (a x b/t)
(Max = a)")</f>
        <v/>
      </c>
    </row>
    <row r="4230" spans="54:98" ht="41.25" customHeight="1" x14ac:dyDescent="0.25">
      <c r="BB4230" s="105"/>
      <c r="BC4230" s="10" t="str">
        <f>IF($BF$4016&lt;=2,"",BC4037)</f>
        <v/>
      </c>
      <c r="BD4230" s="11" t="str">
        <f>IF($BF$4016&lt;=2,"",BD4037)</f>
        <v/>
      </c>
      <c r="BE4230" s="3" t="str">
        <f>IF($BF$4016&lt;=2,"",BE4037)</f>
        <v/>
      </c>
      <c r="BF4230" s="150"/>
      <c r="BG4230" s="3" t="str">
        <f>IF($BF$4016&lt;=2,"",BG4037)</f>
        <v/>
      </c>
      <c r="BH4230" s="10" t="str">
        <f>IF($BF$4016&lt;=2,"",(ROUND(IF(BE4230*BF4230/BG4230&gt;BE4230,BE4230,BE4230*BF4230/BG4230),2)))</f>
        <v/>
      </c>
      <c r="CB4230" s="105"/>
      <c r="CC4230" s="10"/>
      <c r="CD4230" s="11"/>
      <c r="CE4230" s="3"/>
      <c r="CF4230" s="150"/>
      <c r="CG4230" s="3"/>
      <c r="CH4230" s="10"/>
    </row>
    <row r="4231" spans="54:98" ht="12.75" hidden="1" customHeight="1" x14ac:dyDescent="0.25">
      <c r="BB4231" s="105"/>
      <c r="BC4231" s="10"/>
      <c r="BD4231" s="11"/>
      <c r="BE4231" s="3" t="str">
        <f>IF($BF$4016&lt;=2,"",BE4038)</f>
        <v/>
      </c>
      <c r="BF4231" s="150"/>
      <c r="BG4231" s="3" t="str">
        <f>IF($BF$4016&lt;=2,"",BG4038)</f>
        <v/>
      </c>
      <c r="BH4231" s="10"/>
      <c r="CB4231" s="105"/>
      <c r="CC4231" s="10"/>
      <c r="CD4231" s="11"/>
      <c r="CE4231" s="3" t="str">
        <f>IF($CF$4016&lt;=2,"",CE4038)</f>
        <v/>
      </c>
      <c r="CF4231" s="150"/>
      <c r="CG4231" s="3" t="str">
        <f>IF($CF$4016&lt;=2,"",CG4038)</f>
        <v/>
      </c>
      <c r="CH4231" s="10"/>
    </row>
    <row r="4232" spans="54:98" ht="42" customHeight="1" x14ac:dyDescent="0.25">
      <c r="BB4232" s="105"/>
      <c r="BC4232" s="3" t="str">
        <f>IF($BF$4016&lt;=2,"",BC4039)</f>
        <v/>
      </c>
      <c r="BD4232" s="11" t="str">
        <f>IF($BF$4016&lt;=2,"",BD4039)</f>
        <v/>
      </c>
      <c r="BE4232" s="3" t="str">
        <f>IF($BF$4016&lt;=2,"",BE4039)</f>
        <v/>
      </c>
      <c r="BF4232" s="150"/>
      <c r="BG4232" s="3" t="str">
        <f>IF($BF$4016&lt;=2,"",BG4039)</f>
        <v/>
      </c>
      <c r="BH4232" s="10" t="str">
        <f>IF($BF$4016&lt;=2,"",(ROUND(IF(BE4232*BF4232/BG4232&gt;BE4232,BE4232,BE4232*BF4232/BG4232),2)))</f>
        <v/>
      </c>
      <c r="CB4232" s="105"/>
      <c r="CC4232" s="3" t="str">
        <f>IF($CF$4016&lt;=2,"",CC4039)</f>
        <v/>
      </c>
      <c r="CD4232" s="11" t="str">
        <f>IF($CF$4016&lt;=2,"",CD4039)</f>
        <v/>
      </c>
      <c r="CE4232" s="3" t="str">
        <f>IF($CF$4016&lt;=2,"",CE4039)</f>
        <v/>
      </c>
      <c r="CF4232" s="150"/>
      <c r="CG4232" s="3" t="str">
        <f>IF($CF$4016&lt;=2,"",CG4039)</f>
        <v/>
      </c>
      <c r="CH4232" s="10" t="str">
        <f>IF($CF$4016&lt;=2,"",(ROUND(IF(CE4232*CF4232/CG4232&gt;CE4232,CE4232,CE4232*CF4232/CG4232),2)))</f>
        <v/>
      </c>
    </row>
    <row r="4233" spans="54:98" ht="1.5" hidden="1" customHeight="1" x14ac:dyDescent="0.25">
      <c r="BB4233" s="105"/>
      <c r="BC4233" s="10"/>
      <c r="BD4233" s="11"/>
      <c r="BE4233" s="3"/>
      <c r="BF4233" s="12"/>
      <c r="BG4233" s="58"/>
      <c r="CB4233" s="105"/>
      <c r="CC4233" s="10"/>
      <c r="CD4233" s="11"/>
      <c r="CE4233" s="3"/>
      <c r="CF4233" s="12"/>
      <c r="CG4233" s="58"/>
    </row>
    <row r="4234" spans="54:98" x14ac:dyDescent="0.25">
      <c r="BB4234" s="105"/>
      <c r="BC4234" s="104" t="str">
        <f>IF($BF$4016&lt;=2,"","TOTAL                      ")</f>
        <v/>
      </c>
      <c r="BD4234" s="104"/>
      <c r="BE4234" s="98" t="str">
        <f>IF($BF$4016&lt;=2,"",(SUM(BE4230:BE4233)))</f>
        <v/>
      </c>
      <c r="BF4234" s="74" t="str">
        <f>IF($BF$4016&lt;=2,"","(Bcs)")</f>
        <v/>
      </c>
      <c r="BG4234" s="17"/>
      <c r="BH4234" s="8" t="str">
        <f>IF($BF$4016&lt;=2,"",(SUM(BH4230:BH4233)))</f>
        <v/>
      </c>
      <c r="CB4234" s="105"/>
      <c r="CC4234" s="104" t="str">
        <f>IF($CF$4016&lt;=2,"","TOTAL                      ")</f>
        <v/>
      </c>
      <c r="CD4234" s="104"/>
      <c r="CE4234" s="98" t="str">
        <f>IF($CF$4016&lt;=2,"",(SUM(CE4230:CE4233)))</f>
        <v/>
      </c>
      <c r="CF4234" s="74" t="str">
        <f>IF($CF$4016&lt;=2,"","(Bcs)")</f>
        <v/>
      </c>
      <c r="CG4234" s="17"/>
      <c r="CH4234" s="8" t="str">
        <f>IF($CF$4016&lt;=2,"",(SUM(CH4230:CH4233)))</f>
        <v/>
      </c>
    </row>
    <row r="4235" spans="54:98" x14ac:dyDescent="0.25">
      <c r="BC4235" s="10"/>
      <c r="BD4235" s="11"/>
      <c r="BE4235" s="3"/>
      <c r="BG4235" s="58"/>
      <c r="CC4235" s="10"/>
      <c r="CD4235" s="11"/>
      <c r="CE4235" s="3"/>
      <c r="CG4235" s="58"/>
    </row>
    <row r="4236" spans="54:98" x14ac:dyDescent="0.25">
      <c r="BB4236" s="105" t="str">
        <f>IF($BF$4016&lt;=2,"","3")</f>
        <v/>
      </c>
      <c r="BC4236" s="105" t="str">
        <f>IF($BF$4016&lt;=2,"",BC4043)</f>
        <v/>
      </c>
      <c r="BD4236" s="105"/>
      <c r="BE4236" s="98" t="str">
        <f>IF($BF$4016&lt;=2,"","WEIGHTING (a)")</f>
        <v/>
      </c>
      <c r="BF4236" s="98" t="str">
        <f>IF($BF$4016&lt;=2,"","% TENDERED (b)")</f>
        <v/>
      </c>
      <c r="BG4236" s="109" t="str">
        <f>IF($BF$4016&lt;=2,"","% TARGETS (t) *")</f>
        <v/>
      </c>
      <c r="BH4236" s="104" t="str">
        <f>IF($BF$4016&lt;=2,"","SCORE (a x b/t)
(Max = a)")</f>
        <v/>
      </c>
      <c r="CB4236" s="105" t="str">
        <f>IF($CF$4016&lt;=2,"","3")</f>
        <v/>
      </c>
      <c r="CC4236" s="105" t="str">
        <f>IF($CF$4016&lt;=2,"",CC4043)</f>
        <v/>
      </c>
      <c r="CD4236" s="105"/>
      <c r="CE4236" s="98" t="str">
        <f>IF($CF$4016&lt;=2,"","WEIGHTING (a)")</f>
        <v/>
      </c>
      <c r="CF4236" s="98" t="str">
        <f>IF($CF$4016&lt;=2,"","% TENDERED (b)")</f>
        <v/>
      </c>
      <c r="CG4236" s="109" t="str">
        <f>IF($CF$4016&lt;=2,"","% TARGETS (t) *")</f>
        <v/>
      </c>
      <c r="CH4236" s="104" t="str">
        <f>IF($CF$4016&lt;=2,"","SCORE (a x b/t)
(Max = a)")</f>
        <v/>
      </c>
    </row>
    <row r="4237" spans="54:98" ht="57.75" customHeight="1" x14ac:dyDescent="0.25">
      <c r="BB4237" s="105"/>
      <c r="BC4237" s="10" t="str">
        <f>IF($BF$4016&lt;=2,"",BC4044)</f>
        <v/>
      </c>
      <c r="BD4237" s="11" t="str">
        <f>IF($BF$4016&lt;=2,"",BD4044)</f>
        <v/>
      </c>
      <c r="BE4237" s="21" t="str">
        <f>IF($BF$4016&lt;=2,"",BE4044)</f>
        <v/>
      </c>
      <c r="BF4237" s="150"/>
      <c r="BG4237" s="21" t="str">
        <f>IF($BF$4016&lt;=2,"",BG4044)</f>
        <v/>
      </c>
      <c r="BH4237" s="10" t="str">
        <f>IF($BF$4016&lt;=2,"",(ROUND(IF(BE4237*BF4237/BG4237&gt;BE4237,BE4237,BE4237*BF4237/BG4237),2)))</f>
        <v/>
      </c>
      <c r="CB4237" s="105"/>
      <c r="CC4237" s="10" t="str">
        <f>IF($CF$4016&lt;=2,"",CC4044)</f>
        <v/>
      </c>
      <c r="CD4237" s="11" t="str">
        <f>IF($CF$4016&lt;=2,"",CD4044)</f>
        <v/>
      </c>
      <c r="CE4237" s="21" t="str">
        <f>IF($CF$4016&lt;=2,"",CE4044)</f>
        <v/>
      </c>
      <c r="CF4237" s="150"/>
      <c r="CG4237" s="21" t="str">
        <f>IF($CF$4016&lt;=2,"",CG4044)</f>
        <v/>
      </c>
      <c r="CH4237" s="10" t="str">
        <f>IF($CF$4016&lt;=2,"",(ROUND(IF(CE4237*CF4237/CG4237&gt;CE4237,CE4237,CE4237*CF4237/CG4237),2)))</f>
        <v/>
      </c>
    </row>
    <row r="4238" spans="54:98" ht="57.75" customHeight="1" x14ac:dyDescent="0.25">
      <c r="BB4238" s="105"/>
      <c r="BC4238" s="10" t="str">
        <f>IF($BF$4016&lt;=2,"",BC4045)</f>
        <v/>
      </c>
      <c r="BD4238" s="11" t="str">
        <f>IF($BF$4016&lt;=2,"",BD4045)</f>
        <v/>
      </c>
      <c r="BE4238" s="21" t="str">
        <f>IF($BF$4016&lt;=2,"",BE4045)</f>
        <v/>
      </c>
      <c r="BF4238" s="150"/>
      <c r="BG4238" s="21" t="str">
        <f>IF($BF$4016&lt;=2,"",BG4045)</f>
        <v/>
      </c>
      <c r="BH4238" s="10" t="str">
        <f>IF($BF$4016&lt;=2,"",(ROUND(IF(BE4238*BF4238/BG4238&gt;BE4238,BE4238,BE4238*BF4238/BG4238),2)))</f>
        <v/>
      </c>
      <c r="CB4238" s="105"/>
      <c r="CC4238" s="10" t="str">
        <f>IF($CF$4016&lt;=2,"",CC4045)</f>
        <v/>
      </c>
      <c r="CD4238" s="11" t="str">
        <f>IF($CF$4016&lt;=2,"",CD4045)</f>
        <v/>
      </c>
      <c r="CE4238" s="21" t="str">
        <f>IF($CF$4016&lt;=2,"",CE4045)</f>
        <v/>
      </c>
      <c r="CF4238" s="150"/>
      <c r="CG4238" s="21" t="str">
        <f>IF($CF$4016&lt;=2,"",CG4045)</f>
        <v/>
      </c>
      <c r="CH4238" s="10" t="str">
        <f>IF($CF$4016&lt;=2,"",(ROUND(IF(CE4238*CF4238/CG4238&gt;CE4238,CE4238,CE4238*CF4238/CG4238),2)))</f>
        <v/>
      </c>
    </row>
    <row r="4239" spans="54:98" x14ac:dyDescent="0.25">
      <c r="BB4239" s="105"/>
      <c r="BC4239" s="104" t="str">
        <f>IF($BF$4016&lt;=2,"","TOTAL                                                          ")</f>
        <v/>
      </c>
      <c r="BD4239" s="104"/>
      <c r="BE4239" s="98" t="str">
        <f>IF($BF$4016&lt;=2,"",(SUM(BE4237:BE4238)))</f>
        <v/>
      </c>
      <c r="BF4239" s="74" t="str">
        <f>IF($BF$4016&lt;=2,"","(Bees)")</f>
        <v/>
      </c>
      <c r="BG4239" s="17"/>
      <c r="BH4239" s="8" t="str">
        <f>IF($BF$4016&lt;=2,"",(SUM(BH4237:BH4238)))</f>
        <v/>
      </c>
      <c r="CB4239" s="105"/>
      <c r="CC4239" s="104" t="str">
        <f>IF($CF$4016&lt;=2,"","TOTAL                                                          ")</f>
        <v/>
      </c>
      <c r="CD4239" s="104"/>
      <c r="CE4239" s="98" t="str">
        <f>IF($CF$4016&lt;=2,"",(SUM(CE4237:CE4238)))</f>
        <v/>
      </c>
      <c r="CF4239" s="74" t="str">
        <f>IF($CF$4016&lt;=2,"","(Bees)")</f>
        <v/>
      </c>
      <c r="CG4239" s="17"/>
      <c r="CH4239" s="8" t="str">
        <f>IF($CF$4016&lt;=2,"",(SUM(CH4237:CH4238)))</f>
        <v/>
      </c>
    </row>
    <row r="4241" spans="54:93" x14ac:dyDescent="0.25">
      <c r="BB4241" s="105" t="str">
        <f>IF($BF$4016&lt;=2,"","4")</f>
        <v/>
      </c>
      <c r="BC4241" s="105" t="str">
        <f>IF($BF$4016&lt;=2,"",BC4048)</f>
        <v/>
      </c>
      <c r="BD4241" s="105"/>
      <c r="BE4241" s="98" t="str">
        <f>IF($BF$4016&lt;=2,"","WEIGHTING (a)")</f>
        <v/>
      </c>
      <c r="BF4241" s="98" t="str">
        <f>IF($BF$4016&lt;=2,"","% TENDERED (b)")</f>
        <v/>
      </c>
      <c r="BG4241" s="109" t="str">
        <f>IF($BF$4016&lt;=2,"","% TARGETS (t) *")</f>
        <v/>
      </c>
      <c r="BH4241" s="104" t="str">
        <f>IF($BF$4016&lt;=2,"","SCORE (a x b/t)
(Max = a)")</f>
        <v/>
      </c>
      <c r="CB4241" s="105" t="str">
        <f>IF($CF$4016&lt;=2,"","4")</f>
        <v/>
      </c>
      <c r="CC4241" s="105" t="str">
        <f>IF($CF$4016&lt;=2,"",CC4048)</f>
        <v/>
      </c>
      <c r="CD4241" s="105"/>
      <c r="CE4241" s="98" t="str">
        <f>IF($CF$4016&lt;=2,"","WEIGHTING (a)")</f>
        <v/>
      </c>
      <c r="CF4241" s="98" t="str">
        <f>IF($CF$4016&lt;=2,"","% TENDERED (b)")</f>
        <v/>
      </c>
      <c r="CG4241" s="109" t="str">
        <f>IF($CF$4016&lt;=2,"","% TARGETS (t) *")</f>
        <v/>
      </c>
      <c r="CH4241" s="104" t="str">
        <f>IF($CF$4016&lt;=2,"","SCORE (a x b/t)
(Max = a)")</f>
        <v/>
      </c>
    </row>
    <row r="4242" spans="54:93" ht="27.75" customHeight="1" x14ac:dyDescent="0.25">
      <c r="BB4242" s="105"/>
      <c r="BC4242" s="11" t="str">
        <f>IF($BF$4016&lt;=2,"",BC4049)</f>
        <v/>
      </c>
      <c r="BD4242" s="11" t="str">
        <f t="shared" ref="BD4242:BE4244" si="188">IF($BF$4016&lt;=2,"",BD4049)</f>
        <v/>
      </c>
      <c r="BE4242" s="3" t="str">
        <f t="shared" si="188"/>
        <v/>
      </c>
      <c r="BF4242" s="150"/>
      <c r="BG4242" s="3" t="str">
        <f>IF($BF$4016&lt;=2,"",BG4049)</f>
        <v/>
      </c>
      <c r="BH4242" s="10" t="str">
        <f t="shared" ref="BH4242:BH4251" si="189">IF($BF$4016&lt;=2,"",(ROUND(IF(BE4242*BF4242/BG4242&gt;BE4242,BE4242,BE4242*BF4242/BG4242),2)))</f>
        <v/>
      </c>
      <c r="CB4242" s="105"/>
      <c r="CC4242" s="11" t="str">
        <f>IF($CF$4016&lt;=2,"",CC4049)</f>
        <v/>
      </c>
      <c r="CD4242" s="11" t="str">
        <f>IF($CF$4016&lt;=2,"",CD4049)</f>
        <v/>
      </c>
      <c r="CE4242" s="3" t="str">
        <f>IF($CF$4016&lt;=2,"",CE4049)</f>
        <v/>
      </c>
      <c r="CF4242" s="150"/>
      <c r="CG4242" s="3" t="str">
        <f>IF($CF$4016&lt;=2,"",CG4049)</f>
        <v/>
      </c>
      <c r="CH4242" s="10" t="str">
        <f>IF($CF$4016&lt;=2,"",(ROUND(IF(CE4242*CF4242/CG4242&gt;CE4242,CE4242,CE4242*CF4242/CG4242),2)))</f>
        <v/>
      </c>
    </row>
    <row r="4243" spans="54:93" ht="56.25" customHeight="1" x14ac:dyDescent="0.25">
      <c r="BB4243" s="105"/>
      <c r="BC4243" s="11"/>
      <c r="BD4243" s="11" t="str">
        <f t="shared" si="188"/>
        <v/>
      </c>
      <c r="BE4243" s="3" t="str">
        <f t="shared" si="188"/>
        <v/>
      </c>
      <c r="BF4243" s="150"/>
      <c r="BG4243" s="3" t="str">
        <f>IF($BF$4016&lt;=2,"",BG4050)</f>
        <v/>
      </c>
      <c r="BH4243" s="10" t="str">
        <f t="shared" si="189"/>
        <v/>
      </c>
      <c r="CB4243" s="105"/>
      <c r="CC4243" s="11"/>
      <c r="CD4243" s="11" t="str">
        <f>IF($CF$4016&lt;=2,"",CD4050)</f>
        <v/>
      </c>
      <c r="CE4243" s="3" t="str">
        <f>IF($CF$4016&lt;=2,"",CE4050)</f>
        <v/>
      </c>
      <c r="CF4243" s="150"/>
      <c r="CG4243" s="3" t="str">
        <f>IF($CF$4016&lt;=2,"",CG4050)</f>
        <v/>
      </c>
      <c r="CH4243" s="10" t="str">
        <f>IF($CF$4016&lt;=2,"",(ROUND(IF(CE4243*CF4243/CG4243&gt;CE4243,CE4243,CE4243*CF4243/CG4243),2)))</f>
        <v/>
      </c>
    </row>
    <row r="4244" spans="54:93" ht="78.75" customHeight="1" x14ac:dyDescent="0.25">
      <c r="BB4244" s="105"/>
      <c r="BC4244" s="11"/>
      <c r="BD4244" s="11" t="str">
        <f t="shared" si="188"/>
        <v/>
      </c>
      <c r="BE4244" s="3" t="str">
        <f t="shared" si="188"/>
        <v/>
      </c>
      <c r="BF4244" s="150"/>
      <c r="BG4244" s="3" t="str">
        <f>IF($BF$4016&lt;=2,"",BG4051)</f>
        <v/>
      </c>
      <c r="BH4244" s="10" t="str">
        <f t="shared" si="189"/>
        <v/>
      </c>
      <c r="CB4244" s="105"/>
      <c r="CC4244" s="11"/>
      <c r="CD4244" s="11"/>
      <c r="CE4244" s="3"/>
      <c r="CF4244" s="150"/>
      <c r="CG4244" s="3"/>
      <c r="CH4244" s="10"/>
    </row>
    <row r="4245" spans="54:93" ht="0.75" hidden="1" customHeight="1" x14ac:dyDescent="0.25">
      <c r="BB4245" s="105"/>
      <c r="BC4245" s="11"/>
      <c r="BD4245" s="11"/>
      <c r="BE4245" s="3"/>
      <c r="BF4245" s="150"/>
      <c r="BG4245" s="3"/>
      <c r="BH4245" s="10"/>
      <c r="CB4245" s="105"/>
      <c r="CC4245" s="11"/>
      <c r="CD4245" s="11"/>
      <c r="CE4245" s="3"/>
      <c r="CF4245" s="150"/>
      <c r="CG4245" s="3"/>
      <c r="CH4245" s="10"/>
    </row>
    <row r="4246" spans="54:93" ht="12.75" hidden="1" customHeight="1" x14ac:dyDescent="0.25">
      <c r="BB4246" s="105"/>
      <c r="BC4246" s="11"/>
      <c r="BD4246" s="11"/>
      <c r="BE4246" s="3"/>
      <c r="BF4246" s="150"/>
      <c r="BG4246" s="3"/>
      <c r="BH4246" s="10"/>
      <c r="CB4246" s="105"/>
      <c r="CC4246" s="11"/>
      <c r="CD4246" s="11"/>
      <c r="CE4246" s="3"/>
      <c r="CF4246" s="150"/>
      <c r="CG4246" s="3"/>
      <c r="CH4246" s="10"/>
    </row>
    <row r="4247" spans="54:93" ht="33" customHeight="1" x14ac:dyDescent="0.25">
      <c r="BB4247" s="105"/>
      <c r="BC4247" s="10" t="str">
        <f>IF($BF$4016&lt;=2,"",BC4054)</f>
        <v/>
      </c>
      <c r="BD4247" s="11" t="str">
        <f>IF($BF$4016&lt;=2,"",BD4054)</f>
        <v/>
      </c>
      <c r="BE4247" s="3" t="str">
        <f>IF($BF$4016&lt;=2,"",BE4054)</f>
        <v/>
      </c>
      <c r="BF4247" s="150"/>
      <c r="BG4247" s="3" t="str">
        <f>IF($BF$4016&lt;=2,"",BG4054)</f>
        <v/>
      </c>
      <c r="BH4247" s="10" t="str">
        <f t="shared" si="189"/>
        <v/>
      </c>
      <c r="CB4247" s="105"/>
      <c r="CC4247" s="10"/>
      <c r="CD4247" s="11"/>
      <c r="CE4247" s="3"/>
      <c r="CF4247" s="150"/>
      <c r="CG4247" s="3"/>
      <c r="CH4247" s="10"/>
    </row>
    <row r="4248" spans="54:93" ht="68.25" customHeight="1" x14ac:dyDescent="0.25">
      <c r="BB4248" s="105"/>
      <c r="BC4248" s="10"/>
      <c r="BD4248" s="11" t="str">
        <f>IF($BF$4016&lt;=2,"",BD4055)</f>
        <v/>
      </c>
      <c r="BE4248" s="3" t="str">
        <f>IF($BF$4016&lt;=2,"",BE4055)</f>
        <v/>
      </c>
      <c r="BF4248" s="150"/>
      <c r="BG4248" s="3" t="str">
        <f>IF($BF$4016&lt;=2,"",BG4055)</f>
        <v/>
      </c>
      <c r="BH4248" s="10" t="str">
        <f t="shared" si="189"/>
        <v/>
      </c>
      <c r="BL4248" s="12"/>
      <c r="CB4248" s="105"/>
      <c r="CC4248" s="10"/>
      <c r="CD4248" s="11"/>
      <c r="CE4248" s="3"/>
      <c r="CF4248" s="150"/>
      <c r="CG4248" s="3"/>
      <c r="CH4248" s="10"/>
      <c r="CL4248" s="12"/>
    </row>
    <row r="4249" spans="54:93" ht="78.75" customHeight="1" x14ac:dyDescent="0.25">
      <c r="BB4249" s="105"/>
      <c r="BC4249" s="10"/>
      <c r="BD4249" s="11" t="str">
        <f>IF($BF$4016&lt;=2,"",BD4056)</f>
        <v/>
      </c>
      <c r="BE4249" s="3" t="str">
        <f>IF($BF$4016&lt;=2,"",BE4056)</f>
        <v/>
      </c>
      <c r="BF4249" s="150"/>
      <c r="BG4249" s="3" t="str">
        <f>IF($BF$4016&lt;=2,"",BG4056)</f>
        <v/>
      </c>
      <c r="BH4249" s="10" t="str">
        <f t="shared" si="189"/>
        <v/>
      </c>
      <c r="CB4249" s="105"/>
      <c r="CC4249" s="10"/>
      <c r="CD4249" s="11"/>
      <c r="CE4249" s="3"/>
      <c r="CF4249" s="150"/>
      <c r="CG4249" s="3"/>
      <c r="CH4249" s="10"/>
    </row>
    <row r="4250" spans="54:93" ht="12.75" hidden="1" customHeight="1" x14ac:dyDescent="0.25">
      <c r="BB4250" s="105"/>
      <c r="BC4250" s="10"/>
      <c r="BD4250" s="11"/>
      <c r="BE4250" s="3"/>
      <c r="BF4250" s="150"/>
      <c r="BG4250" s="3"/>
      <c r="BH4250" s="10"/>
      <c r="BO4250" s="117" t="s">
        <v>250</v>
      </c>
      <c r="CB4250" s="105"/>
      <c r="CC4250" s="10"/>
      <c r="CD4250" s="11"/>
      <c r="CE4250" s="3"/>
      <c r="CF4250" s="150"/>
      <c r="CG4250" s="3"/>
      <c r="CH4250" s="10"/>
      <c r="CO4250" s="117" t="s">
        <v>250</v>
      </c>
    </row>
    <row r="4251" spans="54:93" ht="26.25" customHeight="1" x14ac:dyDescent="0.25">
      <c r="BB4251" s="105"/>
      <c r="BC4251" s="3" t="str">
        <f t="shared" ref="BC4251:BE4252" si="190">IF($BF$4016&lt;=2,"",BC4058)</f>
        <v/>
      </c>
      <c r="BD4251" s="11" t="str">
        <f t="shared" si="190"/>
        <v/>
      </c>
      <c r="BE4251" s="3" t="str">
        <f t="shared" si="190"/>
        <v/>
      </c>
      <c r="BF4251" s="150"/>
      <c r="BG4251" s="3" t="str">
        <f>IF($BF$4016&lt;=2,"",BG4058)</f>
        <v/>
      </c>
      <c r="BH4251" s="10" t="str">
        <f t="shared" si="189"/>
        <v/>
      </c>
      <c r="BM4251" s="95" t="s">
        <v>243</v>
      </c>
      <c r="BN4251" s="96" t="s">
        <v>251</v>
      </c>
      <c r="BO4251" s="96"/>
      <c r="BP4251" s="96"/>
      <c r="BQ4251" s="96"/>
      <c r="BR4251" s="241" t="s">
        <v>252</v>
      </c>
      <c r="BS4251" s="96" t="s">
        <v>253</v>
      </c>
      <c r="BT4251" s="114" t="s">
        <v>246</v>
      </c>
      <c r="CB4251" s="105"/>
      <c r="CC4251" s="3"/>
      <c r="CD4251" s="11"/>
      <c r="CE4251" s="3"/>
      <c r="CF4251" s="150"/>
      <c r="CG4251" s="3"/>
      <c r="CH4251" s="10"/>
      <c r="CM4251" s="95"/>
      <c r="CN4251" s="95"/>
      <c r="CO4251" s="95"/>
    </row>
    <row r="4252" spans="54:93" ht="55.5" customHeight="1" x14ac:dyDescent="0.25">
      <c r="BB4252" s="105"/>
      <c r="BC4252" s="3" t="str">
        <f t="shared" si="190"/>
        <v/>
      </c>
      <c r="BD4252" s="11" t="str">
        <f t="shared" si="190"/>
        <v/>
      </c>
      <c r="BE4252" s="3" t="str">
        <f t="shared" si="190"/>
        <v/>
      </c>
      <c r="BF4252" s="21" t="str">
        <f>IF($BF$4016&lt;=2,"",BF4059)</f>
        <v/>
      </c>
      <c r="BG4252" s="21" t="str">
        <f>IF($BF$4016&lt;=2,"",BG4059)</f>
        <v/>
      </c>
      <c r="BH4252" s="113" t="str">
        <f>IF($BF$4016&lt;=2,"",BT4254)</f>
        <v/>
      </c>
      <c r="BM4252" s="95">
        <v>1</v>
      </c>
      <c r="BN4252" s="96" t="s">
        <v>254</v>
      </c>
      <c r="BO4252" s="96"/>
      <c r="BP4252" s="96"/>
      <c r="BQ4252" s="96"/>
      <c r="BR4252" s="391">
        <f>0.4*2.5</f>
        <v>1</v>
      </c>
      <c r="BS4252" s="144"/>
      <c r="BT4252" s="96">
        <f>BS4252*BR4252</f>
        <v>0</v>
      </c>
      <c r="CB4252" s="105"/>
      <c r="CC4252" s="3"/>
      <c r="CD4252" s="11"/>
      <c r="CE4252" s="3"/>
      <c r="CF4252" s="21"/>
      <c r="CG4252" s="21"/>
      <c r="CH4252" s="113"/>
      <c r="CM4252" s="95"/>
      <c r="CN4252" s="96"/>
      <c r="CO4252" s="96"/>
    </row>
    <row r="4253" spans="54:93" x14ac:dyDescent="0.25">
      <c r="BB4253" s="105"/>
      <c r="BC4253" s="104" t="str">
        <f>IF($BF$4016&lt;=2,"","TOTAL                                                     ")</f>
        <v/>
      </c>
      <c r="BD4253" s="104"/>
      <c r="BE4253" s="98" t="str">
        <f>IF($BF$4016&lt;=2,"",(SUM(BE4242:BE4252)))</f>
        <v/>
      </c>
      <c r="BF4253" s="74" t="str">
        <f>IF($BF$4016&lt;=2,"","(Bsds)")</f>
        <v/>
      </c>
      <c r="BG4253" s="17"/>
      <c r="BH4253" s="8" t="str">
        <f>IF($BF$4016&lt;=2,"",(SUM(BH4242:BH4252)))</f>
        <v/>
      </c>
      <c r="BM4253" s="95">
        <v>2</v>
      </c>
      <c r="BN4253" s="96" t="s">
        <v>255</v>
      </c>
      <c r="BO4253" s="96"/>
      <c r="BP4253" s="96"/>
      <c r="BQ4253" s="96"/>
      <c r="BR4253" s="391">
        <f>2.5-BR4252</f>
        <v>1.5</v>
      </c>
      <c r="BS4253" s="144"/>
      <c r="BT4253" s="96">
        <f>BS4253*BR4253</f>
        <v>0</v>
      </c>
      <c r="CB4253" s="105"/>
      <c r="CC4253" s="104" t="str">
        <f>IF($CF$4016&lt;=2,"","TOTAL                                                     ")</f>
        <v/>
      </c>
      <c r="CD4253" s="104"/>
      <c r="CE4253" s="98" t="str">
        <f>IF($CF$4016&lt;=2,"",(SUM(CE4242:CE4252)))</f>
        <v/>
      </c>
      <c r="CF4253" s="74" t="str">
        <f>IF($CF$4016&lt;=2,"","(Bsds)")</f>
        <v/>
      </c>
      <c r="CG4253" s="17"/>
      <c r="CH4253" s="8" t="str">
        <f>IF($CF$4016&lt;=2,"",(SUM(CH4242:CH4252)))</f>
        <v/>
      </c>
      <c r="CM4253" s="95"/>
      <c r="CN4253" s="96"/>
      <c r="CO4253" s="96"/>
    </row>
    <row r="4254" spans="54:93" x14ac:dyDescent="0.25">
      <c r="BB4254" s="105"/>
      <c r="BC4254" s="10"/>
      <c r="BD4254" s="11"/>
      <c r="BE4254" s="3"/>
      <c r="BG4254" s="58"/>
      <c r="BQ4254" s="392" t="s">
        <v>256</v>
      </c>
      <c r="BR4254" s="393">
        <f>SUM(BR4252:BR4253)</f>
        <v>2.5</v>
      </c>
      <c r="BS4254" s="392" t="s">
        <v>241</v>
      </c>
      <c r="BT4254" s="117">
        <f>SUM(BT4252:BT4253)</f>
        <v>0</v>
      </c>
      <c r="CB4254" s="105"/>
      <c r="CC4254" s="10"/>
      <c r="CD4254" s="11"/>
      <c r="CE4254" s="3"/>
      <c r="CG4254" s="58"/>
    </row>
    <row r="4255" spans="54:93" x14ac:dyDescent="0.25">
      <c r="BB4255" s="105" t="str">
        <f>IF($BF$4016&lt;=2,"","5")</f>
        <v/>
      </c>
      <c r="BC4255" s="105" t="str">
        <f>IF($BF$4016&lt;=2,"",BC4062)</f>
        <v/>
      </c>
      <c r="BD4255" s="105"/>
      <c r="BE4255" s="98" t="str">
        <f>IF($BF$4016&lt;=2,"","WEIGHTING (a)")</f>
        <v/>
      </c>
      <c r="BF4255" s="98" t="str">
        <f>IF($BF$4016&lt;=2,"","% TENDERED (b)")</f>
        <v/>
      </c>
      <c r="BG4255" s="109" t="str">
        <f>IF($BF$4016&lt;=2,"","% TARGETS (t) *")</f>
        <v/>
      </c>
      <c r="BH4255" s="104" t="str">
        <f>IF($BF$4016&lt;=2,"","SCORE (a x b/t)
(Max = a)")</f>
        <v/>
      </c>
      <c r="CB4255" s="105" t="str">
        <f>IF($CF$4016&lt;=2,"","5")</f>
        <v/>
      </c>
      <c r="CC4255" s="105" t="str">
        <f>IF($CF$4016&lt;=2,"",CC4062)</f>
        <v/>
      </c>
      <c r="CD4255" s="105"/>
      <c r="CE4255" s="98" t="str">
        <f>IF($CF$4016&lt;=2,"","WEIGHTING (a)")</f>
        <v/>
      </c>
      <c r="CF4255" s="98" t="str">
        <f>IF($CF$4016&lt;=2,"","% TENDERED (b)")</f>
        <v/>
      </c>
      <c r="CG4255" s="109" t="str">
        <f>IF($CF$4016&lt;=2,"","% TARGETS (t) *")</f>
        <v/>
      </c>
      <c r="CH4255" s="104" t="str">
        <f>IF($CF$4016&lt;=2,"","SCORE (a x b/t)
(Max = a)")</f>
        <v/>
      </c>
    </row>
    <row r="4256" spans="54:93" ht="24.75" customHeight="1" x14ac:dyDescent="0.25">
      <c r="BB4256" s="105"/>
      <c r="BC4256" s="212" t="str">
        <f>IF($BF$4016&lt;=2,"",BC4063)</f>
        <v/>
      </c>
      <c r="BD4256" s="212"/>
      <c r="BE4256" s="3" t="str">
        <f>IF($BF$4016&lt;=2,"",BE4063)</f>
        <v/>
      </c>
      <c r="BF4256" s="150"/>
      <c r="BG4256" s="3" t="str">
        <f>IF($BF$4016&lt;=2,"",BG4063)</f>
        <v/>
      </c>
      <c r="BH4256" s="10" t="str">
        <f>IF($BF$4016&lt;=2,"",(ROUND(IF(BE4256*BF4256/BG4256&gt;BE4256,BE4256,BE4256*BF4256/BG4256),2)))</f>
        <v/>
      </c>
      <c r="CB4256" s="105"/>
      <c r="CC4256" s="212" t="str">
        <f>IF($CF$4016&lt;=2,"",CC4063)</f>
        <v/>
      </c>
      <c r="CD4256" s="212"/>
      <c r="CE4256" s="3" t="str">
        <f>IF($CF$4016&lt;=2,"",CE4063)</f>
        <v/>
      </c>
      <c r="CF4256" s="150"/>
      <c r="CG4256" s="3" t="str">
        <f>IF($CF$4016&lt;=2,"",CG4063)</f>
        <v/>
      </c>
      <c r="CH4256" s="10" t="str">
        <f>IF($CF$4016&lt;=2,"",(ROUND(IF(CE4256*CF4256/CG4256&gt;CE4256,CE4256,CE4256*CF4256/CG4256),2)))</f>
        <v/>
      </c>
    </row>
    <row r="4257" spans="54:86" ht="27.75" customHeight="1" x14ac:dyDescent="0.25">
      <c r="BB4257" s="105"/>
      <c r="BC4257" s="212" t="str">
        <f>IF($BF$4016&lt;=2,"",BC4064)</f>
        <v/>
      </c>
      <c r="BD4257" s="212"/>
      <c r="BE4257" s="3" t="str">
        <f>IF($BF$4016&lt;=2,"",BE4064)</f>
        <v/>
      </c>
      <c r="BF4257" s="150"/>
      <c r="BG4257" s="3" t="str">
        <f>IF($BF$4016&lt;=2,"",BG4064)</f>
        <v/>
      </c>
      <c r="BH4257" s="10" t="str">
        <f>IF($BF$4016&lt;=2,"",(ROUND(IF(BE4257*BF4257/BG4257&gt;BE4257,BE4257,BE4257*BF4257/BG4257),2)))</f>
        <v/>
      </c>
      <c r="CB4257" s="105"/>
      <c r="CC4257" s="212"/>
      <c r="CD4257" s="212"/>
      <c r="CE4257" s="3"/>
      <c r="CF4257" s="150"/>
      <c r="CG4257" s="3"/>
      <c r="CH4257" s="10"/>
    </row>
    <row r="4258" spans="54:86" ht="27.75" customHeight="1" x14ac:dyDescent="0.25">
      <c r="BB4258" s="105"/>
      <c r="BC4258" s="212" t="str">
        <f>IF($BF$4016&lt;=2,"",BC4065)</f>
        <v/>
      </c>
      <c r="BD4258" s="212"/>
      <c r="BE4258" s="3" t="str">
        <f>IF($BF$4016&lt;=2,"",BE4065)</f>
        <v/>
      </c>
      <c r="BF4258" s="150"/>
      <c r="BG4258" s="3" t="str">
        <f>IF($BF$4016&lt;=2,"",BG4065)</f>
        <v/>
      </c>
      <c r="BH4258" s="10" t="str">
        <f>IF($BF$4016&lt;=2,"",(ROUND(IF(BE4258*BF4258/BG4258&gt;BE4258,BE4258,BE4258*BF4258/BG4258),2)))</f>
        <v/>
      </c>
      <c r="CB4258" s="105"/>
      <c r="CC4258" s="212"/>
      <c r="CD4258" s="212"/>
      <c r="CE4258" s="3"/>
      <c r="CF4258" s="150"/>
      <c r="CG4258" s="3"/>
      <c r="CH4258" s="10"/>
    </row>
    <row r="4259" spans="54:86" ht="27" customHeight="1" x14ac:dyDescent="0.25">
      <c r="BB4259" s="105"/>
      <c r="BC4259" s="212" t="str">
        <f>IF($BF$4016&lt;=2,"",BC4066)</f>
        <v/>
      </c>
      <c r="BD4259" s="212"/>
      <c r="BE4259" s="3" t="str">
        <f>IF($BF$4016&lt;=2,"",BE4066)</f>
        <v/>
      </c>
      <c r="BF4259" s="150"/>
      <c r="BG4259" s="3" t="str">
        <f>IF($BF$4016&lt;=2,"",BG4066)</f>
        <v/>
      </c>
      <c r="BH4259" s="10" t="str">
        <f>IF($BF$4016&lt;=2,"",(ROUND(IF(BE4259*BF4259/BG4259&gt;BE4259,BE4259,BE4259*BF4259/BG4259),2)))</f>
        <v/>
      </c>
      <c r="BL4259" s="12"/>
      <c r="CB4259" s="105"/>
      <c r="CC4259" s="212"/>
      <c r="CD4259" s="212"/>
      <c r="CE4259" s="3"/>
      <c r="CF4259" s="150"/>
      <c r="CG4259" s="3"/>
      <c r="CH4259" s="10"/>
    </row>
    <row r="4260" spans="54:86" x14ac:dyDescent="0.25">
      <c r="BB4260" s="105"/>
      <c r="BC4260" s="104" t="str">
        <f>IF($BF$4016&lt;=2,"","TOTAL                                                      ")</f>
        <v/>
      </c>
      <c r="BD4260" s="104"/>
      <c r="BE4260" s="98" t="str">
        <f>IF($BF$4016&lt;=2,"",(SUM(BE4256:BE4259)))</f>
        <v/>
      </c>
      <c r="BF4260" s="74" t="str">
        <f>IF($BF$4016&lt;=2,"","(Bps)")</f>
        <v/>
      </c>
      <c r="BG4260" s="17"/>
      <c r="BH4260" s="8" t="str">
        <f>IF($BF$4016&lt;=2,"",(SUM(BH4256:BH4259)))</f>
        <v/>
      </c>
      <c r="CB4260" s="105"/>
      <c r="CC4260" s="104" t="str">
        <f>IF($CF$4016&lt;=2,"","TOTAL                                                      ")</f>
        <v/>
      </c>
      <c r="CD4260" s="104"/>
      <c r="CE4260" s="98" t="str">
        <f>IF($CF$4016&lt;=2,"",(SUM(CE4256:CE4259)))</f>
        <v/>
      </c>
      <c r="CF4260" s="74" t="str">
        <f>IF($CF$4016&lt;=2,"","(Bps)")</f>
        <v/>
      </c>
      <c r="CG4260" s="17"/>
      <c r="CH4260" s="8" t="str">
        <f>IF($CF$4016&lt;=2,"",(SUM(CH4256:CH4259)))</f>
        <v/>
      </c>
    </row>
    <row r="4261" spans="54:86" x14ac:dyDescent="0.25">
      <c r="BC4261" s="105"/>
      <c r="BD4261" s="11"/>
      <c r="BE4261" s="3"/>
      <c r="BG4261" s="58"/>
      <c r="BN4261" s="8" t="str">
        <f>IF($BF$4016&lt;=2,"","ITEM6.1 INPUTS")</f>
        <v/>
      </c>
      <c r="CA4261" s="8"/>
      <c r="CC4261" s="105"/>
      <c r="CD4261" s="11"/>
      <c r="CE4261" s="3"/>
      <c r="CG4261" s="58"/>
    </row>
    <row r="4262" spans="54:86" ht="52.8" x14ac:dyDescent="0.25">
      <c r="BB4262" s="105" t="str">
        <f>IF($BF$4016&lt;=2,"","6")</f>
        <v/>
      </c>
      <c r="BC4262" s="105" t="str">
        <f>IF($BF$4016&lt;=2,"",BC4069)</f>
        <v/>
      </c>
      <c r="BD4262" s="105"/>
      <c r="BE4262" s="98" t="str">
        <f>IF($BF$4016&lt;=2,"","WEIGHTING (a)")</f>
        <v/>
      </c>
      <c r="BF4262" s="98" t="str">
        <f>IF($BF$4016&lt;=2,"","% TENDERED (b)")</f>
        <v/>
      </c>
      <c r="BG4262" s="109" t="str">
        <f>IF($BF$4016&lt;=2,"","% TARGETS (t) *")</f>
        <v/>
      </c>
      <c r="BH4262" s="104" t="str">
        <f>IF($BF$4016&lt;=2,"","SCORE (a x b/t)
(Max = a)")</f>
        <v/>
      </c>
      <c r="BM4262" s="394" t="s">
        <v>257</v>
      </c>
      <c r="BN4262" s="113" t="s">
        <v>258</v>
      </c>
      <c r="BO4262" s="113"/>
      <c r="BP4262" s="113"/>
      <c r="BQ4262" s="113"/>
      <c r="BR4262" s="241" t="s">
        <v>252</v>
      </c>
      <c r="BS4262" s="114" t="s">
        <v>259</v>
      </c>
      <c r="BT4262" s="114" t="s">
        <v>260</v>
      </c>
      <c r="BU4262" s="114" t="s">
        <v>246</v>
      </c>
      <c r="BZ4262" s="394"/>
      <c r="CA4262" s="394"/>
      <c r="CB4262" s="105" t="str">
        <f>IF($CF$4016&lt;=2,"","6")</f>
        <v/>
      </c>
      <c r="CC4262" s="105" t="str">
        <f>IF($CF$4016&lt;=2,"",CC4069)</f>
        <v/>
      </c>
      <c r="CD4262" s="105"/>
      <c r="CE4262" s="98" t="str">
        <f>IF($CF$4016&lt;=2,"","WEIGHTING (a)")</f>
        <v/>
      </c>
      <c r="CF4262" s="98" t="str">
        <f>IF($CF$4016&lt;=2,"","% TENDERED (b)")</f>
        <v/>
      </c>
      <c r="CG4262" s="109" t="str">
        <f>IF($CF$4016&lt;=2,"","% TARGETS (t) *")</f>
        <v/>
      </c>
      <c r="CH4262" s="104" t="str">
        <f>IF($CF$4016&lt;=2,"","SCORE (a x b/t)
(Max = a)")</f>
        <v/>
      </c>
    </row>
    <row r="4263" spans="54:86" ht="38.25" customHeight="1" x14ac:dyDescent="0.25">
      <c r="BB4263" s="105"/>
      <c r="BC4263" s="11" t="str">
        <f>IF($BF$4016&lt;=2,"",BC4070)</f>
        <v/>
      </c>
      <c r="BD4263" s="11"/>
      <c r="BE4263" s="3" t="str">
        <f>IF($BF$4016&lt;=2,"",BE4070)</f>
        <v/>
      </c>
      <c r="BF4263" s="21" t="str">
        <f>IF($BF$4016&lt;=2,"",BF4070)</f>
        <v/>
      </c>
      <c r="BG4263" s="21" t="str">
        <f>IF($BF$4016&lt;=2,"",BG4070)</f>
        <v/>
      </c>
      <c r="BH4263" t="str">
        <f>IF($BF$4016&lt;=2,"",BU4275)</f>
        <v/>
      </c>
      <c r="BK4263" t="str">
        <f>IF($BF$4016&lt;=2,"","Tender %=")</f>
        <v/>
      </c>
      <c r="BM4263" s="95">
        <v>1</v>
      </c>
      <c r="BN4263" s="390" t="s">
        <v>261</v>
      </c>
      <c r="BO4263" s="390"/>
      <c r="BP4263" s="390"/>
      <c r="BQ4263" s="390"/>
      <c r="BR4263" s="395">
        <v>0.625</v>
      </c>
      <c r="BS4263" s="144"/>
      <c r="BT4263" s="144"/>
      <c r="BU4263" s="96">
        <f t="shared" ref="BU4263:BU4274" si="191">BT4263*BR4263</f>
        <v>0</v>
      </c>
      <c r="BX4263" s="96"/>
      <c r="BY4263" s="96"/>
      <c r="BZ4263" s="95"/>
      <c r="CA4263" s="396"/>
      <c r="CB4263" s="105"/>
      <c r="CC4263" s="11"/>
      <c r="CD4263" s="11"/>
      <c r="CE4263" s="3"/>
      <c r="CF4263" s="21"/>
      <c r="CG4263" s="21"/>
    </row>
    <row r="4264" spans="54:86" ht="26.25" customHeight="1" x14ac:dyDescent="0.25">
      <c r="BB4264" s="105"/>
      <c r="BC4264" s="11" t="str">
        <f>IF($BF$4016&lt;=2,"",BC4071)</f>
        <v/>
      </c>
      <c r="BD4264" s="11"/>
      <c r="BE4264" s="3" t="str">
        <f>IF($BF$4016&lt;=2,"",BE4071)</f>
        <v/>
      </c>
      <c r="BF4264" s="13"/>
      <c r="BG4264" s="21" t="str">
        <f>IF($BF$4016&lt;=2,"",BG4071)</f>
        <v/>
      </c>
      <c r="BH4264" t="str">
        <f>IF($BF$4016&lt;=2,"",(ROUND(IF(BE4264*BF4264/BG4264&gt;BE4264,BE4264,BE4264*BF4264/BG4264),2)))</f>
        <v/>
      </c>
      <c r="BM4264" s="95">
        <v>2</v>
      </c>
      <c r="BN4264" s="390" t="s">
        <v>262</v>
      </c>
      <c r="BO4264" s="390"/>
      <c r="BP4264" s="390"/>
      <c r="BQ4264" s="390"/>
      <c r="BR4264" s="395">
        <v>0.42499999999999999</v>
      </c>
      <c r="BS4264" s="397"/>
      <c r="BT4264" s="144"/>
      <c r="BU4264" s="96">
        <f t="shared" si="191"/>
        <v>0</v>
      </c>
      <c r="BX4264" s="394"/>
      <c r="BY4264" s="394"/>
      <c r="BZ4264" s="95"/>
      <c r="CA4264" s="396"/>
      <c r="CB4264" s="105"/>
      <c r="CC4264" s="11" t="str">
        <f>IF($CF$4016&lt;=2,"",CC4071)</f>
        <v/>
      </c>
      <c r="CD4264" s="11"/>
      <c r="CE4264" s="3" t="str">
        <f>IF($CF$4016&lt;=2,"",CE4071)</f>
        <v/>
      </c>
      <c r="CF4264" s="13"/>
      <c r="CG4264" s="21" t="str">
        <f>IF($CF$4016&lt;=2,"",CG4071)</f>
        <v/>
      </c>
      <c r="CH4264" t="str">
        <f>IF($CF$4016&lt;=2,"",(ROUND(IF(CE4264*CF4264/CG4264&gt;CE4264,CE4264,CE4264*CF4264/CG4264),2)))</f>
        <v/>
      </c>
    </row>
    <row r="4265" spans="54:86" ht="12.75" customHeight="1" x14ac:dyDescent="0.25">
      <c r="BB4265" s="105"/>
      <c r="BC4265" s="104" t="str">
        <f>IF($BF$4016&lt;=2,"","TOTAL")</f>
        <v/>
      </c>
      <c r="BD4265" s="104"/>
      <c r="BE4265" s="98" t="str">
        <f>IF($BF$4016&lt;=2,"",(SUM(BE4263:BE4264)))</f>
        <v/>
      </c>
      <c r="BF4265" s="74" t="str">
        <f>IF($BF$4016&lt;=2,"","(Beds)")</f>
        <v/>
      </c>
      <c r="BG4265" s="17"/>
      <c r="BH4265" s="8" t="str">
        <f>IF($BF$4016&lt;=2,"",(SUM(BH4263:BH4264)))</f>
        <v/>
      </c>
      <c r="BM4265" s="95">
        <v>3</v>
      </c>
      <c r="BN4265" s="390" t="s">
        <v>263</v>
      </c>
      <c r="BO4265" s="390"/>
      <c r="BP4265" s="390"/>
      <c r="BQ4265" s="390"/>
      <c r="BR4265" s="395">
        <v>0.42499999999999999</v>
      </c>
      <c r="BS4265" s="397"/>
      <c r="BT4265" s="144"/>
      <c r="BU4265" s="96">
        <f t="shared" si="191"/>
        <v>0</v>
      </c>
      <c r="CB4265" s="105"/>
      <c r="CC4265" s="104" t="str">
        <f>IF($CF$4016&lt;=2,"","TOTAL")</f>
        <v/>
      </c>
      <c r="CD4265" s="104"/>
      <c r="CE4265" s="98" t="str">
        <f>IF($CF$4016&lt;=2,"",(SUM(CE4263:CE4264)))</f>
        <v/>
      </c>
      <c r="CF4265" s="74" t="str">
        <f>IF($CF$4016&lt;=2,"","(Beds)")</f>
        <v/>
      </c>
      <c r="CG4265" s="17"/>
      <c r="CH4265" s="8" t="str">
        <f>IF($CF$4016&lt;=2,"",(SUM(CH4263:CH4264)))</f>
        <v/>
      </c>
    </row>
    <row r="4266" spans="54:86" ht="12.75" customHeight="1" x14ac:dyDescent="0.25">
      <c r="BB4266" s="98"/>
      <c r="BC4266" s="10"/>
      <c r="BD4266" s="11"/>
      <c r="BE4266" s="3"/>
      <c r="BG4266" s="58"/>
      <c r="BM4266" s="95">
        <v>4</v>
      </c>
      <c r="BN4266" s="390" t="s">
        <v>264</v>
      </c>
      <c r="BO4266" s="390"/>
      <c r="BP4266" s="390"/>
      <c r="BQ4266" s="390"/>
      <c r="BR4266" s="395">
        <v>0.42499999999999999</v>
      </c>
      <c r="BS4266" s="397"/>
      <c r="BT4266" s="144"/>
      <c r="BU4266" s="96">
        <f t="shared" si="191"/>
        <v>0</v>
      </c>
      <c r="CB4266" s="98"/>
      <c r="CC4266" s="10"/>
      <c r="CD4266" s="11"/>
      <c r="CE4266" s="3"/>
      <c r="CG4266" s="58"/>
    </row>
    <row r="4267" spans="54:86" ht="38.25" customHeight="1" x14ac:dyDescent="0.25">
      <c r="BB4267" s="105" t="str">
        <f>IF($BF$4016&lt;=2,"","7")</f>
        <v/>
      </c>
      <c r="BC4267" s="105" t="str">
        <f>IF($BF$4016&lt;=2,"",BC4074)</f>
        <v/>
      </c>
      <c r="BD4267" s="105"/>
      <c r="BE4267" s="98" t="str">
        <f>IF($BF$4016&lt;=2,"","WEIGHTING (a)")</f>
        <v/>
      </c>
      <c r="BF4267" s="98" t="str">
        <f>IF($BF$4016&lt;=2,"","% TENDERED (b)")</f>
        <v/>
      </c>
      <c r="BG4267" s="109" t="str">
        <f>IF($BF$4016&lt;=2,"","% TARGETS (t) *")</f>
        <v/>
      </c>
      <c r="BH4267" s="104" t="str">
        <f>IF($BF$4016&lt;=2,"","SCORE (a x b/t)
(Max = a)")</f>
        <v/>
      </c>
      <c r="BM4267" s="95">
        <v>5</v>
      </c>
      <c r="BN4267" s="390" t="s">
        <v>265</v>
      </c>
      <c r="BO4267" s="390"/>
      <c r="BP4267" s="390"/>
      <c r="BQ4267" s="390"/>
      <c r="BR4267" s="395">
        <v>0.625</v>
      </c>
      <c r="BS4267" s="397"/>
      <c r="BT4267" s="144"/>
      <c r="BU4267" s="96">
        <f t="shared" si="191"/>
        <v>0</v>
      </c>
      <c r="CB4267" s="105" t="str">
        <f>IF($CF$4016&lt;=2,"","7")</f>
        <v/>
      </c>
      <c r="CC4267" s="105" t="str">
        <f>IF($CF$4016&lt;=2,"",CC4074)</f>
        <v/>
      </c>
      <c r="CD4267" s="105"/>
      <c r="CE4267" s="98" t="str">
        <f>IF($CF$4016&lt;=2,"","WEIGHTING (a)")</f>
        <v/>
      </c>
      <c r="CF4267" s="98" t="str">
        <f>IF($CF$4016&lt;=2,"","% TENDERED (b)")</f>
        <v/>
      </c>
      <c r="CG4267" s="109" t="str">
        <f>IF($CF$4016&lt;=2,"","% TARGETS (t) *")</f>
        <v/>
      </c>
      <c r="CH4267" s="104" t="str">
        <f>IF($CF$4016&lt;=2,"","SCORE (a x b/t)
(Max = a)")</f>
        <v/>
      </c>
    </row>
    <row r="4268" spans="54:86" ht="27.75" customHeight="1" x14ac:dyDescent="0.25">
      <c r="BB4268" s="105"/>
      <c r="BC4268" s="11" t="str">
        <f>IF($BF$4016&lt;=2,"",BC4075)</f>
        <v/>
      </c>
      <c r="BD4268" s="11"/>
      <c r="BE4268" s="3" t="str">
        <f>IF($BF$4016&lt;=2,"",BE4075)</f>
        <v/>
      </c>
      <c r="BF4268" s="13"/>
      <c r="BG4268" s="110" t="str">
        <f>IF($BF$4016&lt;=2,"",BG4075)</f>
        <v/>
      </c>
      <c r="BH4268" t="str">
        <f>IF($BF$4016&lt;=2,"",(ROUND(IF(BE4268*BF4268/BG4268&gt;BE4268,BE4268,BE4268*BF4268/BG4268),2)))</f>
        <v/>
      </c>
      <c r="BM4268" s="95">
        <v>6</v>
      </c>
      <c r="BN4268" s="390" t="s">
        <v>266</v>
      </c>
      <c r="BO4268" s="390"/>
      <c r="BP4268" s="390"/>
      <c r="BQ4268" s="390"/>
      <c r="BR4268" s="395">
        <v>0.625</v>
      </c>
      <c r="BS4268" s="397"/>
      <c r="BT4268" s="144"/>
      <c r="BU4268" s="96">
        <f t="shared" si="191"/>
        <v>0</v>
      </c>
      <c r="CB4268" s="105"/>
      <c r="CC4268" s="11" t="str">
        <f>IF($CF$4016&lt;=2,"",CC4075)</f>
        <v/>
      </c>
      <c r="CD4268" s="11"/>
      <c r="CE4268" s="3" t="str">
        <f>IF($CF$4016&lt;=2,"",CE4075)</f>
        <v/>
      </c>
      <c r="CF4268" s="13"/>
      <c r="CG4268" s="110" t="str">
        <f>IF($CF$4016&lt;=2,"",CG4075)</f>
        <v/>
      </c>
      <c r="CH4268" t="str">
        <f>IF($CF$4016&lt;=2,"",(ROUND(IF(CE4268*CF4268/CG4268&gt;CE4268,CE4268,CE4268*CF4268/CG4268),2)))</f>
        <v/>
      </c>
    </row>
    <row r="4269" spans="54:86" ht="12.75" customHeight="1" x14ac:dyDescent="0.25">
      <c r="BB4269" s="105"/>
      <c r="BC4269" s="104" t="str">
        <f>IF($BF$4016&lt;=2,"","TOTAL")</f>
        <v/>
      </c>
      <c r="BD4269" s="104"/>
      <c r="BE4269" s="98" t="str">
        <f>IF($BF$4016&lt;=2,"",(BE4268))</f>
        <v/>
      </c>
      <c r="BF4269" s="74" t="str">
        <f>IF($BF$4016&lt;=2,"","(Brs)")</f>
        <v/>
      </c>
      <c r="BG4269" s="17"/>
      <c r="BH4269" s="8" t="str">
        <f>IF($BF$4016&lt;=2,"",(SUM(BH4268)))</f>
        <v/>
      </c>
      <c r="BM4269" s="95">
        <v>7</v>
      </c>
      <c r="BN4269" s="390" t="s">
        <v>267</v>
      </c>
      <c r="BO4269" s="390"/>
      <c r="BP4269" s="390"/>
      <c r="BQ4269" s="390"/>
      <c r="BR4269" s="395">
        <v>0.32500000000000001</v>
      </c>
      <c r="BS4269" s="397"/>
      <c r="BT4269" s="144"/>
      <c r="BU4269" s="96">
        <f t="shared" si="191"/>
        <v>0</v>
      </c>
      <c r="CB4269" s="105"/>
      <c r="CC4269" s="104" t="str">
        <f>IF($CF$4016&lt;=2,"","TOTAL")</f>
        <v/>
      </c>
      <c r="CD4269" s="104"/>
      <c r="CE4269" s="98" t="str">
        <f>IF($CF$4016&lt;=2,"",(CE4268))</f>
        <v/>
      </c>
      <c r="CF4269" s="74" t="str">
        <f>IF($CF$4016&lt;=2,"","(Brs)")</f>
        <v/>
      </c>
      <c r="CG4269" s="17"/>
      <c r="CH4269" s="8" t="str">
        <f>IF($CF$4016&lt;=2,"",(SUM(CH4268)))</f>
        <v/>
      </c>
    </row>
    <row r="4270" spans="54:86" ht="12.75" customHeight="1" x14ac:dyDescent="0.25">
      <c r="BB4270" s="10"/>
      <c r="BC4270" s="10" t="str">
        <f>IF($BF$4016=3,BC4077,"")</f>
        <v/>
      </c>
      <c r="BD4270" s="104"/>
      <c r="BE4270" s="98"/>
      <c r="BF4270" s="74"/>
      <c r="BG4270" s="17"/>
      <c r="BH4270" s="8"/>
      <c r="BM4270" s="95">
        <v>8</v>
      </c>
      <c r="BN4270" s="390" t="s">
        <v>268</v>
      </c>
      <c r="BO4270" s="390"/>
      <c r="BP4270" s="390"/>
      <c r="BQ4270" s="390"/>
      <c r="BR4270" s="395">
        <v>0.22500000000000001</v>
      </c>
      <c r="BS4270" s="397"/>
      <c r="BT4270" s="144"/>
      <c r="BU4270" s="96">
        <f t="shared" si="191"/>
        <v>0</v>
      </c>
      <c r="CB4270" s="10"/>
      <c r="CC4270" s="10" t="str">
        <f>IF($CF$4016=3,CC4077,"")</f>
        <v/>
      </c>
      <c r="CD4270" s="104"/>
      <c r="CE4270" s="98"/>
      <c r="CF4270" s="74"/>
      <c r="CG4270" s="17"/>
      <c r="CH4270" s="8"/>
    </row>
    <row r="4271" spans="54:86" ht="12.75" customHeight="1" x14ac:dyDescent="0.25">
      <c r="BB4271" s="10"/>
      <c r="BC4271" s="10" t="str">
        <f>IF($BF$4016=3,BC4078,"")</f>
        <v/>
      </c>
      <c r="BD4271" s="104"/>
      <c r="BE4271" s="98"/>
      <c r="BF4271" s="74"/>
      <c r="BG4271" s="17"/>
      <c r="BH4271" s="8"/>
      <c r="BM4271" s="95">
        <v>9</v>
      </c>
      <c r="BN4271" s="390" t="s">
        <v>269</v>
      </c>
      <c r="BO4271" s="390"/>
      <c r="BP4271" s="390"/>
      <c r="BQ4271" s="390"/>
      <c r="BR4271" s="395">
        <v>0.22500000000000001</v>
      </c>
      <c r="BS4271" s="397"/>
      <c r="BT4271" s="144"/>
      <c r="BU4271" s="96">
        <f t="shared" si="191"/>
        <v>0</v>
      </c>
      <c r="CB4271" s="10"/>
      <c r="CC4271" s="10" t="str">
        <f>IF($CF$4016=3,CC4078,"")</f>
        <v/>
      </c>
      <c r="CD4271" s="104"/>
      <c r="CE4271" s="98"/>
      <c r="CF4271" s="74"/>
      <c r="CG4271" s="17"/>
      <c r="CH4271" s="8"/>
    </row>
    <row r="4272" spans="54:86" ht="12.75" customHeight="1" x14ac:dyDescent="0.25">
      <c r="BB4272" s="10"/>
      <c r="BC4272" s="10" t="str">
        <f>IF($BF$4016=3,BC4079,"")</f>
        <v/>
      </c>
      <c r="BD4272" s="104"/>
      <c r="BE4272" s="98"/>
      <c r="BF4272" s="74"/>
      <c r="BG4272" s="17"/>
      <c r="BH4272" s="8"/>
      <c r="BM4272" s="95">
        <v>10</v>
      </c>
      <c r="BN4272" s="390" t="s">
        <v>270</v>
      </c>
      <c r="BO4272" s="390"/>
      <c r="BP4272" s="390"/>
      <c r="BQ4272" s="390"/>
      <c r="BR4272" s="395">
        <v>0.32500000000000001</v>
      </c>
      <c r="BS4272" s="397"/>
      <c r="BT4272" s="144"/>
      <c r="BU4272" s="96">
        <f t="shared" si="191"/>
        <v>0</v>
      </c>
      <c r="CB4272" s="10"/>
      <c r="CC4272" s="10" t="str">
        <f>IF($CF$4016=3,CC4079,"")</f>
        <v/>
      </c>
      <c r="CD4272" s="104"/>
      <c r="CE4272" s="98"/>
      <c r="CF4272" s="74"/>
      <c r="CG4272" s="17"/>
      <c r="CH4272" s="8"/>
    </row>
    <row r="4273" spans="54:86" ht="12.75" customHeight="1" x14ac:dyDescent="0.25">
      <c r="BB4273" s="10"/>
      <c r="BC4273" s="105" t="str">
        <f>IF($BF$4016=3,BC4080,"")</f>
        <v/>
      </c>
      <c r="BD4273" s="104"/>
      <c r="BE4273" s="98"/>
      <c r="BF4273" s="74"/>
      <c r="BG4273" s="17"/>
      <c r="BH4273" s="8"/>
      <c r="BM4273" s="95">
        <v>11</v>
      </c>
      <c r="BN4273" s="390" t="s">
        <v>271</v>
      </c>
      <c r="BO4273" s="390"/>
      <c r="BP4273" s="390"/>
      <c r="BQ4273" s="390"/>
      <c r="BR4273" s="395">
        <v>0.42499999999999999</v>
      </c>
      <c r="BS4273" s="397"/>
      <c r="BT4273" s="144"/>
      <c r="BU4273" s="96">
        <f t="shared" si="191"/>
        <v>0</v>
      </c>
      <c r="CB4273" s="10"/>
      <c r="CC4273" s="105" t="str">
        <f>IF($CF$4016=3,CC4080,"")</f>
        <v/>
      </c>
      <c r="CD4273" s="104"/>
      <c r="CE4273" s="98"/>
      <c r="CF4273" s="74"/>
      <c r="CG4273" s="17"/>
      <c r="CH4273" s="8"/>
    </row>
    <row r="4274" spans="54:86" ht="12.75" customHeight="1" x14ac:dyDescent="0.25">
      <c r="BB4274" s="10"/>
      <c r="BC4274" s="10"/>
      <c r="BD4274" s="104"/>
      <c r="BE4274" s="98"/>
      <c r="BF4274" s="74"/>
      <c r="BG4274" s="17"/>
      <c r="BH4274" s="8"/>
      <c r="BM4274" s="95">
        <v>12</v>
      </c>
      <c r="BN4274" s="390" t="s">
        <v>272</v>
      </c>
      <c r="BO4274" s="390"/>
      <c r="BP4274" s="390"/>
      <c r="BQ4274" s="390"/>
      <c r="BR4274" s="395">
        <v>0.32500000000000001</v>
      </c>
      <c r="BS4274" s="397"/>
      <c r="BT4274" s="144"/>
      <c r="BU4274" s="96">
        <f t="shared" si="191"/>
        <v>0</v>
      </c>
      <c r="CB4274" s="10"/>
      <c r="CC4274" s="10"/>
      <c r="CD4274" s="104"/>
      <c r="CE4274" s="98"/>
      <c r="CF4274" s="74"/>
      <c r="CG4274" s="17"/>
      <c r="CH4274" s="8"/>
    </row>
    <row r="4275" spans="54:86" x14ac:dyDescent="0.25">
      <c r="BB4275" s="10"/>
      <c r="BC4275" s="10"/>
      <c r="BD4275" s="104"/>
      <c r="BE4275" s="98"/>
      <c r="BF4275" s="74"/>
      <c r="BG4275" s="17"/>
      <c r="BH4275" s="8"/>
      <c r="BL4275" t="str">
        <f>IF($BF$4016=3,"MAX","")</f>
        <v/>
      </c>
      <c r="BM4275" s="95">
        <f>MAX(BM4263:BM4274)</f>
        <v>12</v>
      </c>
      <c r="BN4275" s="96"/>
      <c r="BO4275" s="96"/>
      <c r="BP4275" s="96"/>
      <c r="BQ4275" s="117" t="s">
        <v>273</v>
      </c>
      <c r="BR4275" s="389">
        <f>SUM(BR4263:BR4274)</f>
        <v>5.0000000000000009</v>
      </c>
      <c r="BS4275" s="8"/>
      <c r="BT4275" s="117" t="s">
        <v>241</v>
      </c>
      <c r="BU4275" s="117">
        <f>SUM(BU4263:BU4274)</f>
        <v>0</v>
      </c>
      <c r="CB4275" s="10"/>
      <c r="CC4275" s="10"/>
      <c r="CD4275" s="104"/>
      <c r="CE4275" s="98"/>
      <c r="CF4275" s="74"/>
      <c r="CG4275" s="17"/>
      <c r="CH4275" s="8"/>
    </row>
    <row r="4276" spans="54:86" x14ac:dyDescent="0.25">
      <c r="BB4276" s="10"/>
      <c r="BC4276" s="10"/>
      <c r="BD4276" s="104"/>
      <c r="BE4276" s="98"/>
      <c r="BF4276" s="74"/>
      <c r="BG4276" s="17"/>
      <c r="BH4276" s="8"/>
      <c r="CB4276" s="10"/>
      <c r="CC4276" s="10"/>
      <c r="CD4276" s="104"/>
      <c r="CE4276" s="98"/>
      <c r="CF4276" s="74"/>
      <c r="CG4276" s="17"/>
      <c r="CH4276" s="8"/>
    </row>
    <row r="4277" spans="54:86" x14ac:dyDescent="0.25">
      <c r="BB4277" s="10"/>
      <c r="BC4277" s="111" t="str">
        <f>IF($BF$4016&lt;=2,"","PARTNER 3 = ")</f>
        <v/>
      </c>
      <c r="BD4277" s="112" t="str">
        <f>IF($BF$4016&lt;=2,"",BF4020)</f>
        <v/>
      </c>
      <c r="BE4277" s="98"/>
      <c r="BF4277" s="74"/>
      <c r="BG4277" s="17"/>
      <c r="BH4277" s="8"/>
      <c r="CB4277" s="10"/>
      <c r="CC4277" s="111" t="str">
        <f>IF($CF$4016&lt;=2,"","PARTNER 3 = ")</f>
        <v/>
      </c>
      <c r="CD4277" s="112" t="str">
        <f>IF($CF$4016&lt;=2,"",CF4020)</f>
        <v/>
      </c>
      <c r="CE4277" s="98"/>
      <c r="CF4277" s="74"/>
      <c r="CG4277" s="17"/>
      <c r="CH4277" s="8"/>
    </row>
    <row r="4278" spans="54:86" x14ac:dyDescent="0.25">
      <c r="BB4278" s="10"/>
      <c r="BD4278" s="104" t="str">
        <f>IF($BF$4016&lt;=2,"","SUMMARY OF SCORE")</f>
        <v/>
      </c>
      <c r="BE4278" s="3"/>
      <c r="BG4278" s="58"/>
      <c r="CB4278" s="10"/>
      <c r="CD4278" s="104" t="str">
        <f>IF($CF$4016&lt;=2,"","SUMMARY OF SCORE")</f>
        <v/>
      </c>
      <c r="CE4278" s="3"/>
      <c r="CG4278" s="58"/>
    </row>
    <row r="4279" spans="54:86" x14ac:dyDescent="0.25">
      <c r="BB4279" s="10"/>
      <c r="BC4279" s="10"/>
      <c r="BD4279" s="11"/>
      <c r="BE4279" s="3"/>
      <c r="BG4279" s="58"/>
      <c r="CB4279" s="10"/>
      <c r="CC4279" s="10"/>
      <c r="CD4279" s="11"/>
      <c r="CE4279" s="3"/>
      <c r="CG4279" s="58"/>
    </row>
    <row r="4280" spans="54:86" x14ac:dyDescent="0.25">
      <c r="BB4280" s="10"/>
      <c r="BC4280" s="10"/>
      <c r="BD4280" s="11"/>
      <c r="BE4280" s="98" t="str">
        <f>IF($BF$4016=1,"",BE4219)</f>
        <v/>
      </c>
      <c r="BF4280" s="98" t="str">
        <f>IF($BF$4016&lt;=2,"","MAX POINTS")</f>
        <v/>
      </c>
      <c r="BG4280" s="98" t="str">
        <f>IF($BF$4016&lt;=2,"","SCORE")</f>
        <v/>
      </c>
      <c r="BH4280" s="98" t="str">
        <f>IF($BF$4016&lt;=2,"","POINTS")</f>
        <v/>
      </c>
      <c r="CB4280" s="10"/>
      <c r="CC4280" s="10"/>
      <c r="CD4280" s="11"/>
      <c r="CE4280" s="98" t="str">
        <f>IF($CF$4016=1,"",CE4219)</f>
        <v/>
      </c>
      <c r="CF4280" s="98" t="str">
        <f>IF($CF$4016&lt;=2,"","MAX POINTS")</f>
        <v/>
      </c>
      <c r="CG4280" s="98" t="str">
        <f>IF($CF$4016&lt;=2,"","SCORE")</f>
        <v/>
      </c>
      <c r="CH4280" s="98" t="str">
        <f>IF($CF$4016&lt;=2,"","POINTS")</f>
        <v/>
      </c>
    </row>
    <row r="4281" spans="54:86" x14ac:dyDescent="0.25">
      <c r="BB4281" s="10"/>
      <c r="BC4281" s="74" t="str">
        <f>IF($BF$4016=1,"",BB4219)</f>
        <v/>
      </c>
      <c r="BD4281" s="8" t="str">
        <f>IF($BF$4016=1,"",BC4219)</f>
        <v/>
      </c>
      <c r="BE4281" s="17" t="str">
        <f>IF($BF$4016=1,"",BE4227)</f>
        <v/>
      </c>
      <c r="BF4281" s="17" t="str">
        <f>IF($BF$4016&lt;=2,"",2.5)</f>
        <v/>
      </c>
      <c r="BG4281" s="17" t="str">
        <f>IF($BF$4016=1,"",BH4227)</f>
        <v/>
      </c>
      <c r="BH4281" s="94" t="str">
        <f t="shared" ref="BH4281:BH4287" si="192">IF($BF$4016&lt;=2,"",(BG4281/BE4281*BF4281))</f>
        <v/>
      </c>
      <c r="CB4281" s="10"/>
      <c r="CC4281" s="74" t="str">
        <f>IF($CF$4016=1,"",CB4219)</f>
        <v/>
      </c>
      <c r="CD4281" s="8" t="str">
        <f>IF($CF$4016=1,"",CC4219)</f>
        <v/>
      </c>
      <c r="CE4281" s="17" t="str">
        <f>IF($CF$4016=1,"",CE4227)</f>
        <v/>
      </c>
      <c r="CF4281" s="17" t="str">
        <f>IF($CF$4016&lt;=2,"",CE4281/10)</f>
        <v/>
      </c>
      <c r="CG4281" s="17" t="str">
        <f>IF($CF$4016=1,"",CH4227)</f>
        <v/>
      </c>
      <c r="CH4281" s="94" t="str">
        <f t="shared" ref="CH4281:CH4287" si="193">IF($CF$4016&lt;=2,"",(CG4281/CE4281*CF4281))</f>
        <v/>
      </c>
    </row>
    <row r="4282" spans="54:86" x14ac:dyDescent="0.25">
      <c r="BC4282" s="74" t="str">
        <f>IF($BF$4016=1,"",BB4229)</f>
        <v/>
      </c>
      <c r="BD4282" s="8" t="str">
        <f>IF($BF$4016=1,"",BC4229)</f>
        <v/>
      </c>
      <c r="BE4282" s="17" t="str">
        <f>IF($BF$4016=1,"",BE4234)</f>
        <v/>
      </c>
      <c r="BF4282" s="17" t="str">
        <f>IF($BF$4016&lt;=2,"",1)</f>
        <v/>
      </c>
      <c r="BG4282" s="17" t="str">
        <f>IF($BF$4016=1,"",BH4234)</f>
        <v/>
      </c>
      <c r="BH4282" s="94" t="str">
        <f t="shared" si="192"/>
        <v/>
      </c>
      <c r="CC4282" s="74" t="str">
        <f>IF($CF$4016=1,"",CB4229)</f>
        <v/>
      </c>
      <c r="CD4282" s="8" t="str">
        <f>IF($CF$4016=1,"",CC4229)</f>
        <v/>
      </c>
      <c r="CE4282" s="17" t="str">
        <f>IF($CF$4016=1,"",CE4234)</f>
        <v/>
      </c>
      <c r="CF4282" s="17" t="str">
        <f t="shared" ref="CF4282:CF4287" si="194">IF($CF$4016&lt;=2,"",CE4282/10)</f>
        <v/>
      </c>
      <c r="CG4282" s="17" t="str">
        <f>IF($CF$4016=1,"",CH4234)</f>
        <v/>
      </c>
      <c r="CH4282" s="94" t="str">
        <f t="shared" si="193"/>
        <v/>
      </c>
    </row>
    <row r="4283" spans="54:86" x14ac:dyDescent="0.25">
      <c r="BC4283" s="74" t="str">
        <f>IF($BF$4016=1,"",BB4236)</f>
        <v/>
      </c>
      <c r="BD4283" s="8" t="str">
        <f>IF($BF$4016=1,"",BC4236)</f>
        <v/>
      </c>
      <c r="BE4283" s="17" t="str">
        <f>IF($BF$4016=1,"",BE4239)</f>
        <v/>
      </c>
      <c r="BF4283" s="17" t="str">
        <f>IF($BF$4016&lt;=2,"",1)</f>
        <v/>
      </c>
      <c r="BG4283" s="17" t="str">
        <f>IF($BF$4016=1,"",BH4239)</f>
        <v/>
      </c>
      <c r="BH4283" s="94" t="str">
        <f t="shared" si="192"/>
        <v/>
      </c>
      <c r="CC4283" s="74" t="str">
        <f>IF($CF$4016=1,"",CB4236)</f>
        <v/>
      </c>
      <c r="CD4283" s="8" t="str">
        <f>IF($CF$4016=1,"",CC4236)</f>
        <v/>
      </c>
      <c r="CE4283" s="17" t="str">
        <f>IF($CF$4016=1,"",CE4239)</f>
        <v/>
      </c>
      <c r="CF4283" s="17" t="str">
        <f t="shared" si="194"/>
        <v/>
      </c>
      <c r="CG4283" s="17" t="str">
        <f>IF($CF$4016=1,"",CH4239)</f>
        <v/>
      </c>
      <c r="CH4283" s="94" t="str">
        <f t="shared" si="193"/>
        <v/>
      </c>
    </row>
    <row r="4284" spans="54:86" x14ac:dyDescent="0.25">
      <c r="BC4284" s="74" t="str">
        <f>IF($BF$4016=1,"",BB4241)</f>
        <v/>
      </c>
      <c r="BD4284" s="8" t="str">
        <f>IF($BF$4016=1,"",BC4241)</f>
        <v/>
      </c>
      <c r="BE4284" s="17" t="str">
        <f>IF($BF$4016=1,"",BE4253)</f>
        <v/>
      </c>
      <c r="BF4284" s="17" t="str">
        <f>IF($BF$4016&lt;=2,"",2)</f>
        <v/>
      </c>
      <c r="BG4284" s="17" t="str">
        <f>IF($BF$4016=1,"",BH4253)</f>
        <v/>
      </c>
      <c r="BH4284" s="94" t="str">
        <f t="shared" si="192"/>
        <v/>
      </c>
      <c r="CC4284" s="74" t="str">
        <f>IF($CF$4016=1,"",CB4241)</f>
        <v/>
      </c>
      <c r="CD4284" s="8" t="str">
        <f>IF($CF$4016=1,"",CC4241)</f>
        <v/>
      </c>
      <c r="CE4284" s="17" t="str">
        <f>IF($CF$4016=1,"",CE4253)</f>
        <v/>
      </c>
      <c r="CF4284" s="17" t="str">
        <f t="shared" si="194"/>
        <v/>
      </c>
      <c r="CG4284" s="17" t="str">
        <f>IF($CF$4016=1,"",CH4253)</f>
        <v/>
      </c>
      <c r="CH4284" s="94" t="str">
        <f t="shared" si="193"/>
        <v/>
      </c>
    </row>
    <row r="4285" spans="54:86" x14ac:dyDescent="0.25">
      <c r="BC4285" s="74" t="str">
        <f>IF($BF$4016=1,"",BB4255)</f>
        <v/>
      </c>
      <c r="BD4285" s="8" t="str">
        <f>IF($BF$4016=1,"",BC4255)</f>
        <v/>
      </c>
      <c r="BE4285" s="17" t="str">
        <f>IF($BF$4016=1,"",BE4260)</f>
        <v/>
      </c>
      <c r="BF4285" s="17" t="str">
        <f>IF($BF$4016&lt;=2,"",2)</f>
        <v/>
      </c>
      <c r="BG4285" s="17" t="str">
        <f>IF($BF$4016=1,"",BH4260)</f>
        <v/>
      </c>
      <c r="BH4285" s="94" t="str">
        <f t="shared" si="192"/>
        <v/>
      </c>
      <c r="CC4285" s="74" t="str">
        <f>IF($CF$4016=1,"",CB4255)</f>
        <v/>
      </c>
      <c r="CD4285" s="8" t="str">
        <f>IF($CF$4016=1,"",CC4255)</f>
        <v/>
      </c>
      <c r="CE4285" s="17" t="str">
        <f>IF($CF$4016=1,"",CE4260)</f>
        <v/>
      </c>
      <c r="CF4285" s="17" t="str">
        <f t="shared" si="194"/>
        <v/>
      </c>
      <c r="CG4285" s="17" t="str">
        <f>IF($CF$4016=1,"",CH4260)</f>
        <v/>
      </c>
      <c r="CH4285" s="94" t="str">
        <f t="shared" si="193"/>
        <v/>
      </c>
    </row>
    <row r="4286" spans="54:86" x14ac:dyDescent="0.25">
      <c r="BC4286" s="74" t="str">
        <f>IF($BF$4016=1,"",BB4262)</f>
        <v/>
      </c>
      <c r="BD4286" s="8" t="str">
        <f>IF($BF$4016=1,"",BC4262)</f>
        <v/>
      </c>
      <c r="BE4286" s="17" t="str">
        <f>IF($BF$4016=1,"",BE4265)</f>
        <v/>
      </c>
      <c r="BF4286" s="17" t="str">
        <f>IF($BF$4016&lt;=2,"",1)</f>
        <v/>
      </c>
      <c r="BG4286" s="17" t="str">
        <f>IF($BF$4016=1,"",BH4265)</f>
        <v/>
      </c>
      <c r="BH4286" s="94" t="str">
        <f t="shared" si="192"/>
        <v/>
      </c>
      <c r="CC4286" s="74" t="str">
        <f>IF($CF$4016=1,"",CB4262)</f>
        <v/>
      </c>
      <c r="CD4286" s="8" t="str">
        <f>IF($CF$4016=1,"",CC4262)</f>
        <v/>
      </c>
      <c r="CE4286" s="17" t="str">
        <f>IF($CF$4016=1,"",CE4265)</f>
        <v/>
      </c>
      <c r="CF4286" s="17" t="str">
        <f t="shared" si="194"/>
        <v/>
      </c>
      <c r="CG4286" s="17" t="str">
        <f>IF($CF$4016=1,"",CH4265)</f>
        <v/>
      </c>
      <c r="CH4286" s="94" t="str">
        <f t="shared" si="193"/>
        <v/>
      </c>
    </row>
    <row r="4287" spans="54:86" x14ac:dyDescent="0.25">
      <c r="BC4287" s="74" t="str">
        <f>IF($BF$4016=1,"",BB4267)</f>
        <v/>
      </c>
      <c r="BD4287" s="8" t="str">
        <f>IF($BF$4016=1,"",BC4267)</f>
        <v/>
      </c>
      <c r="BE4287" s="17" t="str">
        <f>IF($BF$4016=1,"",BE4269)</f>
        <v/>
      </c>
      <c r="BF4287" s="17" t="str">
        <f>IF($BF$4016&lt;=2,"",0.5)</f>
        <v/>
      </c>
      <c r="BG4287" s="17" t="str">
        <f>IF($BF$4016=1,"",BH4269)</f>
        <v/>
      </c>
      <c r="BH4287" s="94" t="str">
        <f t="shared" si="192"/>
        <v/>
      </c>
      <c r="CC4287" s="74" t="str">
        <f>IF($CF$4016=1,"",CB4267)</f>
        <v/>
      </c>
      <c r="CD4287" s="8" t="str">
        <f>IF($CF$4016=1,"",CC4267)</f>
        <v/>
      </c>
      <c r="CE4287" s="17" t="str">
        <f>IF($CF$4016=1,"",CE4269)</f>
        <v/>
      </c>
      <c r="CF4287" s="17" t="str">
        <f t="shared" si="194"/>
        <v/>
      </c>
      <c r="CG4287" s="17" t="str">
        <f>IF($CF$4016=1,"",CH4269)</f>
        <v/>
      </c>
      <c r="CH4287" s="94" t="str">
        <f t="shared" si="193"/>
        <v/>
      </c>
    </row>
    <row r="4288" spans="54:86" x14ac:dyDescent="0.25">
      <c r="BC4288" s="105"/>
      <c r="BD4288" s="104" t="str">
        <f>IF($BF$4016&lt;=2,"","TOTAL")</f>
        <v/>
      </c>
      <c r="BE4288" s="98" t="str">
        <f>IF($BF$4016&lt;=2,"",(SUM(BE4281:BE4287)))</f>
        <v/>
      </c>
      <c r="BF4288" s="98" t="str">
        <f>IF($BF$4016&lt;=2,"",(SUM(BF4281:BF4287)))</f>
        <v/>
      </c>
      <c r="BG4288" s="98" t="str">
        <f>IF($BF$4016&lt;=2,"",(SUM(BG4281:BG4287)))</f>
        <v/>
      </c>
      <c r="BH4288" s="97" t="str">
        <f>IF($BF$4016&lt;=2,"",(SUM(BH4281:BH4287)))</f>
        <v/>
      </c>
      <c r="CC4288" s="105"/>
      <c r="CD4288" s="104" t="str">
        <f>IF($CF$4016&lt;=2,"","TOTAL")</f>
        <v/>
      </c>
      <c r="CE4288" s="98" t="str">
        <f>IF($CF$4016&lt;=2,"",100)</f>
        <v/>
      </c>
      <c r="CF4288" s="98" t="str">
        <f>IF($CF$4016&lt;=2,"",10)</f>
        <v/>
      </c>
      <c r="CG4288" s="98" t="str">
        <f>IF($CF$4016&lt;=2,"",(LARGE(CG4281:CG4287,1)+LARGE(CG4281:CG4287,2)+LARGE(CG4281:CG4287,3)+LARGE(CG4281:CG4287,4)))</f>
        <v/>
      </c>
      <c r="CH4288" s="97" t="str">
        <f>IF($CF$4016&lt;=2,"",(LARGE(CH4281:CH4287,1)+LARGE(CH4281:CH4287,2)+LARGE(CH4281:CH4287,3)+LARGE(CH4281:CH4287,4)))</f>
        <v/>
      </c>
    </row>
    <row r="4292" spans="55:86" x14ac:dyDescent="0.25">
      <c r="BC4292" s="111" t="str">
        <f>IF($BF$4016=3,"COMBINED","")</f>
        <v/>
      </c>
      <c r="BD4292" s="104" t="str">
        <f>IF($BF$4016=3,"SUMMARY OF BEE SCORE (FULL SCORE CARD)","")</f>
        <v/>
      </c>
      <c r="BE4292" s="115" t="s">
        <v>237</v>
      </c>
      <c r="BF4292" s="389">
        <f>$BF$4018</f>
        <v>0</v>
      </c>
      <c r="BG4292" s="389">
        <f>BF4019</f>
        <v>0</v>
      </c>
      <c r="BH4292" s="389">
        <f>BF4020</f>
        <v>0</v>
      </c>
      <c r="CC4292" s="111" t="str">
        <f>IF($CF$4016=3,"COMBINED","")</f>
        <v/>
      </c>
      <c r="CD4292" s="104" t="str">
        <f>IF($CF$4016=3,"SUMMARY OF BEE SCORE (QSE SCORECARD)","")</f>
        <v/>
      </c>
      <c r="CE4292" s="115" t="s">
        <v>237</v>
      </c>
      <c r="CF4292" s="389">
        <f>CF4018</f>
        <v>0</v>
      </c>
      <c r="CG4292" s="389">
        <f>CF4019</f>
        <v>0</v>
      </c>
      <c r="CH4292" s="389">
        <f>CF4020</f>
        <v>0</v>
      </c>
    </row>
    <row r="4293" spans="55:86" x14ac:dyDescent="0.25">
      <c r="BC4293" s="10"/>
      <c r="BD4293" s="11"/>
      <c r="BE4293" s="115" t="s">
        <v>238</v>
      </c>
      <c r="BF4293" s="389">
        <f>BF4021</f>
        <v>0</v>
      </c>
      <c r="BG4293" s="389">
        <f>BF4022</f>
        <v>0</v>
      </c>
      <c r="BH4293" s="389">
        <f>BF4023</f>
        <v>0</v>
      </c>
      <c r="CC4293" s="10"/>
      <c r="CD4293" s="11"/>
      <c r="CE4293" s="115" t="s">
        <v>238</v>
      </c>
      <c r="CF4293" s="389">
        <f>CF4021</f>
        <v>0</v>
      </c>
      <c r="CG4293" s="389">
        <f>CF4022</f>
        <v>0</v>
      </c>
      <c r="CH4293" s="389">
        <f>CF4023</f>
        <v>0</v>
      </c>
    </row>
    <row r="4294" spans="55:86" x14ac:dyDescent="0.25">
      <c r="BC4294" s="113"/>
      <c r="BD4294" s="114"/>
      <c r="BE4294" s="115" t="s">
        <v>239</v>
      </c>
      <c r="BF4294" s="116" t="s">
        <v>240</v>
      </c>
      <c r="BG4294" s="116" t="str">
        <f>IF($BF$4016&gt;=2,("POINTS "),"")</f>
        <v/>
      </c>
      <c r="BH4294" s="123" t="str">
        <f>IF($BF$4016=3,"POINTS","")</f>
        <v/>
      </c>
      <c r="CC4294" s="113"/>
      <c r="CD4294" s="114"/>
      <c r="CE4294" s="115" t="s">
        <v>239</v>
      </c>
      <c r="CF4294" s="116" t="s">
        <v>240</v>
      </c>
      <c r="CG4294" s="116" t="str">
        <f>IF($CF$4016&gt;=2,("POINTS "),"")</f>
        <v/>
      </c>
      <c r="CH4294" s="116" t="str">
        <f>IF($CF$4016=3,"POINTS","")</f>
        <v/>
      </c>
    </row>
    <row r="4295" spans="55:86" x14ac:dyDescent="0.25">
      <c r="BC4295" s="117">
        <f>$BB$4026</f>
        <v>0</v>
      </c>
      <c r="BD4295" s="118">
        <f>$BC$4026</f>
        <v>0</v>
      </c>
      <c r="BE4295" s="119">
        <v>2.5</v>
      </c>
      <c r="BF4295" s="120">
        <f t="shared" ref="BF4295:BF4302" si="195">BH4088</f>
        <v>0</v>
      </c>
      <c r="BG4295" s="120">
        <f t="shared" ref="BG4295:BG4302" si="196">BG4178</f>
        <v>0</v>
      </c>
      <c r="BH4295" s="124" t="str">
        <f t="shared" ref="BH4295:BH4302" si="197">BH4281</f>
        <v/>
      </c>
      <c r="CC4295" s="117">
        <f>$BB$4026</f>
        <v>0</v>
      </c>
      <c r="CD4295" s="118">
        <f>$BC$4026</f>
        <v>0</v>
      </c>
      <c r="CE4295" s="119">
        <v>2.5</v>
      </c>
      <c r="CF4295" s="120">
        <f t="shared" ref="CF4295:CF4302" si="198">CH4088</f>
        <v>0</v>
      </c>
      <c r="CG4295" s="120">
        <f t="shared" ref="CG4295:CG4302" si="199">CG4178</f>
        <v>0</v>
      </c>
      <c r="CH4295" s="124" t="str">
        <f t="shared" ref="CH4295:CH4302" si="200">CH4281</f>
        <v/>
      </c>
    </row>
    <row r="4296" spans="55:86" x14ac:dyDescent="0.25">
      <c r="BC4296" s="117">
        <f>$BB$4036</f>
        <v>0</v>
      </c>
      <c r="BD4296" s="118">
        <f>$BC$4036</f>
        <v>0</v>
      </c>
      <c r="BE4296" s="119">
        <v>1</v>
      </c>
      <c r="BF4296" s="120">
        <f t="shared" si="195"/>
        <v>0</v>
      </c>
      <c r="BG4296" s="120">
        <f t="shared" si="196"/>
        <v>0</v>
      </c>
      <c r="BH4296" s="124" t="str">
        <f t="shared" si="197"/>
        <v/>
      </c>
      <c r="CC4296" s="117">
        <f>$BB$4036</f>
        <v>0</v>
      </c>
      <c r="CD4296" s="118">
        <f>$BC$4036</f>
        <v>0</v>
      </c>
      <c r="CE4296" s="119">
        <v>2.5</v>
      </c>
      <c r="CF4296" s="120">
        <f t="shared" si="198"/>
        <v>0</v>
      </c>
      <c r="CG4296" s="120">
        <f t="shared" si="199"/>
        <v>0</v>
      </c>
      <c r="CH4296" s="124" t="str">
        <f t="shared" si="200"/>
        <v/>
      </c>
    </row>
    <row r="4297" spans="55:86" x14ac:dyDescent="0.25">
      <c r="BC4297" s="117">
        <f>$BB$4043</f>
        <v>0</v>
      </c>
      <c r="BD4297" s="118">
        <f>$BC$4043</f>
        <v>0</v>
      </c>
      <c r="BE4297" s="119">
        <v>1</v>
      </c>
      <c r="BF4297" s="120">
        <f t="shared" si="195"/>
        <v>0</v>
      </c>
      <c r="BG4297" s="120">
        <f t="shared" si="196"/>
        <v>0</v>
      </c>
      <c r="BH4297" s="124" t="str">
        <f t="shared" si="197"/>
        <v/>
      </c>
      <c r="CC4297" s="117">
        <f>$BB$4043</f>
        <v>0</v>
      </c>
      <c r="CD4297" s="118">
        <f>$BC$4043</f>
        <v>0</v>
      </c>
      <c r="CE4297" s="119">
        <v>2.5</v>
      </c>
      <c r="CF4297" s="120">
        <f t="shared" si="198"/>
        <v>0</v>
      </c>
      <c r="CG4297" s="120">
        <f t="shared" si="199"/>
        <v>0</v>
      </c>
      <c r="CH4297" s="124" t="str">
        <f t="shared" si="200"/>
        <v/>
      </c>
    </row>
    <row r="4298" spans="55:86" x14ac:dyDescent="0.25">
      <c r="BC4298" s="117">
        <f>$BB$4048</f>
        <v>0</v>
      </c>
      <c r="BD4298" s="118">
        <f>$BC$4048</f>
        <v>0</v>
      </c>
      <c r="BE4298" s="119">
        <v>2</v>
      </c>
      <c r="BF4298" s="120">
        <f t="shared" si="195"/>
        <v>0</v>
      </c>
      <c r="BG4298" s="120">
        <f t="shared" si="196"/>
        <v>0</v>
      </c>
      <c r="BH4298" s="124" t="str">
        <f t="shared" si="197"/>
        <v/>
      </c>
      <c r="CC4298" s="117">
        <f>$BB$4048</f>
        <v>0</v>
      </c>
      <c r="CD4298" s="118">
        <f>$BC$4048</f>
        <v>0</v>
      </c>
      <c r="CE4298" s="119">
        <v>2.5</v>
      </c>
      <c r="CF4298" s="120">
        <f t="shared" si="198"/>
        <v>0</v>
      </c>
      <c r="CG4298" s="120">
        <f t="shared" si="199"/>
        <v>0</v>
      </c>
      <c r="CH4298" s="124" t="str">
        <f t="shared" si="200"/>
        <v/>
      </c>
    </row>
    <row r="4299" spans="55:86" x14ac:dyDescent="0.25">
      <c r="BC4299" s="117">
        <f>$BB$4062</f>
        <v>0</v>
      </c>
      <c r="BD4299" s="118">
        <f>$BC$4062</f>
        <v>0</v>
      </c>
      <c r="BE4299" s="119">
        <v>2</v>
      </c>
      <c r="BF4299" s="120">
        <f t="shared" si="195"/>
        <v>0</v>
      </c>
      <c r="BG4299" s="120">
        <f t="shared" si="196"/>
        <v>0</v>
      </c>
      <c r="BH4299" s="124" t="str">
        <f t="shared" si="197"/>
        <v/>
      </c>
      <c r="CC4299" s="117">
        <f>$BB$4062</f>
        <v>0</v>
      </c>
      <c r="CD4299" s="118">
        <f>$BC$4062</f>
        <v>0</v>
      </c>
      <c r="CE4299" s="119">
        <v>2.5</v>
      </c>
      <c r="CF4299" s="120">
        <f t="shared" si="198"/>
        <v>0</v>
      </c>
      <c r="CG4299" s="120">
        <f t="shared" si="199"/>
        <v>0</v>
      </c>
      <c r="CH4299" s="124" t="str">
        <f t="shared" si="200"/>
        <v/>
      </c>
    </row>
    <row r="4300" spans="55:86" x14ac:dyDescent="0.25">
      <c r="BC4300" s="117">
        <f>$BB$4069</f>
        <v>0</v>
      </c>
      <c r="BD4300" s="118">
        <f>$BC$4069</f>
        <v>0</v>
      </c>
      <c r="BE4300" s="119">
        <v>1</v>
      </c>
      <c r="BF4300" s="120">
        <f t="shared" si="195"/>
        <v>0</v>
      </c>
      <c r="BG4300" s="120">
        <f t="shared" si="196"/>
        <v>0</v>
      </c>
      <c r="BH4300" s="124" t="str">
        <f t="shared" si="197"/>
        <v/>
      </c>
      <c r="CC4300" s="117">
        <f>$BB$4069</f>
        <v>0</v>
      </c>
      <c r="CD4300" s="118">
        <f>$BC$4069</f>
        <v>0</v>
      </c>
      <c r="CE4300" s="119">
        <v>2.5</v>
      </c>
      <c r="CF4300" s="120">
        <f t="shared" si="198"/>
        <v>0</v>
      </c>
      <c r="CG4300" s="120">
        <f t="shared" si="199"/>
        <v>0</v>
      </c>
      <c r="CH4300" s="124" t="str">
        <f t="shared" si="200"/>
        <v/>
      </c>
    </row>
    <row r="4301" spans="55:86" x14ac:dyDescent="0.25">
      <c r="BC4301" s="117">
        <f>$BB$4074</f>
        <v>0</v>
      </c>
      <c r="BD4301" s="118">
        <f>$BC$4074</f>
        <v>0</v>
      </c>
      <c r="BE4301" s="119">
        <v>0.5</v>
      </c>
      <c r="BF4301" s="120">
        <f t="shared" si="195"/>
        <v>0</v>
      </c>
      <c r="BG4301" s="120">
        <f t="shared" si="196"/>
        <v>0</v>
      </c>
      <c r="BH4301" s="124" t="str">
        <f t="shared" si="197"/>
        <v/>
      </c>
      <c r="CC4301" s="117">
        <f>$BB$4074</f>
        <v>0</v>
      </c>
      <c r="CD4301" s="118">
        <f>$BC$4074</f>
        <v>0</v>
      </c>
      <c r="CE4301" s="119">
        <v>2.5</v>
      </c>
      <c r="CF4301" s="120">
        <f t="shared" si="198"/>
        <v>0</v>
      </c>
      <c r="CG4301" s="120">
        <f t="shared" si="199"/>
        <v>0</v>
      </c>
      <c r="CH4301" s="124" t="str">
        <f t="shared" si="200"/>
        <v/>
      </c>
    </row>
    <row r="4302" spans="55:86" x14ac:dyDescent="0.25">
      <c r="BC4302" s="118"/>
      <c r="BD4302" s="121" t="s">
        <v>241</v>
      </c>
      <c r="BE4302" s="115">
        <f>SUM(BE4295:BE4301)</f>
        <v>10</v>
      </c>
      <c r="BF4302" s="120">
        <f t="shared" si="195"/>
        <v>0</v>
      </c>
      <c r="BG4302" s="120">
        <f t="shared" si="196"/>
        <v>0</v>
      </c>
      <c r="BH4302" s="124" t="str">
        <f t="shared" si="197"/>
        <v/>
      </c>
      <c r="CC4302" s="118"/>
      <c r="CD4302" s="121" t="s">
        <v>241</v>
      </c>
      <c r="CE4302" s="115">
        <v>10</v>
      </c>
      <c r="CF4302" s="120">
        <f t="shared" si="198"/>
        <v>0</v>
      </c>
      <c r="CG4302" s="120">
        <f t="shared" si="199"/>
        <v>0</v>
      </c>
      <c r="CH4302" s="124" t="str">
        <f t="shared" si="200"/>
        <v/>
      </c>
    </row>
    <row r="4303" spans="55:86" x14ac:dyDescent="0.25">
      <c r="BD4303" s="398" t="s">
        <v>274</v>
      </c>
      <c r="BE4303" s="389"/>
      <c r="BF4303" s="389">
        <f>BF4029</f>
        <v>0</v>
      </c>
      <c r="BG4303" s="389">
        <f>BF4105</f>
        <v>0</v>
      </c>
      <c r="BH4303" s="389">
        <f>BF4222</f>
        <v>0</v>
      </c>
      <c r="CD4303" s="398" t="s">
        <v>274</v>
      </c>
      <c r="CE4303" s="389"/>
      <c r="CF4303" s="389">
        <f>CF4029</f>
        <v>0</v>
      </c>
      <c r="CG4303" s="389">
        <f>CF4105</f>
        <v>0</v>
      </c>
      <c r="CH4303" s="389">
        <f>CF4222</f>
        <v>0</v>
      </c>
    </row>
    <row r="4307" spans="55:93" x14ac:dyDescent="0.25">
      <c r="BC4307" s="10" t="str">
        <f>IF($BF$4016=3,"In the event of a 3-way JV:","")</f>
        <v/>
      </c>
      <c r="BD4307" s="17"/>
      <c r="BE4307" s="3"/>
      <c r="BG4307" s="58"/>
      <c r="CC4307" s="10" t="str">
        <f>IF($CF$4016=3,"In the event of a 3-way JV:","")</f>
        <v/>
      </c>
      <c r="CD4307" s="17"/>
      <c r="CE4307" s="3"/>
      <c r="CG4307" s="58"/>
    </row>
    <row r="4308" spans="55:93" x14ac:dyDescent="0.25">
      <c r="BC4308" s="374"/>
      <c r="BD4308" s="399"/>
      <c r="BE4308" s="399"/>
      <c r="BF4308" s="399"/>
      <c r="BG4308" s="399"/>
      <c r="BH4308" s="399"/>
      <c r="BI4308" s="399"/>
      <c r="BJ4308" s="399"/>
      <c r="BK4308" s="399"/>
      <c r="BL4308" s="399"/>
      <c r="BM4308" s="399"/>
      <c r="BN4308" s="399"/>
      <c r="BO4308" s="399"/>
      <c r="CC4308" s="374"/>
      <c r="CD4308" s="399"/>
      <c r="CE4308" s="399"/>
      <c r="CF4308" s="399"/>
      <c r="CG4308" s="399"/>
      <c r="CH4308" s="399"/>
      <c r="CI4308" s="399"/>
      <c r="CJ4308" s="399"/>
      <c r="CK4308" s="399"/>
      <c r="CL4308" s="399"/>
      <c r="CM4308" s="399"/>
      <c r="CN4308" s="399"/>
      <c r="CO4308" s="399"/>
    </row>
    <row r="4309" spans="55:93" x14ac:dyDescent="0.25">
      <c r="BC4309" s="374" t="str">
        <f>IF($BF$4016=3,"Scorecard Points =","")</f>
        <v/>
      </c>
      <c r="BD4309" s="456" t="str">
        <f>IF($BF$4016=3,"Wp x {[(%JVa(Bosa)+(%JVb)(Bosb)+(%JVc)(Bosc)] + [(%JVa)(Bcsa)+(%JVb)(Bcsb)+(%JVc)(Bcsc)] + …... + [(%Jva)(Brsa)+(%JVb)(Brsb)+(%JVc)(Brsc)]} / 100","")</f>
        <v/>
      </c>
      <c r="BE4309" s="456"/>
      <c r="BF4309" s="456"/>
      <c r="BG4309" s="456"/>
      <c r="BH4309" s="456"/>
      <c r="BI4309" s="456"/>
      <c r="BJ4309" s="456"/>
      <c r="BK4309" s="456"/>
      <c r="BL4309" s="456"/>
      <c r="BM4309" s="456"/>
      <c r="BN4309" s="456"/>
      <c r="BO4309" s="456"/>
      <c r="CC4309" s="374" t="str">
        <f>IF($CF$4016=3,"Scorecard Points =","")</f>
        <v/>
      </c>
      <c r="CD4309" s="456" t="str">
        <f>IF($CF$4016=3,"Wp x {[(%JVa(Bosa)+(%JVb)(Bosb)+(%JVc)(Bosc)] + [(%JVa)(Bcsa)+(%JVb)(Bcsb)+(%JVc)(Bcsc)] + …... + [(%Jva)(Brsa)+(%JVb)(Brsb)+(%JVc)(Brsc)]} / 100","")</f>
        <v/>
      </c>
      <c r="CE4309" s="456"/>
      <c r="CF4309" s="456"/>
      <c r="CG4309" s="456"/>
      <c r="CH4309" s="456"/>
      <c r="CI4309" s="456"/>
      <c r="CJ4309" s="456"/>
      <c r="CK4309" s="456"/>
      <c r="CL4309" s="456"/>
      <c r="CM4309" s="456"/>
      <c r="CN4309" s="456"/>
      <c r="CO4309" s="456"/>
    </row>
    <row r="4310" spans="55:93" x14ac:dyDescent="0.25">
      <c r="BC4310" s="93" t="str">
        <f>IF($BF$4016=3,"Where Wp= ","")</f>
        <v/>
      </c>
      <c r="BD4310" s="76" t="str">
        <f>IF($BF$4016=3,10,"")</f>
        <v/>
      </c>
      <c r="CC4310" s="93" t="str">
        <f>IF($CF$4016=3,"Where Wp= ","")</f>
        <v/>
      </c>
      <c r="CD4310" s="76" t="str">
        <f>IF($CF$4016=3,10,"")</f>
        <v/>
      </c>
    </row>
    <row r="4312" spans="55:93" x14ac:dyDescent="0.25">
      <c r="BC4312" s="34"/>
      <c r="BD4312" s="122"/>
      <c r="CC4312" s="34"/>
      <c r="CD4312" s="122"/>
    </row>
    <row r="4313" spans="55:93" x14ac:dyDescent="0.25">
      <c r="BC4313" s="34" t="str">
        <f>IF($BF$4016=3,BF4018,"")</f>
        <v/>
      </c>
      <c r="BD4313" s="76" t="str">
        <f>IF($BF$4016=3,(BF4021/100),"")</f>
        <v/>
      </c>
      <c r="CC4313" s="34" t="str">
        <f>IF($CF$4016=3,CF4018,"")</f>
        <v/>
      </c>
      <c r="CD4313" s="76" t="str">
        <f>IF($CF$4016=3,(CF4021/100),"")</f>
        <v/>
      </c>
    </row>
    <row r="4314" spans="55:93" x14ac:dyDescent="0.25">
      <c r="BC4314" s="34" t="str">
        <f>IF($BF$4016=3,BF4019,"")</f>
        <v/>
      </c>
      <c r="BD4314" s="76" t="str">
        <f>IF($BF$4016=3,(BF4022/100),"")</f>
        <v/>
      </c>
      <c r="CC4314" s="34" t="str">
        <f>IF($CF$4016=3,CF4019,"")</f>
        <v/>
      </c>
      <c r="CD4314" s="76" t="str">
        <f>IF($CF$4016=3,(CF4022/100),"")</f>
        <v/>
      </c>
    </row>
    <row r="4315" spans="55:93" x14ac:dyDescent="0.25">
      <c r="BC4315" s="34" t="str">
        <f>IF($BF$4016=3,BF4020,"")</f>
        <v/>
      </c>
      <c r="BD4315" s="76" t="str">
        <f>IF($BF$4016=3,(BF4023/100),"")</f>
        <v/>
      </c>
      <c r="CC4315" s="34" t="str">
        <f>IF($CF$4016=3,CF4020,"")</f>
        <v/>
      </c>
      <c r="CD4315" s="76" t="str">
        <f>IF($CF$4016=3,(CF4023/100),"")</f>
        <v/>
      </c>
    </row>
    <row r="4316" spans="55:93" x14ac:dyDescent="0.25">
      <c r="BC4316" s="34"/>
      <c r="BD4316" s="122"/>
      <c r="CC4316" s="34"/>
      <c r="CD4316" s="122"/>
    </row>
    <row r="4317" spans="55:93" ht="15" customHeight="1" x14ac:dyDescent="0.4">
      <c r="BC4317" s="107" t="str">
        <f>IF($BF$4016=3,"Scorecard Points = ","")</f>
        <v/>
      </c>
      <c r="BD4317" s="108" t="str">
        <f>IF($BF$4016=3,ROUND((BD4310*((((BD4313*BF4295)+(BD4314*BG4295)+(BD4315*BH4295))+(((BD4313*BF4296)+(BD4314*BG4296)+(BD4315*BH4296))+(((BD4313*BF4297)+(BD4314*BG4297)+(BD4315*BH4297))+(((BD4313*BF4298)+(BD4314*BG4298)+(BD4315*BH4298))+(((BD4313*BF4299)+(BD4314*BG4299)+(BD4315*BH4299))+(((BD4313*BF4300)+(BD4314*BG4300)+(BD4315*BH4300))+(((BD4313*BF4301)+(BD4314*BG4301)+(BD4315*BH4301)))))))))/10)),2),"")</f>
        <v/>
      </c>
      <c r="CB4317" s="152"/>
      <c r="CC4317" s="107" t="str">
        <f>IF($CF$4016=3,"Scorecard Points = ","")</f>
        <v/>
      </c>
      <c r="CD4317" s="108" t="str">
        <f>IF($CF$4016=3,(ROUND((CD4310*((CD4313*CF4302)+(CD4314*CG4302)+(CD4315*CH4302))/10),2)),"")</f>
        <v/>
      </c>
    </row>
    <row r="4400" spans="54:60" x14ac:dyDescent="0.25">
      <c r="BB4400" s="106" t="s">
        <v>128</v>
      </c>
      <c r="BC4400" s="111">
        <f>F117</f>
        <v>1</v>
      </c>
      <c r="BD4400" s="104" t="str">
        <f>VLOOKUP(F117,'WORKINGS MATRIX'!K103:L106,2,FALSE)</f>
        <v>Verification Certificate</v>
      </c>
      <c r="BE4400" s="98" t="s">
        <v>237</v>
      </c>
      <c r="BF4400" s="17">
        <f>IF($BC$4400=3,$BF$4018,(IF($BC$4400=4,$CF$4018,IF($BC$4400=1,E112,""))))</f>
        <v>0</v>
      </c>
      <c r="BG4400" s="17" t="str">
        <f>IF(BC4400=3,IF($BF$4016&gt;=2,BF4019,""),IF(BC4400=4,(IF($CF$4016&gt;=2,CF4019,"")),IF($BC$4400=1,IF($BC$4401&gt;=2,E113,""))))</f>
        <v/>
      </c>
      <c r="BH4400" s="17" t="str">
        <f>IF(BC4400=3,IF($BF$4016=3,BF4020,""),IF(BC4400=4,(IF($CF$4016=3,CF4020,"")),IF($BC$4400=1,IF($BC$4401&gt;2,E114,""))))</f>
        <v/>
      </c>
    </row>
    <row r="4401" spans="55:60" x14ac:dyDescent="0.25">
      <c r="BC4401" s="105">
        <f>IF(BC4400=1,F3333,1)</f>
        <v>1</v>
      </c>
      <c r="BD4401" s="104" t="s">
        <v>275</v>
      </c>
      <c r="BE4401" s="98" t="s">
        <v>238</v>
      </c>
      <c r="BF4401" s="17">
        <f>IF($BC$4400=3,(IF($BF$4016=1,100,$BF$4021)),(IF($BC$4400=4,(IF($CF$4016=1,100,$CF$4021)),IF(F3333=1,100,F3345))))</f>
        <v>100</v>
      </c>
      <c r="BG4401" s="17" t="str">
        <f>IF(BC4400=3,IF($BF$4016&gt;=2,BF4022,""),IF(BC4400=4,(IF($CF$4016&gt;=2,CF4022,"")),IF(F3333&gt;=2,F3358,"")))</f>
        <v/>
      </c>
      <c r="BH4401" s="17" t="str">
        <f>IF(BC4400=3,IF($BF$4016=3,BF4023,""),IF(BC4400=4,(IF($CF$4016=3,CF4023,"")),IF(F3333&gt;2,F3371,"")))</f>
        <v/>
      </c>
    </row>
    <row r="4402" spans="55:60" x14ac:dyDescent="0.25">
      <c r="BC4402" s="153"/>
      <c r="BD4402" s="154"/>
      <c r="BE4402" s="400" t="s">
        <v>239</v>
      </c>
      <c r="BF4402" s="401" t="s">
        <v>240</v>
      </c>
      <c r="BG4402" s="401" t="str">
        <f>IF(BC4400=1,IF($BF$4016&gt;=2,"POINTS",""),IF(BC4400=2,(IF($CF$4016&gt;=2,"POINTS","")),""))</f>
        <v/>
      </c>
      <c r="BH4402" s="401" t="str">
        <f>IF(BC4400=1,IF($BF$4016=3,"POINTS",""),IF(BC4400=2,(IF($CF$4016=3,"POINTS","")),""))</f>
        <v/>
      </c>
    </row>
    <row r="4403" spans="55:60" x14ac:dyDescent="0.25">
      <c r="BC4403" s="402">
        <f>BC4295</f>
        <v>0</v>
      </c>
      <c r="BD4403" s="402">
        <f>BD4295</f>
        <v>0</v>
      </c>
      <c r="BE4403" s="403" t="str">
        <f t="shared" ref="BE4403:BE4409" si="201">IF($BC$4400=3,BE4295,(IF($BC$4400=4,CE4295,"")))</f>
        <v/>
      </c>
      <c r="BF4403" s="404"/>
      <c r="BG4403" s="404"/>
      <c r="BH4403" s="404"/>
    </row>
    <row r="4404" spans="55:60" x14ac:dyDescent="0.25">
      <c r="BC4404" s="402">
        <f t="shared" ref="BC4404:BD4409" si="202">BC4296</f>
        <v>0</v>
      </c>
      <c r="BD4404" s="402">
        <f t="shared" si="202"/>
        <v>0</v>
      </c>
      <c r="BE4404" s="403" t="str">
        <f t="shared" si="201"/>
        <v/>
      </c>
      <c r="BF4404" s="404"/>
      <c r="BG4404" s="404"/>
      <c r="BH4404" s="404"/>
    </row>
    <row r="4405" spans="55:60" x14ac:dyDescent="0.25">
      <c r="BC4405" s="402">
        <f t="shared" si="202"/>
        <v>0</v>
      </c>
      <c r="BD4405" s="402">
        <f t="shared" si="202"/>
        <v>0</v>
      </c>
      <c r="BE4405" s="403" t="str">
        <f t="shared" si="201"/>
        <v/>
      </c>
      <c r="BF4405" s="404"/>
      <c r="BG4405" s="404"/>
      <c r="BH4405" s="404"/>
    </row>
    <row r="4406" spans="55:60" x14ac:dyDescent="0.25">
      <c r="BC4406" s="402">
        <f t="shared" si="202"/>
        <v>0</v>
      </c>
      <c r="BD4406" s="402">
        <f t="shared" si="202"/>
        <v>0</v>
      </c>
      <c r="BE4406" s="403" t="str">
        <f t="shared" si="201"/>
        <v/>
      </c>
      <c r="BF4406" s="404"/>
      <c r="BG4406" s="404"/>
      <c r="BH4406" s="404"/>
    </row>
    <row r="4407" spans="55:60" x14ac:dyDescent="0.25">
      <c r="BC4407" s="402">
        <f t="shared" si="202"/>
        <v>0</v>
      </c>
      <c r="BD4407" s="402">
        <f t="shared" si="202"/>
        <v>0</v>
      </c>
      <c r="BE4407" s="403" t="str">
        <f t="shared" si="201"/>
        <v/>
      </c>
      <c r="BF4407" s="404"/>
      <c r="BG4407" s="404"/>
      <c r="BH4407" s="404"/>
    </row>
    <row r="4408" spans="55:60" x14ac:dyDescent="0.25">
      <c r="BC4408" s="402">
        <f t="shared" si="202"/>
        <v>0</v>
      </c>
      <c r="BD4408" s="402">
        <f t="shared" si="202"/>
        <v>0</v>
      </c>
      <c r="BE4408" s="403" t="str">
        <f t="shared" si="201"/>
        <v/>
      </c>
      <c r="BF4408" s="404"/>
      <c r="BG4408" s="404"/>
      <c r="BH4408" s="404"/>
    </row>
    <row r="4409" spans="55:60" x14ac:dyDescent="0.25">
      <c r="BC4409" s="402">
        <f t="shared" si="202"/>
        <v>0</v>
      </c>
      <c r="BD4409" s="402">
        <f t="shared" si="202"/>
        <v>0</v>
      </c>
      <c r="BE4409" s="403" t="str">
        <f t="shared" si="201"/>
        <v/>
      </c>
      <c r="BF4409" s="404"/>
      <c r="BG4409" s="404"/>
      <c r="BH4409" s="404"/>
    </row>
    <row r="4410" spans="55:60" x14ac:dyDescent="0.25">
      <c r="BC4410" s="405"/>
      <c r="BD4410" s="406" t="s">
        <v>241</v>
      </c>
      <c r="BE4410" s="403" t="str">
        <f>IF($BC$4400=3,BE4302,(IF($BC$4400=4,CE4302,"")))</f>
        <v/>
      </c>
      <c r="BF4410" s="404">
        <f>IF($BC$4400=3,BF4302,(IF($BC$4400=4,CF4302,(IF($BC$4400=1,K33,0)))))</f>
        <v>9</v>
      </c>
      <c r="BG4410" s="404" t="str">
        <f>IF($BC$4400=3,BG4302,(IF($BC$4400=4,CG4302,(IF($BC$4400=1,IF(BC4401&gt;=2,K34,""))))))</f>
        <v/>
      </c>
      <c r="BH4410" s="404" t="str">
        <f>IF($BC$4400=3,BH4302,(IF($BC$4400=4,CH4302,(IF($BC$4400=1,IF(BC4401&gt;2,K35,""))))))</f>
        <v/>
      </c>
    </row>
    <row r="4411" spans="55:60" x14ac:dyDescent="0.25">
      <c r="BD4411" s="99" t="s">
        <v>276</v>
      </c>
      <c r="BE4411" s="17"/>
      <c r="BF4411" s="17">
        <f>IF(BC4400=1,F118,(IF($BC$4400=3,$BF$4029,(IF($BC$4400=4,$CF$4029,"")))))</f>
        <v>0</v>
      </c>
      <c r="BG4411" s="17"/>
      <c r="BH4411" s="17"/>
    </row>
    <row r="4413" spans="55:60" x14ac:dyDescent="0.25">
      <c r="BD4413" s="74" t="s">
        <v>277</v>
      </c>
      <c r="BE4413" s="155">
        <f>IF(BC4400=1,G33,0)</f>
        <v>9</v>
      </c>
    </row>
  </sheetData>
  <mergeCells count="795">
    <mergeCell ref="H3926:I3926"/>
    <mergeCell ref="C3934:E3934"/>
    <mergeCell ref="H3934:I3934"/>
    <mergeCell ref="B78:C78"/>
    <mergeCell ref="D276:E276"/>
    <mergeCell ref="H276:I276"/>
    <mergeCell ref="D378:E378"/>
    <mergeCell ref="F378:G378"/>
    <mergeCell ref="H378:I378"/>
    <mergeCell ref="B976:C976"/>
    <mergeCell ref="B1076:C1076"/>
    <mergeCell ref="H1078:I1078"/>
    <mergeCell ref="G1471:H1471"/>
    <mergeCell ref="B1176:C1176"/>
    <mergeCell ref="H575:I575"/>
    <mergeCell ref="H177:I177"/>
    <mergeCell ref="E372:F372"/>
    <mergeCell ref="B1676:C1676"/>
    <mergeCell ref="F1476:G1476"/>
    <mergeCell ref="B3642:M3642"/>
    <mergeCell ref="B3408:C3409"/>
    <mergeCell ref="K3439:L3440"/>
    <mergeCell ref="F3365:I3365"/>
    <mergeCell ref="F1977:G1977"/>
    <mergeCell ref="K197:M200"/>
    <mergeCell ref="K262:M265"/>
    <mergeCell ref="D275:E275"/>
    <mergeCell ref="F276:G276"/>
    <mergeCell ref="H76:I76"/>
    <mergeCell ref="H78:I78"/>
    <mergeCell ref="B189:M192"/>
    <mergeCell ref="K3945:M3948"/>
    <mergeCell ref="K3901:L3902"/>
    <mergeCell ref="C3906:F3906"/>
    <mergeCell ref="K3910:L3910"/>
    <mergeCell ref="C3914:F3914"/>
    <mergeCell ref="K3918:L3918"/>
    <mergeCell ref="C3922:F3922"/>
    <mergeCell ref="K3926:L3926"/>
    <mergeCell ref="B3940:M3943"/>
    <mergeCell ref="B375:C375"/>
    <mergeCell ref="D375:E375"/>
    <mergeCell ref="F375:G375"/>
    <mergeCell ref="H375:I375"/>
    <mergeCell ref="K162:M165"/>
    <mergeCell ref="B178:C178"/>
    <mergeCell ref="H275:I275"/>
    <mergeCell ref="E341:F341"/>
    <mergeCell ref="E272:F272"/>
    <mergeCell ref="B275:C275"/>
    <mergeCell ref="E271:F271"/>
    <mergeCell ref="B254:M257"/>
    <mergeCell ref="L270:M271"/>
    <mergeCell ref="K362:M365"/>
    <mergeCell ref="L339:M340"/>
    <mergeCell ref="J278:K278"/>
    <mergeCell ref="L239:M240"/>
    <mergeCell ref="K297:M300"/>
    <mergeCell ref="G271:H271"/>
    <mergeCell ref="E240:F240"/>
    <mergeCell ref="E340:F340"/>
    <mergeCell ref="E346:F346"/>
    <mergeCell ref="B354:M357"/>
    <mergeCell ref="J277:K277"/>
    <mergeCell ref="B276:C276"/>
    <mergeCell ref="K1162:M1165"/>
    <mergeCell ref="G971:H971"/>
    <mergeCell ref="K962:M965"/>
    <mergeCell ref="H976:I976"/>
    <mergeCell ref="F977:G977"/>
    <mergeCell ref="J376:K376"/>
    <mergeCell ref="B377:C377"/>
    <mergeCell ref="D377:E377"/>
    <mergeCell ref="H377:I377"/>
    <mergeCell ref="F377:G377"/>
    <mergeCell ref="B378:C378"/>
    <mergeCell ref="J377:K377"/>
    <mergeCell ref="G671:H671"/>
    <mergeCell ref="B675:C675"/>
    <mergeCell ref="J775:K775"/>
    <mergeCell ref="H775:I775"/>
    <mergeCell ref="F776:G776"/>
    <mergeCell ref="J678:K678"/>
    <mergeCell ref="H675:I675"/>
    <mergeCell ref="J1676:K1676"/>
    <mergeCell ref="J1675:K1675"/>
    <mergeCell ref="E946:F946"/>
    <mergeCell ref="J878:K878"/>
    <mergeCell ref="J977:K977"/>
    <mergeCell ref="J1176:K1176"/>
    <mergeCell ref="F1176:G1176"/>
    <mergeCell ref="H1176:I1176"/>
    <mergeCell ref="H1175:I1175"/>
    <mergeCell ref="D1077:E1077"/>
    <mergeCell ref="K897:M900"/>
    <mergeCell ref="E1141:F1141"/>
    <mergeCell ref="J1175:K1175"/>
    <mergeCell ref="L1170:M1171"/>
    <mergeCell ref="L1439:M1440"/>
    <mergeCell ref="J1278:K1278"/>
    <mergeCell ref="F1077:G1077"/>
    <mergeCell ref="J75:K75"/>
    <mergeCell ref="H577:I577"/>
    <mergeCell ref="B575:C575"/>
    <mergeCell ref="D575:E575"/>
    <mergeCell ref="B289:M292"/>
    <mergeCell ref="B278:C278"/>
    <mergeCell ref="D278:E278"/>
    <mergeCell ref="F278:G278"/>
    <mergeCell ref="F476:G476"/>
    <mergeCell ref="E146:F146"/>
    <mergeCell ref="E246:F246"/>
    <mergeCell ref="E446:F446"/>
    <mergeCell ref="E546:F546"/>
    <mergeCell ref="B154:M157"/>
    <mergeCell ref="J76:K76"/>
    <mergeCell ref="H278:I278"/>
    <mergeCell ref="L439:M440"/>
    <mergeCell ref="F178:G178"/>
    <mergeCell ref="J378:K378"/>
    <mergeCell ref="B389:M392"/>
    <mergeCell ref="B376:C376"/>
    <mergeCell ref="D376:E376"/>
    <mergeCell ref="F376:G376"/>
    <mergeCell ref="H376:I376"/>
    <mergeCell ref="B75:C75"/>
    <mergeCell ref="B76:C76"/>
    <mergeCell ref="F75:G75"/>
    <mergeCell ref="D75:E75"/>
    <mergeCell ref="B3343:E3343"/>
    <mergeCell ref="H1976:I1976"/>
    <mergeCell ref="E646:F646"/>
    <mergeCell ref="E746:F746"/>
    <mergeCell ref="E846:F846"/>
    <mergeCell ref="B175:C175"/>
    <mergeCell ref="D577:E577"/>
    <mergeCell ref="F577:G577"/>
    <mergeCell ref="H77:I77"/>
    <mergeCell ref="F1876:G1876"/>
    <mergeCell ref="H1876:I1876"/>
    <mergeCell ref="F1877:G1877"/>
    <mergeCell ref="H1877:I1877"/>
    <mergeCell ref="B1875:C1875"/>
    <mergeCell ref="D1875:E1875"/>
    <mergeCell ref="F1875:G1875"/>
    <mergeCell ref="F3343:I3343"/>
    <mergeCell ref="D1977:E1977"/>
    <mergeCell ref="F1678:G1678"/>
    <mergeCell ref="B1677:C1677"/>
    <mergeCell ref="CN4227:CR4227"/>
    <mergeCell ref="CD4309:CO4309"/>
    <mergeCell ref="CD4191:CO4191"/>
    <mergeCell ref="CN4225:CR4225"/>
    <mergeCell ref="E1046:F1046"/>
    <mergeCell ref="E1146:F1146"/>
    <mergeCell ref="E1246:F1246"/>
    <mergeCell ref="E1346:F1346"/>
    <mergeCell ref="E1446:F1446"/>
    <mergeCell ref="E1546:F1546"/>
    <mergeCell ref="B3381:E3381"/>
    <mergeCell ref="F3381:I3381"/>
    <mergeCell ref="B3382:E3382"/>
    <mergeCell ref="F3382:I3382"/>
    <mergeCell ref="B3383:E3383"/>
    <mergeCell ref="F3383:I3383"/>
    <mergeCell ref="B3384:E3384"/>
    <mergeCell ref="F3384:I3384"/>
    <mergeCell ref="B3391:E3391"/>
    <mergeCell ref="F3391:I3391"/>
    <mergeCell ref="F3339:I3339"/>
    <mergeCell ref="E1971:F1971"/>
    <mergeCell ref="B3371:E3371"/>
    <mergeCell ref="B3357:E3357"/>
    <mergeCell ref="AI3578:AM3578"/>
    <mergeCell ref="B1978:C1978"/>
    <mergeCell ref="B3504:M3551"/>
    <mergeCell ref="F3396:I3396"/>
    <mergeCell ref="B3397:E3397"/>
    <mergeCell ref="F3397:I3397"/>
    <mergeCell ref="F3378:I3378"/>
    <mergeCell ref="B3379:E3379"/>
    <mergeCell ref="F3379:I3379"/>
    <mergeCell ref="B3380:E3380"/>
    <mergeCell ref="F3380:I3380"/>
    <mergeCell ref="B3378:E3378"/>
    <mergeCell ref="B3392:E3392"/>
    <mergeCell ref="F3340:I3340"/>
    <mergeCell ref="F3341:I3341"/>
    <mergeCell ref="B3339:E3339"/>
    <mergeCell ref="F3369:I3369"/>
    <mergeCell ref="B3370:E3370"/>
    <mergeCell ref="F3370:I3370"/>
    <mergeCell ref="B3450:M3497"/>
    <mergeCell ref="B3414:M3424"/>
    <mergeCell ref="B3395:E3395"/>
    <mergeCell ref="J1978:K1978"/>
    <mergeCell ref="F3395:I3395"/>
    <mergeCell ref="B3401:M3404"/>
    <mergeCell ref="B3366:E3366"/>
    <mergeCell ref="F3366:I3366"/>
    <mergeCell ref="B3365:E3365"/>
    <mergeCell ref="B3356:E3356"/>
    <mergeCell ref="F3356:I3356"/>
    <mergeCell ref="K1962:M1965"/>
    <mergeCell ref="J1977:K1977"/>
    <mergeCell ref="G1971:H1971"/>
    <mergeCell ref="E1972:F1972"/>
    <mergeCell ref="B1975:C1975"/>
    <mergeCell ref="D1975:E1975"/>
    <mergeCell ref="F1975:G1975"/>
    <mergeCell ref="J1975:K1975"/>
    <mergeCell ref="H1977:I1977"/>
    <mergeCell ref="H1975:I1975"/>
    <mergeCell ref="D1976:E1976"/>
    <mergeCell ref="F1976:G1976"/>
    <mergeCell ref="B1976:C1976"/>
    <mergeCell ref="F3371:I3371"/>
    <mergeCell ref="F3352:I3352"/>
    <mergeCell ref="B3353:E3353"/>
    <mergeCell ref="B3341:E3341"/>
    <mergeCell ref="F3342:I3342"/>
    <mergeCell ref="J1677:K1677"/>
    <mergeCell ref="B1678:C1678"/>
    <mergeCell ref="K1597:M1600"/>
    <mergeCell ref="G1571:H1571"/>
    <mergeCell ref="F3392:I3392"/>
    <mergeCell ref="B3393:E3393"/>
    <mergeCell ref="F3367:I3367"/>
    <mergeCell ref="B3368:E3368"/>
    <mergeCell ref="F3368:I3368"/>
    <mergeCell ref="J1976:K1976"/>
    <mergeCell ref="L1870:M1871"/>
    <mergeCell ref="J1876:K1876"/>
    <mergeCell ref="B1977:C1977"/>
    <mergeCell ref="B3340:E3340"/>
    <mergeCell ref="B3345:E3345"/>
    <mergeCell ref="B3346:E3346"/>
    <mergeCell ref="F3346:I3346"/>
    <mergeCell ref="B3359:E3359"/>
    <mergeCell ref="F3359:I3359"/>
    <mergeCell ref="E972:F972"/>
    <mergeCell ref="J975:K975"/>
    <mergeCell ref="E1040:F1040"/>
    <mergeCell ref="E1041:F1041"/>
    <mergeCell ref="L1070:M1071"/>
    <mergeCell ref="H1875:I1875"/>
    <mergeCell ref="B1889:M1892"/>
    <mergeCell ref="D1978:E1978"/>
    <mergeCell ref="B1989:M1992"/>
    <mergeCell ref="F1578:G1578"/>
    <mergeCell ref="H1577:I1577"/>
    <mergeCell ref="H1478:I1478"/>
    <mergeCell ref="B1776:C1776"/>
    <mergeCell ref="B1954:M1957"/>
    <mergeCell ref="D1576:E1576"/>
    <mergeCell ref="F1776:G1776"/>
    <mergeCell ref="B1589:M1592"/>
    <mergeCell ref="H1578:I1578"/>
    <mergeCell ref="G1771:H1771"/>
    <mergeCell ref="E1772:F1772"/>
    <mergeCell ref="D1678:E1678"/>
    <mergeCell ref="B1775:C1775"/>
    <mergeCell ref="J1678:K1678"/>
    <mergeCell ref="H1678:I1678"/>
    <mergeCell ref="D976:E976"/>
    <mergeCell ref="H1076:I1076"/>
    <mergeCell ref="J1076:K1076"/>
    <mergeCell ref="D977:E977"/>
    <mergeCell ref="F978:G978"/>
    <mergeCell ref="D978:E978"/>
    <mergeCell ref="F975:G975"/>
    <mergeCell ref="K1062:M1065"/>
    <mergeCell ref="K997:M1000"/>
    <mergeCell ref="F976:G976"/>
    <mergeCell ref="J976:K976"/>
    <mergeCell ref="D1076:E1076"/>
    <mergeCell ref="H977:I977"/>
    <mergeCell ref="B1054:M1057"/>
    <mergeCell ref="B989:M992"/>
    <mergeCell ref="B978:C978"/>
    <mergeCell ref="L1939:M1940"/>
    <mergeCell ref="E1946:F1946"/>
    <mergeCell ref="E1871:F1871"/>
    <mergeCell ref="B3645:M3687"/>
    <mergeCell ref="K3746:M3749"/>
    <mergeCell ref="B3369:E3369"/>
    <mergeCell ref="D1577:E1577"/>
    <mergeCell ref="B1377:C1377"/>
    <mergeCell ref="D1377:E1377"/>
    <mergeCell ref="B1854:M1857"/>
    <mergeCell ref="J1778:K1778"/>
    <mergeCell ref="B1777:C1777"/>
    <mergeCell ref="D1775:E1775"/>
    <mergeCell ref="J1875:K1875"/>
    <mergeCell ref="H1377:I1377"/>
    <mergeCell ref="C3446:E3446"/>
    <mergeCell ref="F1575:G1575"/>
    <mergeCell ref="B1576:C1576"/>
    <mergeCell ref="F3358:I3358"/>
    <mergeCell ref="K3640:L3641"/>
    <mergeCell ref="L1970:M1971"/>
    <mergeCell ref="B1878:C1878"/>
    <mergeCell ref="D1878:E1878"/>
    <mergeCell ref="B3396:E3396"/>
    <mergeCell ref="F3393:I3393"/>
    <mergeCell ref="B3394:E3394"/>
    <mergeCell ref="F3394:I3394"/>
    <mergeCell ref="F3353:I3353"/>
    <mergeCell ref="F3354:I3354"/>
    <mergeCell ref="F3355:I3355"/>
    <mergeCell ref="B3352:E3352"/>
    <mergeCell ref="J1776:K1776"/>
    <mergeCell ref="B1789:M1792"/>
    <mergeCell ref="E1846:F1846"/>
    <mergeCell ref="F1978:G1978"/>
    <mergeCell ref="H1978:I1978"/>
    <mergeCell ref="B3367:E3367"/>
    <mergeCell ref="B3342:E3342"/>
    <mergeCell ref="F3344:I3344"/>
    <mergeCell ref="F3345:I3345"/>
    <mergeCell ref="K1862:M1865"/>
    <mergeCell ref="M3337:M3340"/>
    <mergeCell ref="B3358:E3358"/>
    <mergeCell ref="B3344:E3344"/>
    <mergeCell ref="B1478:C1478"/>
    <mergeCell ref="B1089:M1092"/>
    <mergeCell ref="F1078:G1078"/>
    <mergeCell ref="J1077:K1077"/>
    <mergeCell ref="F1076:G1076"/>
    <mergeCell ref="L1039:M1040"/>
    <mergeCell ref="E1072:F1072"/>
    <mergeCell ref="B1075:C1075"/>
    <mergeCell ref="J1075:K1075"/>
    <mergeCell ref="F1075:G1075"/>
    <mergeCell ref="B1189:M1192"/>
    <mergeCell ref="H1178:I1178"/>
    <mergeCell ref="H1376:I1376"/>
    <mergeCell ref="B1454:M1457"/>
    <mergeCell ref="B1375:C1375"/>
    <mergeCell ref="F1478:G1478"/>
    <mergeCell ref="H1075:I1075"/>
    <mergeCell ref="J1078:K1078"/>
    <mergeCell ref="E1341:F1341"/>
    <mergeCell ref="E1172:F1172"/>
    <mergeCell ref="D1175:E1175"/>
    <mergeCell ref="B1476:C1476"/>
    <mergeCell ref="H1077:I1077"/>
    <mergeCell ref="K1097:M1100"/>
    <mergeCell ref="J1177:K1177"/>
    <mergeCell ref="B1175:C1175"/>
    <mergeCell ref="B1177:C1177"/>
    <mergeCell ref="D1177:E1177"/>
    <mergeCell ref="B1276:C1276"/>
    <mergeCell ref="B1178:C1178"/>
    <mergeCell ref="B1275:C1275"/>
    <mergeCell ref="D1276:E1276"/>
    <mergeCell ref="F1276:G1276"/>
    <mergeCell ref="F1177:G1177"/>
    <mergeCell ref="H1177:I1177"/>
    <mergeCell ref="J1275:K1275"/>
    <mergeCell ref="D1275:E1275"/>
    <mergeCell ref="F1275:G1275"/>
    <mergeCell ref="E1240:F1240"/>
    <mergeCell ref="E1241:F1241"/>
    <mergeCell ref="E1272:F1272"/>
    <mergeCell ref="J1178:K1178"/>
    <mergeCell ref="L1239:M1240"/>
    <mergeCell ref="F1175:G1175"/>
    <mergeCell ref="K1262:M1265"/>
    <mergeCell ref="E1271:F1271"/>
    <mergeCell ref="B1254:M1257"/>
    <mergeCell ref="H1275:I1275"/>
    <mergeCell ref="B3354:E3354"/>
    <mergeCell ref="B3355:E3355"/>
    <mergeCell ref="F3357:I3357"/>
    <mergeCell ref="B1477:C1477"/>
    <mergeCell ref="L1539:M1540"/>
    <mergeCell ref="D1378:E1378"/>
    <mergeCell ref="F1378:G1378"/>
    <mergeCell ref="H1378:I1378"/>
    <mergeCell ref="J1378:K1378"/>
    <mergeCell ref="B1354:M1357"/>
    <mergeCell ref="J1375:K1375"/>
    <mergeCell ref="B1475:C1475"/>
    <mergeCell ref="B1376:C1376"/>
    <mergeCell ref="D1376:E1376"/>
    <mergeCell ref="J1376:K1376"/>
    <mergeCell ref="J1478:K1478"/>
    <mergeCell ref="B1489:M1492"/>
    <mergeCell ref="E1471:F1471"/>
    <mergeCell ref="K1697:M1700"/>
    <mergeCell ref="BD4309:BO4309"/>
    <mergeCell ref="J1277:K1277"/>
    <mergeCell ref="K1362:M1365"/>
    <mergeCell ref="J1476:K1476"/>
    <mergeCell ref="B1289:M1292"/>
    <mergeCell ref="J1475:K1475"/>
    <mergeCell ref="H1475:I1475"/>
    <mergeCell ref="E1372:F1372"/>
    <mergeCell ref="E1572:F1572"/>
    <mergeCell ref="B1575:C1575"/>
    <mergeCell ref="J1577:K1577"/>
    <mergeCell ref="B1578:C1578"/>
    <mergeCell ref="F1577:G1577"/>
    <mergeCell ref="D1375:E1375"/>
    <mergeCell ref="F1375:G1375"/>
    <mergeCell ref="H1375:I1375"/>
    <mergeCell ref="J1477:K1477"/>
    <mergeCell ref="B3694:M3741"/>
    <mergeCell ref="L3337:L3340"/>
    <mergeCell ref="K1562:M1565"/>
    <mergeCell ref="D1776:E1776"/>
    <mergeCell ref="BD4191:BO4191"/>
    <mergeCell ref="K1462:M1465"/>
    <mergeCell ref="F1676:G1676"/>
    <mergeCell ref="H1676:I1676"/>
    <mergeCell ref="H1675:I1675"/>
    <mergeCell ref="E1672:F1672"/>
    <mergeCell ref="H1575:I1575"/>
    <mergeCell ref="D1677:E1677"/>
    <mergeCell ref="F1677:G1677"/>
    <mergeCell ref="F1675:G1675"/>
    <mergeCell ref="D1476:E1476"/>
    <mergeCell ref="E1646:F1646"/>
    <mergeCell ref="D1477:E1477"/>
    <mergeCell ref="D1478:E1478"/>
    <mergeCell ref="F1475:G1475"/>
    <mergeCell ref="H1276:I1276"/>
    <mergeCell ref="J1276:K1276"/>
    <mergeCell ref="H1477:I1477"/>
    <mergeCell ref="D1278:E1278"/>
    <mergeCell ref="L1339:M1340"/>
    <mergeCell ref="L1370:M1371"/>
    <mergeCell ref="F1278:G1278"/>
    <mergeCell ref="G1371:H1371"/>
    <mergeCell ref="E1440:F1440"/>
    <mergeCell ref="E1441:F1441"/>
    <mergeCell ref="B1389:M1392"/>
    <mergeCell ref="K1397:M1400"/>
    <mergeCell ref="H1476:I1476"/>
    <mergeCell ref="K1297:M1300"/>
    <mergeCell ref="E1340:F1340"/>
    <mergeCell ref="H1278:I1278"/>
    <mergeCell ref="F1377:G1377"/>
    <mergeCell ref="D1475:E1475"/>
    <mergeCell ref="J1575:K1575"/>
    <mergeCell ref="B1554:M1557"/>
    <mergeCell ref="L1570:M1571"/>
    <mergeCell ref="D1575:E1575"/>
    <mergeCell ref="B1675:C1675"/>
    <mergeCell ref="D1675:E1675"/>
    <mergeCell ref="J1578:K1578"/>
    <mergeCell ref="L1670:M1671"/>
    <mergeCell ref="E1671:F1671"/>
    <mergeCell ref="L1639:M1640"/>
    <mergeCell ref="B1654:M1657"/>
    <mergeCell ref="B1577:C1577"/>
    <mergeCell ref="D1578:E1578"/>
    <mergeCell ref="G1671:H1671"/>
    <mergeCell ref="F1576:G1576"/>
    <mergeCell ref="H1576:I1576"/>
    <mergeCell ref="L1139:M1140"/>
    <mergeCell ref="D1277:E1277"/>
    <mergeCell ref="F1277:G1277"/>
    <mergeCell ref="H1277:I1277"/>
    <mergeCell ref="D1178:E1178"/>
    <mergeCell ref="J1576:K1576"/>
    <mergeCell ref="B1078:C1078"/>
    <mergeCell ref="E1140:F1140"/>
    <mergeCell ref="E1071:F1071"/>
    <mergeCell ref="D1075:E1075"/>
    <mergeCell ref="B1077:C1077"/>
    <mergeCell ref="L1270:M1271"/>
    <mergeCell ref="G1271:H1271"/>
    <mergeCell ref="B1278:C1278"/>
    <mergeCell ref="B1277:C1277"/>
    <mergeCell ref="B1378:C1378"/>
    <mergeCell ref="E1571:F1571"/>
    <mergeCell ref="D1176:E1176"/>
    <mergeCell ref="F1477:G1477"/>
    <mergeCell ref="J1377:K1377"/>
    <mergeCell ref="F1178:G1178"/>
    <mergeCell ref="K1197:M1200"/>
    <mergeCell ref="L1470:M1471"/>
    <mergeCell ref="E1472:F1472"/>
    <mergeCell ref="J1877:K1877"/>
    <mergeCell ref="F1775:G1775"/>
    <mergeCell ref="H1775:I1775"/>
    <mergeCell ref="J1775:K1775"/>
    <mergeCell ref="K1662:M1665"/>
    <mergeCell ref="F1376:G1376"/>
    <mergeCell ref="K3:L4"/>
    <mergeCell ref="CS2:DH24"/>
    <mergeCell ref="J9:M9"/>
    <mergeCell ref="I34:J34"/>
    <mergeCell ref="L39:M40"/>
    <mergeCell ref="C9:H9"/>
    <mergeCell ref="I33:J33"/>
    <mergeCell ref="B54:M57"/>
    <mergeCell ref="H14:H23"/>
    <mergeCell ref="K23:L24"/>
    <mergeCell ref="K11:L12"/>
    <mergeCell ref="K15:L16"/>
    <mergeCell ref="K19:L20"/>
    <mergeCell ref="E46:F46"/>
    <mergeCell ref="E41:F41"/>
    <mergeCell ref="L170:M171"/>
    <mergeCell ref="E71:F71"/>
    <mergeCell ref="F76:G76"/>
    <mergeCell ref="H75:I75"/>
    <mergeCell ref="D175:E175"/>
    <mergeCell ref="L30:L32"/>
    <mergeCell ref="K28:L29"/>
    <mergeCell ref="E40:F40"/>
    <mergeCell ref="E140:F140"/>
    <mergeCell ref="K62:M65"/>
    <mergeCell ref="K97:M100"/>
    <mergeCell ref="D76:E76"/>
    <mergeCell ref="D77:E77"/>
    <mergeCell ref="H175:I175"/>
    <mergeCell ref="E171:F171"/>
    <mergeCell ref="G71:H71"/>
    <mergeCell ref="G171:H171"/>
    <mergeCell ref="E72:F72"/>
    <mergeCell ref="F175:G175"/>
    <mergeCell ref="K30:K32"/>
    <mergeCell ref="L70:M71"/>
    <mergeCell ref="J175:K175"/>
    <mergeCell ref="C34:E34"/>
    <mergeCell ref="D78:E78"/>
    <mergeCell ref="L139:M140"/>
    <mergeCell ref="B89:M92"/>
    <mergeCell ref="F77:G77"/>
    <mergeCell ref="E672:F672"/>
    <mergeCell ref="E740:F740"/>
    <mergeCell ref="F675:G675"/>
    <mergeCell ref="D678:E678"/>
    <mergeCell ref="H678:I678"/>
    <mergeCell ref="B677:C677"/>
    <mergeCell ref="D677:E677"/>
    <mergeCell ref="D676:E676"/>
    <mergeCell ref="F676:G676"/>
    <mergeCell ref="H676:I676"/>
    <mergeCell ref="B689:M692"/>
    <mergeCell ref="F677:G677"/>
    <mergeCell ref="H677:I677"/>
    <mergeCell ref="E741:F741"/>
    <mergeCell ref="D675:E675"/>
    <mergeCell ref="J677:K677"/>
    <mergeCell ref="B776:C776"/>
    <mergeCell ref="B676:C676"/>
    <mergeCell ref="F678:G678"/>
    <mergeCell ref="B789:M792"/>
    <mergeCell ref="H876:I876"/>
    <mergeCell ref="J876:K876"/>
    <mergeCell ref="B876:C876"/>
    <mergeCell ref="B754:M757"/>
    <mergeCell ref="E771:F771"/>
    <mergeCell ref="L770:M771"/>
    <mergeCell ref="E772:F772"/>
    <mergeCell ref="G771:H771"/>
    <mergeCell ref="J676:K676"/>
    <mergeCell ref="B678:C678"/>
    <mergeCell ref="G871:H871"/>
    <mergeCell ref="D875:E875"/>
    <mergeCell ref="J875:K875"/>
    <mergeCell ref="B778:C778"/>
    <mergeCell ref="J778:K778"/>
    <mergeCell ref="F775:G775"/>
    <mergeCell ref="J777:K777"/>
    <mergeCell ref="H778:I778"/>
    <mergeCell ref="J776:K776"/>
    <mergeCell ref="F777:G777"/>
    <mergeCell ref="B775:C775"/>
    <mergeCell ref="D776:E776"/>
    <mergeCell ref="H777:I777"/>
    <mergeCell ref="H776:I776"/>
    <mergeCell ref="L970:M971"/>
    <mergeCell ref="E841:F841"/>
    <mergeCell ref="E940:F940"/>
    <mergeCell ref="E941:F941"/>
    <mergeCell ref="B889:M892"/>
    <mergeCell ref="B877:C877"/>
    <mergeCell ref="D877:E877"/>
    <mergeCell ref="F875:G875"/>
    <mergeCell ref="D878:E878"/>
    <mergeCell ref="K862:M865"/>
    <mergeCell ref="F876:G876"/>
    <mergeCell ref="J877:K877"/>
    <mergeCell ref="B878:C878"/>
    <mergeCell ref="E971:F971"/>
    <mergeCell ref="L939:M940"/>
    <mergeCell ref="H877:I877"/>
    <mergeCell ref="F878:G878"/>
    <mergeCell ref="H878:I878"/>
    <mergeCell ref="E872:F872"/>
    <mergeCell ref="E871:F871"/>
    <mergeCell ref="D876:E876"/>
    <mergeCell ref="K797:M800"/>
    <mergeCell ref="H875:I875"/>
    <mergeCell ref="B854:M857"/>
    <mergeCell ref="L839:M840"/>
    <mergeCell ref="B875:C875"/>
    <mergeCell ref="F877:G877"/>
    <mergeCell ref="E840:F840"/>
    <mergeCell ref="K3556:M3559"/>
    <mergeCell ref="I35:J35"/>
    <mergeCell ref="D1777:E1777"/>
    <mergeCell ref="F475:G475"/>
    <mergeCell ref="H475:I475"/>
    <mergeCell ref="B489:M492"/>
    <mergeCell ref="B478:C478"/>
    <mergeCell ref="D478:E478"/>
    <mergeCell ref="F478:G478"/>
    <mergeCell ref="H478:I478"/>
    <mergeCell ref="G1071:H1071"/>
    <mergeCell ref="G1171:H1171"/>
    <mergeCell ref="B777:C777"/>
    <mergeCell ref="H978:I978"/>
    <mergeCell ref="J978:K978"/>
    <mergeCell ref="B977:C977"/>
    <mergeCell ref="D775:E775"/>
    <mergeCell ref="B1154:M1157"/>
    <mergeCell ref="E1171:F1171"/>
    <mergeCell ref="K3408:M3411"/>
    <mergeCell ref="D477:E477"/>
    <mergeCell ref="E440:F440"/>
    <mergeCell ref="E441:F441"/>
    <mergeCell ref="E540:F540"/>
    <mergeCell ref="K1997:M2000"/>
    <mergeCell ref="K1497:M1500"/>
    <mergeCell ref="E1371:F1371"/>
    <mergeCell ref="F1777:G1777"/>
    <mergeCell ref="H1777:I1777"/>
    <mergeCell ref="D1778:E1778"/>
    <mergeCell ref="F1778:G1778"/>
    <mergeCell ref="H1778:I1778"/>
    <mergeCell ref="B1754:M1757"/>
    <mergeCell ref="L1739:M1740"/>
    <mergeCell ref="L1839:M1840"/>
    <mergeCell ref="D1876:E1876"/>
    <mergeCell ref="B1876:C1876"/>
    <mergeCell ref="H1776:I1776"/>
    <mergeCell ref="K1797:M1800"/>
    <mergeCell ref="E1840:F1840"/>
    <mergeCell ref="E1841:F1841"/>
    <mergeCell ref="B1778:C1778"/>
    <mergeCell ref="E1746:F1746"/>
    <mergeCell ref="L1770:M1771"/>
    <mergeCell ref="E1872:F1872"/>
    <mergeCell ref="K1762:M1765"/>
    <mergeCell ref="G1871:H1871"/>
    <mergeCell ref="H1677:I1677"/>
    <mergeCell ref="L670:M671"/>
    <mergeCell ref="D1078:E1078"/>
    <mergeCell ref="J675:K675"/>
    <mergeCell ref="K497:M500"/>
    <mergeCell ref="D576:E576"/>
    <mergeCell ref="K662:M665"/>
    <mergeCell ref="L739:M740"/>
    <mergeCell ref="K697:M700"/>
    <mergeCell ref="K762:M765"/>
    <mergeCell ref="E671:F671"/>
    <mergeCell ref="L639:M640"/>
    <mergeCell ref="J578:K578"/>
    <mergeCell ref="B654:M657"/>
    <mergeCell ref="B975:C975"/>
    <mergeCell ref="D975:E975"/>
    <mergeCell ref="E541:F541"/>
    <mergeCell ref="E640:F640"/>
    <mergeCell ref="E641:F641"/>
    <mergeCell ref="F778:G778"/>
    <mergeCell ref="D777:E777"/>
    <mergeCell ref="D778:E778"/>
    <mergeCell ref="B954:M957"/>
    <mergeCell ref="H975:I975"/>
    <mergeCell ref="L870:M871"/>
    <mergeCell ref="K597:M600"/>
    <mergeCell ref="H576:I576"/>
    <mergeCell ref="H578:I578"/>
    <mergeCell ref="D476:E476"/>
    <mergeCell ref="J477:K477"/>
    <mergeCell ref="B578:C578"/>
    <mergeCell ref="F575:G575"/>
    <mergeCell ref="J577:K577"/>
    <mergeCell ref="B576:C576"/>
    <mergeCell ref="F576:G576"/>
    <mergeCell ref="B554:M557"/>
    <mergeCell ref="H476:I476"/>
    <mergeCell ref="J476:K476"/>
    <mergeCell ref="J478:K478"/>
    <mergeCell ref="F477:G477"/>
    <mergeCell ref="J576:K576"/>
    <mergeCell ref="E571:F571"/>
    <mergeCell ref="L570:M571"/>
    <mergeCell ref="E572:F572"/>
    <mergeCell ref="J575:K575"/>
    <mergeCell ref="D578:E578"/>
    <mergeCell ref="F578:G578"/>
    <mergeCell ref="L370:M371"/>
    <mergeCell ref="K397:M400"/>
    <mergeCell ref="E371:F371"/>
    <mergeCell ref="G371:H371"/>
    <mergeCell ref="E241:F241"/>
    <mergeCell ref="J375:K375"/>
    <mergeCell ref="K462:M465"/>
    <mergeCell ref="B589:M592"/>
    <mergeCell ref="K562:M565"/>
    <mergeCell ref="L470:M471"/>
    <mergeCell ref="B477:C477"/>
    <mergeCell ref="B577:C577"/>
    <mergeCell ref="L539:M540"/>
    <mergeCell ref="B476:C476"/>
    <mergeCell ref="E472:F472"/>
    <mergeCell ref="H477:I477"/>
    <mergeCell ref="G571:H571"/>
    <mergeCell ref="B475:C475"/>
    <mergeCell ref="D475:E475"/>
    <mergeCell ref="J475:K475"/>
    <mergeCell ref="E471:F471"/>
    <mergeCell ref="B454:M457"/>
    <mergeCell ref="G471:H471"/>
    <mergeCell ref="J275:K275"/>
    <mergeCell ref="F78:G78"/>
    <mergeCell ref="J77:K77"/>
    <mergeCell ref="J78:K78"/>
    <mergeCell ref="F275:G275"/>
    <mergeCell ref="J276:K276"/>
    <mergeCell ref="B277:C277"/>
    <mergeCell ref="D277:E277"/>
    <mergeCell ref="F277:G277"/>
    <mergeCell ref="H277:I277"/>
    <mergeCell ref="J178:K178"/>
    <mergeCell ref="E141:F141"/>
    <mergeCell ref="J176:K176"/>
    <mergeCell ref="E172:F172"/>
    <mergeCell ref="B77:C77"/>
    <mergeCell ref="H176:I176"/>
    <mergeCell ref="B177:C177"/>
    <mergeCell ref="D177:E177"/>
    <mergeCell ref="F177:G177"/>
    <mergeCell ref="J177:K177"/>
    <mergeCell ref="B176:C176"/>
    <mergeCell ref="D176:E176"/>
    <mergeCell ref="F176:G176"/>
    <mergeCell ref="H178:I178"/>
    <mergeCell ref="D178:E178"/>
    <mergeCell ref="B3908:C3908"/>
    <mergeCell ref="B3916:C3916"/>
    <mergeCell ref="B3924:C3924"/>
    <mergeCell ref="B3947:I3947"/>
    <mergeCell ref="E3908:G3908"/>
    <mergeCell ref="K3906:L3906"/>
    <mergeCell ref="I3908:L3908"/>
    <mergeCell ref="K3914:L3914"/>
    <mergeCell ref="E3916:G3916"/>
    <mergeCell ref="I3916:L3916"/>
    <mergeCell ref="K3922:L3922"/>
    <mergeCell ref="E3924:G3924"/>
    <mergeCell ref="I3924:L3924"/>
    <mergeCell ref="C3930:F3930"/>
    <mergeCell ref="K3930:L3930"/>
    <mergeCell ref="B3932:C3932"/>
    <mergeCell ref="E3932:G3932"/>
    <mergeCell ref="I3932:L3932"/>
    <mergeCell ref="K3934:L3934"/>
    <mergeCell ref="C3910:E3910"/>
    <mergeCell ref="H3910:I3910"/>
    <mergeCell ref="C3918:E3918"/>
    <mergeCell ref="H3918:I3918"/>
    <mergeCell ref="C3926:E3926"/>
    <mergeCell ref="B3372:E3372"/>
    <mergeCell ref="F3372:I3372"/>
    <mergeCell ref="B3385:E3385"/>
    <mergeCell ref="F3385:I3385"/>
    <mergeCell ref="B3398:E3398"/>
    <mergeCell ref="F3398:I3398"/>
    <mergeCell ref="E1941:F1941"/>
    <mergeCell ref="E1540:F1540"/>
    <mergeCell ref="E1541:F1541"/>
    <mergeCell ref="E1640:F1640"/>
    <mergeCell ref="E1641:F1641"/>
    <mergeCell ref="E1740:F1740"/>
    <mergeCell ref="E1741:F1741"/>
    <mergeCell ref="E1940:F1940"/>
    <mergeCell ref="B1689:M1692"/>
    <mergeCell ref="K1897:M1900"/>
    <mergeCell ref="D1676:E1676"/>
    <mergeCell ref="B1877:C1877"/>
    <mergeCell ref="D1877:E1877"/>
    <mergeCell ref="F1878:G1878"/>
    <mergeCell ref="H1878:I1878"/>
    <mergeCell ref="E1771:F1771"/>
    <mergeCell ref="J1878:K1878"/>
    <mergeCell ref="J1777:K1777"/>
  </mergeCells>
  <phoneticPr fontId="7" type="noConversion"/>
  <conditionalFormatting sqref="AR3644">
    <cfRule type="expression" dxfId="262" priority="283" stopIfTrue="1">
      <formula>AW3644=0</formula>
    </cfRule>
  </conditionalFormatting>
  <conditionalFormatting sqref="BM4275 BQ4275:BR4275 BM4225:BR4227 BS4225:BT4225 BT4226:BT4228 BM4251:BR4253 BS4251:BT4251 BT4252:BT4254 BR4254 BL4263 BM4262:BR4274 BS4262:BU4262 BU4263:BU4274">
    <cfRule type="expression" dxfId="261" priority="284" stopIfTrue="1">
      <formula>$BF$4016=3</formula>
    </cfRule>
  </conditionalFormatting>
  <conditionalFormatting sqref="BT4275:BU4275">
    <cfRule type="expression" dxfId="260" priority="285" stopIfTrue="1">
      <formula>$BF$4016=3</formula>
    </cfRule>
  </conditionalFormatting>
  <conditionalFormatting sqref="BS4226:BS4227 BS4252:BS4253 BS4263:BT4274">
    <cfRule type="expression" dxfId="259" priority="286" stopIfTrue="1">
      <formula>$BF$4016=3</formula>
    </cfRule>
  </conditionalFormatting>
  <conditionalFormatting sqref="BC4294:BG4302">
    <cfRule type="expression" dxfId="258" priority="293" stopIfTrue="1">
      <formula>$BF$4016=3</formula>
    </cfRule>
  </conditionalFormatting>
  <conditionalFormatting sqref="BH4225 BR4228:BS4228 BH4252">
    <cfRule type="expression" dxfId="257" priority="299" stopIfTrue="1">
      <formula>$BF$4016=3</formula>
    </cfRule>
  </conditionalFormatting>
  <conditionalFormatting sqref="BO4224">
    <cfRule type="expression" dxfId="256" priority="301" stopIfTrue="1">
      <formula>$BF$4016=3</formula>
    </cfRule>
  </conditionalFormatting>
  <conditionalFormatting sqref="BO4250:BQ4250 CO4250:CQ4250">
    <cfRule type="expression" dxfId="255" priority="302" stopIfTrue="1">
      <formula>$BF$4016=3</formula>
    </cfRule>
  </conditionalFormatting>
  <conditionalFormatting sqref="BS4254">
    <cfRule type="expression" dxfId="254" priority="303" stopIfTrue="1">
      <formula>$BF$4016=3</formula>
    </cfRule>
  </conditionalFormatting>
  <conditionalFormatting sqref="BQ4254">
    <cfRule type="expression" dxfId="253" priority="304" stopIfTrue="1">
      <formula>$BF$4016=3</formula>
    </cfRule>
  </conditionalFormatting>
  <conditionalFormatting sqref="BC4177:BG4185">
    <cfRule type="expression" dxfId="252" priority="309" stopIfTrue="1">
      <formula>$BF$4016=2</formula>
    </cfRule>
  </conditionalFormatting>
  <conditionalFormatting sqref="EC46:EN46 B3642:M3642">
    <cfRule type="expression" dxfId="251" priority="320" stopIfTrue="1">
      <formula>$EI$25=27</formula>
    </cfRule>
  </conditionalFormatting>
  <conditionalFormatting sqref="A3363:J3372">
    <cfRule type="expression" dxfId="250" priority="325" stopIfTrue="1">
      <formula>$F$3333&lt;=2</formula>
    </cfRule>
  </conditionalFormatting>
  <conditionalFormatting sqref="AR3580 AW3580 AW3644">
    <cfRule type="cellIs" dxfId="249" priority="329" stopIfTrue="1" operator="equal">
      <formula>0</formula>
    </cfRule>
  </conditionalFormatting>
  <conditionalFormatting sqref="AO3570 AM3634 AO3634 AV3580 AQ3580">
    <cfRule type="expression" dxfId="248" priority="330" stopIfTrue="1">
      <formula>$AW$3580=0</formula>
    </cfRule>
  </conditionalFormatting>
  <conditionalFormatting sqref="AH3636:AX3637">
    <cfRule type="expression" dxfId="247" priority="331" stopIfTrue="1">
      <formula>$AW$3644=0</formula>
    </cfRule>
  </conditionalFormatting>
  <conditionalFormatting sqref="AV3644 AQ3644">
    <cfRule type="expression" dxfId="246" priority="333" stopIfTrue="1">
      <formula>$AW$3644=0</formula>
    </cfRule>
  </conditionalFormatting>
  <conditionalFormatting sqref="AT3644">
    <cfRule type="expression" dxfId="245" priority="334" stopIfTrue="1">
      <formula>AW=3638=0</formula>
    </cfRule>
  </conditionalFormatting>
  <conditionalFormatting sqref="R3593:T3593 AG3593:AL3593">
    <cfRule type="cellIs" dxfId="244" priority="340" stopIfTrue="1" operator="greaterThan">
      <formula>0</formula>
    </cfRule>
  </conditionalFormatting>
  <conditionalFormatting sqref="AS3644 AX3644">
    <cfRule type="expression" dxfId="243" priority="341" stopIfTrue="1">
      <formula>Av=3638=0</formula>
    </cfRule>
  </conditionalFormatting>
  <conditionalFormatting sqref="AH3572:AX3573">
    <cfRule type="expression" dxfId="242" priority="342" stopIfTrue="1">
      <formula>$AW$3580=0</formula>
    </cfRule>
  </conditionalFormatting>
  <conditionalFormatting sqref="E33">
    <cfRule type="expression" dxfId="241" priority="346" stopIfTrue="1">
      <formula>$C$33=3</formula>
    </cfRule>
  </conditionalFormatting>
  <conditionalFormatting sqref="L3337:M3346 A3350:J3359">
    <cfRule type="expression" dxfId="240" priority="347" stopIfTrue="1">
      <formula>$F$3333=1</formula>
    </cfRule>
  </conditionalFormatting>
  <conditionalFormatting sqref="D3337:E3337">
    <cfRule type="expression" dxfId="239" priority="348" stopIfTrue="1">
      <formula>$F$3333=1</formula>
    </cfRule>
  </conditionalFormatting>
  <conditionalFormatting sqref="H33">
    <cfRule type="expression" dxfId="238" priority="349" stopIfTrue="1">
      <formula>$C$33=4</formula>
    </cfRule>
  </conditionalFormatting>
  <conditionalFormatting sqref="K30:L32">
    <cfRule type="expression" dxfId="237" priority="350" stopIfTrue="1">
      <formula>$C$33=1</formula>
    </cfRule>
  </conditionalFormatting>
  <conditionalFormatting sqref="K33:L33">
    <cfRule type="expression" dxfId="236" priority="351" stopIfTrue="1">
      <formula>$C$33=1</formula>
    </cfRule>
  </conditionalFormatting>
  <conditionalFormatting sqref="CH4225 CR4228:CS4228">
    <cfRule type="expression" dxfId="235" priority="372" stopIfTrue="1">
      <formula>$CF$4016=3</formula>
    </cfRule>
  </conditionalFormatting>
  <conditionalFormatting sqref="CO4224">
    <cfRule type="expression" dxfId="234" priority="373" stopIfTrue="1">
      <formula>$CF$4016=3</formula>
    </cfRule>
  </conditionalFormatting>
  <conditionalFormatting sqref="CM4225:CR4227 CS4225:CT4225 CT4226:CT4228">
    <cfRule type="expression" dxfId="233" priority="374" stopIfTrue="1">
      <formula>$CF$4016=3</formula>
    </cfRule>
  </conditionalFormatting>
  <conditionalFormatting sqref="CS4226:CS4227">
    <cfRule type="expression" dxfId="232" priority="375" stopIfTrue="1">
      <formula>$CF$4016=3</formula>
    </cfRule>
  </conditionalFormatting>
  <conditionalFormatting sqref="CC4294:CG4302">
    <cfRule type="expression" dxfId="231" priority="378" stopIfTrue="1">
      <formula>$CF$4016=3</formula>
    </cfRule>
  </conditionalFormatting>
  <conditionalFormatting sqref="CH4252">
    <cfRule type="expression" dxfId="230" priority="387" stopIfTrue="1">
      <formula>$CF$4016=3</formula>
    </cfRule>
  </conditionalFormatting>
  <conditionalFormatting sqref="BE4292:BH4293 BD4303:BH4303">
    <cfRule type="expression" dxfId="229" priority="388" stopIfTrue="1">
      <formula>$BF$4016=3</formula>
    </cfRule>
  </conditionalFormatting>
  <conditionalFormatting sqref="CE4292:CH4293 CD4303:CH4303">
    <cfRule type="expression" dxfId="228" priority="389" stopIfTrue="1">
      <formula>$CF$4016=3</formula>
    </cfRule>
  </conditionalFormatting>
  <conditionalFormatting sqref="CC4177:CG4185">
    <cfRule type="expression" dxfId="227" priority="390" stopIfTrue="1">
      <formula>$CF$4016=2</formula>
    </cfRule>
  </conditionalFormatting>
  <conditionalFormatting sqref="CH4294">
    <cfRule type="expression" dxfId="226" priority="391" stopIfTrue="1">
      <formula>$CF$4016=3</formula>
    </cfRule>
  </conditionalFormatting>
  <conditionalFormatting sqref="CE4175:CG4176">
    <cfRule type="expression" dxfId="225" priority="392" stopIfTrue="1">
      <formula>$CF$4016=2</formula>
    </cfRule>
  </conditionalFormatting>
  <conditionalFormatting sqref="BE4175:BG4176">
    <cfRule type="expression" dxfId="224" priority="393" stopIfTrue="1">
      <formula>$BF$4016=2</formula>
    </cfRule>
  </conditionalFormatting>
  <conditionalFormatting sqref="I33:J33">
    <cfRule type="expression" dxfId="223" priority="396" stopIfTrue="1">
      <formula>$C$33=1</formula>
    </cfRule>
  </conditionalFormatting>
  <conditionalFormatting sqref="C34:E34">
    <cfRule type="expression" dxfId="222" priority="406" stopIfTrue="1">
      <formula>C33&lt;&gt;1</formula>
    </cfRule>
  </conditionalFormatting>
  <conditionalFormatting sqref="A3376:J3385">
    <cfRule type="expression" dxfId="221" priority="265" stopIfTrue="1">
      <formula>$F$3333&lt;=3</formula>
    </cfRule>
  </conditionalFormatting>
  <conditionalFormatting sqref="A3389:J3398">
    <cfRule type="expression" dxfId="220" priority="264" stopIfTrue="1">
      <formula>$F$3333&lt;=4</formula>
    </cfRule>
  </conditionalFormatting>
  <conditionalFormatting sqref="B41">
    <cfRule type="expression" dxfId="219" priority="262">
      <formula>E37=0</formula>
    </cfRule>
  </conditionalFormatting>
  <conditionalFormatting sqref="C41">
    <cfRule type="expression" dxfId="218" priority="261">
      <formula>E37=0</formula>
    </cfRule>
  </conditionalFormatting>
  <conditionalFormatting sqref="D41">
    <cfRule type="expression" dxfId="217" priority="260">
      <formula>E37=0</formula>
    </cfRule>
  </conditionalFormatting>
  <conditionalFormatting sqref="B141">
    <cfRule type="expression" dxfId="216" priority="259">
      <formula>E137=0</formula>
    </cfRule>
  </conditionalFormatting>
  <conditionalFormatting sqref="C141">
    <cfRule type="expression" dxfId="215" priority="258">
      <formula>E137=0</formula>
    </cfRule>
  </conditionalFormatting>
  <conditionalFormatting sqref="D141">
    <cfRule type="expression" dxfId="214" priority="257">
      <formula>E137=0</formula>
    </cfRule>
  </conditionalFormatting>
  <conditionalFormatting sqref="B241">
    <cfRule type="expression" dxfId="213" priority="256">
      <formula>E237=0</formula>
    </cfRule>
  </conditionalFormatting>
  <conditionalFormatting sqref="C241">
    <cfRule type="expression" dxfId="212" priority="255">
      <formula>E237=0</formula>
    </cfRule>
  </conditionalFormatting>
  <conditionalFormatting sqref="D241">
    <cfRule type="expression" dxfId="211" priority="254">
      <formula>E237=0</formula>
    </cfRule>
  </conditionalFormatting>
  <conditionalFormatting sqref="B441">
    <cfRule type="expression" dxfId="210" priority="250">
      <formula>E437=0</formula>
    </cfRule>
  </conditionalFormatting>
  <conditionalFormatting sqref="C441">
    <cfRule type="expression" dxfId="209" priority="249">
      <formula>E437=0</formula>
    </cfRule>
  </conditionalFormatting>
  <conditionalFormatting sqref="D441">
    <cfRule type="expression" dxfId="208" priority="248">
      <formula>E437=0</formula>
    </cfRule>
  </conditionalFormatting>
  <conditionalFormatting sqref="B541">
    <cfRule type="expression" dxfId="207" priority="247">
      <formula>E537=0</formula>
    </cfRule>
  </conditionalFormatting>
  <conditionalFormatting sqref="C541">
    <cfRule type="expression" dxfId="206" priority="246">
      <formula>E537=0</formula>
    </cfRule>
  </conditionalFormatting>
  <conditionalFormatting sqref="D541">
    <cfRule type="expression" dxfId="205" priority="245">
      <formula>E537=0</formula>
    </cfRule>
  </conditionalFormatting>
  <conditionalFormatting sqref="B641">
    <cfRule type="expression" dxfId="204" priority="244">
      <formula>E637=0</formula>
    </cfRule>
  </conditionalFormatting>
  <conditionalFormatting sqref="C641">
    <cfRule type="expression" dxfId="203" priority="243">
      <formula>E637=0</formula>
    </cfRule>
  </conditionalFormatting>
  <conditionalFormatting sqref="D641">
    <cfRule type="expression" dxfId="202" priority="242">
      <formula>E637=0</formula>
    </cfRule>
  </conditionalFormatting>
  <conditionalFormatting sqref="B741">
    <cfRule type="expression" dxfId="201" priority="241">
      <formula>E737=0</formula>
    </cfRule>
  </conditionalFormatting>
  <conditionalFormatting sqref="C741">
    <cfRule type="expression" dxfId="200" priority="240">
      <formula>E737=0</formula>
    </cfRule>
  </conditionalFormatting>
  <conditionalFormatting sqref="D741">
    <cfRule type="expression" dxfId="199" priority="239">
      <formula>E737=0</formula>
    </cfRule>
  </conditionalFormatting>
  <conditionalFormatting sqref="B841">
    <cfRule type="expression" dxfId="198" priority="238">
      <formula>E837=0</formula>
    </cfRule>
  </conditionalFormatting>
  <conditionalFormatting sqref="C841">
    <cfRule type="expression" dxfId="197" priority="237">
      <formula>E837=0</formula>
    </cfRule>
  </conditionalFormatting>
  <conditionalFormatting sqref="D841">
    <cfRule type="expression" dxfId="196" priority="236">
      <formula>E837=0</formula>
    </cfRule>
  </conditionalFormatting>
  <conditionalFormatting sqref="B941">
    <cfRule type="expression" dxfId="195" priority="235">
      <formula>E937=0</formula>
    </cfRule>
  </conditionalFormatting>
  <conditionalFormatting sqref="C941">
    <cfRule type="expression" dxfId="194" priority="234">
      <formula>E937=0</formula>
    </cfRule>
  </conditionalFormatting>
  <conditionalFormatting sqref="D941">
    <cfRule type="expression" dxfId="193" priority="233">
      <formula>E937=0</formula>
    </cfRule>
  </conditionalFormatting>
  <conditionalFormatting sqref="B1041">
    <cfRule type="expression" dxfId="192" priority="232">
      <formula>E1037=0</formula>
    </cfRule>
  </conditionalFormatting>
  <conditionalFormatting sqref="C1041">
    <cfRule type="expression" dxfId="191" priority="231">
      <formula>E1037=0</formula>
    </cfRule>
  </conditionalFormatting>
  <conditionalFormatting sqref="D1041">
    <cfRule type="expression" dxfId="190" priority="230">
      <formula>E1037=0</formula>
    </cfRule>
  </conditionalFormatting>
  <conditionalFormatting sqref="B1141">
    <cfRule type="expression" dxfId="189" priority="229">
      <formula>E1137=0</formula>
    </cfRule>
  </conditionalFormatting>
  <conditionalFormatting sqref="C1141">
    <cfRule type="expression" dxfId="188" priority="228">
      <formula>E1137=0</formula>
    </cfRule>
  </conditionalFormatting>
  <conditionalFormatting sqref="D1141">
    <cfRule type="expression" dxfId="187" priority="227">
      <formula>E1137=0</formula>
    </cfRule>
  </conditionalFormatting>
  <conditionalFormatting sqref="B1241">
    <cfRule type="expression" dxfId="186" priority="226">
      <formula>E1237=0</formula>
    </cfRule>
  </conditionalFormatting>
  <conditionalFormatting sqref="C1241">
    <cfRule type="expression" dxfId="185" priority="225">
      <formula>E1237=0</formula>
    </cfRule>
  </conditionalFormatting>
  <conditionalFormatting sqref="D1241">
    <cfRule type="expression" dxfId="184" priority="224">
      <formula>E1237=0</formula>
    </cfRule>
  </conditionalFormatting>
  <conditionalFormatting sqref="B1341">
    <cfRule type="expression" dxfId="183" priority="223">
      <formula>E1337=0</formula>
    </cfRule>
  </conditionalFormatting>
  <conditionalFormatting sqref="C1341">
    <cfRule type="expression" dxfId="182" priority="222">
      <formula>E1337=0</formula>
    </cfRule>
  </conditionalFormatting>
  <conditionalFormatting sqref="D1341">
    <cfRule type="expression" dxfId="181" priority="221">
      <formula>E1337=0</formula>
    </cfRule>
  </conditionalFormatting>
  <conditionalFormatting sqref="B1441">
    <cfRule type="expression" dxfId="180" priority="220">
      <formula>E1437=0</formula>
    </cfRule>
  </conditionalFormatting>
  <conditionalFormatting sqref="C1441">
    <cfRule type="expression" dxfId="179" priority="219">
      <formula>E1437=0</formula>
    </cfRule>
  </conditionalFormatting>
  <conditionalFormatting sqref="D1441">
    <cfRule type="expression" dxfId="178" priority="218">
      <formula>E1437=0</formula>
    </cfRule>
  </conditionalFormatting>
  <conditionalFormatting sqref="B1541">
    <cfRule type="expression" dxfId="177" priority="217">
      <formula>E1537=0</formula>
    </cfRule>
  </conditionalFormatting>
  <conditionalFormatting sqref="C1541">
    <cfRule type="expression" dxfId="176" priority="216">
      <formula>E1537=0</formula>
    </cfRule>
  </conditionalFormatting>
  <conditionalFormatting sqref="D1541">
    <cfRule type="expression" dxfId="175" priority="215">
      <formula>E1537=0</formula>
    </cfRule>
  </conditionalFormatting>
  <conditionalFormatting sqref="B1641">
    <cfRule type="expression" dxfId="174" priority="214">
      <formula>E1637=0</formula>
    </cfRule>
  </conditionalFormatting>
  <conditionalFormatting sqref="C1641">
    <cfRule type="expression" dxfId="173" priority="213">
      <formula>E1637=0</formula>
    </cfRule>
  </conditionalFormatting>
  <conditionalFormatting sqref="D1641">
    <cfRule type="expression" dxfId="172" priority="212">
      <formula>E1637=0</formula>
    </cfRule>
  </conditionalFormatting>
  <conditionalFormatting sqref="B1741">
    <cfRule type="expression" dxfId="171" priority="211">
      <formula>E1737=0</formula>
    </cfRule>
  </conditionalFormatting>
  <conditionalFormatting sqref="C1741">
    <cfRule type="expression" dxfId="170" priority="210">
      <formula>E1737=0</formula>
    </cfRule>
  </conditionalFormatting>
  <conditionalFormatting sqref="D1741">
    <cfRule type="expression" dxfId="169" priority="209">
      <formula>E1737=0</formula>
    </cfRule>
  </conditionalFormatting>
  <conditionalFormatting sqref="B1841">
    <cfRule type="expression" dxfId="168" priority="208">
      <formula>E1837=0</formula>
    </cfRule>
  </conditionalFormatting>
  <conditionalFormatting sqref="C1841">
    <cfRule type="expression" dxfId="167" priority="207">
      <formula>E1837=0</formula>
    </cfRule>
  </conditionalFormatting>
  <conditionalFormatting sqref="D1841">
    <cfRule type="expression" dxfId="166" priority="206">
      <formula>E1837=0</formula>
    </cfRule>
  </conditionalFormatting>
  <conditionalFormatting sqref="B1941">
    <cfRule type="expression" dxfId="165" priority="205">
      <formula>E1937=0</formula>
    </cfRule>
  </conditionalFormatting>
  <conditionalFormatting sqref="C1941">
    <cfRule type="expression" dxfId="164" priority="204">
      <formula>E1937=0</formula>
    </cfRule>
  </conditionalFormatting>
  <conditionalFormatting sqref="D1941">
    <cfRule type="expression" dxfId="163" priority="203">
      <formula>E1937=0</formula>
    </cfRule>
  </conditionalFormatting>
  <conditionalFormatting sqref="C13">
    <cfRule type="cellIs" dxfId="162" priority="154" operator="equal">
      <formula>""</formula>
    </cfRule>
  </conditionalFormatting>
  <conditionalFormatting sqref="C15">
    <cfRule type="cellIs" dxfId="161" priority="153" operator="equal">
      <formula>""</formula>
    </cfRule>
  </conditionalFormatting>
  <conditionalFormatting sqref="B341">
    <cfRule type="expression" dxfId="160" priority="151">
      <formula>E337=0</formula>
    </cfRule>
  </conditionalFormatting>
  <conditionalFormatting sqref="C341">
    <cfRule type="expression" dxfId="159" priority="150">
      <formula>E337=0</formula>
    </cfRule>
  </conditionalFormatting>
  <conditionalFormatting sqref="D341">
    <cfRule type="expression" dxfId="158" priority="149">
      <formula>E337=0</formula>
    </cfRule>
  </conditionalFormatting>
  <conditionalFormatting sqref="C17">
    <cfRule type="cellIs" dxfId="157" priority="148" operator="equal">
      <formula>""</formula>
    </cfRule>
  </conditionalFormatting>
  <conditionalFormatting sqref="C19">
    <cfRule type="cellIs" dxfId="156" priority="147" operator="equal">
      <formula>""</formula>
    </cfRule>
  </conditionalFormatting>
  <conditionalFormatting sqref="F11">
    <cfRule type="cellIs" dxfId="155" priority="146" operator="equal">
      <formula>""</formula>
    </cfRule>
  </conditionalFormatting>
  <conditionalFormatting sqref="F13">
    <cfRule type="cellIs" dxfId="154" priority="145" operator="equal">
      <formula>""</formula>
    </cfRule>
  </conditionalFormatting>
  <conditionalFormatting sqref="F15">
    <cfRule type="cellIs" dxfId="153" priority="144" operator="equal">
      <formula>""</formula>
    </cfRule>
  </conditionalFormatting>
  <conditionalFormatting sqref="F17">
    <cfRule type="cellIs" dxfId="152" priority="143" operator="equal">
      <formula>""</formula>
    </cfRule>
  </conditionalFormatting>
  <conditionalFormatting sqref="F19">
    <cfRule type="cellIs" dxfId="151" priority="142" operator="equal">
      <formula>""</formula>
    </cfRule>
  </conditionalFormatting>
  <conditionalFormatting sqref="A3912">
    <cfRule type="expression" dxfId="150" priority="127">
      <formula>D3904&gt;=3</formula>
    </cfRule>
  </conditionalFormatting>
  <conditionalFormatting sqref="N3912">
    <cfRule type="expression" dxfId="149" priority="114">
      <formula>D3904&gt;=3</formula>
    </cfRule>
  </conditionalFormatting>
  <conditionalFormatting sqref="A3920">
    <cfRule type="expression" dxfId="148" priority="109">
      <formula>D3904&gt;=4</formula>
    </cfRule>
  </conditionalFormatting>
  <conditionalFormatting sqref="N3920">
    <cfRule type="expression" dxfId="147" priority="96">
      <formula>D3904&gt;=4</formula>
    </cfRule>
  </conditionalFormatting>
  <conditionalFormatting sqref="A3928">
    <cfRule type="expression" dxfId="146" priority="90">
      <formula>D3904&gt;=5</formula>
    </cfRule>
  </conditionalFormatting>
  <conditionalFormatting sqref="N3928">
    <cfRule type="expression" dxfId="145" priority="77">
      <formula>D3904&gt;=5</formula>
    </cfRule>
  </conditionalFormatting>
  <conditionalFormatting sqref="M33">
    <cfRule type="expression" dxfId="144" priority="71" stopIfTrue="1">
      <formula>F3333&gt;1</formula>
    </cfRule>
  </conditionalFormatting>
  <conditionalFormatting sqref="M34">
    <cfRule type="expression" dxfId="143" priority="72" stopIfTrue="1">
      <formula>C33=1</formula>
    </cfRule>
  </conditionalFormatting>
  <conditionalFormatting sqref="M33">
    <cfRule type="expression" dxfId="142" priority="69" stopIfTrue="1">
      <formula>C33=2</formula>
    </cfRule>
    <cfRule type="expression" dxfId="141" priority="70" stopIfTrue="1">
      <formula>F3333&gt;1</formula>
    </cfRule>
  </conditionalFormatting>
  <conditionalFormatting sqref="M34">
    <cfRule type="expression" dxfId="140" priority="67" stopIfTrue="1">
      <formula>C33=2</formula>
    </cfRule>
    <cfRule type="expression" dxfId="139" priority="68" stopIfTrue="1">
      <formula>F3333&gt;1</formula>
    </cfRule>
  </conditionalFormatting>
  <conditionalFormatting sqref="M35">
    <cfRule type="expression" dxfId="138" priority="66" stopIfTrue="1">
      <formula>C33=1</formula>
    </cfRule>
  </conditionalFormatting>
  <conditionalFormatting sqref="M35">
    <cfRule type="expression" dxfId="137" priority="64" stopIfTrue="1">
      <formula>C33=2</formula>
    </cfRule>
    <cfRule type="expression" dxfId="136" priority="65" stopIfTrue="1">
      <formula>F3333&gt;1</formula>
    </cfRule>
  </conditionalFormatting>
  <conditionalFormatting sqref="C3914:F3914 D3916 J3918 M3918">
    <cfRule type="expression" dxfId="135" priority="63">
      <formula>$D$3904&gt;=3</formula>
    </cfRule>
  </conditionalFormatting>
  <conditionalFormatting sqref="C3922:F3922 D3924 J3926 M3926">
    <cfRule type="expression" dxfId="134" priority="62">
      <formula>$D$3904&gt;=4</formula>
    </cfRule>
  </conditionalFormatting>
  <conditionalFormatting sqref="C3906:F3906">
    <cfRule type="expression" dxfId="133" priority="61">
      <formula>D3904&gt;=2</formula>
    </cfRule>
  </conditionalFormatting>
  <conditionalFormatting sqref="D3908">
    <cfRule type="expression" dxfId="132" priority="60">
      <formula>D3904&gt;=2</formula>
    </cfRule>
  </conditionalFormatting>
  <conditionalFormatting sqref="J3910">
    <cfRule type="expression" dxfId="131" priority="59">
      <formula>D3904&gt;=2</formula>
    </cfRule>
  </conditionalFormatting>
  <conditionalFormatting sqref="M3910">
    <cfRule type="expression" dxfId="130" priority="58">
      <formula>D3904&gt;=2</formula>
    </cfRule>
  </conditionalFormatting>
  <conditionalFormatting sqref="H3908">
    <cfRule type="expression" dxfId="129" priority="57">
      <formula>D3904&gt;=2</formula>
    </cfRule>
  </conditionalFormatting>
  <conditionalFormatting sqref="J3906">
    <cfRule type="expression" dxfId="128" priority="56">
      <formula>D3904&gt;=2</formula>
    </cfRule>
  </conditionalFormatting>
  <conditionalFormatting sqref="B3912">
    <cfRule type="expression" dxfId="127" priority="55">
      <formula>D3904&gt;=3</formula>
    </cfRule>
  </conditionalFormatting>
  <conditionalFormatting sqref="C3912">
    <cfRule type="expression" dxfId="126" priority="54">
      <formula>D3904&gt;=3</formula>
    </cfRule>
  </conditionalFormatting>
  <conditionalFormatting sqref="D3912">
    <cfRule type="expression" dxfId="125" priority="53">
      <formula>D3904&gt;=3</formula>
    </cfRule>
  </conditionalFormatting>
  <conditionalFormatting sqref="E3912">
    <cfRule type="expression" dxfId="124" priority="52">
      <formula>D3904&gt;=3</formula>
    </cfRule>
  </conditionalFormatting>
  <conditionalFormatting sqref="F3912">
    <cfRule type="expression" dxfId="123" priority="51">
      <formula>D3904&gt;=3</formula>
    </cfRule>
  </conditionalFormatting>
  <conditionalFormatting sqref="G3912">
    <cfRule type="expression" dxfId="122" priority="50">
      <formula>D3904&gt;=3</formula>
    </cfRule>
  </conditionalFormatting>
  <conditionalFormatting sqref="H3912">
    <cfRule type="expression" dxfId="121" priority="49">
      <formula>D3904&gt;=3</formula>
    </cfRule>
  </conditionalFormatting>
  <conditionalFormatting sqref="I3912">
    <cfRule type="expression" dxfId="120" priority="48">
      <formula>D3904&gt;=3</formula>
    </cfRule>
  </conditionalFormatting>
  <conditionalFormatting sqref="J3912">
    <cfRule type="expression" dxfId="119" priority="47">
      <formula>D3904&gt;=3</formula>
    </cfRule>
  </conditionalFormatting>
  <conditionalFormatting sqref="K3912">
    <cfRule type="expression" dxfId="118" priority="46">
      <formula>D3904&gt;=3</formula>
    </cfRule>
  </conditionalFormatting>
  <conditionalFormatting sqref="L3912">
    <cfRule type="expression" dxfId="117" priority="45">
      <formula>D3904&gt;=3</formula>
    </cfRule>
  </conditionalFormatting>
  <conditionalFormatting sqref="M3912">
    <cfRule type="expression" dxfId="116" priority="44">
      <formula>D3904&gt;=3</formula>
    </cfRule>
  </conditionalFormatting>
  <conditionalFormatting sqref="J3914">
    <cfRule type="expression" dxfId="115" priority="43">
      <formula>D3904&gt;=3</formula>
    </cfRule>
  </conditionalFormatting>
  <conditionalFormatting sqref="H3916">
    <cfRule type="expression" dxfId="114" priority="42">
      <formula>D3904&gt;=3</formula>
    </cfRule>
  </conditionalFormatting>
  <conditionalFormatting sqref="B3920">
    <cfRule type="expression" dxfId="113" priority="41">
      <formula>D3904&gt;=4</formula>
    </cfRule>
  </conditionalFormatting>
  <conditionalFormatting sqref="C3920">
    <cfRule type="expression" dxfId="112" priority="40">
      <formula>D3904&gt;=4</formula>
    </cfRule>
  </conditionalFormatting>
  <conditionalFormatting sqref="D3920">
    <cfRule type="expression" dxfId="111" priority="39">
      <formula>D3904&gt;=4</formula>
    </cfRule>
  </conditionalFormatting>
  <conditionalFormatting sqref="E3920">
    <cfRule type="expression" dxfId="110" priority="38">
      <formula>D3904&gt;=4</formula>
    </cfRule>
  </conditionalFormatting>
  <conditionalFormatting sqref="F3920">
    <cfRule type="expression" dxfId="109" priority="37">
      <formula>D3904&gt;=4</formula>
    </cfRule>
  </conditionalFormatting>
  <conditionalFormatting sqref="G3920">
    <cfRule type="expression" dxfId="108" priority="36">
      <formula>D3904&gt;=4</formula>
    </cfRule>
  </conditionalFormatting>
  <conditionalFormatting sqref="H3920">
    <cfRule type="expression" dxfId="107" priority="35">
      <formula>D3904&gt;=4</formula>
    </cfRule>
  </conditionalFormatting>
  <conditionalFormatting sqref="I3920">
    <cfRule type="expression" dxfId="106" priority="34">
      <formula>D3904&gt;=4</formula>
    </cfRule>
  </conditionalFormatting>
  <conditionalFormatting sqref="J3920">
    <cfRule type="expression" dxfId="105" priority="33">
      <formula>D3904&gt;=4</formula>
    </cfRule>
  </conditionalFormatting>
  <conditionalFormatting sqref="K3920">
    <cfRule type="expression" dxfId="104" priority="32">
      <formula>D3904&gt;=4</formula>
    </cfRule>
  </conditionalFormatting>
  <conditionalFormatting sqref="L3920">
    <cfRule type="expression" dxfId="103" priority="31">
      <formula>D3904&gt;=4</formula>
    </cfRule>
  </conditionalFormatting>
  <conditionalFormatting sqref="M3920">
    <cfRule type="expression" dxfId="102" priority="30">
      <formula>D3904&gt;=4</formula>
    </cfRule>
  </conditionalFormatting>
  <conditionalFormatting sqref="J3922">
    <cfRule type="expression" dxfId="101" priority="29">
      <formula>D3904&gt;=4</formula>
    </cfRule>
  </conditionalFormatting>
  <conditionalFormatting sqref="H3924">
    <cfRule type="expression" dxfId="100" priority="28">
      <formula>D3904&gt;=4</formula>
    </cfRule>
  </conditionalFormatting>
  <conditionalFormatting sqref="C3930:F3930 D3932 J3934 M3934">
    <cfRule type="expression" dxfId="99" priority="27">
      <formula>$D$3904&gt;=5</formula>
    </cfRule>
  </conditionalFormatting>
  <conditionalFormatting sqref="B3928">
    <cfRule type="expression" dxfId="98" priority="26">
      <formula>D3904&gt;=5</formula>
    </cfRule>
  </conditionalFormatting>
  <conditionalFormatting sqref="C3928">
    <cfRule type="expression" dxfId="97" priority="25">
      <formula>D3904&gt;=5</formula>
    </cfRule>
  </conditionalFormatting>
  <conditionalFormatting sqref="D3928">
    <cfRule type="expression" dxfId="96" priority="24">
      <formula>D3904&gt;=5</formula>
    </cfRule>
  </conditionalFormatting>
  <conditionalFormatting sqref="E3928">
    <cfRule type="expression" dxfId="95" priority="23">
      <formula>D3904&gt;=5</formula>
    </cfRule>
  </conditionalFormatting>
  <conditionalFormatting sqref="F3928">
    <cfRule type="expression" dxfId="94" priority="22">
      <formula>D3904&gt;=5</formula>
    </cfRule>
  </conditionalFormatting>
  <conditionalFormatting sqref="G3928">
    <cfRule type="expression" dxfId="93" priority="21">
      <formula>D3904&gt;=5</formula>
    </cfRule>
  </conditionalFormatting>
  <conditionalFormatting sqref="H3928">
    <cfRule type="expression" dxfId="92" priority="20">
      <formula>D3904&gt;=5</formula>
    </cfRule>
  </conditionalFormatting>
  <conditionalFormatting sqref="I3928">
    <cfRule type="expression" dxfId="91" priority="19">
      <formula>D3904&gt;=5</formula>
    </cfRule>
  </conditionalFormatting>
  <conditionalFormatting sqref="J3928">
    <cfRule type="expression" dxfId="90" priority="18">
      <formula>D3904&gt;=5</formula>
    </cfRule>
  </conditionalFormatting>
  <conditionalFormatting sqref="K3928">
    <cfRule type="expression" dxfId="89" priority="17">
      <formula>D3904&gt;=5</formula>
    </cfRule>
  </conditionalFormatting>
  <conditionalFormatting sqref="L3928">
    <cfRule type="expression" dxfId="88" priority="16">
      <formula>D3904&gt;=5</formula>
    </cfRule>
  </conditionalFormatting>
  <conditionalFormatting sqref="M3928">
    <cfRule type="expression" dxfId="87" priority="15">
      <formula>D3904&gt;=5</formula>
    </cfRule>
  </conditionalFormatting>
  <conditionalFormatting sqref="J3930">
    <cfRule type="expression" dxfId="86" priority="14">
      <formula>D3904&gt;=5</formula>
    </cfRule>
  </conditionalFormatting>
  <conditionalFormatting sqref="H3932">
    <cfRule type="expression" dxfId="85" priority="13">
      <formula>D3904&gt;=5</formula>
    </cfRule>
  </conditionalFormatting>
  <conditionalFormatting sqref="G3918">
    <cfRule type="expression" dxfId="84" priority="12">
      <formula>$D$3904&gt;=3</formula>
    </cfRule>
  </conditionalFormatting>
  <conditionalFormatting sqref="G3926">
    <cfRule type="expression" dxfId="83" priority="11">
      <formula>$D$3904&gt;=4</formula>
    </cfRule>
  </conditionalFormatting>
  <conditionalFormatting sqref="G3934">
    <cfRule type="expression" dxfId="82" priority="10">
      <formula>$D$3904&gt;=5</formula>
    </cfRule>
  </conditionalFormatting>
  <conditionalFormatting sqref="G3910">
    <cfRule type="expression" dxfId="81" priority="9">
      <formula>D3904&gt;=2</formula>
    </cfRule>
  </conditionalFormatting>
  <conditionalFormatting sqref="C3910:E3910">
    <cfRule type="expression" dxfId="80" priority="8">
      <formula>D3904&gt;=2</formula>
    </cfRule>
  </conditionalFormatting>
  <conditionalFormatting sqref="C3926:E3926">
    <cfRule type="expression" dxfId="79" priority="7">
      <formula>D3904&gt;=4</formula>
    </cfRule>
  </conditionalFormatting>
  <conditionalFormatting sqref="C3934">
    <cfRule type="expression" dxfId="78" priority="6">
      <formula>$D$3904&gt;=5</formula>
    </cfRule>
  </conditionalFormatting>
  <conditionalFormatting sqref="C3918">
    <cfRule type="expression" dxfId="77" priority="5">
      <formula>$D$3904&gt;=3</formula>
    </cfRule>
  </conditionalFormatting>
  <conditionalFormatting sqref="M3908">
    <cfRule type="expression" dxfId="76" priority="4">
      <formula>D3904&gt;=2</formula>
    </cfRule>
  </conditionalFormatting>
  <conditionalFormatting sqref="M3916">
    <cfRule type="expression" dxfId="75" priority="3">
      <formula>D3904&gt;=3</formula>
    </cfRule>
  </conditionalFormatting>
  <conditionalFormatting sqref="M3924">
    <cfRule type="expression" dxfId="74" priority="2">
      <formula>D3904&gt;=4</formula>
    </cfRule>
  </conditionalFormatting>
  <conditionalFormatting sqref="M3932">
    <cfRule type="expression" dxfId="73" priority="1">
      <formula>D3904&gt;=5</formula>
    </cfRule>
  </conditionalFormatting>
  <dataValidations count="4">
    <dataValidation type="decimal" operator="greaterThanOrEqual" allowBlank="1" showInputMessage="1" showErrorMessage="1" errorTitle="INCORRECT ENTRY" error="ENTER NUMBER ONLY" sqref="F3353:I3358 F3366:I3371 F3379:I3384 F3392:I3397 F3340:I3345" xr:uid="{00000000-0002-0000-0000-000000000000}">
      <formula1>0</formula1>
    </dataValidation>
    <dataValidation type="decimal" allowBlank="1" showInputMessage="1" showErrorMessage="1" errorTitle="ERROR" error="BEE SCORE MUST BE BETWEEN 0 AND 10" sqref="K34:K35" xr:uid="{00000000-0002-0000-0000-000001000000}">
      <formula1>0</formula1>
      <formula2>10</formula2>
    </dataValidation>
    <dataValidation type="whole" allowBlank="1" showInputMessage="1" showErrorMessage="1" errorTitle="ERROR" error="BEE LEVEL CONTRIBUTOR SCORE MUST BE WHOLE NUMBER BETWEEN 1 AND 9 WHERE 9 IS A NON COMPLIANT CONTRIBUTOR" sqref="K33" xr:uid="{00000000-0002-0000-0000-000002000000}">
      <formula1>1</formula1>
      <formula2>9</formula2>
    </dataValidation>
    <dataValidation operator="greaterThanOrEqual" allowBlank="1" showInputMessage="1" showErrorMessage="1" errorTitle="INCORRECT ENTRY" error="ENTER NUMBER ONLY" sqref="F3346:I3346 F3359:I3359 F3372:I3372 F3385:I3385 F3398:I3398" xr:uid="{15D10472-6097-4AD1-B36C-FA6FA23EDCF3}"/>
  </dataValidations>
  <hyperlinks>
    <hyperlink ref="C36" location="A1" display="TO TOP" xr:uid="{00000000-0004-0000-0000-000000000000}"/>
    <hyperlink ref="B103" location="A1" display="TO TOP" xr:uid="{00000000-0004-0000-0000-000001000000}"/>
    <hyperlink ref="C236" location="A1" display="TO TOP" xr:uid="{00000000-0004-0000-0000-000002000000}"/>
    <hyperlink ref="C436" location="A1" display="TO TOP" xr:uid="{00000000-0004-0000-0000-000003000000}"/>
    <hyperlink ref="C536" location="A1" display="TO TOP" xr:uid="{00000000-0004-0000-0000-000004000000}"/>
    <hyperlink ref="C636" location="A1" display="TO TOP" xr:uid="{00000000-0004-0000-0000-000005000000}"/>
    <hyperlink ref="C736" location="A1" display="TO TOP" xr:uid="{00000000-0004-0000-0000-000006000000}"/>
    <hyperlink ref="C836" location="A1" display="TO TOP" xr:uid="{00000000-0004-0000-0000-000007000000}"/>
    <hyperlink ref="C936" location="A1" display="TO TOP" xr:uid="{00000000-0004-0000-0000-000008000000}"/>
    <hyperlink ref="C1036" location="A1" display="TO TOP" xr:uid="{00000000-0004-0000-0000-000009000000}"/>
    <hyperlink ref="C1136" location="A1" display="TO TOP" xr:uid="{00000000-0004-0000-0000-00000A000000}"/>
    <hyperlink ref="C1236" location="A1" display="TO TOP" xr:uid="{00000000-0004-0000-0000-00000B000000}"/>
    <hyperlink ref="C1336" location="A1" display="TO TOP" xr:uid="{00000000-0004-0000-0000-00000C000000}"/>
    <hyperlink ref="C1436" location="A1" display="TO TOP" xr:uid="{00000000-0004-0000-0000-00000D000000}"/>
    <hyperlink ref="C1536" location="A1" display="TO TOP" xr:uid="{00000000-0004-0000-0000-00000E000000}"/>
    <hyperlink ref="C1636" location="A1" display="TO TOP" xr:uid="{00000000-0004-0000-0000-00000F000000}"/>
    <hyperlink ref="C1736" location="A1" display="TO TOP" xr:uid="{00000000-0004-0000-0000-000010000000}"/>
    <hyperlink ref="C1836" location="A1" display="TO TOP" xr:uid="{00000000-0004-0000-0000-000011000000}"/>
    <hyperlink ref="C1936" location="A1" display="TO TOP" xr:uid="{00000000-0004-0000-0000-000012000000}"/>
    <hyperlink ref="C11" location="'TEND 1X'!A65" display="'TEND 1X'!A65" xr:uid="{00000000-0004-0000-0000-000013000000}"/>
    <hyperlink ref="C3336" location="A1" display="TO TOP" xr:uid="{00000000-0004-0000-0000-000014000000}"/>
    <hyperlink ref="B3427" location="A1" display="TO TOP" xr:uid="{00000000-0004-0000-0000-000015000000}"/>
    <hyperlink ref="C3437" location="A1" display="TO TOP" xr:uid="{00000000-0004-0000-0000-000016000000}"/>
    <hyperlink ref="B3565" location="A1" display="TO TOP" xr:uid="{00000000-0004-0000-0000-000017000000}"/>
    <hyperlink ref="C3637" location="A1" display="TO TOP" xr:uid="{00000000-0004-0000-0000-000018000000}"/>
    <hyperlink ref="B3754" location="A1" display="TO TOP" xr:uid="{00000000-0004-0000-0000-000019000000}"/>
    <hyperlink ref="C136" location="'TEND 1X'!A1" display="TO TOP" xr:uid="{00000000-0004-0000-0000-00001A000000}"/>
    <hyperlink ref="C13" location="'TEND 1X'!A165" display="PL 2" xr:uid="{00000000-0004-0000-0000-00001B000000}"/>
    <hyperlink ref="B203" location="A1" display="TO TOP" xr:uid="{00000000-0004-0000-0000-00001C000000}"/>
    <hyperlink ref="C15" location="'TEND 1X'!A265" display="PL 3" xr:uid="{00000000-0004-0000-0000-00001D000000}"/>
    <hyperlink ref="B303" location="A1" display="TO TOP" xr:uid="{00000000-0004-0000-0000-00001E000000}"/>
    <hyperlink ref="C17" location="'TEND 1X'!A365" display="APL1" xr:uid="{00000000-0004-0000-0000-00001F000000}"/>
    <hyperlink ref="B503" location="A1" display="TO TOP" xr:uid="{00000000-0004-0000-0000-000020000000}"/>
    <hyperlink ref="C19" location="'TEND 1X'!A465" display="APL2" xr:uid="{00000000-0004-0000-0000-000021000000}"/>
    <hyperlink ref="C21" location="'TEND 1X'!A565" display="'TEND 1X'!A565" xr:uid="{00000000-0004-0000-0000-000022000000}"/>
    <hyperlink ref="B603" location="A1" display="TO TOP" xr:uid="{00000000-0004-0000-0000-000023000000}"/>
    <hyperlink ref="B703" location="A1" display="TO TOP" xr:uid="{00000000-0004-0000-0000-000024000000}"/>
    <hyperlink ref="C25" location="'TEND 1X'!A765" display="DL 2" xr:uid="{00000000-0004-0000-0000-000025000000}"/>
    <hyperlink ref="C27" location="'TEND 1X'!A865" display="DL 3" xr:uid="{00000000-0004-0000-0000-000026000000}"/>
    <hyperlink ref="C29" location="'TEND 1X'!A965" display="DS 1" xr:uid="{00000000-0004-0000-0000-000027000000}"/>
    <hyperlink ref="B803" location="A1" display="TO TOP" xr:uid="{00000000-0004-0000-0000-000028000000}"/>
    <hyperlink ref="B903" location="A1" display="TO TOP" xr:uid="{00000000-0004-0000-0000-000029000000}"/>
    <hyperlink ref="B1003" location="A1" display="TO TOP" xr:uid="{00000000-0004-0000-0000-00002A000000}"/>
    <hyperlink ref="B1103" location="A1" display="TO TOP" xr:uid="{00000000-0004-0000-0000-00002B000000}"/>
    <hyperlink ref="B1203" location="A1" display="TO TOP" xr:uid="{00000000-0004-0000-0000-00002C000000}"/>
    <hyperlink ref="B1303" location="A1" display="TO TOP" xr:uid="{00000000-0004-0000-0000-00002D000000}"/>
    <hyperlink ref="B1403" location="A1" display="TO TOP" xr:uid="{00000000-0004-0000-0000-00002E000000}"/>
    <hyperlink ref="B1503" location="A1" display="TO TOP" xr:uid="{00000000-0004-0000-0000-00002F000000}"/>
    <hyperlink ref="B1603" location="A1" display="TO TOP" xr:uid="{00000000-0004-0000-0000-000030000000}"/>
    <hyperlink ref="B1703" location="A1" display="TO TOP" xr:uid="{00000000-0004-0000-0000-000031000000}"/>
    <hyperlink ref="B1803" location="A1" display="TO TOP" xr:uid="{00000000-0004-0000-0000-000032000000}"/>
    <hyperlink ref="B1903" location="A1" display="TO TOP" xr:uid="{00000000-0004-0000-0000-000033000000}"/>
    <hyperlink ref="B2003" location="A1" display="TO TOP" xr:uid="{00000000-0004-0000-0000-000034000000}"/>
    <hyperlink ref="CR1" location="A1" display="TO TOP" xr:uid="{00000000-0004-0000-0000-000035000000}"/>
    <hyperlink ref="C23" location="'TEND 1X'!A665" display="DL 1" xr:uid="{00000000-0004-0000-0000-000037000000}"/>
    <hyperlink ref="BB4400" location="A1" display="TO TOP" xr:uid="{00000000-0004-0000-0000-000038000000}"/>
    <hyperlink ref="K11:L12" location="'TEND 1X'!A3365" display="GOTO FORM B3" xr:uid="{00000000-0004-0000-0000-000039000000}"/>
    <hyperlink ref="K15:L16" location="'TEND 1X'!A3471" display="GOTO FORM B4" xr:uid="{00000000-0004-0000-0000-00003A000000}"/>
    <hyperlink ref="K19:L20" location="'TEND 1X'!A3657" display="GOTO FORM B5" xr:uid="{00000000-0004-0000-0000-00003B000000}"/>
    <hyperlink ref="F11" location="'TEND 1X'!A1065" display="'TEND 1X'!A1065" xr:uid="{00000000-0004-0000-0000-00003C000000}"/>
    <hyperlink ref="F13" location="'TEND 1X'!A1165" display="'TEND 1X'!A1165" xr:uid="{00000000-0004-0000-0000-00003D000000}"/>
    <hyperlink ref="F15" location="'TEND 1X'!A1265" display="'TEND 1X'!A1265" xr:uid="{00000000-0004-0000-0000-00003E000000}"/>
    <hyperlink ref="F17" location="'TEND 1X'!A1365" display="'TEND 1X'!A1365" xr:uid="{00000000-0004-0000-0000-00003F000000}"/>
    <hyperlink ref="F19" location="'TEND 1X'!A1465" display="'TEND 1X'!A1465" xr:uid="{00000000-0004-0000-0000-000040000000}"/>
    <hyperlink ref="F21" location="'TEND 1X'!A1565" display="'TEND 1X'!A1565" xr:uid="{00000000-0004-0000-0000-000041000000}"/>
    <hyperlink ref="F23" location="'TEND 1X'!A1665" display="'TEND 1X'!A1665" xr:uid="{00000000-0004-0000-0000-000042000000}"/>
    <hyperlink ref="F25" location="'TEND 1X'!A1765" display="'TEND 1X'!A1765" xr:uid="{00000000-0004-0000-0000-000043000000}"/>
    <hyperlink ref="F27" location="'TEND 1X'!A1865" display="'TEND 1X'!A1865" xr:uid="{00000000-0004-0000-0000-000044000000}"/>
    <hyperlink ref="F29" location="'TEND 1X'!A1965" display="'TEND 1X'!A1965" xr:uid="{00000000-0004-0000-0000-000045000000}"/>
    <hyperlink ref="K23:L24" location="'B6 - Scoring - Past Performance'!A1" display="GOTO FORM B6 - Org. Key Persons" xr:uid="{00000000-0004-0000-0000-000046000000}"/>
    <hyperlink ref="C336" location="A1" display="TO TOP" xr:uid="{00000000-0004-0000-0000-000047000000}"/>
    <hyperlink ref="B403" location="A1" display="TO TOP" xr:uid="{00000000-0004-0000-0000-000048000000}"/>
    <hyperlink ref="C3900" location="A1" display="TO TOP" xr:uid="{00000000-0004-0000-0000-00004A000000}"/>
    <hyperlink ref="B3953" location="A1" display="TO TOP" xr:uid="{00000000-0004-0000-0000-00004B000000}"/>
    <hyperlink ref="K28:L29" location="'TEND 1X'!A3921" display="GOTO FORM B7" xr:uid="{00000000-0004-0000-0000-00004C000000}"/>
  </hyperlinks>
  <printOptions horizontalCentered="1"/>
  <pageMargins left="0" right="0" top="0.5" bottom="0" header="0" footer="0"/>
  <pageSetup paperSize="9" scale="58" fitToHeight="0" orientation="landscape" r:id="rId1"/>
  <headerFooter alignWithMargins="0"/>
  <rowBreaks count="34" manualBreakCount="34">
    <brk id="25" max="16383" man="1"/>
    <brk id="67" max="16383" man="1"/>
    <brk id="166" max="16383" man="1"/>
    <brk id="266" max="16383" man="1"/>
    <brk id="366" max="16383" man="1"/>
    <brk id="466" max="16383" man="1"/>
    <brk id="566" max="16383" man="1"/>
    <brk id="666" max="16383" man="1"/>
    <brk id="766" max="16383" man="1"/>
    <brk id="866" max="16383" man="1"/>
    <brk id="966" max="16383" man="1"/>
    <brk id="1066" max="16383" man="1"/>
    <brk id="1166" max="16383" man="1"/>
    <brk id="1266" max="13" man="1"/>
    <brk id="1366" max="16383" man="1"/>
    <brk id="1466" max="16383" man="1"/>
    <brk id="1566" max="16383" man="1"/>
    <brk id="1666" max="16383" man="1"/>
    <brk id="1766" max="16383" man="1"/>
    <brk id="1866" max="16383" man="1"/>
    <brk id="1966" max="16383" man="1"/>
    <brk id="2066" max="16383" man="1"/>
    <brk id="2166" max="16383" man="1"/>
    <brk id="2266" max="16383" man="1"/>
    <brk id="2366" max="16383" man="1"/>
    <brk id="2466" max="16383" man="1"/>
    <brk id="2566" max="16383" man="1"/>
    <brk id="2666" max="16383" man="1"/>
    <brk id="2766" max="16383" man="1"/>
    <brk id="2866" max="16383" man="1"/>
    <brk id="2966" max="16383" man="1"/>
    <brk id="3066" max="16383" man="1"/>
    <brk id="3166" max="16383" man="1"/>
    <brk id="326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984" r:id="rId4" name="Drop Down 960">
              <controlPr defaultSize="0" autoLine="0" autoPict="0">
                <anchor moveWithCells="1">
                  <from>
                    <xdr:col>1</xdr:col>
                    <xdr:colOff>1630680</xdr:colOff>
                    <xdr:row>32</xdr:row>
                    <xdr:rowOff>190500</xdr:rowOff>
                  </from>
                  <to>
                    <xdr:col>3</xdr:col>
                    <xdr:colOff>662940</xdr:colOff>
                    <xdr:row>32</xdr:row>
                    <xdr:rowOff>441960</xdr:rowOff>
                  </to>
                </anchor>
              </controlPr>
            </control>
          </mc:Choice>
        </mc:AlternateContent>
        <mc:AlternateContent xmlns:mc="http://schemas.openxmlformats.org/markup-compatibility/2006">
          <mc:Choice Requires="x14">
            <control shapeId="1992" r:id="rId5" name="Drop Down 968">
              <controlPr defaultSize="0" autoLine="0" autoPict="0">
                <anchor moveWithCells="1">
                  <from>
                    <xdr:col>5</xdr:col>
                    <xdr:colOff>0</xdr:colOff>
                    <xdr:row>3332</xdr:row>
                    <xdr:rowOff>15240</xdr:rowOff>
                  </from>
                  <to>
                    <xdr:col>6</xdr:col>
                    <xdr:colOff>449580</xdr:colOff>
                    <xdr:row>3333</xdr:row>
                    <xdr:rowOff>15240</xdr:rowOff>
                  </to>
                </anchor>
              </controlPr>
            </control>
          </mc:Choice>
        </mc:AlternateContent>
        <mc:AlternateContent xmlns:mc="http://schemas.openxmlformats.org/markup-compatibility/2006">
          <mc:Choice Requires="x14">
            <control shapeId="1994" r:id="rId6" name="Button 970">
              <controlPr locked="0" defaultSize="0" print="0" autoFill="0" autoPict="0" macro="[0]!PRINTB4">
                <anchor moveWithCells="1" sizeWithCells="1">
                  <from>
                    <xdr:col>10</xdr:col>
                    <xdr:colOff>30480</xdr:colOff>
                    <xdr:row>16</xdr:row>
                    <xdr:rowOff>15240</xdr:rowOff>
                  </from>
                  <to>
                    <xdr:col>12</xdr:col>
                    <xdr:colOff>0</xdr:colOff>
                    <xdr:row>17</xdr:row>
                    <xdr:rowOff>144780</xdr:rowOff>
                  </to>
                </anchor>
              </controlPr>
            </control>
          </mc:Choice>
        </mc:AlternateContent>
        <mc:AlternateContent xmlns:mc="http://schemas.openxmlformats.org/markup-compatibility/2006">
          <mc:Choice Requires="x14">
            <control shapeId="1997" r:id="rId7" name="Button 973">
              <controlPr locked="0" defaultSize="0" print="0" autoFill="0" autoPict="0" macro="[0]!PRINTB3">
                <anchor moveWithCells="1" sizeWithCells="1">
                  <from>
                    <xdr:col>10</xdr:col>
                    <xdr:colOff>38100</xdr:colOff>
                    <xdr:row>12</xdr:row>
                    <xdr:rowOff>15240</xdr:rowOff>
                  </from>
                  <to>
                    <xdr:col>11</xdr:col>
                    <xdr:colOff>1333500</xdr:colOff>
                    <xdr:row>13</xdr:row>
                    <xdr:rowOff>137160</xdr:rowOff>
                  </to>
                </anchor>
              </controlPr>
            </control>
          </mc:Choice>
        </mc:AlternateContent>
        <mc:AlternateContent xmlns:mc="http://schemas.openxmlformats.org/markup-compatibility/2006">
          <mc:Choice Requires="x14">
            <control shapeId="1998" r:id="rId8" name="Drop Down 974">
              <controlPr defaultSize="0" autoLine="0" autoPict="0">
                <anchor moveWithCells="1">
                  <from>
                    <xdr:col>2</xdr:col>
                    <xdr:colOff>15240</xdr:colOff>
                    <xdr:row>3446</xdr:row>
                    <xdr:rowOff>0</xdr:rowOff>
                  </from>
                  <to>
                    <xdr:col>5</xdr:col>
                    <xdr:colOff>0</xdr:colOff>
                    <xdr:row>3448</xdr:row>
                    <xdr:rowOff>15240</xdr:rowOff>
                  </to>
                </anchor>
              </controlPr>
            </control>
          </mc:Choice>
        </mc:AlternateContent>
        <mc:AlternateContent xmlns:mc="http://schemas.openxmlformats.org/markup-compatibility/2006">
          <mc:Choice Requires="x14">
            <control shapeId="2000" r:id="rId9" name="Drop Down 976">
              <controlPr defaultSize="0" autoLine="0" autoPict="0">
                <anchor moveWithCells="1">
                  <from>
                    <xdr:col>4</xdr:col>
                    <xdr:colOff>30480</xdr:colOff>
                    <xdr:row>146</xdr:row>
                    <xdr:rowOff>0</xdr:rowOff>
                  </from>
                  <to>
                    <xdr:col>5</xdr:col>
                    <xdr:colOff>815340</xdr:colOff>
                    <xdr:row>147</xdr:row>
                    <xdr:rowOff>15240</xdr:rowOff>
                  </to>
                </anchor>
              </controlPr>
            </control>
          </mc:Choice>
        </mc:AlternateContent>
        <mc:AlternateContent xmlns:mc="http://schemas.openxmlformats.org/markup-compatibility/2006">
          <mc:Choice Requires="x14">
            <control shapeId="2001" r:id="rId10" name="Drop Down 977">
              <controlPr defaultSize="0" autoLine="0" autoPict="0">
                <anchor moveWithCells="1">
                  <from>
                    <xdr:col>4</xdr:col>
                    <xdr:colOff>15240</xdr:colOff>
                    <xdr:row>147</xdr:row>
                    <xdr:rowOff>0</xdr:rowOff>
                  </from>
                  <to>
                    <xdr:col>5</xdr:col>
                    <xdr:colOff>815340</xdr:colOff>
                    <xdr:row>147</xdr:row>
                    <xdr:rowOff>320040</xdr:rowOff>
                  </to>
                </anchor>
              </controlPr>
            </control>
          </mc:Choice>
        </mc:AlternateContent>
        <mc:AlternateContent xmlns:mc="http://schemas.openxmlformats.org/markup-compatibility/2006">
          <mc:Choice Requires="x14">
            <control shapeId="2002" r:id="rId11" name="Drop Down 978">
              <controlPr defaultSize="0" autoLine="0" autoPict="0">
                <anchor moveWithCells="1">
                  <from>
                    <xdr:col>4</xdr:col>
                    <xdr:colOff>30480</xdr:colOff>
                    <xdr:row>148</xdr:row>
                    <xdr:rowOff>0</xdr:rowOff>
                  </from>
                  <to>
                    <xdr:col>6</xdr:col>
                    <xdr:colOff>0</xdr:colOff>
                    <xdr:row>148</xdr:row>
                    <xdr:rowOff>320040</xdr:rowOff>
                  </to>
                </anchor>
              </controlPr>
            </control>
          </mc:Choice>
        </mc:AlternateContent>
        <mc:AlternateContent xmlns:mc="http://schemas.openxmlformats.org/markup-compatibility/2006">
          <mc:Choice Requires="x14">
            <control shapeId="2005" r:id="rId12" name="Drop Down 981">
              <controlPr defaultSize="0" autoLine="0" autoPict="0">
                <anchor moveWithCells="1">
                  <from>
                    <xdr:col>10</xdr:col>
                    <xdr:colOff>15240</xdr:colOff>
                    <xdr:row>147</xdr:row>
                    <xdr:rowOff>0</xdr:rowOff>
                  </from>
                  <to>
                    <xdr:col>10</xdr:col>
                    <xdr:colOff>1821180</xdr:colOff>
                    <xdr:row>147</xdr:row>
                    <xdr:rowOff>320040</xdr:rowOff>
                  </to>
                </anchor>
              </controlPr>
            </control>
          </mc:Choice>
        </mc:AlternateContent>
        <mc:AlternateContent xmlns:mc="http://schemas.openxmlformats.org/markup-compatibility/2006">
          <mc:Choice Requires="x14">
            <control shapeId="2006" r:id="rId13" name="Drop Down 982">
              <controlPr defaultSize="0" autoLine="0" autoPict="0">
                <anchor moveWithCells="1">
                  <from>
                    <xdr:col>10</xdr:col>
                    <xdr:colOff>15240</xdr:colOff>
                    <xdr:row>148</xdr:row>
                    <xdr:rowOff>0</xdr:rowOff>
                  </from>
                  <to>
                    <xdr:col>10</xdr:col>
                    <xdr:colOff>1821180</xdr:colOff>
                    <xdr:row>148</xdr:row>
                    <xdr:rowOff>320040</xdr:rowOff>
                  </to>
                </anchor>
              </controlPr>
            </control>
          </mc:Choice>
        </mc:AlternateContent>
        <mc:AlternateContent xmlns:mc="http://schemas.openxmlformats.org/markup-compatibility/2006">
          <mc:Choice Requires="x14">
            <control shapeId="2009" r:id="rId14" name="Drop Down 985">
              <controlPr defaultSize="0" autoLine="0" autoPict="0">
                <anchor moveWithCells="1">
                  <from>
                    <xdr:col>10</xdr:col>
                    <xdr:colOff>15240</xdr:colOff>
                    <xdr:row>146</xdr:row>
                    <xdr:rowOff>0</xdr:rowOff>
                  </from>
                  <to>
                    <xdr:col>10</xdr:col>
                    <xdr:colOff>1821180</xdr:colOff>
                    <xdr:row>146</xdr:row>
                    <xdr:rowOff>320040</xdr:rowOff>
                  </to>
                </anchor>
              </controlPr>
            </control>
          </mc:Choice>
        </mc:AlternateContent>
        <mc:AlternateContent xmlns:mc="http://schemas.openxmlformats.org/markup-compatibility/2006">
          <mc:Choice Requires="x14">
            <control shapeId="2010" r:id="rId15" name="Drop Down 986">
              <controlPr defaultSize="0" autoLine="0" autoPict="0">
                <anchor moveWithCells="1">
                  <from>
                    <xdr:col>2</xdr:col>
                    <xdr:colOff>15240</xdr:colOff>
                    <xdr:row>146</xdr:row>
                    <xdr:rowOff>0</xdr:rowOff>
                  </from>
                  <to>
                    <xdr:col>3</xdr:col>
                    <xdr:colOff>853440</xdr:colOff>
                    <xdr:row>146</xdr:row>
                    <xdr:rowOff>297180</xdr:rowOff>
                  </to>
                </anchor>
              </controlPr>
            </control>
          </mc:Choice>
        </mc:AlternateContent>
        <mc:AlternateContent xmlns:mc="http://schemas.openxmlformats.org/markup-compatibility/2006">
          <mc:Choice Requires="x14">
            <control shapeId="2011" r:id="rId16" name="Drop Down 987">
              <controlPr defaultSize="0" autoLine="0" autoPict="0">
                <anchor moveWithCells="1">
                  <from>
                    <xdr:col>2</xdr:col>
                    <xdr:colOff>15240</xdr:colOff>
                    <xdr:row>147</xdr:row>
                    <xdr:rowOff>0</xdr:rowOff>
                  </from>
                  <to>
                    <xdr:col>4</xdr:col>
                    <xdr:colOff>15240</xdr:colOff>
                    <xdr:row>147</xdr:row>
                    <xdr:rowOff>320040</xdr:rowOff>
                  </to>
                </anchor>
              </controlPr>
            </control>
          </mc:Choice>
        </mc:AlternateContent>
        <mc:AlternateContent xmlns:mc="http://schemas.openxmlformats.org/markup-compatibility/2006">
          <mc:Choice Requires="x14">
            <control shapeId="2012" r:id="rId17" name="Drop Down 988">
              <controlPr defaultSize="0" autoLine="0" autoPict="0">
                <anchor moveWithCells="1">
                  <from>
                    <xdr:col>2</xdr:col>
                    <xdr:colOff>15240</xdr:colOff>
                    <xdr:row>148</xdr:row>
                    <xdr:rowOff>0</xdr:rowOff>
                  </from>
                  <to>
                    <xdr:col>3</xdr:col>
                    <xdr:colOff>853440</xdr:colOff>
                    <xdr:row>148</xdr:row>
                    <xdr:rowOff>320040</xdr:rowOff>
                  </to>
                </anchor>
              </controlPr>
            </control>
          </mc:Choice>
        </mc:AlternateContent>
        <mc:AlternateContent xmlns:mc="http://schemas.openxmlformats.org/markup-compatibility/2006">
          <mc:Choice Requires="x14">
            <control shapeId="2036" r:id="rId18" name="Drop Down 1012">
              <controlPr defaultSize="0" autoLine="0" autoPict="0">
                <anchor moveWithCells="1">
                  <from>
                    <xdr:col>4</xdr:col>
                    <xdr:colOff>0</xdr:colOff>
                    <xdr:row>246</xdr:row>
                    <xdr:rowOff>0</xdr:rowOff>
                  </from>
                  <to>
                    <xdr:col>5</xdr:col>
                    <xdr:colOff>815340</xdr:colOff>
                    <xdr:row>247</xdr:row>
                    <xdr:rowOff>15240</xdr:rowOff>
                  </to>
                </anchor>
              </controlPr>
            </control>
          </mc:Choice>
        </mc:AlternateContent>
        <mc:AlternateContent xmlns:mc="http://schemas.openxmlformats.org/markup-compatibility/2006">
          <mc:Choice Requires="x14">
            <control shapeId="2037" r:id="rId19" name="Drop Down 1013">
              <controlPr defaultSize="0" autoLine="0" autoPict="0">
                <anchor moveWithCells="1">
                  <from>
                    <xdr:col>4</xdr:col>
                    <xdr:colOff>30480</xdr:colOff>
                    <xdr:row>247</xdr:row>
                    <xdr:rowOff>0</xdr:rowOff>
                  </from>
                  <to>
                    <xdr:col>5</xdr:col>
                    <xdr:colOff>815340</xdr:colOff>
                    <xdr:row>247</xdr:row>
                    <xdr:rowOff>320040</xdr:rowOff>
                  </to>
                </anchor>
              </controlPr>
            </control>
          </mc:Choice>
        </mc:AlternateContent>
        <mc:AlternateContent xmlns:mc="http://schemas.openxmlformats.org/markup-compatibility/2006">
          <mc:Choice Requires="x14">
            <control shapeId="2038" r:id="rId20" name="Drop Down 1014">
              <controlPr defaultSize="0" autoLine="0" autoPict="0">
                <anchor moveWithCells="1">
                  <from>
                    <xdr:col>4</xdr:col>
                    <xdr:colOff>15240</xdr:colOff>
                    <xdr:row>248</xdr:row>
                    <xdr:rowOff>0</xdr:rowOff>
                  </from>
                  <to>
                    <xdr:col>5</xdr:col>
                    <xdr:colOff>815340</xdr:colOff>
                    <xdr:row>249</xdr:row>
                    <xdr:rowOff>0</xdr:rowOff>
                  </to>
                </anchor>
              </controlPr>
            </control>
          </mc:Choice>
        </mc:AlternateContent>
        <mc:AlternateContent xmlns:mc="http://schemas.openxmlformats.org/markup-compatibility/2006">
          <mc:Choice Requires="x14">
            <control shapeId="2041" r:id="rId21" name="Drop Down 1017">
              <controlPr defaultSize="0" autoLine="0" autoPict="0">
                <anchor moveWithCells="1">
                  <from>
                    <xdr:col>10</xdr:col>
                    <xdr:colOff>15240</xdr:colOff>
                    <xdr:row>247</xdr:row>
                    <xdr:rowOff>0</xdr:rowOff>
                  </from>
                  <to>
                    <xdr:col>10</xdr:col>
                    <xdr:colOff>1821180</xdr:colOff>
                    <xdr:row>247</xdr:row>
                    <xdr:rowOff>320040</xdr:rowOff>
                  </to>
                </anchor>
              </controlPr>
            </control>
          </mc:Choice>
        </mc:AlternateContent>
        <mc:AlternateContent xmlns:mc="http://schemas.openxmlformats.org/markup-compatibility/2006">
          <mc:Choice Requires="x14">
            <control shapeId="2042" r:id="rId22" name="Drop Down 1018">
              <controlPr defaultSize="0" autoLine="0" autoPict="0">
                <anchor moveWithCells="1">
                  <from>
                    <xdr:col>10</xdr:col>
                    <xdr:colOff>15240</xdr:colOff>
                    <xdr:row>248</xdr:row>
                    <xdr:rowOff>0</xdr:rowOff>
                  </from>
                  <to>
                    <xdr:col>10</xdr:col>
                    <xdr:colOff>1821180</xdr:colOff>
                    <xdr:row>248</xdr:row>
                    <xdr:rowOff>320040</xdr:rowOff>
                  </to>
                </anchor>
              </controlPr>
            </control>
          </mc:Choice>
        </mc:AlternateContent>
        <mc:AlternateContent xmlns:mc="http://schemas.openxmlformats.org/markup-compatibility/2006">
          <mc:Choice Requires="x14">
            <control shapeId="2045" r:id="rId23" name="Drop Down 1021">
              <controlPr defaultSize="0" autoLine="0" autoPict="0">
                <anchor moveWithCells="1">
                  <from>
                    <xdr:col>10</xdr:col>
                    <xdr:colOff>15240</xdr:colOff>
                    <xdr:row>246</xdr:row>
                    <xdr:rowOff>0</xdr:rowOff>
                  </from>
                  <to>
                    <xdr:col>10</xdr:col>
                    <xdr:colOff>1821180</xdr:colOff>
                    <xdr:row>246</xdr:row>
                    <xdr:rowOff>320040</xdr:rowOff>
                  </to>
                </anchor>
              </controlPr>
            </control>
          </mc:Choice>
        </mc:AlternateContent>
        <mc:AlternateContent xmlns:mc="http://schemas.openxmlformats.org/markup-compatibility/2006">
          <mc:Choice Requires="x14">
            <control shapeId="2046" r:id="rId24" name="Drop Down 1022">
              <controlPr defaultSize="0" autoLine="0" autoPict="0">
                <anchor moveWithCells="1">
                  <from>
                    <xdr:col>2</xdr:col>
                    <xdr:colOff>15240</xdr:colOff>
                    <xdr:row>246</xdr:row>
                    <xdr:rowOff>0</xdr:rowOff>
                  </from>
                  <to>
                    <xdr:col>3</xdr:col>
                    <xdr:colOff>853440</xdr:colOff>
                    <xdr:row>246</xdr:row>
                    <xdr:rowOff>320040</xdr:rowOff>
                  </to>
                </anchor>
              </controlPr>
            </control>
          </mc:Choice>
        </mc:AlternateContent>
        <mc:AlternateContent xmlns:mc="http://schemas.openxmlformats.org/markup-compatibility/2006">
          <mc:Choice Requires="x14">
            <control shapeId="2047" r:id="rId25" name="Drop Down 1023">
              <controlPr defaultSize="0" autoLine="0" autoPict="0">
                <anchor moveWithCells="1">
                  <from>
                    <xdr:col>2</xdr:col>
                    <xdr:colOff>15240</xdr:colOff>
                    <xdr:row>247</xdr:row>
                    <xdr:rowOff>0</xdr:rowOff>
                  </from>
                  <to>
                    <xdr:col>3</xdr:col>
                    <xdr:colOff>853440</xdr:colOff>
                    <xdr:row>247</xdr:row>
                    <xdr:rowOff>320040</xdr:rowOff>
                  </to>
                </anchor>
              </controlPr>
            </control>
          </mc:Choice>
        </mc:AlternateContent>
        <mc:AlternateContent xmlns:mc="http://schemas.openxmlformats.org/markup-compatibility/2006">
          <mc:Choice Requires="x14">
            <control shapeId="2048" r:id="rId26" name="Drop Down 1024">
              <controlPr defaultSize="0" autoLine="0" autoPict="0">
                <anchor moveWithCells="1">
                  <from>
                    <xdr:col>2</xdr:col>
                    <xdr:colOff>15240</xdr:colOff>
                    <xdr:row>248</xdr:row>
                    <xdr:rowOff>0</xdr:rowOff>
                  </from>
                  <to>
                    <xdr:col>3</xdr:col>
                    <xdr:colOff>853440</xdr:colOff>
                    <xdr:row>249</xdr:row>
                    <xdr:rowOff>0</xdr:rowOff>
                  </to>
                </anchor>
              </controlPr>
            </control>
          </mc:Choice>
        </mc:AlternateContent>
        <mc:AlternateContent xmlns:mc="http://schemas.openxmlformats.org/markup-compatibility/2006">
          <mc:Choice Requires="x14">
            <control shapeId="2108" r:id="rId27" name="Button 1084">
              <controlPr locked="0" defaultSize="0" print="0" autoFill="0" autoPict="0" macro="[0]!PRINTB5">
                <anchor moveWithCells="1" sizeWithCells="1">
                  <from>
                    <xdr:col>10</xdr:col>
                    <xdr:colOff>0</xdr:colOff>
                    <xdr:row>20</xdr:row>
                    <xdr:rowOff>15240</xdr:rowOff>
                  </from>
                  <to>
                    <xdr:col>11</xdr:col>
                    <xdr:colOff>1333500</xdr:colOff>
                    <xdr:row>21</xdr:row>
                    <xdr:rowOff>137160</xdr:rowOff>
                  </to>
                </anchor>
              </controlPr>
            </control>
          </mc:Choice>
        </mc:AlternateContent>
        <mc:AlternateContent xmlns:mc="http://schemas.openxmlformats.org/markup-compatibility/2006">
          <mc:Choice Requires="x14">
            <control shapeId="2110" r:id="rId28" name="Drop Down 1086">
              <controlPr defaultSize="0" autoLine="0" autoPict="0">
                <anchor moveWithCells="1">
                  <from>
                    <xdr:col>4</xdr:col>
                    <xdr:colOff>15240</xdr:colOff>
                    <xdr:row>446</xdr:row>
                    <xdr:rowOff>0</xdr:rowOff>
                  </from>
                  <to>
                    <xdr:col>5</xdr:col>
                    <xdr:colOff>815340</xdr:colOff>
                    <xdr:row>447</xdr:row>
                    <xdr:rowOff>0</xdr:rowOff>
                  </to>
                </anchor>
              </controlPr>
            </control>
          </mc:Choice>
        </mc:AlternateContent>
        <mc:AlternateContent xmlns:mc="http://schemas.openxmlformats.org/markup-compatibility/2006">
          <mc:Choice Requires="x14">
            <control shapeId="2111" r:id="rId29" name="Drop Down 1087">
              <controlPr defaultSize="0" autoLine="0" autoPict="0">
                <anchor moveWithCells="1">
                  <from>
                    <xdr:col>4</xdr:col>
                    <xdr:colOff>15240</xdr:colOff>
                    <xdr:row>447</xdr:row>
                    <xdr:rowOff>0</xdr:rowOff>
                  </from>
                  <to>
                    <xdr:col>5</xdr:col>
                    <xdr:colOff>815340</xdr:colOff>
                    <xdr:row>448</xdr:row>
                    <xdr:rowOff>15240</xdr:rowOff>
                  </to>
                </anchor>
              </controlPr>
            </control>
          </mc:Choice>
        </mc:AlternateContent>
        <mc:AlternateContent xmlns:mc="http://schemas.openxmlformats.org/markup-compatibility/2006">
          <mc:Choice Requires="x14">
            <control shapeId="2112" r:id="rId30" name="Drop Down 1088">
              <controlPr defaultSize="0" autoLine="0" autoPict="0">
                <anchor moveWithCells="1">
                  <from>
                    <xdr:col>4</xdr:col>
                    <xdr:colOff>30480</xdr:colOff>
                    <xdr:row>448</xdr:row>
                    <xdr:rowOff>0</xdr:rowOff>
                  </from>
                  <to>
                    <xdr:col>5</xdr:col>
                    <xdr:colOff>815340</xdr:colOff>
                    <xdr:row>448</xdr:row>
                    <xdr:rowOff>304800</xdr:rowOff>
                  </to>
                </anchor>
              </controlPr>
            </control>
          </mc:Choice>
        </mc:AlternateContent>
        <mc:AlternateContent xmlns:mc="http://schemas.openxmlformats.org/markup-compatibility/2006">
          <mc:Choice Requires="x14">
            <control shapeId="2115" r:id="rId31" name="Drop Down 1091">
              <controlPr defaultSize="0" autoLine="0" autoPict="0">
                <anchor moveWithCells="1">
                  <from>
                    <xdr:col>10</xdr:col>
                    <xdr:colOff>15240</xdr:colOff>
                    <xdr:row>447</xdr:row>
                    <xdr:rowOff>0</xdr:rowOff>
                  </from>
                  <to>
                    <xdr:col>10</xdr:col>
                    <xdr:colOff>1821180</xdr:colOff>
                    <xdr:row>447</xdr:row>
                    <xdr:rowOff>320040</xdr:rowOff>
                  </to>
                </anchor>
              </controlPr>
            </control>
          </mc:Choice>
        </mc:AlternateContent>
        <mc:AlternateContent xmlns:mc="http://schemas.openxmlformats.org/markup-compatibility/2006">
          <mc:Choice Requires="x14">
            <control shapeId="2116" r:id="rId32" name="Drop Down 1092">
              <controlPr defaultSize="0" autoLine="0" autoPict="0">
                <anchor moveWithCells="1">
                  <from>
                    <xdr:col>10</xdr:col>
                    <xdr:colOff>15240</xdr:colOff>
                    <xdr:row>448</xdr:row>
                    <xdr:rowOff>0</xdr:rowOff>
                  </from>
                  <to>
                    <xdr:col>10</xdr:col>
                    <xdr:colOff>1821180</xdr:colOff>
                    <xdr:row>448</xdr:row>
                    <xdr:rowOff>320040</xdr:rowOff>
                  </to>
                </anchor>
              </controlPr>
            </control>
          </mc:Choice>
        </mc:AlternateContent>
        <mc:AlternateContent xmlns:mc="http://schemas.openxmlformats.org/markup-compatibility/2006">
          <mc:Choice Requires="x14">
            <control shapeId="2119" r:id="rId33" name="Drop Down 1095">
              <controlPr defaultSize="0" autoLine="0" autoPict="0">
                <anchor moveWithCells="1">
                  <from>
                    <xdr:col>10</xdr:col>
                    <xdr:colOff>15240</xdr:colOff>
                    <xdr:row>446</xdr:row>
                    <xdr:rowOff>0</xdr:rowOff>
                  </from>
                  <to>
                    <xdr:col>10</xdr:col>
                    <xdr:colOff>1821180</xdr:colOff>
                    <xdr:row>446</xdr:row>
                    <xdr:rowOff>320040</xdr:rowOff>
                  </to>
                </anchor>
              </controlPr>
            </control>
          </mc:Choice>
        </mc:AlternateContent>
        <mc:AlternateContent xmlns:mc="http://schemas.openxmlformats.org/markup-compatibility/2006">
          <mc:Choice Requires="x14">
            <control shapeId="2120" r:id="rId34" name="Drop Down 1096">
              <controlPr defaultSize="0" autoLine="0" autoPict="0">
                <anchor moveWithCells="1">
                  <from>
                    <xdr:col>2</xdr:col>
                    <xdr:colOff>15240</xdr:colOff>
                    <xdr:row>446</xdr:row>
                    <xdr:rowOff>0</xdr:rowOff>
                  </from>
                  <to>
                    <xdr:col>3</xdr:col>
                    <xdr:colOff>609600</xdr:colOff>
                    <xdr:row>446</xdr:row>
                    <xdr:rowOff>320040</xdr:rowOff>
                  </to>
                </anchor>
              </controlPr>
            </control>
          </mc:Choice>
        </mc:AlternateContent>
        <mc:AlternateContent xmlns:mc="http://schemas.openxmlformats.org/markup-compatibility/2006">
          <mc:Choice Requires="x14">
            <control shapeId="2121" r:id="rId35" name="Drop Down 1097">
              <controlPr defaultSize="0" autoLine="0" autoPict="0">
                <anchor moveWithCells="1">
                  <from>
                    <xdr:col>2</xdr:col>
                    <xdr:colOff>15240</xdr:colOff>
                    <xdr:row>447</xdr:row>
                    <xdr:rowOff>0</xdr:rowOff>
                  </from>
                  <to>
                    <xdr:col>3</xdr:col>
                    <xdr:colOff>601980</xdr:colOff>
                    <xdr:row>447</xdr:row>
                    <xdr:rowOff>320040</xdr:rowOff>
                  </to>
                </anchor>
              </controlPr>
            </control>
          </mc:Choice>
        </mc:AlternateContent>
        <mc:AlternateContent xmlns:mc="http://schemas.openxmlformats.org/markup-compatibility/2006">
          <mc:Choice Requires="x14">
            <control shapeId="2122" r:id="rId36" name="Drop Down 1098">
              <controlPr defaultSize="0" autoLine="0" autoPict="0">
                <anchor moveWithCells="1">
                  <from>
                    <xdr:col>2</xdr:col>
                    <xdr:colOff>15240</xdr:colOff>
                    <xdr:row>448</xdr:row>
                    <xdr:rowOff>0</xdr:rowOff>
                  </from>
                  <to>
                    <xdr:col>3</xdr:col>
                    <xdr:colOff>601980</xdr:colOff>
                    <xdr:row>448</xdr:row>
                    <xdr:rowOff>320040</xdr:rowOff>
                  </to>
                </anchor>
              </controlPr>
            </control>
          </mc:Choice>
        </mc:AlternateContent>
        <mc:AlternateContent xmlns:mc="http://schemas.openxmlformats.org/markup-compatibility/2006">
          <mc:Choice Requires="x14">
            <control shapeId="2146" r:id="rId37" name="Drop Down 1122">
              <controlPr defaultSize="0" autoLine="0" autoPict="0">
                <anchor moveWithCells="1">
                  <from>
                    <xdr:col>4</xdr:col>
                    <xdr:colOff>15240</xdr:colOff>
                    <xdr:row>546</xdr:row>
                    <xdr:rowOff>0</xdr:rowOff>
                  </from>
                  <to>
                    <xdr:col>6</xdr:col>
                    <xdr:colOff>15240</xdr:colOff>
                    <xdr:row>547</xdr:row>
                    <xdr:rowOff>15240</xdr:rowOff>
                  </to>
                </anchor>
              </controlPr>
            </control>
          </mc:Choice>
        </mc:AlternateContent>
        <mc:AlternateContent xmlns:mc="http://schemas.openxmlformats.org/markup-compatibility/2006">
          <mc:Choice Requires="x14">
            <control shapeId="2147" r:id="rId38" name="Drop Down 1123">
              <controlPr defaultSize="0" autoLine="0" autoPict="0">
                <anchor moveWithCells="1">
                  <from>
                    <xdr:col>5</xdr:col>
                    <xdr:colOff>15240</xdr:colOff>
                    <xdr:row>547</xdr:row>
                    <xdr:rowOff>0</xdr:rowOff>
                  </from>
                  <to>
                    <xdr:col>6</xdr:col>
                    <xdr:colOff>0</xdr:colOff>
                    <xdr:row>547</xdr:row>
                    <xdr:rowOff>320040</xdr:rowOff>
                  </to>
                </anchor>
              </controlPr>
            </control>
          </mc:Choice>
        </mc:AlternateContent>
        <mc:AlternateContent xmlns:mc="http://schemas.openxmlformats.org/markup-compatibility/2006">
          <mc:Choice Requires="x14">
            <control shapeId="2148" r:id="rId39" name="Drop Down 1124">
              <controlPr defaultSize="0" autoLine="0" autoPict="0">
                <anchor moveWithCells="1">
                  <from>
                    <xdr:col>5</xdr:col>
                    <xdr:colOff>15240</xdr:colOff>
                    <xdr:row>548</xdr:row>
                    <xdr:rowOff>0</xdr:rowOff>
                  </from>
                  <to>
                    <xdr:col>6</xdr:col>
                    <xdr:colOff>0</xdr:colOff>
                    <xdr:row>548</xdr:row>
                    <xdr:rowOff>320040</xdr:rowOff>
                  </to>
                </anchor>
              </controlPr>
            </control>
          </mc:Choice>
        </mc:AlternateContent>
        <mc:AlternateContent xmlns:mc="http://schemas.openxmlformats.org/markup-compatibility/2006">
          <mc:Choice Requires="x14">
            <control shapeId="2151" r:id="rId40" name="Drop Down 1127">
              <controlPr defaultSize="0" autoLine="0" autoPict="0">
                <anchor moveWithCells="1">
                  <from>
                    <xdr:col>10</xdr:col>
                    <xdr:colOff>15240</xdr:colOff>
                    <xdr:row>547</xdr:row>
                    <xdr:rowOff>0</xdr:rowOff>
                  </from>
                  <to>
                    <xdr:col>10</xdr:col>
                    <xdr:colOff>1821180</xdr:colOff>
                    <xdr:row>547</xdr:row>
                    <xdr:rowOff>320040</xdr:rowOff>
                  </to>
                </anchor>
              </controlPr>
            </control>
          </mc:Choice>
        </mc:AlternateContent>
        <mc:AlternateContent xmlns:mc="http://schemas.openxmlformats.org/markup-compatibility/2006">
          <mc:Choice Requires="x14">
            <control shapeId="2152" r:id="rId41" name="Drop Down 1128">
              <controlPr defaultSize="0" autoLine="0" autoPict="0">
                <anchor moveWithCells="1">
                  <from>
                    <xdr:col>10</xdr:col>
                    <xdr:colOff>15240</xdr:colOff>
                    <xdr:row>548</xdr:row>
                    <xdr:rowOff>0</xdr:rowOff>
                  </from>
                  <to>
                    <xdr:col>10</xdr:col>
                    <xdr:colOff>1821180</xdr:colOff>
                    <xdr:row>548</xdr:row>
                    <xdr:rowOff>320040</xdr:rowOff>
                  </to>
                </anchor>
              </controlPr>
            </control>
          </mc:Choice>
        </mc:AlternateContent>
        <mc:AlternateContent xmlns:mc="http://schemas.openxmlformats.org/markup-compatibility/2006">
          <mc:Choice Requires="x14">
            <control shapeId="2155" r:id="rId42" name="Drop Down 1131">
              <controlPr defaultSize="0" autoLine="0" autoPict="0">
                <anchor moveWithCells="1">
                  <from>
                    <xdr:col>10</xdr:col>
                    <xdr:colOff>15240</xdr:colOff>
                    <xdr:row>546</xdr:row>
                    <xdr:rowOff>0</xdr:rowOff>
                  </from>
                  <to>
                    <xdr:col>10</xdr:col>
                    <xdr:colOff>1821180</xdr:colOff>
                    <xdr:row>546</xdr:row>
                    <xdr:rowOff>320040</xdr:rowOff>
                  </to>
                </anchor>
              </controlPr>
            </control>
          </mc:Choice>
        </mc:AlternateContent>
        <mc:AlternateContent xmlns:mc="http://schemas.openxmlformats.org/markup-compatibility/2006">
          <mc:Choice Requires="x14">
            <control shapeId="2156" r:id="rId43" name="Drop Down 1132">
              <controlPr defaultSize="0" autoLine="0" autoPict="0">
                <anchor moveWithCells="1">
                  <from>
                    <xdr:col>2</xdr:col>
                    <xdr:colOff>15240</xdr:colOff>
                    <xdr:row>546</xdr:row>
                    <xdr:rowOff>0</xdr:rowOff>
                  </from>
                  <to>
                    <xdr:col>4</xdr:col>
                    <xdr:colOff>15240</xdr:colOff>
                    <xdr:row>547</xdr:row>
                    <xdr:rowOff>38100</xdr:rowOff>
                  </to>
                </anchor>
              </controlPr>
            </control>
          </mc:Choice>
        </mc:AlternateContent>
        <mc:AlternateContent xmlns:mc="http://schemas.openxmlformats.org/markup-compatibility/2006">
          <mc:Choice Requires="x14">
            <control shapeId="2157" r:id="rId44" name="Drop Down 1133">
              <controlPr defaultSize="0" autoLine="0" autoPict="0">
                <anchor moveWithCells="1">
                  <from>
                    <xdr:col>2</xdr:col>
                    <xdr:colOff>15240</xdr:colOff>
                    <xdr:row>547</xdr:row>
                    <xdr:rowOff>0</xdr:rowOff>
                  </from>
                  <to>
                    <xdr:col>4</xdr:col>
                    <xdr:colOff>0</xdr:colOff>
                    <xdr:row>548</xdr:row>
                    <xdr:rowOff>15240</xdr:rowOff>
                  </to>
                </anchor>
              </controlPr>
            </control>
          </mc:Choice>
        </mc:AlternateContent>
        <mc:AlternateContent xmlns:mc="http://schemas.openxmlformats.org/markup-compatibility/2006">
          <mc:Choice Requires="x14">
            <control shapeId="2158" r:id="rId45" name="Drop Down 1134">
              <controlPr defaultSize="0" autoLine="0" autoPict="0">
                <anchor moveWithCells="1">
                  <from>
                    <xdr:col>2</xdr:col>
                    <xdr:colOff>15240</xdr:colOff>
                    <xdr:row>548</xdr:row>
                    <xdr:rowOff>0</xdr:rowOff>
                  </from>
                  <to>
                    <xdr:col>4</xdr:col>
                    <xdr:colOff>15240</xdr:colOff>
                    <xdr:row>549</xdr:row>
                    <xdr:rowOff>0</xdr:rowOff>
                  </to>
                </anchor>
              </controlPr>
            </control>
          </mc:Choice>
        </mc:AlternateContent>
        <mc:AlternateContent xmlns:mc="http://schemas.openxmlformats.org/markup-compatibility/2006">
          <mc:Choice Requires="x14">
            <control shapeId="2182" r:id="rId46" name="Drop Down 1158">
              <controlPr defaultSize="0" autoLine="0" autoPict="0">
                <anchor moveWithCells="1">
                  <from>
                    <xdr:col>4</xdr:col>
                    <xdr:colOff>15240</xdr:colOff>
                    <xdr:row>646</xdr:row>
                    <xdr:rowOff>0</xdr:rowOff>
                  </from>
                  <to>
                    <xdr:col>5</xdr:col>
                    <xdr:colOff>815340</xdr:colOff>
                    <xdr:row>646</xdr:row>
                    <xdr:rowOff>320040</xdr:rowOff>
                  </to>
                </anchor>
              </controlPr>
            </control>
          </mc:Choice>
        </mc:AlternateContent>
        <mc:AlternateContent xmlns:mc="http://schemas.openxmlformats.org/markup-compatibility/2006">
          <mc:Choice Requires="x14">
            <control shapeId="2183" r:id="rId47" name="Drop Down 1159">
              <controlPr defaultSize="0" autoLine="0" autoPict="0">
                <anchor moveWithCells="1">
                  <from>
                    <xdr:col>4</xdr:col>
                    <xdr:colOff>30480</xdr:colOff>
                    <xdr:row>647</xdr:row>
                    <xdr:rowOff>0</xdr:rowOff>
                  </from>
                  <to>
                    <xdr:col>5</xdr:col>
                    <xdr:colOff>815340</xdr:colOff>
                    <xdr:row>647</xdr:row>
                    <xdr:rowOff>320040</xdr:rowOff>
                  </to>
                </anchor>
              </controlPr>
            </control>
          </mc:Choice>
        </mc:AlternateContent>
        <mc:AlternateContent xmlns:mc="http://schemas.openxmlformats.org/markup-compatibility/2006">
          <mc:Choice Requires="x14">
            <control shapeId="2184" r:id="rId48" name="Drop Down 1160">
              <controlPr defaultSize="0" autoLine="0" autoPict="0">
                <anchor moveWithCells="1">
                  <from>
                    <xdr:col>4</xdr:col>
                    <xdr:colOff>15240</xdr:colOff>
                    <xdr:row>648</xdr:row>
                    <xdr:rowOff>0</xdr:rowOff>
                  </from>
                  <to>
                    <xdr:col>5</xdr:col>
                    <xdr:colOff>815340</xdr:colOff>
                    <xdr:row>649</xdr:row>
                    <xdr:rowOff>15240</xdr:rowOff>
                  </to>
                </anchor>
              </controlPr>
            </control>
          </mc:Choice>
        </mc:AlternateContent>
        <mc:AlternateContent xmlns:mc="http://schemas.openxmlformats.org/markup-compatibility/2006">
          <mc:Choice Requires="x14">
            <control shapeId="2187" r:id="rId49" name="Drop Down 1163">
              <controlPr defaultSize="0" autoLine="0" autoPict="0">
                <anchor moveWithCells="1">
                  <from>
                    <xdr:col>10</xdr:col>
                    <xdr:colOff>15240</xdr:colOff>
                    <xdr:row>647</xdr:row>
                    <xdr:rowOff>0</xdr:rowOff>
                  </from>
                  <to>
                    <xdr:col>10</xdr:col>
                    <xdr:colOff>1821180</xdr:colOff>
                    <xdr:row>647</xdr:row>
                    <xdr:rowOff>320040</xdr:rowOff>
                  </to>
                </anchor>
              </controlPr>
            </control>
          </mc:Choice>
        </mc:AlternateContent>
        <mc:AlternateContent xmlns:mc="http://schemas.openxmlformats.org/markup-compatibility/2006">
          <mc:Choice Requires="x14">
            <control shapeId="2188" r:id="rId50" name="Drop Down 1164">
              <controlPr defaultSize="0" autoLine="0" autoPict="0">
                <anchor moveWithCells="1">
                  <from>
                    <xdr:col>10</xdr:col>
                    <xdr:colOff>15240</xdr:colOff>
                    <xdr:row>648</xdr:row>
                    <xdr:rowOff>0</xdr:rowOff>
                  </from>
                  <to>
                    <xdr:col>10</xdr:col>
                    <xdr:colOff>1821180</xdr:colOff>
                    <xdr:row>648</xdr:row>
                    <xdr:rowOff>320040</xdr:rowOff>
                  </to>
                </anchor>
              </controlPr>
            </control>
          </mc:Choice>
        </mc:AlternateContent>
        <mc:AlternateContent xmlns:mc="http://schemas.openxmlformats.org/markup-compatibility/2006">
          <mc:Choice Requires="x14">
            <control shapeId="2191" r:id="rId51" name="Drop Down 1167">
              <controlPr defaultSize="0" autoLine="0" autoPict="0">
                <anchor moveWithCells="1">
                  <from>
                    <xdr:col>10</xdr:col>
                    <xdr:colOff>15240</xdr:colOff>
                    <xdr:row>646</xdr:row>
                    <xdr:rowOff>0</xdr:rowOff>
                  </from>
                  <to>
                    <xdr:col>10</xdr:col>
                    <xdr:colOff>1821180</xdr:colOff>
                    <xdr:row>646</xdr:row>
                    <xdr:rowOff>320040</xdr:rowOff>
                  </to>
                </anchor>
              </controlPr>
            </control>
          </mc:Choice>
        </mc:AlternateContent>
        <mc:AlternateContent xmlns:mc="http://schemas.openxmlformats.org/markup-compatibility/2006">
          <mc:Choice Requires="x14">
            <control shapeId="2192" r:id="rId52" name="Drop Down 1168">
              <controlPr defaultSize="0" autoLine="0" autoPict="0">
                <anchor moveWithCells="1">
                  <from>
                    <xdr:col>2</xdr:col>
                    <xdr:colOff>15240</xdr:colOff>
                    <xdr:row>646</xdr:row>
                    <xdr:rowOff>0</xdr:rowOff>
                  </from>
                  <to>
                    <xdr:col>4</xdr:col>
                    <xdr:colOff>15240</xdr:colOff>
                    <xdr:row>647</xdr:row>
                    <xdr:rowOff>0</xdr:rowOff>
                  </to>
                </anchor>
              </controlPr>
            </control>
          </mc:Choice>
        </mc:AlternateContent>
        <mc:AlternateContent xmlns:mc="http://schemas.openxmlformats.org/markup-compatibility/2006">
          <mc:Choice Requires="x14">
            <control shapeId="2193" r:id="rId53" name="Drop Down 1169">
              <controlPr defaultSize="0" autoLine="0" autoPict="0">
                <anchor moveWithCells="1">
                  <from>
                    <xdr:col>2</xdr:col>
                    <xdr:colOff>15240</xdr:colOff>
                    <xdr:row>647</xdr:row>
                    <xdr:rowOff>0</xdr:rowOff>
                  </from>
                  <to>
                    <xdr:col>4</xdr:col>
                    <xdr:colOff>30480</xdr:colOff>
                    <xdr:row>648</xdr:row>
                    <xdr:rowOff>15240</xdr:rowOff>
                  </to>
                </anchor>
              </controlPr>
            </control>
          </mc:Choice>
        </mc:AlternateContent>
        <mc:AlternateContent xmlns:mc="http://schemas.openxmlformats.org/markup-compatibility/2006">
          <mc:Choice Requires="x14">
            <control shapeId="2194" r:id="rId54" name="Drop Down 1170">
              <controlPr defaultSize="0" autoLine="0" autoPict="0">
                <anchor moveWithCells="1">
                  <from>
                    <xdr:col>2</xdr:col>
                    <xdr:colOff>15240</xdr:colOff>
                    <xdr:row>648</xdr:row>
                    <xdr:rowOff>0</xdr:rowOff>
                  </from>
                  <to>
                    <xdr:col>4</xdr:col>
                    <xdr:colOff>0</xdr:colOff>
                    <xdr:row>649</xdr:row>
                    <xdr:rowOff>15240</xdr:rowOff>
                  </to>
                </anchor>
              </controlPr>
            </control>
          </mc:Choice>
        </mc:AlternateContent>
        <mc:AlternateContent xmlns:mc="http://schemas.openxmlformats.org/markup-compatibility/2006">
          <mc:Choice Requires="x14">
            <control shapeId="2218" r:id="rId55" name="Drop Down 1194">
              <controlPr defaultSize="0" autoLine="0" autoPict="0">
                <anchor moveWithCells="1">
                  <from>
                    <xdr:col>4</xdr:col>
                    <xdr:colOff>30480</xdr:colOff>
                    <xdr:row>746</xdr:row>
                    <xdr:rowOff>0</xdr:rowOff>
                  </from>
                  <to>
                    <xdr:col>6</xdr:col>
                    <xdr:colOff>0</xdr:colOff>
                    <xdr:row>747</xdr:row>
                    <xdr:rowOff>0</xdr:rowOff>
                  </to>
                </anchor>
              </controlPr>
            </control>
          </mc:Choice>
        </mc:AlternateContent>
        <mc:AlternateContent xmlns:mc="http://schemas.openxmlformats.org/markup-compatibility/2006">
          <mc:Choice Requires="x14">
            <control shapeId="2219" r:id="rId56" name="Drop Down 1195">
              <controlPr defaultSize="0" autoLine="0" autoPict="0">
                <anchor moveWithCells="1">
                  <from>
                    <xdr:col>4</xdr:col>
                    <xdr:colOff>30480</xdr:colOff>
                    <xdr:row>747</xdr:row>
                    <xdr:rowOff>0</xdr:rowOff>
                  </from>
                  <to>
                    <xdr:col>6</xdr:col>
                    <xdr:colOff>0</xdr:colOff>
                    <xdr:row>748</xdr:row>
                    <xdr:rowOff>0</xdr:rowOff>
                  </to>
                </anchor>
              </controlPr>
            </control>
          </mc:Choice>
        </mc:AlternateContent>
        <mc:AlternateContent xmlns:mc="http://schemas.openxmlformats.org/markup-compatibility/2006">
          <mc:Choice Requires="x14">
            <control shapeId="2220" r:id="rId57" name="Drop Down 1196">
              <controlPr defaultSize="0" autoLine="0" autoPict="0">
                <anchor moveWithCells="1">
                  <from>
                    <xdr:col>4</xdr:col>
                    <xdr:colOff>30480</xdr:colOff>
                    <xdr:row>748</xdr:row>
                    <xdr:rowOff>0</xdr:rowOff>
                  </from>
                  <to>
                    <xdr:col>6</xdr:col>
                    <xdr:colOff>0</xdr:colOff>
                    <xdr:row>749</xdr:row>
                    <xdr:rowOff>15240</xdr:rowOff>
                  </to>
                </anchor>
              </controlPr>
            </control>
          </mc:Choice>
        </mc:AlternateContent>
        <mc:AlternateContent xmlns:mc="http://schemas.openxmlformats.org/markup-compatibility/2006">
          <mc:Choice Requires="x14">
            <control shapeId="2223" r:id="rId58" name="Drop Down 1199">
              <controlPr defaultSize="0" autoLine="0" autoPict="0">
                <anchor moveWithCells="1">
                  <from>
                    <xdr:col>10</xdr:col>
                    <xdr:colOff>15240</xdr:colOff>
                    <xdr:row>747</xdr:row>
                    <xdr:rowOff>0</xdr:rowOff>
                  </from>
                  <to>
                    <xdr:col>10</xdr:col>
                    <xdr:colOff>1821180</xdr:colOff>
                    <xdr:row>747</xdr:row>
                    <xdr:rowOff>320040</xdr:rowOff>
                  </to>
                </anchor>
              </controlPr>
            </control>
          </mc:Choice>
        </mc:AlternateContent>
        <mc:AlternateContent xmlns:mc="http://schemas.openxmlformats.org/markup-compatibility/2006">
          <mc:Choice Requires="x14">
            <control shapeId="2224" r:id="rId59" name="Drop Down 1200">
              <controlPr defaultSize="0" autoLine="0" autoPict="0">
                <anchor moveWithCells="1">
                  <from>
                    <xdr:col>10</xdr:col>
                    <xdr:colOff>15240</xdr:colOff>
                    <xdr:row>748</xdr:row>
                    <xdr:rowOff>0</xdr:rowOff>
                  </from>
                  <to>
                    <xdr:col>10</xdr:col>
                    <xdr:colOff>1821180</xdr:colOff>
                    <xdr:row>748</xdr:row>
                    <xdr:rowOff>320040</xdr:rowOff>
                  </to>
                </anchor>
              </controlPr>
            </control>
          </mc:Choice>
        </mc:AlternateContent>
        <mc:AlternateContent xmlns:mc="http://schemas.openxmlformats.org/markup-compatibility/2006">
          <mc:Choice Requires="x14">
            <control shapeId="2227" r:id="rId60" name="Drop Down 1203">
              <controlPr defaultSize="0" autoLine="0" autoPict="0">
                <anchor moveWithCells="1">
                  <from>
                    <xdr:col>10</xdr:col>
                    <xdr:colOff>15240</xdr:colOff>
                    <xdr:row>746</xdr:row>
                    <xdr:rowOff>0</xdr:rowOff>
                  </from>
                  <to>
                    <xdr:col>10</xdr:col>
                    <xdr:colOff>1821180</xdr:colOff>
                    <xdr:row>746</xdr:row>
                    <xdr:rowOff>320040</xdr:rowOff>
                  </to>
                </anchor>
              </controlPr>
            </control>
          </mc:Choice>
        </mc:AlternateContent>
        <mc:AlternateContent xmlns:mc="http://schemas.openxmlformats.org/markup-compatibility/2006">
          <mc:Choice Requires="x14">
            <control shapeId="2228" r:id="rId61" name="Drop Down 1204">
              <controlPr defaultSize="0" autoLine="0" autoPict="0">
                <anchor moveWithCells="1">
                  <from>
                    <xdr:col>2</xdr:col>
                    <xdr:colOff>15240</xdr:colOff>
                    <xdr:row>746</xdr:row>
                    <xdr:rowOff>0</xdr:rowOff>
                  </from>
                  <to>
                    <xdr:col>4</xdr:col>
                    <xdr:colOff>0</xdr:colOff>
                    <xdr:row>746</xdr:row>
                    <xdr:rowOff>320040</xdr:rowOff>
                  </to>
                </anchor>
              </controlPr>
            </control>
          </mc:Choice>
        </mc:AlternateContent>
        <mc:AlternateContent xmlns:mc="http://schemas.openxmlformats.org/markup-compatibility/2006">
          <mc:Choice Requires="x14">
            <control shapeId="2229" r:id="rId62" name="Drop Down 1205">
              <controlPr defaultSize="0" autoLine="0" autoPict="0">
                <anchor moveWithCells="1">
                  <from>
                    <xdr:col>2</xdr:col>
                    <xdr:colOff>15240</xdr:colOff>
                    <xdr:row>747</xdr:row>
                    <xdr:rowOff>0</xdr:rowOff>
                  </from>
                  <to>
                    <xdr:col>3</xdr:col>
                    <xdr:colOff>853440</xdr:colOff>
                    <xdr:row>748</xdr:row>
                    <xdr:rowOff>15240</xdr:rowOff>
                  </to>
                </anchor>
              </controlPr>
            </control>
          </mc:Choice>
        </mc:AlternateContent>
        <mc:AlternateContent xmlns:mc="http://schemas.openxmlformats.org/markup-compatibility/2006">
          <mc:Choice Requires="x14">
            <control shapeId="2230" r:id="rId63" name="Drop Down 1206">
              <controlPr defaultSize="0" autoLine="0" autoPict="0">
                <anchor moveWithCells="1">
                  <from>
                    <xdr:col>2</xdr:col>
                    <xdr:colOff>15240</xdr:colOff>
                    <xdr:row>748</xdr:row>
                    <xdr:rowOff>0</xdr:rowOff>
                  </from>
                  <to>
                    <xdr:col>4</xdr:col>
                    <xdr:colOff>15240</xdr:colOff>
                    <xdr:row>749</xdr:row>
                    <xdr:rowOff>15240</xdr:rowOff>
                  </to>
                </anchor>
              </controlPr>
            </control>
          </mc:Choice>
        </mc:AlternateContent>
        <mc:AlternateContent xmlns:mc="http://schemas.openxmlformats.org/markup-compatibility/2006">
          <mc:Choice Requires="x14">
            <control shapeId="2254" r:id="rId64" name="Drop Down 1230">
              <controlPr defaultSize="0" autoLine="0" autoPict="0">
                <anchor moveWithCells="1">
                  <from>
                    <xdr:col>4</xdr:col>
                    <xdr:colOff>15240</xdr:colOff>
                    <xdr:row>846</xdr:row>
                    <xdr:rowOff>0</xdr:rowOff>
                  </from>
                  <to>
                    <xdr:col>5</xdr:col>
                    <xdr:colOff>815340</xdr:colOff>
                    <xdr:row>847</xdr:row>
                    <xdr:rowOff>0</xdr:rowOff>
                  </to>
                </anchor>
              </controlPr>
            </control>
          </mc:Choice>
        </mc:AlternateContent>
        <mc:AlternateContent xmlns:mc="http://schemas.openxmlformats.org/markup-compatibility/2006">
          <mc:Choice Requires="x14">
            <control shapeId="2255" r:id="rId65" name="Drop Down 1231">
              <controlPr defaultSize="0" autoLine="0" autoPict="0">
                <anchor moveWithCells="1">
                  <from>
                    <xdr:col>4</xdr:col>
                    <xdr:colOff>30480</xdr:colOff>
                    <xdr:row>847</xdr:row>
                    <xdr:rowOff>0</xdr:rowOff>
                  </from>
                  <to>
                    <xdr:col>6</xdr:col>
                    <xdr:colOff>0</xdr:colOff>
                    <xdr:row>848</xdr:row>
                    <xdr:rowOff>0</xdr:rowOff>
                  </to>
                </anchor>
              </controlPr>
            </control>
          </mc:Choice>
        </mc:AlternateContent>
        <mc:AlternateContent xmlns:mc="http://schemas.openxmlformats.org/markup-compatibility/2006">
          <mc:Choice Requires="x14">
            <control shapeId="2256" r:id="rId66" name="Drop Down 1232">
              <controlPr defaultSize="0" autoLine="0" autoPict="0">
                <anchor moveWithCells="1">
                  <from>
                    <xdr:col>4</xdr:col>
                    <xdr:colOff>30480</xdr:colOff>
                    <xdr:row>848</xdr:row>
                    <xdr:rowOff>0</xdr:rowOff>
                  </from>
                  <to>
                    <xdr:col>5</xdr:col>
                    <xdr:colOff>815340</xdr:colOff>
                    <xdr:row>849</xdr:row>
                    <xdr:rowOff>0</xdr:rowOff>
                  </to>
                </anchor>
              </controlPr>
            </control>
          </mc:Choice>
        </mc:AlternateContent>
        <mc:AlternateContent xmlns:mc="http://schemas.openxmlformats.org/markup-compatibility/2006">
          <mc:Choice Requires="x14">
            <control shapeId="2259" r:id="rId67" name="Drop Down 1235">
              <controlPr defaultSize="0" autoLine="0" autoPict="0">
                <anchor moveWithCells="1">
                  <from>
                    <xdr:col>10</xdr:col>
                    <xdr:colOff>15240</xdr:colOff>
                    <xdr:row>847</xdr:row>
                    <xdr:rowOff>0</xdr:rowOff>
                  </from>
                  <to>
                    <xdr:col>10</xdr:col>
                    <xdr:colOff>1821180</xdr:colOff>
                    <xdr:row>847</xdr:row>
                    <xdr:rowOff>320040</xdr:rowOff>
                  </to>
                </anchor>
              </controlPr>
            </control>
          </mc:Choice>
        </mc:AlternateContent>
        <mc:AlternateContent xmlns:mc="http://schemas.openxmlformats.org/markup-compatibility/2006">
          <mc:Choice Requires="x14">
            <control shapeId="2260" r:id="rId68" name="Drop Down 1236">
              <controlPr defaultSize="0" autoLine="0" autoPict="0">
                <anchor moveWithCells="1">
                  <from>
                    <xdr:col>10</xdr:col>
                    <xdr:colOff>15240</xdr:colOff>
                    <xdr:row>848</xdr:row>
                    <xdr:rowOff>0</xdr:rowOff>
                  </from>
                  <to>
                    <xdr:col>10</xdr:col>
                    <xdr:colOff>1821180</xdr:colOff>
                    <xdr:row>848</xdr:row>
                    <xdr:rowOff>320040</xdr:rowOff>
                  </to>
                </anchor>
              </controlPr>
            </control>
          </mc:Choice>
        </mc:AlternateContent>
        <mc:AlternateContent xmlns:mc="http://schemas.openxmlformats.org/markup-compatibility/2006">
          <mc:Choice Requires="x14">
            <control shapeId="2263" r:id="rId69" name="Drop Down 1239">
              <controlPr defaultSize="0" autoLine="0" autoPict="0">
                <anchor moveWithCells="1">
                  <from>
                    <xdr:col>10</xdr:col>
                    <xdr:colOff>15240</xdr:colOff>
                    <xdr:row>846</xdr:row>
                    <xdr:rowOff>0</xdr:rowOff>
                  </from>
                  <to>
                    <xdr:col>10</xdr:col>
                    <xdr:colOff>1821180</xdr:colOff>
                    <xdr:row>846</xdr:row>
                    <xdr:rowOff>320040</xdr:rowOff>
                  </to>
                </anchor>
              </controlPr>
            </control>
          </mc:Choice>
        </mc:AlternateContent>
        <mc:AlternateContent xmlns:mc="http://schemas.openxmlformats.org/markup-compatibility/2006">
          <mc:Choice Requires="x14">
            <control shapeId="2264" r:id="rId70" name="Drop Down 1240">
              <controlPr defaultSize="0" autoLine="0" autoPict="0">
                <anchor moveWithCells="1">
                  <from>
                    <xdr:col>2</xdr:col>
                    <xdr:colOff>15240</xdr:colOff>
                    <xdr:row>846</xdr:row>
                    <xdr:rowOff>0</xdr:rowOff>
                  </from>
                  <to>
                    <xdr:col>3</xdr:col>
                    <xdr:colOff>853440</xdr:colOff>
                    <xdr:row>846</xdr:row>
                    <xdr:rowOff>297180</xdr:rowOff>
                  </to>
                </anchor>
              </controlPr>
            </control>
          </mc:Choice>
        </mc:AlternateContent>
        <mc:AlternateContent xmlns:mc="http://schemas.openxmlformats.org/markup-compatibility/2006">
          <mc:Choice Requires="x14">
            <control shapeId="2265" r:id="rId71" name="Drop Down 1241">
              <controlPr defaultSize="0" autoLine="0" autoPict="0">
                <anchor moveWithCells="1">
                  <from>
                    <xdr:col>2</xdr:col>
                    <xdr:colOff>15240</xdr:colOff>
                    <xdr:row>847</xdr:row>
                    <xdr:rowOff>0</xdr:rowOff>
                  </from>
                  <to>
                    <xdr:col>3</xdr:col>
                    <xdr:colOff>853440</xdr:colOff>
                    <xdr:row>847</xdr:row>
                    <xdr:rowOff>320040</xdr:rowOff>
                  </to>
                </anchor>
              </controlPr>
            </control>
          </mc:Choice>
        </mc:AlternateContent>
        <mc:AlternateContent xmlns:mc="http://schemas.openxmlformats.org/markup-compatibility/2006">
          <mc:Choice Requires="x14">
            <control shapeId="2266" r:id="rId72" name="Drop Down 1242">
              <controlPr defaultSize="0" autoLine="0" autoPict="0">
                <anchor moveWithCells="1">
                  <from>
                    <xdr:col>2</xdr:col>
                    <xdr:colOff>15240</xdr:colOff>
                    <xdr:row>848</xdr:row>
                    <xdr:rowOff>0</xdr:rowOff>
                  </from>
                  <to>
                    <xdr:col>4</xdr:col>
                    <xdr:colOff>0</xdr:colOff>
                    <xdr:row>849</xdr:row>
                    <xdr:rowOff>15240</xdr:rowOff>
                  </to>
                </anchor>
              </controlPr>
            </control>
          </mc:Choice>
        </mc:AlternateContent>
        <mc:AlternateContent xmlns:mc="http://schemas.openxmlformats.org/markup-compatibility/2006">
          <mc:Choice Requires="x14">
            <control shapeId="2290" r:id="rId73" name="Drop Down 1266">
              <controlPr defaultSize="0" autoLine="0" autoPict="0">
                <anchor moveWithCells="1">
                  <from>
                    <xdr:col>4</xdr:col>
                    <xdr:colOff>15240</xdr:colOff>
                    <xdr:row>946</xdr:row>
                    <xdr:rowOff>0</xdr:rowOff>
                  </from>
                  <to>
                    <xdr:col>5</xdr:col>
                    <xdr:colOff>815340</xdr:colOff>
                    <xdr:row>947</xdr:row>
                    <xdr:rowOff>0</xdr:rowOff>
                  </to>
                </anchor>
              </controlPr>
            </control>
          </mc:Choice>
        </mc:AlternateContent>
        <mc:AlternateContent xmlns:mc="http://schemas.openxmlformats.org/markup-compatibility/2006">
          <mc:Choice Requires="x14">
            <control shapeId="2291" r:id="rId74" name="Drop Down 1267">
              <controlPr defaultSize="0" autoLine="0" autoPict="0">
                <anchor moveWithCells="1">
                  <from>
                    <xdr:col>4</xdr:col>
                    <xdr:colOff>30480</xdr:colOff>
                    <xdr:row>947</xdr:row>
                    <xdr:rowOff>0</xdr:rowOff>
                  </from>
                  <to>
                    <xdr:col>6</xdr:col>
                    <xdr:colOff>0</xdr:colOff>
                    <xdr:row>948</xdr:row>
                    <xdr:rowOff>0</xdr:rowOff>
                  </to>
                </anchor>
              </controlPr>
            </control>
          </mc:Choice>
        </mc:AlternateContent>
        <mc:AlternateContent xmlns:mc="http://schemas.openxmlformats.org/markup-compatibility/2006">
          <mc:Choice Requires="x14">
            <control shapeId="2292" r:id="rId75" name="Drop Down 1268">
              <controlPr defaultSize="0" autoLine="0" autoPict="0">
                <anchor moveWithCells="1">
                  <from>
                    <xdr:col>4</xdr:col>
                    <xdr:colOff>38100</xdr:colOff>
                    <xdr:row>948</xdr:row>
                    <xdr:rowOff>0</xdr:rowOff>
                  </from>
                  <to>
                    <xdr:col>6</xdr:col>
                    <xdr:colOff>0</xdr:colOff>
                    <xdr:row>949</xdr:row>
                    <xdr:rowOff>0</xdr:rowOff>
                  </to>
                </anchor>
              </controlPr>
            </control>
          </mc:Choice>
        </mc:AlternateContent>
        <mc:AlternateContent xmlns:mc="http://schemas.openxmlformats.org/markup-compatibility/2006">
          <mc:Choice Requires="x14">
            <control shapeId="2295" r:id="rId76" name="Drop Down 1271">
              <controlPr defaultSize="0" autoLine="0" autoPict="0">
                <anchor moveWithCells="1">
                  <from>
                    <xdr:col>10</xdr:col>
                    <xdr:colOff>15240</xdr:colOff>
                    <xdr:row>947</xdr:row>
                    <xdr:rowOff>0</xdr:rowOff>
                  </from>
                  <to>
                    <xdr:col>10</xdr:col>
                    <xdr:colOff>1821180</xdr:colOff>
                    <xdr:row>947</xdr:row>
                    <xdr:rowOff>320040</xdr:rowOff>
                  </to>
                </anchor>
              </controlPr>
            </control>
          </mc:Choice>
        </mc:AlternateContent>
        <mc:AlternateContent xmlns:mc="http://schemas.openxmlformats.org/markup-compatibility/2006">
          <mc:Choice Requires="x14">
            <control shapeId="2296" r:id="rId77" name="Drop Down 1272">
              <controlPr defaultSize="0" autoLine="0" autoPict="0">
                <anchor moveWithCells="1">
                  <from>
                    <xdr:col>10</xdr:col>
                    <xdr:colOff>15240</xdr:colOff>
                    <xdr:row>948</xdr:row>
                    <xdr:rowOff>0</xdr:rowOff>
                  </from>
                  <to>
                    <xdr:col>10</xdr:col>
                    <xdr:colOff>1821180</xdr:colOff>
                    <xdr:row>948</xdr:row>
                    <xdr:rowOff>320040</xdr:rowOff>
                  </to>
                </anchor>
              </controlPr>
            </control>
          </mc:Choice>
        </mc:AlternateContent>
        <mc:AlternateContent xmlns:mc="http://schemas.openxmlformats.org/markup-compatibility/2006">
          <mc:Choice Requires="x14">
            <control shapeId="2299" r:id="rId78" name="Drop Down 1275">
              <controlPr defaultSize="0" autoLine="0" autoPict="0">
                <anchor moveWithCells="1">
                  <from>
                    <xdr:col>10</xdr:col>
                    <xdr:colOff>15240</xdr:colOff>
                    <xdr:row>946</xdr:row>
                    <xdr:rowOff>0</xdr:rowOff>
                  </from>
                  <to>
                    <xdr:col>10</xdr:col>
                    <xdr:colOff>1821180</xdr:colOff>
                    <xdr:row>946</xdr:row>
                    <xdr:rowOff>320040</xdr:rowOff>
                  </to>
                </anchor>
              </controlPr>
            </control>
          </mc:Choice>
        </mc:AlternateContent>
        <mc:AlternateContent xmlns:mc="http://schemas.openxmlformats.org/markup-compatibility/2006">
          <mc:Choice Requires="x14">
            <control shapeId="2300" r:id="rId79" name="Drop Down 1276">
              <controlPr defaultSize="0" autoLine="0" autoPict="0">
                <anchor moveWithCells="1">
                  <from>
                    <xdr:col>2</xdr:col>
                    <xdr:colOff>15240</xdr:colOff>
                    <xdr:row>946</xdr:row>
                    <xdr:rowOff>0</xdr:rowOff>
                  </from>
                  <to>
                    <xdr:col>3</xdr:col>
                    <xdr:colOff>853440</xdr:colOff>
                    <xdr:row>946</xdr:row>
                    <xdr:rowOff>320040</xdr:rowOff>
                  </to>
                </anchor>
              </controlPr>
            </control>
          </mc:Choice>
        </mc:AlternateContent>
        <mc:AlternateContent xmlns:mc="http://schemas.openxmlformats.org/markup-compatibility/2006">
          <mc:Choice Requires="x14">
            <control shapeId="2301" r:id="rId80" name="Drop Down 1277">
              <controlPr defaultSize="0" autoLine="0" autoPict="0">
                <anchor moveWithCells="1">
                  <from>
                    <xdr:col>2</xdr:col>
                    <xdr:colOff>15240</xdr:colOff>
                    <xdr:row>947</xdr:row>
                    <xdr:rowOff>0</xdr:rowOff>
                  </from>
                  <to>
                    <xdr:col>3</xdr:col>
                    <xdr:colOff>830580</xdr:colOff>
                    <xdr:row>948</xdr:row>
                    <xdr:rowOff>15240</xdr:rowOff>
                  </to>
                </anchor>
              </controlPr>
            </control>
          </mc:Choice>
        </mc:AlternateContent>
        <mc:AlternateContent xmlns:mc="http://schemas.openxmlformats.org/markup-compatibility/2006">
          <mc:Choice Requires="x14">
            <control shapeId="2302" r:id="rId81" name="Drop Down 1278">
              <controlPr defaultSize="0" autoLine="0" autoPict="0">
                <anchor moveWithCells="1">
                  <from>
                    <xdr:col>2</xdr:col>
                    <xdr:colOff>15240</xdr:colOff>
                    <xdr:row>948</xdr:row>
                    <xdr:rowOff>0</xdr:rowOff>
                  </from>
                  <to>
                    <xdr:col>4</xdr:col>
                    <xdr:colOff>15240</xdr:colOff>
                    <xdr:row>949</xdr:row>
                    <xdr:rowOff>15240</xdr:rowOff>
                  </to>
                </anchor>
              </controlPr>
            </control>
          </mc:Choice>
        </mc:AlternateContent>
        <mc:AlternateContent xmlns:mc="http://schemas.openxmlformats.org/markup-compatibility/2006">
          <mc:Choice Requires="x14">
            <control shapeId="2326" r:id="rId82" name="Drop Down 1302">
              <controlPr defaultSize="0" autoLine="0" autoPict="0">
                <anchor moveWithCells="1">
                  <from>
                    <xdr:col>4</xdr:col>
                    <xdr:colOff>38100</xdr:colOff>
                    <xdr:row>1046</xdr:row>
                    <xdr:rowOff>0</xdr:rowOff>
                  </from>
                  <to>
                    <xdr:col>6</xdr:col>
                    <xdr:colOff>0</xdr:colOff>
                    <xdr:row>1047</xdr:row>
                    <xdr:rowOff>15240</xdr:rowOff>
                  </to>
                </anchor>
              </controlPr>
            </control>
          </mc:Choice>
        </mc:AlternateContent>
        <mc:AlternateContent xmlns:mc="http://schemas.openxmlformats.org/markup-compatibility/2006">
          <mc:Choice Requires="x14">
            <control shapeId="2327" r:id="rId83" name="Drop Down 1303">
              <controlPr defaultSize="0" autoLine="0" autoPict="0">
                <anchor moveWithCells="1">
                  <from>
                    <xdr:col>4</xdr:col>
                    <xdr:colOff>30480</xdr:colOff>
                    <xdr:row>1047</xdr:row>
                    <xdr:rowOff>0</xdr:rowOff>
                  </from>
                  <to>
                    <xdr:col>5</xdr:col>
                    <xdr:colOff>815340</xdr:colOff>
                    <xdr:row>1048</xdr:row>
                    <xdr:rowOff>15240</xdr:rowOff>
                  </to>
                </anchor>
              </controlPr>
            </control>
          </mc:Choice>
        </mc:AlternateContent>
        <mc:AlternateContent xmlns:mc="http://schemas.openxmlformats.org/markup-compatibility/2006">
          <mc:Choice Requires="x14">
            <control shapeId="2328" r:id="rId84" name="Drop Down 1304">
              <controlPr defaultSize="0" autoLine="0" autoPict="0">
                <anchor moveWithCells="1">
                  <from>
                    <xdr:col>4</xdr:col>
                    <xdr:colOff>30480</xdr:colOff>
                    <xdr:row>1048</xdr:row>
                    <xdr:rowOff>0</xdr:rowOff>
                  </from>
                  <to>
                    <xdr:col>6</xdr:col>
                    <xdr:colOff>0</xdr:colOff>
                    <xdr:row>1048</xdr:row>
                    <xdr:rowOff>320040</xdr:rowOff>
                  </to>
                </anchor>
              </controlPr>
            </control>
          </mc:Choice>
        </mc:AlternateContent>
        <mc:AlternateContent xmlns:mc="http://schemas.openxmlformats.org/markup-compatibility/2006">
          <mc:Choice Requires="x14">
            <control shapeId="2331" r:id="rId85" name="Drop Down 1307">
              <controlPr defaultSize="0" autoLine="0" autoPict="0">
                <anchor moveWithCells="1">
                  <from>
                    <xdr:col>10</xdr:col>
                    <xdr:colOff>15240</xdr:colOff>
                    <xdr:row>1047</xdr:row>
                    <xdr:rowOff>0</xdr:rowOff>
                  </from>
                  <to>
                    <xdr:col>10</xdr:col>
                    <xdr:colOff>1821180</xdr:colOff>
                    <xdr:row>1047</xdr:row>
                    <xdr:rowOff>320040</xdr:rowOff>
                  </to>
                </anchor>
              </controlPr>
            </control>
          </mc:Choice>
        </mc:AlternateContent>
        <mc:AlternateContent xmlns:mc="http://schemas.openxmlformats.org/markup-compatibility/2006">
          <mc:Choice Requires="x14">
            <control shapeId="2332" r:id="rId86" name="Drop Down 1308">
              <controlPr defaultSize="0" autoLine="0" autoPict="0">
                <anchor moveWithCells="1">
                  <from>
                    <xdr:col>10</xdr:col>
                    <xdr:colOff>15240</xdr:colOff>
                    <xdr:row>1048</xdr:row>
                    <xdr:rowOff>0</xdr:rowOff>
                  </from>
                  <to>
                    <xdr:col>10</xdr:col>
                    <xdr:colOff>1821180</xdr:colOff>
                    <xdr:row>1048</xdr:row>
                    <xdr:rowOff>320040</xdr:rowOff>
                  </to>
                </anchor>
              </controlPr>
            </control>
          </mc:Choice>
        </mc:AlternateContent>
        <mc:AlternateContent xmlns:mc="http://schemas.openxmlformats.org/markup-compatibility/2006">
          <mc:Choice Requires="x14">
            <control shapeId="2335" r:id="rId87" name="Drop Down 1311">
              <controlPr defaultSize="0" autoLine="0" autoPict="0">
                <anchor moveWithCells="1">
                  <from>
                    <xdr:col>10</xdr:col>
                    <xdr:colOff>15240</xdr:colOff>
                    <xdr:row>1046</xdr:row>
                    <xdr:rowOff>0</xdr:rowOff>
                  </from>
                  <to>
                    <xdr:col>10</xdr:col>
                    <xdr:colOff>1821180</xdr:colOff>
                    <xdr:row>1046</xdr:row>
                    <xdr:rowOff>320040</xdr:rowOff>
                  </to>
                </anchor>
              </controlPr>
            </control>
          </mc:Choice>
        </mc:AlternateContent>
        <mc:AlternateContent xmlns:mc="http://schemas.openxmlformats.org/markup-compatibility/2006">
          <mc:Choice Requires="x14">
            <control shapeId="2336" r:id="rId88" name="Drop Down 1312">
              <controlPr defaultSize="0" autoLine="0" autoPict="0">
                <anchor moveWithCells="1">
                  <from>
                    <xdr:col>2</xdr:col>
                    <xdr:colOff>15240</xdr:colOff>
                    <xdr:row>1046</xdr:row>
                    <xdr:rowOff>0</xdr:rowOff>
                  </from>
                  <to>
                    <xdr:col>4</xdr:col>
                    <xdr:colOff>0</xdr:colOff>
                    <xdr:row>1047</xdr:row>
                    <xdr:rowOff>15240</xdr:rowOff>
                  </to>
                </anchor>
              </controlPr>
            </control>
          </mc:Choice>
        </mc:AlternateContent>
        <mc:AlternateContent xmlns:mc="http://schemas.openxmlformats.org/markup-compatibility/2006">
          <mc:Choice Requires="x14">
            <control shapeId="2337" r:id="rId89" name="Drop Down 1313">
              <controlPr defaultSize="0" autoLine="0" autoPict="0">
                <anchor moveWithCells="1">
                  <from>
                    <xdr:col>2</xdr:col>
                    <xdr:colOff>15240</xdr:colOff>
                    <xdr:row>1047</xdr:row>
                    <xdr:rowOff>0</xdr:rowOff>
                  </from>
                  <to>
                    <xdr:col>4</xdr:col>
                    <xdr:colOff>0</xdr:colOff>
                    <xdr:row>1048</xdr:row>
                    <xdr:rowOff>30480</xdr:rowOff>
                  </to>
                </anchor>
              </controlPr>
            </control>
          </mc:Choice>
        </mc:AlternateContent>
        <mc:AlternateContent xmlns:mc="http://schemas.openxmlformats.org/markup-compatibility/2006">
          <mc:Choice Requires="x14">
            <control shapeId="2338" r:id="rId90" name="Drop Down 1314">
              <controlPr defaultSize="0" autoLine="0" autoPict="0">
                <anchor moveWithCells="1">
                  <from>
                    <xdr:col>2</xdr:col>
                    <xdr:colOff>15240</xdr:colOff>
                    <xdr:row>1048</xdr:row>
                    <xdr:rowOff>0</xdr:rowOff>
                  </from>
                  <to>
                    <xdr:col>4</xdr:col>
                    <xdr:colOff>0</xdr:colOff>
                    <xdr:row>1049</xdr:row>
                    <xdr:rowOff>30480</xdr:rowOff>
                  </to>
                </anchor>
              </controlPr>
            </control>
          </mc:Choice>
        </mc:AlternateContent>
        <mc:AlternateContent xmlns:mc="http://schemas.openxmlformats.org/markup-compatibility/2006">
          <mc:Choice Requires="x14">
            <control shapeId="2362" r:id="rId91" name="Drop Down 1338">
              <controlPr defaultSize="0" autoLine="0" autoPict="0">
                <anchor moveWithCells="1">
                  <from>
                    <xdr:col>4</xdr:col>
                    <xdr:colOff>30480</xdr:colOff>
                    <xdr:row>1146</xdr:row>
                    <xdr:rowOff>0</xdr:rowOff>
                  </from>
                  <to>
                    <xdr:col>5</xdr:col>
                    <xdr:colOff>800100</xdr:colOff>
                    <xdr:row>1146</xdr:row>
                    <xdr:rowOff>304800</xdr:rowOff>
                  </to>
                </anchor>
              </controlPr>
            </control>
          </mc:Choice>
        </mc:AlternateContent>
        <mc:AlternateContent xmlns:mc="http://schemas.openxmlformats.org/markup-compatibility/2006">
          <mc:Choice Requires="x14">
            <control shapeId="2363" r:id="rId92" name="Drop Down 1339">
              <controlPr defaultSize="0" autoLine="0" autoPict="0">
                <anchor moveWithCells="1">
                  <from>
                    <xdr:col>4</xdr:col>
                    <xdr:colOff>30480</xdr:colOff>
                    <xdr:row>1147</xdr:row>
                    <xdr:rowOff>0</xdr:rowOff>
                  </from>
                  <to>
                    <xdr:col>5</xdr:col>
                    <xdr:colOff>800100</xdr:colOff>
                    <xdr:row>1147</xdr:row>
                    <xdr:rowOff>320040</xdr:rowOff>
                  </to>
                </anchor>
              </controlPr>
            </control>
          </mc:Choice>
        </mc:AlternateContent>
        <mc:AlternateContent xmlns:mc="http://schemas.openxmlformats.org/markup-compatibility/2006">
          <mc:Choice Requires="x14">
            <control shapeId="2364" r:id="rId93" name="Drop Down 1340">
              <controlPr defaultSize="0" autoLine="0" autoPict="0">
                <anchor moveWithCells="1">
                  <from>
                    <xdr:col>4</xdr:col>
                    <xdr:colOff>30480</xdr:colOff>
                    <xdr:row>1148</xdr:row>
                    <xdr:rowOff>0</xdr:rowOff>
                  </from>
                  <to>
                    <xdr:col>5</xdr:col>
                    <xdr:colOff>815340</xdr:colOff>
                    <xdr:row>1148</xdr:row>
                    <xdr:rowOff>320040</xdr:rowOff>
                  </to>
                </anchor>
              </controlPr>
            </control>
          </mc:Choice>
        </mc:AlternateContent>
        <mc:AlternateContent xmlns:mc="http://schemas.openxmlformats.org/markup-compatibility/2006">
          <mc:Choice Requires="x14">
            <control shapeId="2367" r:id="rId94" name="Drop Down 1343">
              <controlPr defaultSize="0" autoLine="0" autoPict="0">
                <anchor moveWithCells="1">
                  <from>
                    <xdr:col>10</xdr:col>
                    <xdr:colOff>15240</xdr:colOff>
                    <xdr:row>1147</xdr:row>
                    <xdr:rowOff>0</xdr:rowOff>
                  </from>
                  <to>
                    <xdr:col>10</xdr:col>
                    <xdr:colOff>1821180</xdr:colOff>
                    <xdr:row>1147</xdr:row>
                    <xdr:rowOff>320040</xdr:rowOff>
                  </to>
                </anchor>
              </controlPr>
            </control>
          </mc:Choice>
        </mc:AlternateContent>
        <mc:AlternateContent xmlns:mc="http://schemas.openxmlformats.org/markup-compatibility/2006">
          <mc:Choice Requires="x14">
            <control shapeId="2368" r:id="rId95" name="Drop Down 1344">
              <controlPr defaultSize="0" autoLine="0" autoPict="0">
                <anchor moveWithCells="1">
                  <from>
                    <xdr:col>10</xdr:col>
                    <xdr:colOff>15240</xdr:colOff>
                    <xdr:row>1148</xdr:row>
                    <xdr:rowOff>0</xdr:rowOff>
                  </from>
                  <to>
                    <xdr:col>10</xdr:col>
                    <xdr:colOff>1821180</xdr:colOff>
                    <xdr:row>1148</xdr:row>
                    <xdr:rowOff>320040</xdr:rowOff>
                  </to>
                </anchor>
              </controlPr>
            </control>
          </mc:Choice>
        </mc:AlternateContent>
        <mc:AlternateContent xmlns:mc="http://schemas.openxmlformats.org/markup-compatibility/2006">
          <mc:Choice Requires="x14">
            <control shapeId="2371" r:id="rId96" name="Drop Down 1347">
              <controlPr defaultSize="0" autoLine="0" autoPict="0">
                <anchor moveWithCells="1">
                  <from>
                    <xdr:col>10</xdr:col>
                    <xdr:colOff>15240</xdr:colOff>
                    <xdr:row>1146</xdr:row>
                    <xdr:rowOff>0</xdr:rowOff>
                  </from>
                  <to>
                    <xdr:col>10</xdr:col>
                    <xdr:colOff>1821180</xdr:colOff>
                    <xdr:row>1146</xdr:row>
                    <xdr:rowOff>320040</xdr:rowOff>
                  </to>
                </anchor>
              </controlPr>
            </control>
          </mc:Choice>
        </mc:AlternateContent>
        <mc:AlternateContent xmlns:mc="http://schemas.openxmlformats.org/markup-compatibility/2006">
          <mc:Choice Requires="x14">
            <control shapeId="2372" r:id="rId97" name="Drop Down 1348">
              <controlPr defaultSize="0" autoLine="0" autoPict="0">
                <anchor moveWithCells="1">
                  <from>
                    <xdr:col>2</xdr:col>
                    <xdr:colOff>15240</xdr:colOff>
                    <xdr:row>1146</xdr:row>
                    <xdr:rowOff>0</xdr:rowOff>
                  </from>
                  <to>
                    <xdr:col>4</xdr:col>
                    <xdr:colOff>0</xdr:colOff>
                    <xdr:row>1146</xdr:row>
                    <xdr:rowOff>320040</xdr:rowOff>
                  </to>
                </anchor>
              </controlPr>
            </control>
          </mc:Choice>
        </mc:AlternateContent>
        <mc:AlternateContent xmlns:mc="http://schemas.openxmlformats.org/markup-compatibility/2006">
          <mc:Choice Requires="x14">
            <control shapeId="2373" r:id="rId98" name="Drop Down 1349">
              <controlPr defaultSize="0" autoLine="0" autoPict="0">
                <anchor moveWithCells="1">
                  <from>
                    <xdr:col>2</xdr:col>
                    <xdr:colOff>15240</xdr:colOff>
                    <xdr:row>1147</xdr:row>
                    <xdr:rowOff>0</xdr:rowOff>
                  </from>
                  <to>
                    <xdr:col>4</xdr:col>
                    <xdr:colOff>0</xdr:colOff>
                    <xdr:row>1147</xdr:row>
                    <xdr:rowOff>320040</xdr:rowOff>
                  </to>
                </anchor>
              </controlPr>
            </control>
          </mc:Choice>
        </mc:AlternateContent>
        <mc:AlternateContent xmlns:mc="http://schemas.openxmlformats.org/markup-compatibility/2006">
          <mc:Choice Requires="x14">
            <control shapeId="2374" r:id="rId99" name="Drop Down 1350">
              <controlPr defaultSize="0" autoLine="0" autoPict="0">
                <anchor moveWithCells="1">
                  <from>
                    <xdr:col>2</xdr:col>
                    <xdr:colOff>15240</xdr:colOff>
                    <xdr:row>1148</xdr:row>
                    <xdr:rowOff>0</xdr:rowOff>
                  </from>
                  <to>
                    <xdr:col>3</xdr:col>
                    <xdr:colOff>853440</xdr:colOff>
                    <xdr:row>1148</xdr:row>
                    <xdr:rowOff>320040</xdr:rowOff>
                  </to>
                </anchor>
              </controlPr>
            </control>
          </mc:Choice>
        </mc:AlternateContent>
        <mc:AlternateContent xmlns:mc="http://schemas.openxmlformats.org/markup-compatibility/2006">
          <mc:Choice Requires="x14">
            <control shapeId="2398" r:id="rId100" name="Drop Down 1374">
              <controlPr defaultSize="0" autoLine="0" autoPict="0">
                <anchor moveWithCells="1">
                  <from>
                    <xdr:col>4</xdr:col>
                    <xdr:colOff>30480</xdr:colOff>
                    <xdr:row>1246</xdr:row>
                    <xdr:rowOff>0</xdr:rowOff>
                  </from>
                  <to>
                    <xdr:col>5</xdr:col>
                    <xdr:colOff>815340</xdr:colOff>
                    <xdr:row>1246</xdr:row>
                    <xdr:rowOff>320040</xdr:rowOff>
                  </to>
                </anchor>
              </controlPr>
            </control>
          </mc:Choice>
        </mc:AlternateContent>
        <mc:AlternateContent xmlns:mc="http://schemas.openxmlformats.org/markup-compatibility/2006">
          <mc:Choice Requires="x14">
            <control shapeId="2399" r:id="rId101" name="Drop Down 1375">
              <controlPr defaultSize="0" autoLine="0" autoPict="0">
                <anchor moveWithCells="1">
                  <from>
                    <xdr:col>4</xdr:col>
                    <xdr:colOff>38100</xdr:colOff>
                    <xdr:row>1247</xdr:row>
                    <xdr:rowOff>0</xdr:rowOff>
                  </from>
                  <to>
                    <xdr:col>5</xdr:col>
                    <xdr:colOff>815340</xdr:colOff>
                    <xdr:row>1248</xdr:row>
                    <xdr:rowOff>0</xdr:rowOff>
                  </to>
                </anchor>
              </controlPr>
            </control>
          </mc:Choice>
        </mc:AlternateContent>
        <mc:AlternateContent xmlns:mc="http://schemas.openxmlformats.org/markup-compatibility/2006">
          <mc:Choice Requires="x14">
            <control shapeId="2400" r:id="rId102" name="Drop Down 1376">
              <controlPr defaultSize="0" autoLine="0" autoPict="0">
                <anchor moveWithCells="1">
                  <from>
                    <xdr:col>4</xdr:col>
                    <xdr:colOff>38100</xdr:colOff>
                    <xdr:row>1248</xdr:row>
                    <xdr:rowOff>0</xdr:rowOff>
                  </from>
                  <to>
                    <xdr:col>5</xdr:col>
                    <xdr:colOff>815340</xdr:colOff>
                    <xdr:row>1248</xdr:row>
                    <xdr:rowOff>320040</xdr:rowOff>
                  </to>
                </anchor>
              </controlPr>
            </control>
          </mc:Choice>
        </mc:AlternateContent>
        <mc:AlternateContent xmlns:mc="http://schemas.openxmlformats.org/markup-compatibility/2006">
          <mc:Choice Requires="x14">
            <control shapeId="2403" r:id="rId103" name="Drop Down 1379">
              <controlPr defaultSize="0" autoLine="0" autoPict="0">
                <anchor moveWithCells="1">
                  <from>
                    <xdr:col>10</xdr:col>
                    <xdr:colOff>15240</xdr:colOff>
                    <xdr:row>1247</xdr:row>
                    <xdr:rowOff>0</xdr:rowOff>
                  </from>
                  <to>
                    <xdr:col>10</xdr:col>
                    <xdr:colOff>1821180</xdr:colOff>
                    <xdr:row>1247</xdr:row>
                    <xdr:rowOff>320040</xdr:rowOff>
                  </to>
                </anchor>
              </controlPr>
            </control>
          </mc:Choice>
        </mc:AlternateContent>
        <mc:AlternateContent xmlns:mc="http://schemas.openxmlformats.org/markup-compatibility/2006">
          <mc:Choice Requires="x14">
            <control shapeId="2404" r:id="rId104" name="Drop Down 1380">
              <controlPr defaultSize="0" autoLine="0" autoPict="0">
                <anchor moveWithCells="1">
                  <from>
                    <xdr:col>10</xdr:col>
                    <xdr:colOff>15240</xdr:colOff>
                    <xdr:row>1248</xdr:row>
                    <xdr:rowOff>0</xdr:rowOff>
                  </from>
                  <to>
                    <xdr:col>10</xdr:col>
                    <xdr:colOff>1821180</xdr:colOff>
                    <xdr:row>1248</xdr:row>
                    <xdr:rowOff>320040</xdr:rowOff>
                  </to>
                </anchor>
              </controlPr>
            </control>
          </mc:Choice>
        </mc:AlternateContent>
        <mc:AlternateContent xmlns:mc="http://schemas.openxmlformats.org/markup-compatibility/2006">
          <mc:Choice Requires="x14">
            <control shapeId="2407" r:id="rId105" name="Drop Down 1383">
              <controlPr defaultSize="0" autoLine="0" autoPict="0">
                <anchor moveWithCells="1">
                  <from>
                    <xdr:col>10</xdr:col>
                    <xdr:colOff>15240</xdr:colOff>
                    <xdr:row>1246</xdr:row>
                    <xdr:rowOff>0</xdr:rowOff>
                  </from>
                  <to>
                    <xdr:col>10</xdr:col>
                    <xdr:colOff>1821180</xdr:colOff>
                    <xdr:row>1246</xdr:row>
                    <xdr:rowOff>320040</xdr:rowOff>
                  </to>
                </anchor>
              </controlPr>
            </control>
          </mc:Choice>
        </mc:AlternateContent>
        <mc:AlternateContent xmlns:mc="http://schemas.openxmlformats.org/markup-compatibility/2006">
          <mc:Choice Requires="x14">
            <control shapeId="2408" r:id="rId106" name="Drop Down 1384">
              <controlPr defaultSize="0" autoLine="0" autoPict="0">
                <anchor moveWithCells="1">
                  <from>
                    <xdr:col>2</xdr:col>
                    <xdr:colOff>15240</xdr:colOff>
                    <xdr:row>1246</xdr:row>
                    <xdr:rowOff>0</xdr:rowOff>
                  </from>
                  <to>
                    <xdr:col>3</xdr:col>
                    <xdr:colOff>853440</xdr:colOff>
                    <xdr:row>1247</xdr:row>
                    <xdr:rowOff>0</xdr:rowOff>
                  </to>
                </anchor>
              </controlPr>
            </control>
          </mc:Choice>
        </mc:AlternateContent>
        <mc:AlternateContent xmlns:mc="http://schemas.openxmlformats.org/markup-compatibility/2006">
          <mc:Choice Requires="x14">
            <control shapeId="2409" r:id="rId107" name="Drop Down 1385">
              <controlPr defaultSize="0" autoLine="0" autoPict="0">
                <anchor moveWithCells="1">
                  <from>
                    <xdr:col>2</xdr:col>
                    <xdr:colOff>15240</xdr:colOff>
                    <xdr:row>1247</xdr:row>
                    <xdr:rowOff>0</xdr:rowOff>
                  </from>
                  <to>
                    <xdr:col>4</xdr:col>
                    <xdr:colOff>0</xdr:colOff>
                    <xdr:row>1248</xdr:row>
                    <xdr:rowOff>0</xdr:rowOff>
                  </to>
                </anchor>
              </controlPr>
            </control>
          </mc:Choice>
        </mc:AlternateContent>
        <mc:AlternateContent xmlns:mc="http://schemas.openxmlformats.org/markup-compatibility/2006">
          <mc:Choice Requires="x14">
            <control shapeId="2410" r:id="rId108" name="Drop Down 1386">
              <controlPr defaultSize="0" autoLine="0" autoPict="0">
                <anchor moveWithCells="1">
                  <from>
                    <xdr:col>2</xdr:col>
                    <xdr:colOff>15240</xdr:colOff>
                    <xdr:row>1248</xdr:row>
                    <xdr:rowOff>0</xdr:rowOff>
                  </from>
                  <to>
                    <xdr:col>3</xdr:col>
                    <xdr:colOff>853440</xdr:colOff>
                    <xdr:row>1248</xdr:row>
                    <xdr:rowOff>320040</xdr:rowOff>
                  </to>
                </anchor>
              </controlPr>
            </control>
          </mc:Choice>
        </mc:AlternateContent>
        <mc:AlternateContent xmlns:mc="http://schemas.openxmlformats.org/markup-compatibility/2006">
          <mc:Choice Requires="x14">
            <control shapeId="2434" r:id="rId109" name="Drop Down 1410">
              <controlPr defaultSize="0" autoLine="0" autoPict="0">
                <anchor moveWithCells="1">
                  <from>
                    <xdr:col>4</xdr:col>
                    <xdr:colOff>30480</xdr:colOff>
                    <xdr:row>1346</xdr:row>
                    <xdr:rowOff>0</xdr:rowOff>
                  </from>
                  <to>
                    <xdr:col>5</xdr:col>
                    <xdr:colOff>815340</xdr:colOff>
                    <xdr:row>1347</xdr:row>
                    <xdr:rowOff>0</xdr:rowOff>
                  </to>
                </anchor>
              </controlPr>
            </control>
          </mc:Choice>
        </mc:AlternateContent>
        <mc:AlternateContent xmlns:mc="http://schemas.openxmlformats.org/markup-compatibility/2006">
          <mc:Choice Requires="x14">
            <control shapeId="2435" r:id="rId110" name="Drop Down 1411">
              <controlPr defaultSize="0" autoLine="0" autoPict="0">
                <anchor moveWithCells="1">
                  <from>
                    <xdr:col>4</xdr:col>
                    <xdr:colOff>30480</xdr:colOff>
                    <xdr:row>1347</xdr:row>
                    <xdr:rowOff>0</xdr:rowOff>
                  </from>
                  <to>
                    <xdr:col>5</xdr:col>
                    <xdr:colOff>815340</xdr:colOff>
                    <xdr:row>1348</xdr:row>
                    <xdr:rowOff>0</xdr:rowOff>
                  </to>
                </anchor>
              </controlPr>
            </control>
          </mc:Choice>
        </mc:AlternateContent>
        <mc:AlternateContent xmlns:mc="http://schemas.openxmlformats.org/markup-compatibility/2006">
          <mc:Choice Requires="x14">
            <control shapeId="2436" r:id="rId111" name="Drop Down 1412">
              <controlPr defaultSize="0" autoLine="0" autoPict="0">
                <anchor moveWithCells="1">
                  <from>
                    <xdr:col>4</xdr:col>
                    <xdr:colOff>30480</xdr:colOff>
                    <xdr:row>1348</xdr:row>
                    <xdr:rowOff>0</xdr:rowOff>
                  </from>
                  <to>
                    <xdr:col>5</xdr:col>
                    <xdr:colOff>815340</xdr:colOff>
                    <xdr:row>1349</xdr:row>
                    <xdr:rowOff>30480</xdr:rowOff>
                  </to>
                </anchor>
              </controlPr>
            </control>
          </mc:Choice>
        </mc:AlternateContent>
        <mc:AlternateContent xmlns:mc="http://schemas.openxmlformats.org/markup-compatibility/2006">
          <mc:Choice Requires="x14">
            <control shapeId="2439" r:id="rId112" name="Drop Down 1415">
              <controlPr defaultSize="0" autoLine="0" autoPict="0">
                <anchor moveWithCells="1">
                  <from>
                    <xdr:col>10</xdr:col>
                    <xdr:colOff>15240</xdr:colOff>
                    <xdr:row>1347</xdr:row>
                    <xdr:rowOff>0</xdr:rowOff>
                  </from>
                  <to>
                    <xdr:col>10</xdr:col>
                    <xdr:colOff>1821180</xdr:colOff>
                    <xdr:row>1347</xdr:row>
                    <xdr:rowOff>320040</xdr:rowOff>
                  </to>
                </anchor>
              </controlPr>
            </control>
          </mc:Choice>
        </mc:AlternateContent>
        <mc:AlternateContent xmlns:mc="http://schemas.openxmlformats.org/markup-compatibility/2006">
          <mc:Choice Requires="x14">
            <control shapeId="2440" r:id="rId113" name="Drop Down 1416">
              <controlPr defaultSize="0" autoLine="0" autoPict="0">
                <anchor moveWithCells="1">
                  <from>
                    <xdr:col>10</xdr:col>
                    <xdr:colOff>15240</xdr:colOff>
                    <xdr:row>1348</xdr:row>
                    <xdr:rowOff>0</xdr:rowOff>
                  </from>
                  <to>
                    <xdr:col>10</xdr:col>
                    <xdr:colOff>1821180</xdr:colOff>
                    <xdr:row>1348</xdr:row>
                    <xdr:rowOff>320040</xdr:rowOff>
                  </to>
                </anchor>
              </controlPr>
            </control>
          </mc:Choice>
        </mc:AlternateContent>
        <mc:AlternateContent xmlns:mc="http://schemas.openxmlformats.org/markup-compatibility/2006">
          <mc:Choice Requires="x14">
            <control shapeId="2443" r:id="rId114" name="Drop Down 1419">
              <controlPr defaultSize="0" autoLine="0" autoPict="0">
                <anchor moveWithCells="1">
                  <from>
                    <xdr:col>10</xdr:col>
                    <xdr:colOff>15240</xdr:colOff>
                    <xdr:row>1346</xdr:row>
                    <xdr:rowOff>0</xdr:rowOff>
                  </from>
                  <to>
                    <xdr:col>10</xdr:col>
                    <xdr:colOff>1821180</xdr:colOff>
                    <xdr:row>1346</xdr:row>
                    <xdr:rowOff>320040</xdr:rowOff>
                  </to>
                </anchor>
              </controlPr>
            </control>
          </mc:Choice>
        </mc:AlternateContent>
        <mc:AlternateContent xmlns:mc="http://schemas.openxmlformats.org/markup-compatibility/2006">
          <mc:Choice Requires="x14">
            <control shapeId="2444" r:id="rId115" name="Drop Down 1420">
              <controlPr defaultSize="0" autoLine="0" autoPict="0">
                <anchor moveWithCells="1">
                  <from>
                    <xdr:col>2</xdr:col>
                    <xdr:colOff>15240</xdr:colOff>
                    <xdr:row>1346</xdr:row>
                    <xdr:rowOff>0</xdr:rowOff>
                  </from>
                  <to>
                    <xdr:col>4</xdr:col>
                    <xdr:colOff>0</xdr:colOff>
                    <xdr:row>1346</xdr:row>
                    <xdr:rowOff>320040</xdr:rowOff>
                  </to>
                </anchor>
              </controlPr>
            </control>
          </mc:Choice>
        </mc:AlternateContent>
        <mc:AlternateContent xmlns:mc="http://schemas.openxmlformats.org/markup-compatibility/2006">
          <mc:Choice Requires="x14">
            <control shapeId="2445" r:id="rId116" name="Drop Down 1421">
              <controlPr defaultSize="0" autoLine="0" autoPict="0">
                <anchor moveWithCells="1">
                  <from>
                    <xdr:col>2</xdr:col>
                    <xdr:colOff>15240</xdr:colOff>
                    <xdr:row>1347</xdr:row>
                    <xdr:rowOff>0</xdr:rowOff>
                  </from>
                  <to>
                    <xdr:col>4</xdr:col>
                    <xdr:colOff>0</xdr:colOff>
                    <xdr:row>1348</xdr:row>
                    <xdr:rowOff>15240</xdr:rowOff>
                  </to>
                </anchor>
              </controlPr>
            </control>
          </mc:Choice>
        </mc:AlternateContent>
        <mc:AlternateContent xmlns:mc="http://schemas.openxmlformats.org/markup-compatibility/2006">
          <mc:Choice Requires="x14">
            <control shapeId="2446" r:id="rId117" name="Drop Down 1422">
              <controlPr defaultSize="0" autoLine="0" autoPict="0">
                <anchor moveWithCells="1">
                  <from>
                    <xdr:col>2</xdr:col>
                    <xdr:colOff>15240</xdr:colOff>
                    <xdr:row>1348</xdr:row>
                    <xdr:rowOff>0</xdr:rowOff>
                  </from>
                  <to>
                    <xdr:col>3</xdr:col>
                    <xdr:colOff>853440</xdr:colOff>
                    <xdr:row>1349</xdr:row>
                    <xdr:rowOff>0</xdr:rowOff>
                  </to>
                </anchor>
              </controlPr>
            </control>
          </mc:Choice>
        </mc:AlternateContent>
        <mc:AlternateContent xmlns:mc="http://schemas.openxmlformats.org/markup-compatibility/2006">
          <mc:Choice Requires="x14">
            <control shapeId="2470" r:id="rId118" name="Drop Down 1446">
              <controlPr defaultSize="0" autoLine="0" autoPict="0">
                <anchor moveWithCells="1">
                  <from>
                    <xdr:col>4</xdr:col>
                    <xdr:colOff>30480</xdr:colOff>
                    <xdr:row>1446</xdr:row>
                    <xdr:rowOff>0</xdr:rowOff>
                  </from>
                  <to>
                    <xdr:col>6</xdr:col>
                    <xdr:colOff>0</xdr:colOff>
                    <xdr:row>1447</xdr:row>
                    <xdr:rowOff>0</xdr:rowOff>
                  </to>
                </anchor>
              </controlPr>
            </control>
          </mc:Choice>
        </mc:AlternateContent>
        <mc:AlternateContent xmlns:mc="http://schemas.openxmlformats.org/markup-compatibility/2006">
          <mc:Choice Requires="x14">
            <control shapeId="2471" r:id="rId119" name="Drop Down 1447">
              <controlPr defaultSize="0" autoLine="0" autoPict="0">
                <anchor moveWithCells="1">
                  <from>
                    <xdr:col>4</xdr:col>
                    <xdr:colOff>30480</xdr:colOff>
                    <xdr:row>1447</xdr:row>
                    <xdr:rowOff>0</xdr:rowOff>
                  </from>
                  <to>
                    <xdr:col>6</xdr:col>
                    <xdr:colOff>0</xdr:colOff>
                    <xdr:row>1448</xdr:row>
                    <xdr:rowOff>0</xdr:rowOff>
                  </to>
                </anchor>
              </controlPr>
            </control>
          </mc:Choice>
        </mc:AlternateContent>
        <mc:AlternateContent xmlns:mc="http://schemas.openxmlformats.org/markup-compatibility/2006">
          <mc:Choice Requires="x14">
            <control shapeId="2472" r:id="rId120" name="Drop Down 1448">
              <controlPr defaultSize="0" autoLine="0" autoPict="0">
                <anchor moveWithCells="1">
                  <from>
                    <xdr:col>4</xdr:col>
                    <xdr:colOff>38100</xdr:colOff>
                    <xdr:row>1448</xdr:row>
                    <xdr:rowOff>0</xdr:rowOff>
                  </from>
                  <to>
                    <xdr:col>6</xdr:col>
                    <xdr:colOff>0</xdr:colOff>
                    <xdr:row>1449</xdr:row>
                    <xdr:rowOff>0</xdr:rowOff>
                  </to>
                </anchor>
              </controlPr>
            </control>
          </mc:Choice>
        </mc:AlternateContent>
        <mc:AlternateContent xmlns:mc="http://schemas.openxmlformats.org/markup-compatibility/2006">
          <mc:Choice Requires="x14">
            <control shapeId="2475" r:id="rId121" name="Drop Down 1451">
              <controlPr defaultSize="0" autoLine="0" autoPict="0">
                <anchor moveWithCells="1">
                  <from>
                    <xdr:col>10</xdr:col>
                    <xdr:colOff>15240</xdr:colOff>
                    <xdr:row>1447</xdr:row>
                    <xdr:rowOff>0</xdr:rowOff>
                  </from>
                  <to>
                    <xdr:col>10</xdr:col>
                    <xdr:colOff>1821180</xdr:colOff>
                    <xdr:row>1447</xdr:row>
                    <xdr:rowOff>320040</xdr:rowOff>
                  </to>
                </anchor>
              </controlPr>
            </control>
          </mc:Choice>
        </mc:AlternateContent>
        <mc:AlternateContent xmlns:mc="http://schemas.openxmlformats.org/markup-compatibility/2006">
          <mc:Choice Requires="x14">
            <control shapeId="2476" r:id="rId122" name="Drop Down 1452">
              <controlPr defaultSize="0" autoLine="0" autoPict="0">
                <anchor moveWithCells="1">
                  <from>
                    <xdr:col>10</xdr:col>
                    <xdr:colOff>15240</xdr:colOff>
                    <xdr:row>1448</xdr:row>
                    <xdr:rowOff>0</xdr:rowOff>
                  </from>
                  <to>
                    <xdr:col>10</xdr:col>
                    <xdr:colOff>1821180</xdr:colOff>
                    <xdr:row>1448</xdr:row>
                    <xdr:rowOff>320040</xdr:rowOff>
                  </to>
                </anchor>
              </controlPr>
            </control>
          </mc:Choice>
        </mc:AlternateContent>
        <mc:AlternateContent xmlns:mc="http://schemas.openxmlformats.org/markup-compatibility/2006">
          <mc:Choice Requires="x14">
            <control shapeId="2479" r:id="rId123" name="Drop Down 1455">
              <controlPr defaultSize="0" autoLine="0" autoPict="0">
                <anchor moveWithCells="1">
                  <from>
                    <xdr:col>10</xdr:col>
                    <xdr:colOff>15240</xdr:colOff>
                    <xdr:row>1446</xdr:row>
                    <xdr:rowOff>0</xdr:rowOff>
                  </from>
                  <to>
                    <xdr:col>10</xdr:col>
                    <xdr:colOff>1821180</xdr:colOff>
                    <xdr:row>1446</xdr:row>
                    <xdr:rowOff>320040</xdr:rowOff>
                  </to>
                </anchor>
              </controlPr>
            </control>
          </mc:Choice>
        </mc:AlternateContent>
        <mc:AlternateContent xmlns:mc="http://schemas.openxmlformats.org/markup-compatibility/2006">
          <mc:Choice Requires="x14">
            <control shapeId="2480" r:id="rId124" name="Drop Down 1456">
              <controlPr defaultSize="0" autoLine="0" autoPict="0">
                <anchor moveWithCells="1">
                  <from>
                    <xdr:col>2</xdr:col>
                    <xdr:colOff>15240</xdr:colOff>
                    <xdr:row>1446</xdr:row>
                    <xdr:rowOff>0</xdr:rowOff>
                  </from>
                  <to>
                    <xdr:col>4</xdr:col>
                    <xdr:colOff>0</xdr:colOff>
                    <xdr:row>1446</xdr:row>
                    <xdr:rowOff>320040</xdr:rowOff>
                  </to>
                </anchor>
              </controlPr>
            </control>
          </mc:Choice>
        </mc:AlternateContent>
        <mc:AlternateContent xmlns:mc="http://schemas.openxmlformats.org/markup-compatibility/2006">
          <mc:Choice Requires="x14">
            <control shapeId="2481" r:id="rId125" name="Drop Down 1457">
              <controlPr defaultSize="0" autoLine="0" autoPict="0">
                <anchor moveWithCells="1">
                  <from>
                    <xdr:col>2</xdr:col>
                    <xdr:colOff>15240</xdr:colOff>
                    <xdr:row>1447</xdr:row>
                    <xdr:rowOff>0</xdr:rowOff>
                  </from>
                  <to>
                    <xdr:col>3</xdr:col>
                    <xdr:colOff>853440</xdr:colOff>
                    <xdr:row>1448</xdr:row>
                    <xdr:rowOff>0</xdr:rowOff>
                  </to>
                </anchor>
              </controlPr>
            </control>
          </mc:Choice>
        </mc:AlternateContent>
        <mc:AlternateContent xmlns:mc="http://schemas.openxmlformats.org/markup-compatibility/2006">
          <mc:Choice Requires="x14">
            <control shapeId="2482" r:id="rId126" name="Drop Down 1458">
              <controlPr defaultSize="0" autoLine="0" autoPict="0">
                <anchor moveWithCells="1">
                  <from>
                    <xdr:col>2</xdr:col>
                    <xdr:colOff>15240</xdr:colOff>
                    <xdr:row>1448</xdr:row>
                    <xdr:rowOff>0</xdr:rowOff>
                  </from>
                  <to>
                    <xdr:col>3</xdr:col>
                    <xdr:colOff>853440</xdr:colOff>
                    <xdr:row>1449</xdr:row>
                    <xdr:rowOff>0</xdr:rowOff>
                  </to>
                </anchor>
              </controlPr>
            </control>
          </mc:Choice>
        </mc:AlternateContent>
        <mc:AlternateContent xmlns:mc="http://schemas.openxmlformats.org/markup-compatibility/2006">
          <mc:Choice Requires="x14">
            <control shapeId="2506" r:id="rId127" name="Drop Down 1482">
              <controlPr defaultSize="0" autoLine="0" autoPict="0">
                <anchor moveWithCells="1">
                  <from>
                    <xdr:col>3</xdr:col>
                    <xdr:colOff>15240</xdr:colOff>
                    <xdr:row>75</xdr:row>
                    <xdr:rowOff>0</xdr:rowOff>
                  </from>
                  <to>
                    <xdr:col>5</xdr:col>
                    <xdr:colOff>0</xdr:colOff>
                    <xdr:row>75</xdr:row>
                    <xdr:rowOff>220980</xdr:rowOff>
                  </to>
                </anchor>
              </controlPr>
            </control>
          </mc:Choice>
        </mc:AlternateContent>
        <mc:AlternateContent xmlns:mc="http://schemas.openxmlformats.org/markup-compatibility/2006">
          <mc:Choice Requires="x14">
            <control shapeId="2507" r:id="rId128" name="Drop Down 1483">
              <controlPr defaultSize="0" autoLine="0" autoPict="0">
                <anchor moveWithCells="1">
                  <from>
                    <xdr:col>3</xdr:col>
                    <xdr:colOff>15240</xdr:colOff>
                    <xdr:row>175</xdr:row>
                    <xdr:rowOff>0</xdr:rowOff>
                  </from>
                  <to>
                    <xdr:col>5</xdr:col>
                    <xdr:colOff>0</xdr:colOff>
                    <xdr:row>175</xdr:row>
                    <xdr:rowOff>220980</xdr:rowOff>
                  </to>
                </anchor>
              </controlPr>
            </control>
          </mc:Choice>
        </mc:AlternateContent>
        <mc:AlternateContent xmlns:mc="http://schemas.openxmlformats.org/markup-compatibility/2006">
          <mc:Choice Requires="x14">
            <control shapeId="2508" r:id="rId129" name="Drop Down 1484">
              <controlPr defaultSize="0" autoLine="0" autoPict="0">
                <anchor moveWithCells="1">
                  <from>
                    <xdr:col>3</xdr:col>
                    <xdr:colOff>15240</xdr:colOff>
                    <xdr:row>275</xdr:row>
                    <xdr:rowOff>0</xdr:rowOff>
                  </from>
                  <to>
                    <xdr:col>5</xdr:col>
                    <xdr:colOff>0</xdr:colOff>
                    <xdr:row>275</xdr:row>
                    <xdr:rowOff>220980</xdr:rowOff>
                  </to>
                </anchor>
              </controlPr>
            </control>
          </mc:Choice>
        </mc:AlternateContent>
        <mc:AlternateContent xmlns:mc="http://schemas.openxmlformats.org/markup-compatibility/2006">
          <mc:Choice Requires="x14">
            <control shapeId="2510" r:id="rId130" name="Drop Down 1486">
              <controlPr defaultSize="0" autoLine="0" autoPict="0">
                <anchor moveWithCells="1">
                  <from>
                    <xdr:col>3</xdr:col>
                    <xdr:colOff>15240</xdr:colOff>
                    <xdr:row>475</xdr:row>
                    <xdr:rowOff>0</xdr:rowOff>
                  </from>
                  <to>
                    <xdr:col>5</xdr:col>
                    <xdr:colOff>0</xdr:colOff>
                    <xdr:row>475</xdr:row>
                    <xdr:rowOff>220980</xdr:rowOff>
                  </to>
                </anchor>
              </controlPr>
            </control>
          </mc:Choice>
        </mc:AlternateContent>
        <mc:AlternateContent xmlns:mc="http://schemas.openxmlformats.org/markup-compatibility/2006">
          <mc:Choice Requires="x14">
            <control shapeId="2511" r:id="rId131" name="Drop Down 1487">
              <controlPr defaultSize="0" autoLine="0" autoPict="0">
                <anchor moveWithCells="1">
                  <from>
                    <xdr:col>3</xdr:col>
                    <xdr:colOff>15240</xdr:colOff>
                    <xdr:row>575</xdr:row>
                    <xdr:rowOff>0</xdr:rowOff>
                  </from>
                  <to>
                    <xdr:col>5</xdr:col>
                    <xdr:colOff>0</xdr:colOff>
                    <xdr:row>575</xdr:row>
                    <xdr:rowOff>220980</xdr:rowOff>
                  </to>
                </anchor>
              </controlPr>
            </control>
          </mc:Choice>
        </mc:AlternateContent>
        <mc:AlternateContent xmlns:mc="http://schemas.openxmlformats.org/markup-compatibility/2006">
          <mc:Choice Requires="x14">
            <control shapeId="2512" r:id="rId132" name="Drop Down 1488">
              <controlPr defaultSize="0" autoLine="0" autoPict="0">
                <anchor moveWithCells="1">
                  <from>
                    <xdr:col>3</xdr:col>
                    <xdr:colOff>15240</xdr:colOff>
                    <xdr:row>675</xdr:row>
                    <xdr:rowOff>0</xdr:rowOff>
                  </from>
                  <to>
                    <xdr:col>5</xdr:col>
                    <xdr:colOff>0</xdr:colOff>
                    <xdr:row>675</xdr:row>
                    <xdr:rowOff>220980</xdr:rowOff>
                  </to>
                </anchor>
              </controlPr>
            </control>
          </mc:Choice>
        </mc:AlternateContent>
        <mc:AlternateContent xmlns:mc="http://schemas.openxmlformats.org/markup-compatibility/2006">
          <mc:Choice Requires="x14">
            <control shapeId="2513" r:id="rId133" name="Drop Down 1489">
              <controlPr defaultSize="0" autoLine="0" autoPict="0">
                <anchor moveWithCells="1">
                  <from>
                    <xdr:col>3</xdr:col>
                    <xdr:colOff>15240</xdr:colOff>
                    <xdr:row>775</xdr:row>
                    <xdr:rowOff>0</xdr:rowOff>
                  </from>
                  <to>
                    <xdr:col>5</xdr:col>
                    <xdr:colOff>0</xdr:colOff>
                    <xdr:row>775</xdr:row>
                    <xdr:rowOff>220980</xdr:rowOff>
                  </to>
                </anchor>
              </controlPr>
            </control>
          </mc:Choice>
        </mc:AlternateContent>
        <mc:AlternateContent xmlns:mc="http://schemas.openxmlformats.org/markup-compatibility/2006">
          <mc:Choice Requires="x14">
            <control shapeId="2514" r:id="rId134" name="Drop Down 1490">
              <controlPr defaultSize="0" autoLine="0" autoPict="0">
                <anchor moveWithCells="1">
                  <from>
                    <xdr:col>3</xdr:col>
                    <xdr:colOff>15240</xdr:colOff>
                    <xdr:row>875</xdr:row>
                    <xdr:rowOff>0</xdr:rowOff>
                  </from>
                  <to>
                    <xdr:col>5</xdr:col>
                    <xdr:colOff>0</xdr:colOff>
                    <xdr:row>875</xdr:row>
                    <xdr:rowOff>220980</xdr:rowOff>
                  </to>
                </anchor>
              </controlPr>
            </control>
          </mc:Choice>
        </mc:AlternateContent>
        <mc:AlternateContent xmlns:mc="http://schemas.openxmlformats.org/markup-compatibility/2006">
          <mc:Choice Requires="x14">
            <control shapeId="2515" r:id="rId135" name="Drop Down 1491">
              <controlPr defaultSize="0" autoLine="0" autoPict="0">
                <anchor moveWithCells="1">
                  <from>
                    <xdr:col>3</xdr:col>
                    <xdr:colOff>15240</xdr:colOff>
                    <xdr:row>975</xdr:row>
                    <xdr:rowOff>0</xdr:rowOff>
                  </from>
                  <to>
                    <xdr:col>5</xdr:col>
                    <xdr:colOff>0</xdr:colOff>
                    <xdr:row>975</xdr:row>
                    <xdr:rowOff>220980</xdr:rowOff>
                  </to>
                </anchor>
              </controlPr>
            </control>
          </mc:Choice>
        </mc:AlternateContent>
        <mc:AlternateContent xmlns:mc="http://schemas.openxmlformats.org/markup-compatibility/2006">
          <mc:Choice Requires="x14">
            <control shapeId="2516" r:id="rId136" name="Drop Down 1492">
              <controlPr defaultSize="0" autoLine="0" autoPict="0">
                <anchor moveWithCells="1">
                  <from>
                    <xdr:col>3</xdr:col>
                    <xdr:colOff>15240</xdr:colOff>
                    <xdr:row>1075</xdr:row>
                    <xdr:rowOff>0</xdr:rowOff>
                  </from>
                  <to>
                    <xdr:col>5</xdr:col>
                    <xdr:colOff>0</xdr:colOff>
                    <xdr:row>1075</xdr:row>
                    <xdr:rowOff>220980</xdr:rowOff>
                  </to>
                </anchor>
              </controlPr>
            </control>
          </mc:Choice>
        </mc:AlternateContent>
        <mc:AlternateContent xmlns:mc="http://schemas.openxmlformats.org/markup-compatibility/2006">
          <mc:Choice Requires="x14">
            <control shapeId="2517" r:id="rId137" name="Drop Down 1493">
              <controlPr defaultSize="0" autoLine="0" autoPict="0">
                <anchor moveWithCells="1">
                  <from>
                    <xdr:col>3</xdr:col>
                    <xdr:colOff>15240</xdr:colOff>
                    <xdr:row>1175</xdr:row>
                    <xdr:rowOff>0</xdr:rowOff>
                  </from>
                  <to>
                    <xdr:col>5</xdr:col>
                    <xdr:colOff>0</xdr:colOff>
                    <xdr:row>1175</xdr:row>
                    <xdr:rowOff>220980</xdr:rowOff>
                  </to>
                </anchor>
              </controlPr>
            </control>
          </mc:Choice>
        </mc:AlternateContent>
        <mc:AlternateContent xmlns:mc="http://schemas.openxmlformats.org/markup-compatibility/2006">
          <mc:Choice Requires="x14">
            <control shapeId="2518" r:id="rId138" name="Drop Down 1494">
              <controlPr defaultSize="0" autoLine="0" autoPict="0">
                <anchor moveWithCells="1">
                  <from>
                    <xdr:col>3</xdr:col>
                    <xdr:colOff>15240</xdr:colOff>
                    <xdr:row>1275</xdr:row>
                    <xdr:rowOff>0</xdr:rowOff>
                  </from>
                  <to>
                    <xdr:col>5</xdr:col>
                    <xdr:colOff>0</xdr:colOff>
                    <xdr:row>1275</xdr:row>
                    <xdr:rowOff>220980</xdr:rowOff>
                  </to>
                </anchor>
              </controlPr>
            </control>
          </mc:Choice>
        </mc:AlternateContent>
        <mc:AlternateContent xmlns:mc="http://schemas.openxmlformats.org/markup-compatibility/2006">
          <mc:Choice Requires="x14">
            <control shapeId="2519" r:id="rId139" name="Drop Down 1495">
              <controlPr defaultSize="0" autoLine="0" autoPict="0">
                <anchor moveWithCells="1">
                  <from>
                    <xdr:col>3</xdr:col>
                    <xdr:colOff>15240</xdr:colOff>
                    <xdr:row>1375</xdr:row>
                    <xdr:rowOff>0</xdr:rowOff>
                  </from>
                  <to>
                    <xdr:col>5</xdr:col>
                    <xdr:colOff>0</xdr:colOff>
                    <xdr:row>1375</xdr:row>
                    <xdr:rowOff>220980</xdr:rowOff>
                  </to>
                </anchor>
              </controlPr>
            </control>
          </mc:Choice>
        </mc:AlternateContent>
        <mc:AlternateContent xmlns:mc="http://schemas.openxmlformats.org/markup-compatibility/2006">
          <mc:Choice Requires="x14">
            <control shapeId="2520" r:id="rId140" name="Drop Down 1496">
              <controlPr defaultSize="0" autoLine="0" autoPict="0">
                <anchor moveWithCells="1">
                  <from>
                    <xdr:col>3</xdr:col>
                    <xdr:colOff>15240</xdr:colOff>
                    <xdr:row>1475</xdr:row>
                    <xdr:rowOff>0</xdr:rowOff>
                  </from>
                  <to>
                    <xdr:col>5</xdr:col>
                    <xdr:colOff>0</xdr:colOff>
                    <xdr:row>1475</xdr:row>
                    <xdr:rowOff>220980</xdr:rowOff>
                  </to>
                </anchor>
              </controlPr>
            </control>
          </mc:Choice>
        </mc:AlternateContent>
        <mc:AlternateContent xmlns:mc="http://schemas.openxmlformats.org/markup-compatibility/2006">
          <mc:Choice Requires="x14">
            <control shapeId="2521" r:id="rId141" name="Drop Down 1497">
              <controlPr defaultSize="0" autoLine="0" autoPict="0">
                <anchor moveWithCells="1">
                  <from>
                    <xdr:col>4</xdr:col>
                    <xdr:colOff>30480</xdr:colOff>
                    <xdr:row>1546</xdr:row>
                    <xdr:rowOff>0</xdr:rowOff>
                  </from>
                  <to>
                    <xdr:col>6</xdr:col>
                    <xdr:colOff>0</xdr:colOff>
                    <xdr:row>1547</xdr:row>
                    <xdr:rowOff>0</xdr:rowOff>
                  </to>
                </anchor>
              </controlPr>
            </control>
          </mc:Choice>
        </mc:AlternateContent>
        <mc:AlternateContent xmlns:mc="http://schemas.openxmlformats.org/markup-compatibility/2006">
          <mc:Choice Requires="x14">
            <control shapeId="2522" r:id="rId142" name="Drop Down 1498">
              <controlPr defaultSize="0" autoLine="0" autoPict="0">
                <anchor moveWithCells="1">
                  <from>
                    <xdr:col>4</xdr:col>
                    <xdr:colOff>30480</xdr:colOff>
                    <xdr:row>1547</xdr:row>
                    <xdr:rowOff>0</xdr:rowOff>
                  </from>
                  <to>
                    <xdr:col>6</xdr:col>
                    <xdr:colOff>15240</xdr:colOff>
                    <xdr:row>1547</xdr:row>
                    <xdr:rowOff>320040</xdr:rowOff>
                  </to>
                </anchor>
              </controlPr>
            </control>
          </mc:Choice>
        </mc:AlternateContent>
        <mc:AlternateContent xmlns:mc="http://schemas.openxmlformats.org/markup-compatibility/2006">
          <mc:Choice Requires="x14">
            <control shapeId="2523" r:id="rId143" name="Drop Down 1499">
              <controlPr defaultSize="0" autoLine="0" autoPict="0">
                <anchor moveWithCells="1">
                  <from>
                    <xdr:col>4</xdr:col>
                    <xdr:colOff>30480</xdr:colOff>
                    <xdr:row>1548</xdr:row>
                    <xdr:rowOff>0</xdr:rowOff>
                  </from>
                  <to>
                    <xdr:col>6</xdr:col>
                    <xdr:colOff>15240</xdr:colOff>
                    <xdr:row>1548</xdr:row>
                    <xdr:rowOff>320040</xdr:rowOff>
                  </to>
                </anchor>
              </controlPr>
            </control>
          </mc:Choice>
        </mc:AlternateContent>
        <mc:AlternateContent xmlns:mc="http://schemas.openxmlformats.org/markup-compatibility/2006">
          <mc:Choice Requires="x14">
            <control shapeId="2526" r:id="rId144" name="Drop Down 1502">
              <controlPr defaultSize="0" autoLine="0" autoPict="0">
                <anchor moveWithCells="1">
                  <from>
                    <xdr:col>10</xdr:col>
                    <xdr:colOff>15240</xdr:colOff>
                    <xdr:row>1547</xdr:row>
                    <xdr:rowOff>0</xdr:rowOff>
                  </from>
                  <to>
                    <xdr:col>10</xdr:col>
                    <xdr:colOff>1821180</xdr:colOff>
                    <xdr:row>1547</xdr:row>
                    <xdr:rowOff>320040</xdr:rowOff>
                  </to>
                </anchor>
              </controlPr>
            </control>
          </mc:Choice>
        </mc:AlternateContent>
        <mc:AlternateContent xmlns:mc="http://schemas.openxmlformats.org/markup-compatibility/2006">
          <mc:Choice Requires="x14">
            <control shapeId="2527" r:id="rId145" name="Drop Down 1503">
              <controlPr defaultSize="0" autoLine="0" autoPict="0">
                <anchor moveWithCells="1">
                  <from>
                    <xdr:col>10</xdr:col>
                    <xdr:colOff>15240</xdr:colOff>
                    <xdr:row>1548</xdr:row>
                    <xdr:rowOff>0</xdr:rowOff>
                  </from>
                  <to>
                    <xdr:col>10</xdr:col>
                    <xdr:colOff>1821180</xdr:colOff>
                    <xdr:row>1548</xdr:row>
                    <xdr:rowOff>320040</xdr:rowOff>
                  </to>
                </anchor>
              </controlPr>
            </control>
          </mc:Choice>
        </mc:AlternateContent>
        <mc:AlternateContent xmlns:mc="http://schemas.openxmlformats.org/markup-compatibility/2006">
          <mc:Choice Requires="x14">
            <control shapeId="2530" r:id="rId146" name="Drop Down 1506">
              <controlPr defaultSize="0" autoLine="0" autoPict="0">
                <anchor moveWithCells="1">
                  <from>
                    <xdr:col>10</xdr:col>
                    <xdr:colOff>15240</xdr:colOff>
                    <xdr:row>1546</xdr:row>
                    <xdr:rowOff>0</xdr:rowOff>
                  </from>
                  <to>
                    <xdr:col>10</xdr:col>
                    <xdr:colOff>1821180</xdr:colOff>
                    <xdr:row>1546</xdr:row>
                    <xdr:rowOff>320040</xdr:rowOff>
                  </to>
                </anchor>
              </controlPr>
            </control>
          </mc:Choice>
        </mc:AlternateContent>
        <mc:AlternateContent xmlns:mc="http://schemas.openxmlformats.org/markup-compatibility/2006">
          <mc:Choice Requires="x14">
            <control shapeId="2531" r:id="rId147" name="Drop Down 1507">
              <controlPr defaultSize="0" autoLine="0" autoPict="0">
                <anchor moveWithCells="1">
                  <from>
                    <xdr:col>2</xdr:col>
                    <xdr:colOff>15240</xdr:colOff>
                    <xdr:row>1546</xdr:row>
                    <xdr:rowOff>0</xdr:rowOff>
                  </from>
                  <to>
                    <xdr:col>3</xdr:col>
                    <xdr:colOff>830580</xdr:colOff>
                    <xdr:row>1546</xdr:row>
                    <xdr:rowOff>320040</xdr:rowOff>
                  </to>
                </anchor>
              </controlPr>
            </control>
          </mc:Choice>
        </mc:AlternateContent>
        <mc:AlternateContent xmlns:mc="http://schemas.openxmlformats.org/markup-compatibility/2006">
          <mc:Choice Requires="x14">
            <control shapeId="2532" r:id="rId148" name="Drop Down 1508">
              <controlPr defaultSize="0" autoLine="0" autoPict="0">
                <anchor moveWithCells="1">
                  <from>
                    <xdr:col>2</xdr:col>
                    <xdr:colOff>15240</xdr:colOff>
                    <xdr:row>1547</xdr:row>
                    <xdr:rowOff>0</xdr:rowOff>
                  </from>
                  <to>
                    <xdr:col>3</xdr:col>
                    <xdr:colOff>853440</xdr:colOff>
                    <xdr:row>1547</xdr:row>
                    <xdr:rowOff>320040</xdr:rowOff>
                  </to>
                </anchor>
              </controlPr>
            </control>
          </mc:Choice>
        </mc:AlternateContent>
        <mc:AlternateContent xmlns:mc="http://schemas.openxmlformats.org/markup-compatibility/2006">
          <mc:Choice Requires="x14">
            <control shapeId="2533" r:id="rId149" name="Drop Down 1509">
              <controlPr defaultSize="0" autoLine="0" autoPict="0">
                <anchor moveWithCells="1">
                  <from>
                    <xdr:col>2</xdr:col>
                    <xdr:colOff>15240</xdr:colOff>
                    <xdr:row>1548</xdr:row>
                    <xdr:rowOff>0</xdr:rowOff>
                  </from>
                  <to>
                    <xdr:col>3</xdr:col>
                    <xdr:colOff>853440</xdr:colOff>
                    <xdr:row>1549</xdr:row>
                    <xdr:rowOff>0</xdr:rowOff>
                  </to>
                </anchor>
              </controlPr>
            </control>
          </mc:Choice>
        </mc:AlternateContent>
        <mc:AlternateContent xmlns:mc="http://schemas.openxmlformats.org/markup-compatibility/2006">
          <mc:Choice Requires="x14">
            <control shapeId="2557" r:id="rId150" name="Drop Down 1533">
              <controlPr defaultSize="0" autoLine="0" autoPict="0">
                <anchor moveWithCells="1">
                  <from>
                    <xdr:col>3</xdr:col>
                    <xdr:colOff>15240</xdr:colOff>
                    <xdr:row>1575</xdr:row>
                    <xdr:rowOff>0</xdr:rowOff>
                  </from>
                  <to>
                    <xdr:col>5</xdr:col>
                    <xdr:colOff>0</xdr:colOff>
                    <xdr:row>1575</xdr:row>
                    <xdr:rowOff>213360</xdr:rowOff>
                  </to>
                </anchor>
              </controlPr>
            </control>
          </mc:Choice>
        </mc:AlternateContent>
        <mc:AlternateContent xmlns:mc="http://schemas.openxmlformats.org/markup-compatibility/2006">
          <mc:Choice Requires="x14">
            <control shapeId="2558" r:id="rId151" name="Drop Down 1534">
              <controlPr defaultSize="0" autoLine="0" autoPict="0">
                <anchor moveWithCells="1">
                  <from>
                    <xdr:col>4</xdr:col>
                    <xdr:colOff>30480</xdr:colOff>
                    <xdr:row>1646</xdr:row>
                    <xdr:rowOff>0</xdr:rowOff>
                  </from>
                  <to>
                    <xdr:col>6</xdr:col>
                    <xdr:colOff>0</xdr:colOff>
                    <xdr:row>1646</xdr:row>
                    <xdr:rowOff>320040</xdr:rowOff>
                  </to>
                </anchor>
              </controlPr>
            </control>
          </mc:Choice>
        </mc:AlternateContent>
        <mc:AlternateContent xmlns:mc="http://schemas.openxmlformats.org/markup-compatibility/2006">
          <mc:Choice Requires="x14">
            <control shapeId="2559" r:id="rId152" name="Drop Down 1535">
              <controlPr defaultSize="0" autoLine="0" autoPict="0">
                <anchor moveWithCells="1">
                  <from>
                    <xdr:col>4</xdr:col>
                    <xdr:colOff>30480</xdr:colOff>
                    <xdr:row>1647</xdr:row>
                    <xdr:rowOff>0</xdr:rowOff>
                  </from>
                  <to>
                    <xdr:col>6</xdr:col>
                    <xdr:colOff>0</xdr:colOff>
                    <xdr:row>1647</xdr:row>
                    <xdr:rowOff>320040</xdr:rowOff>
                  </to>
                </anchor>
              </controlPr>
            </control>
          </mc:Choice>
        </mc:AlternateContent>
        <mc:AlternateContent xmlns:mc="http://schemas.openxmlformats.org/markup-compatibility/2006">
          <mc:Choice Requires="x14">
            <control shapeId="2560" r:id="rId153" name="Drop Down 1536">
              <controlPr defaultSize="0" autoLine="0" autoPict="0">
                <anchor moveWithCells="1">
                  <from>
                    <xdr:col>4</xdr:col>
                    <xdr:colOff>38100</xdr:colOff>
                    <xdr:row>1648</xdr:row>
                    <xdr:rowOff>0</xdr:rowOff>
                  </from>
                  <to>
                    <xdr:col>6</xdr:col>
                    <xdr:colOff>0</xdr:colOff>
                    <xdr:row>1648</xdr:row>
                    <xdr:rowOff>320040</xdr:rowOff>
                  </to>
                </anchor>
              </controlPr>
            </control>
          </mc:Choice>
        </mc:AlternateContent>
        <mc:AlternateContent xmlns:mc="http://schemas.openxmlformats.org/markup-compatibility/2006">
          <mc:Choice Requires="x14">
            <control shapeId="2563" r:id="rId154" name="Drop Down 1539">
              <controlPr defaultSize="0" autoLine="0" autoPict="0">
                <anchor moveWithCells="1">
                  <from>
                    <xdr:col>10</xdr:col>
                    <xdr:colOff>15240</xdr:colOff>
                    <xdr:row>1647</xdr:row>
                    <xdr:rowOff>0</xdr:rowOff>
                  </from>
                  <to>
                    <xdr:col>10</xdr:col>
                    <xdr:colOff>1821180</xdr:colOff>
                    <xdr:row>1647</xdr:row>
                    <xdr:rowOff>320040</xdr:rowOff>
                  </to>
                </anchor>
              </controlPr>
            </control>
          </mc:Choice>
        </mc:AlternateContent>
        <mc:AlternateContent xmlns:mc="http://schemas.openxmlformats.org/markup-compatibility/2006">
          <mc:Choice Requires="x14">
            <control shapeId="2564" r:id="rId155" name="Drop Down 1540">
              <controlPr defaultSize="0" autoLine="0" autoPict="0">
                <anchor moveWithCells="1">
                  <from>
                    <xdr:col>10</xdr:col>
                    <xdr:colOff>15240</xdr:colOff>
                    <xdr:row>1648</xdr:row>
                    <xdr:rowOff>0</xdr:rowOff>
                  </from>
                  <to>
                    <xdr:col>10</xdr:col>
                    <xdr:colOff>1821180</xdr:colOff>
                    <xdr:row>1648</xdr:row>
                    <xdr:rowOff>320040</xdr:rowOff>
                  </to>
                </anchor>
              </controlPr>
            </control>
          </mc:Choice>
        </mc:AlternateContent>
        <mc:AlternateContent xmlns:mc="http://schemas.openxmlformats.org/markup-compatibility/2006">
          <mc:Choice Requires="x14">
            <control shapeId="2567" r:id="rId156" name="Drop Down 1543">
              <controlPr defaultSize="0" autoLine="0" autoPict="0">
                <anchor moveWithCells="1">
                  <from>
                    <xdr:col>10</xdr:col>
                    <xdr:colOff>15240</xdr:colOff>
                    <xdr:row>1646</xdr:row>
                    <xdr:rowOff>0</xdr:rowOff>
                  </from>
                  <to>
                    <xdr:col>10</xdr:col>
                    <xdr:colOff>1821180</xdr:colOff>
                    <xdr:row>1646</xdr:row>
                    <xdr:rowOff>320040</xdr:rowOff>
                  </to>
                </anchor>
              </controlPr>
            </control>
          </mc:Choice>
        </mc:AlternateContent>
        <mc:AlternateContent xmlns:mc="http://schemas.openxmlformats.org/markup-compatibility/2006">
          <mc:Choice Requires="x14">
            <control shapeId="2568" r:id="rId157" name="Drop Down 1544">
              <controlPr defaultSize="0" autoLine="0" autoPict="0">
                <anchor moveWithCells="1">
                  <from>
                    <xdr:col>2</xdr:col>
                    <xdr:colOff>15240</xdr:colOff>
                    <xdr:row>1646</xdr:row>
                    <xdr:rowOff>0</xdr:rowOff>
                  </from>
                  <to>
                    <xdr:col>3</xdr:col>
                    <xdr:colOff>830580</xdr:colOff>
                    <xdr:row>1646</xdr:row>
                    <xdr:rowOff>320040</xdr:rowOff>
                  </to>
                </anchor>
              </controlPr>
            </control>
          </mc:Choice>
        </mc:AlternateContent>
        <mc:AlternateContent xmlns:mc="http://schemas.openxmlformats.org/markup-compatibility/2006">
          <mc:Choice Requires="x14">
            <control shapeId="2569" r:id="rId158" name="Drop Down 1545">
              <controlPr defaultSize="0" autoLine="0" autoPict="0">
                <anchor moveWithCells="1">
                  <from>
                    <xdr:col>2</xdr:col>
                    <xdr:colOff>15240</xdr:colOff>
                    <xdr:row>1647</xdr:row>
                    <xdr:rowOff>0</xdr:rowOff>
                  </from>
                  <to>
                    <xdr:col>3</xdr:col>
                    <xdr:colOff>830580</xdr:colOff>
                    <xdr:row>1647</xdr:row>
                    <xdr:rowOff>320040</xdr:rowOff>
                  </to>
                </anchor>
              </controlPr>
            </control>
          </mc:Choice>
        </mc:AlternateContent>
        <mc:AlternateContent xmlns:mc="http://schemas.openxmlformats.org/markup-compatibility/2006">
          <mc:Choice Requires="x14">
            <control shapeId="2570" r:id="rId159" name="Drop Down 1546">
              <controlPr defaultSize="0" autoLine="0" autoPict="0">
                <anchor moveWithCells="1">
                  <from>
                    <xdr:col>2</xdr:col>
                    <xdr:colOff>15240</xdr:colOff>
                    <xdr:row>1648</xdr:row>
                    <xdr:rowOff>0</xdr:rowOff>
                  </from>
                  <to>
                    <xdr:col>3</xdr:col>
                    <xdr:colOff>853440</xdr:colOff>
                    <xdr:row>1648</xdr:row>
                    <xdr:rowOff>320040</xdr:rowOff>
                  </to>
                </anchor>
              </controlPr>
            </control>
          </mc:Choice>
        </mc:AlternateContent>
        <mc:AlternateContent xmlns:mc="http://schemas.openxmlformats.org/markup-compatibility/2006">
          <mc:Choice Requires="x14">
            <control shapeId="2594" r:id="rId160" name="Drop Down 1570">
              <controlPr defaultSize="0" autoLine="0" autoPict="0">
                <anchor moveWithCells="1">
                  <from>
                    <xdr:col>3</xdr:col>
                    <xdr:colOff>15240</xdr:colOff>
                    <xdr:row>1675</xdr:row>
                    <xdr:rowOff>0</xdr:rowOff>
                  </from>
                  <to>
                    <xdr:col>5</xdr:col>
                    <xdr:colOff>0</xdr:colOff>
                    <xdr:row>1675</xdr:row>
                    <xdr:rowOff>213360</xdr:rowOff>
                  </to>
                </anchor>
              </controlPr>
            </control>
          </mc:Choice>
        </mc:AlternateContent>
        <mc:AlternateContent xmlns:mc="http://schemas.openxmlformats.org/markup-compatibility/2006">
          <mc:Choice Requires="x14">
            <control shapeId="2595" r:id="rId161" name="Drop Down 1571">
              <controlPr defaultSize="0" autoLine="0" autoPict="0">
                <anchor moveWithCells="1">
                  <from>
                    <xdr:col>4</xdr:col>
                    <xdr:colOff>15240</xdr:colOff>
                    <xdr:row>1746</xdr:row>
                    <xdr:rowOff>0</xdr:rowOff>
                  </from>
                  <to>
                    <xdr:col>5</xdr:col>
                    <xdr:colOff>815340</xdr:colOff>
                    <xdr:row>1746</xdr:row>
                    <xdr:rowOff>320040</xdr:rowOff>
                  </to>
                </anchor>
              </controlPr>
            </control>
          </mc:Choice>
        </mc:AlternateContent>
        <mc:AlternateContent xmlns:mc="http://schemas.openxmlformats.org/markup-compatibility/2006">
          <mc:Choice Requires="x14">
            <control shapeId="2596" r:id="rId162" name="Drop Down 1572">
              <controlPr defaultSize="0" autoLine="0" autoPict="0">
                <anchor moveWithCells="1">
                  <from>
                    <xdr:col>4</xdr:col>
                    <xdr:colOff>30480</xdr:colOff>
                    <xdr:row>1747</xdr:row>
                    <xdr:rowOff>0</xdr:rowOff>
                  </from>
                  <to>
                    <xdr:col>5</xdr:col>
                    <xdr:colOff>815340</xdr:colOff>
                    <xdr:row>1747</xdr:row>
                    <xdr:rowOff>320040</xdr:rowOff>
                  </to>
                </anchor>
              </controlPr>
            </control>
          </mc:Choice>
        </mc:AlternateContent>
        <mc:AlternateContent xmlns:mc="http://schemas.openxmlformats.org/markup-compatibility/2006">
          <mc:Choice Requires="x14">
            <control shapeId="2597" r:id="rId163" name="Drop Down 1573">
              <controlPr defaultSize="0" autoLine="0" autoPict="0">
                <anchor moveWithCells="1">
                  <from>
                    <xdr:col>4</xdr:col>
                    <xdr:colOff>38100</xdr:colOff>
                    <xdr:row>1748</xdr:row>
                    <xdr:rowOff>0</xdr:rowOff>
                  </from>
                  <to>
                    <xdr:col>5</xdr:col>
                    <xdr:colOff>815340</xdr:colOff>
                    <xdr:row>1748</xdr:row>
                    <xdr:rowOff>320040</xdr:rowOff>
                  </to>
                </anchor>
              </controlPr>
            </control>
          </mc:Choice>
        </mc:AlternateContent>
        <mc:AlternateContent xmlns:mc="http://schemas.openxmlformats.org/markup-compatibility/2006">
          <mc:Choice Requires="x14">
            <control shapeId="2600" r:id="rId164" name="Drop Down 1576">
              <controlPr defaultSize="0" autoLine="0" autoPict="0">
                <anchor moveWithCells="1">
                  <from>
                    <xdr:col>10</xdr:col>
                    <xdr:colOff>15240</xdr:colOff>
                    <xdr:row>1747</xdr:row>
                    <xdr:rowOff>0</xdr:rowOff>
                  </from>
                  <to>
                    <xdr:col>10</xdr:col>
                    <xdr:colOff>1821180</xdr:colOff>
                    <xdr:row>1747</xdr:row>
                    <xdr:rowOff>320040</xdr:rowOff>
                  </to>
                </anchor>
              </controlPr>
            </control>
          </mc:Choice>
        </mc:AlternateContent>
        <mc:AlternateContent xmlns:mc="http://schemas.openxmlformats.org/markup-compatibility/2006">
          <mc:Choice Requires="x14">
            <control shapeId="2601" r:id="rId165" name="Drop Down 1577">
              <controlPr defaultSize="0" autoLine="0" autoPict="0">
                <anchor moveWithCells="1">
                  <from>
                    <xdr:col>10</xdr:col>
                    <xdr:colOff>15240</xdr:colOff>
                    <xdr:row>1748</xdr:row>
                    <xdr:rowOff>0</xdr:rowOff>
                  </from>
                  <to>
                    <xdr:col>10</xdr:col>
                    <xdr:colOff>1821180</xdr:colOff>
                    <xdr:row>1748</xdr:row>
                    <xdr:rowOff>320040</xdr:rowOff>
                  </to>
                </anchor>
              </controlPr>
            </control>
          </mc:Choice>
        </mc:AlternateContent>
        <mc:AlternateContent xmlns:mc="http://schemas.openxmlformats.org/markup-compatibility/2006">
          <mc:Choice Requires="x14">
            <control shapeId="2604" r:id="rId166" name="Drop Down 1580">
              <controlPr defaultSize="0" autoLine="0" autoPict="0">
                <anchor moveWithCells="1">
                  <from>
                    <xdr:col>10</xdr:col>
                    <xdr:colOff>15240</xdr:colOff>
                    <xdr:row>1746</xdr:row>
                    <xdr:rowOff>0</xdr:rowOff>
                  </from>
                  <to>
                    <xdr:col>10</xdr:col>
                    <xdr:colOff>1821180</xdr:colOff>
                    <xdr:row>1746</xdr:row>
                    <xdr:rowOff>320040</xdr:rowOff>
                  </to>
                </anchor>
              </controlPr>
            </control>
          </mc:Choice>
        </mc:AlternateContent>
        <mc:AlternateContent xmlns:mc="http://schemas.openxmlformats.org/markup-compatibility/2006">
          <mc:Choice Requires="x14">
            <control shapeId="2605" r:id="rId167" name="Drop Down 1581">
              <controlPr defaultSize="0" autoLine="0" autoPict="0">
                <anchor moveWithCells="1">
                  <from>
                    <xdr:col>2</xdr:col>
                    <xdr:colOff>15240</xdr:colOff>
                    <xdr:row>1746</xdr:row>
                    <xdr:rowOff>0</xdr:rowOff>
                  </from>
                  <to>
                    <xdr:col>3</xdr:col>
                    <xdr:colOff>853440</xdr:colOff>
                    <xdr:row>1746</xdr:row>
                    <xdr:rowOff>297180</xdr:rowOff>
                  </to>
                </anchor>
              </controlPr>
            </control>
          </mc:Choice>
        </mc:AlternateContent>
        <mc:AlternateContent xmlns:mc="http://schemas.openxmlformats.org/markup-compatibility/2006">
          <mc:Choice Requires="x14">
            <control shapeId="2606" r:id="rId168" name="Drop Down 1582">
              <controlPr defaultSize="0" autoLine="0" autoPict="0">
                <anchor moveWithCells="1">
                  <from>
                    <xdr:col>2</xdr:col>
                    <xdr:colOff>15240</xdr:colOff>
                    <xdr:row>1747</xdr:row>
                    <xdr:rowOff>0</xdr:rowOff>
                  </from>
                  <to>
                    <xdr:col>3</xdr:col>
                    <xdr:colOff>853440</xdr:colOff>
                    <xdr:row>1748</xdr:row>
                    <xdr:rowOff>0</xdr:rowOff>
                  </to>
                </anchor>
              </controlPr>
            </control>
          </mc:Choice>
        </mc:AlternateContent>
        <mc:AlternateContent xmlns:mc="http://schemas.openxmlformats.org/markup-compatibility/2006">
          <mc:Choice Requires="x14">
            <control shapeId="2607" r:id="rId169" name="Drop Down 1583">
              <controlPr defaultSize="0" autoLine="0" autoPict="0">
                <anchor moveWithCells="1">
                  <from>
                    <xdr:col>2</xdr:col>
                    <xdr:colOff>15240</xdr:colOff>
                    <xdr:row>1748</xdr:row>
                    <xdr:rowOff>0</xdr:rowOff>
                  </from>
                  <to>
                    <xdr:col>3</xdr:col>
                    <xdr:colOff>830580</xdr:colOff>
                    <xdr:row>1749</xdr:row>
                    <xdr:rowOff>15240</xdr:rowOff>
                  </to>
                </anchor>
              </controlPr>
            </control>
          </mc:Choice>
        </mc:AlternateContent>
        <mc:AlternateContent xmlns:mc="http://schemas.openxmlformats.org/markup-compatibility/2006">
          <mc:Choice Requires="x14">
            <control shapeId="2631" r:id="rId170" name="Drop Down 1607">
              <controlPr defaultSize="0" autoLine="0" autoPict="0">
                <anchor moveWithCells="1">
                  <from>
                    <xdr:col>3</xdr:col>
                    <xdr:colOff>15240</xdr:colOff>
                    <xdr:row>1775</xdr:row>
                    <xdr:rowOff>0</xdr:rowOff>
                  </from>
                  <to>
                    <xdr:col>5</xdr:col>
                    <xdr:colOff>0</xdr:colOff>
                    <xdr:row>1775</xdr:row>
                    <xdr:rowOff>213360</xdr:rowOff>
                  </to>
                </anchor>
              </controlPr>
            </control>
          </mc:Choice>
        </mc:AlternateContent>
        <mc:AlternateContent xmlns:mc="http://schemas.openxmlformats.org/markup-compatibility/2006">
          <mc:Choice Requires="x14">
            <control shapeId="2632" r:id="rId171" name="Drop Down 1608">
              <controlPr defaultSize="0" autoLine="0" autoPict="0">
                <anchor moveWithCells="1">
                  <from>
                    <xdr:col>4</xdr:col>
                    <xdr:colOff>0</xdr:colOff>
                    <xdr:row>1846</xdr:row>
                    <xdr:rowOff>0</xdr:rowOff>
                  </from>
                  <to>
                    <xdr:col>5</xdr:col>
                    <xdr:colOff>815340</xdr:colOff>
                    <xdr:row>1846</xdr:row>
                    <xdr:rowOff>320040</xdr:rowOff>
                  </to>
                </anchor>
              </controlPr>
            </control>
          </mc:Choice>
        </mc:AlternateContent>
        <mc:AlternateContent xmlns:mc="http://schemas.openxmlformats.org/markup-compatibility/2006">
          <mc:Choice Requires="x14">
            <control shapeId="2633" r:id="rId172" name="Drop Down 1609">
              <controlPr defaultSize="0" autoLine="0" autoPict="0">
                <anchor moveWithCells="1">
                  <from>
                    <xdr:col>4</xdr:col>
                    <xdr:colOff>38100</xdr:colOff>
                    <xdr:row>1847</xdr:row>
                    <xdr:rowOff>0</xdr:rowOff>
                  </from>
                  <to>
                    <xdr:col>5</xdr:col>
                    <xdr:colOff>815340</xdr:colOff>
                    <xdr:row>1847</xdr:row>
                    <xdr:rowOff>320040</xdr:rowOff>
                  </to>
                </anchor>
              </controlPr>
            </control>
          </mc:Choice>
        </mc:AlternateContent>
        <mc:AlternateContent xmlns:mc="http://schemas.openxmlformats.org/markup-compatibility/2006">
          <mc:Choice Requires="x14">
            <control shapeId="2634" r:id="rId173" name="Drop Down 1610">
              <controlPr defaultSize="0" autoLine="0" autoPict="0">
                <anchor moveWithCells="1">
                  <from>
                    <xdr:col>4</xdr:col>
                    <xdr:colOff>38100</xdr:colOff>
                    <xdr:row>1848</xdr:row>
                    <xdr:rowOff>0</xdr:rowOff>
                  </from>
                  <to>
                    <xdr:col>6</xdr:col>
                    <xdr:colOff>0</xdr:colOff>
                    <xdr:row>1848</xdr:row>
                    <xdr:rowOff>320040</xdr:rowOff>
                  </to>
                </anchor>
              </controlPr>
            </control>
          </mc:Choice>
        </mc:AlternateContent>
        <mc:AlternateContent xmlns:mc="http://schemas.openxmlformats.org/markup-compatibility/2006">
          <mc:Choice Requires="x14">
            <control shapeId="2637" r:id="rId174" name="Drop Down 1613">
              <controlPr defaultSize="0" autoLine="0" autoPict="0">
                <anchor moveWithCells="1">
                  <from>
                    <xdr:col>10</xdr:col>
                    <xdr:colOff>15240</xdr:colOff>
                    <xdr:row>1847</xdr:row>
                    <xdr:rowOff>0</xdr:rowOff>
                  </from>
                  <to>
                    <xdr:col>10</xdr:col>
                    <xdr:colOff>1821180</xdr:colOff>
                    <xdr:row>1847</xdr:row>
                    <xdr:rowOff>320040</xdr:rowOff>
                  </to>
                </anchor>
              </controlPr>
            </control>
          </mc:Choice>
        </mc:AlternateContent>
        <mc:AlternateContent xmlns:mc="http://schemas.openxmlformats.org/markup-compatibility/2006">
          <mc:Choice Requires="x14">
            <control shapeId="2638" r:id="rId175" name="Drop Down 1614">
              <controlPr defaultSize="0" autoLine="0" autoPict="0">
                <anchor moveWithCells="1">
                  <from>
                    <xdr:col>10</xdr:col>
                    <xdr:colOff>15240</xdr:colOff>
                    <xdr:row>1848</xdr:row>
                    <xdr:rowOff>0</xdr:rowOff>
                  </from>
                  <to>
                    <xdr:col>10</xdr:col>
                    <xdr:colOff>1821180</xdr:colOff>
                    <xdr:row>1848</xdr:row>
                    <xdr:rowOff>320040</xdr:rowOff>
                  </to>
                </anchor>
              </controlPr>
            </control>
          </mc:Choice>
        </mc:AlternateContent>
        <mc:AlternateContent xmlns:mc="http://schemas.openxmlformats.org/markup-compatibility/2006">
          <mc:Choice Requires="x14">
            <control shapeId="2641" r:id="rId176" name="Drop Down 1617">
              <controlPr defaultSize="0" autoLine="0" autoPict="0">
                <anchor moveWithCells="1">
                  <from>
                    <xdr:col>10</xdr:col>
                    <xdr:colOff>15240</xdr:colOff>
                    <xdr:row>1846</xdr:row>
                    <xdr:rowOff>0</xdr:rowOff>
                  </from>
                  <to>
                    <xdr:col>10</xdr:col>
                    <xdr:colOff>1821180</xdr:colOff>
                    <xdr:row>1846</xdr:row>
                    <xdr:rowOff>320040</xdr:rowOff>
                  </to>
                </anchor>
              </controlPr>
            </control>
          </mc:Choice>
        </mc:AlternateContent>
        <mc:AlternateContent xmlns:mc="http://schemas.openxmlformats.org/markup-compatibility/2006">
          <mc:Choice Requires="x14">
            <control shapeId="2642" r:id="rId177" name="Drop Down 1618">
              <controlPr defaultSize="0" autoLine="0" autoPict="0">
                <anchor moveWithCells="1">
                  <from>
                    <xdr:col>2</xdr:col>
                    <xdr:colOff>15240</xdr:colOff>
                    <xdr:row>1846</xdr:row>
                    <xdr:rowOff>0</xdr:rowOff>
                  </from>
                  <to>
                    <xdr:col>3</xdr:col>
                    <xdr:colOff>853440</xdr:colOff>
                    <xdr:row>1846</xdr:row>
                    <xdr:rowOff>320040</xdr:rowOff>
                  </to>
                </anchor>
              </controlPr>
            </control>
          </mc:Choice>
        </mc:AlternateContent>
        <mc:AlternateContent xmlns:mc="http://schemas.openxmlformats.org/markup-compatibility/2006">
          <mc:Choice Requires="x14">
            <control shapeId="2643" r:id="rId178" name="Drop Down 1619">
              <controlPr defaultSize="0" autoLine="0" autoPict="0">
                <anchor moveWithCells="1">
                  <from>
                    <xdr:col>2</xdr:col>
                    <xdr:colOff>15240</xdr:colOff>
                    <xdr:row>1847</xdr:row>
                    <xdr:rowOff>0</xdr:rowOff>
                  </from>
                  <to>
                    <xdr:col>3</xdr:col>
                    <xdr:colOff>822960</xdr:colOff>
                    <xdr:row>1848</xdr:row>
                    <xdr:rowOff>0</xdr:rowOff>
                  </to>
                </anchor>
              </controlPr>
            </control>
          </mc:Choice>
        </mc:AlternateContent>
        <mc:AlternateContent xmlns:mc="http://schemas.openxmlformats.org/markup-compatibility/2006">
          <mc:Choice Requires="x14">
            <control shapeId="2644" r:id="rId179" name="Drop Down 1620">
              <controlPr defaultSize="0" autoLine="0" autoPict="0">
                <anchor moveWithCells="1">
                  <from>
                    <xdr:col>2</xdr:col>
                    <xdr:colOff>15240</xdr:colOff>
                    <xdr:row>1848</xdr:row>
                    <xdr:rowOff>0</xdr:rowOff>
                  </from>
                  <to>
                    <xdr:col>3</xdr:col>
                    <xdr:colOff>853440</xdr:colOff>
                    <xdr:row>1848</xdr:row>
                    <xdr:rowOff>320040</xdr:rowOff>
                  </to>
                </anchor>
              </controlPr>
            </control>
          </mc:Choice>
        </mc:AlternateContent>
        <mc:AlternateContent xmlns:mc="http://schemas.openxmlformats.org/markup-compatibility/2006">
          <mc:Choice Requires="x14">
            <control shapeId="2668" r:id="rId180" name="Drop Down 1644">
              <controlPr defaultSize="0" autoLine="0" autoPict="0">
                <anchor moveWithCells="1">
                  <from>
                    <xdr:col>3</xdr:col>
                    <xdr:colOff>15240</xdr:colOff>
                    <xdr:row>1875</xdr:row>
                    <xdr:rowOff>0</xdr:rowOff>
                  </from>
                  <to>
                    <xdr:col>5</xdr:col>
                    <xdr:colOff>0</xdr:colOff>
                    <xdr:row>1875</xdr:row>
                    <xdr:rowOff>213360</xdr:rowOff>
                  </to>
                </anchor>
              </controlPr>
            </control>
          </mc:Choice>
        </mc:AlternateContent>
        <mc:AlternateContent xmlns:mc="http://schemas.openxmlformats.org/markup-compatibility/2006">
          <mc:Choice Requires="x14">
            <control shapeId="2669" r:id="rId181" name="Drop Down 1645">
              <controlPr defaultSize="0" autoLine="0" autoPict="0">
                <anchor moveWithCells="1">
                  <from>
                    <xdr:col>4</xdr:col>
                    <xdr:colOff>15240</xdr:colOff>
                    <xdr:row>1946</xdr:row>
                    <xdr:rowOff>0</xdr:rowOff>
                  </from>
                  <to>
                    <xdr:col>5</xdr:col>
                    <xdr:colOff>815340</xdr:colOff>
                    <xdr:row>1946</xdr:row>
                    <xdr:rowOff>320040</xdr:rowOff>
                  </to>
                </anchor>
              </controlPr>
            </control>
          </mc:Choice>
        </mc:AlternateContent>
        <mc:AlternateContent xmlns:mc="http://schemas.openxmlformats.org/markup-compatibility/2006">
          <mc:Choice Requires="x14">
            <control shapeId="2670" r:id="rId182" name="Drop Down 1646">
              <controlPr defaultSize="0" autoLine="0" autoPict="0">
                <anchor moveWithCells="1">
                  <from>
                    <xdr:col>4</xdr:col>
                    <xdr:colOff>30480</xdr:colOff>
                    <xdr:row>1947</xdr:row>
                    <xdr:rowOff>0</xdr:rowOff>
                  </from>
                  <to>
                    <xdr:col>5</xdr:col>
                    <xdr:colOff>815340</xdr:colOff>
                    <xdr:row>1947</xdr:row>
                    <xdr:rowOff>320040</xdr:rowOff>
                  </to>
                </anchor>
              </controlPr>
            </control>
          </mc:Choice>
        </mc:AlternateContent>
        <mc:AlternateContent xmlns:mc="http://schemas.openxmlformats.org/markup-compatibility/2006">
          <mc:Choice Requires="x14">
            <control shapeId="2671" r:id="rId183" name="Drop Down 1647">
              <controlPr defaultSize="0" autoLine="0" autoPict="0">
                <anchor moveWithCells="1">
                  <from>
                    <xdr:col>4</xdr:col>
                    <xdr:colOff>15240</xdr:colOff>
                    <xdr:row>1948</xdr:row>
                    <xdr:rowOff>0</xdr:rowOff>
                  </from>
                  <to>
                    <xdr:col>5</xdr:col>
                    <xdr:colOff>815340</xdr:colOff>
                    <xdr:row>1948</xdr:row>
                    <xdr:rowOff>320040</xdr:rowOff>
                  </to>
                </anchor>
              </controlPr>
            </control>
          </mc:Choice>
        </mc:AlternateContent>
        <mc:AlternateContent xmlns:mc="http://schemas.openxmlformats.org/markup-compatibility/2006">
          <mc:Choice Requires="x14">
            <control shapeId="2674" r:id="rId184" name="Drop Down 1650">
              <controlPr defaultSize="0" autoLine="0" autoPict="0">
                <anchor moveWithCells="1">
                  <from>
                    <xdr:col>10</xdr:col>
                    <xdr:colOff>15240</xdr:colOff>
                    <xdr:row>1947</xdr:row>
                    <xdr:rowOff>0</xdr:rowOff>
                  </from>
                  <to>
                    <xdr:col>10</xdr:col>
                    <xdr:colOff>1821180</xdr:colOff>
                    <xdr:row>1947</xdr:row>
                    <xdr:rowOff>320040</xdr:rowOff>
                  </to>
                </anchor>
              </controlPr>
            </control>
          </mc:Choice>
        </mc:AlternateContent>
        <mc:AlternateContent xmlns:mc="http://schemas.openxmlformats.org/markup-compatibility/2006">
          <mc:Choice Requires="x14">
            <control shapeId="2675" r:id="rId185" name="Drop Down 1651">
              <controlPr defaultSize="0" autoLine="0" autoPict="0">
                <anchor moveWithCells="1">
                  <from>
                    <xdr:col>10</xdr:col>
                    <xdr:colOff>15240</xdr:colOff>
                    <xdr:row>1948</xdr:row>
                    <xdr:rowOff>0</xdr:rowOff>
                  </from>
                  <to>
                    <xdr:col>10</xdr:col>
                    <xdr:colOff>1821180</xdr:colOff>
                    <xdr:row>1948</xdr:row>
                    <xdr:rowOff>320040</xdr:rowOff>
                  </to>
                </anchor>
              </controlPr>
            </control>
          </mc:Choice>
        </mc:AlternateContent>
        <mc:AlternateContent xmlns:mc="http://schemas.openxmlformats.org/markup-compatibility/2006">
          <mc:Choice Requires="x14">
            <control shapeId="2678" r:id="rId186" name="Drop Down 1654">
              <controlPr defaultSize="0" autoLine="0" autoPict="0">
                <anchor moveWithCells="1">
                  <from>
                    <xdr:col>10</xdr:col>
                    <xdr:colOff>15240</xdr:colOff>
                    <xdr:row>1946</xdr:row>
                    <xdr:rowOff>0</xdr:rowOff>
                  </from>
                  <to>
                    <xdr:col>10</xdr:col>
                    <xdr:colOff>1821180</xdr:colOff>
                    <xdr:row>1946</xdr:row>
                    <xdr:rowOff>320040</xdr:rowOff>
                  </to>
                </anchor>
              </controlPr>
            </control>
          </mc:Choice>
        </mc:AlternateContent>
        <mc:AlternateContent xmlns:mc="http://schemas.openxmlformats.org/markup-compatibility/2006">
          <mc:Choice Requires="x14">
            <control shapeId="2679" r:id="rId187" name="Drop Down 1655">
              <controlPr defaultSize="0" autoLine="0" autoPict="0">
                <anchor moveWithCells="1">
                  <from>
                    <xdr:col>2</xdr:col>
                    <xdr:colOff>15240</xdr:colOff>
                    <xdr:row>1946</xdr:row>
                    <xdr:rowOff>0</xdr:rowOff>
                  </from>
                  <to>
                    <xdr:col>4</xdr:col>
                    <xdr:colOff>0</xdr:colOff>
                    <xdr:row>1946</xdr:row>
                    <xdr:rowOff>297180</xdr:rowOff>
                  </to>
                </anchor>
              </controlPr>
            </control>
          </mc:Choice>
        </mc:AlternateContent>
        <mc:AlternateContent xmlns:mc="http://schemas.openxmlformats.org/markup-compatibility/2006">
          <mc:Choice Requires="x14">
            <control shapeId="2680" r:id="rId188" name="Drop Down 1656">
              <controlPr defaultSize="0" autoLine="0" autoPict="0">
                <anchor moveWithCells="1">
                  <from>
                    <xdr:col>2</xdr:col>
                    <xdr:colOff>15240</xdr:colOff>
                    <xdr:row>1947</xdr:row>
                    <xdr:rowOff>0</xdr:rowOff>
                  </from>
                  <to>
                    <xdr:col>3</xdr:col>
                    <xdr:colOff>853440</xdr:colOff>
                    <xdr:row>1947</xdr:row>
                    <xdr:rowOff>320040</xdr:rowOff>
                  </to>
                </anchor>
              </controlPr>
            </control>
          </mc:Choice>
        </mc:AlternateContent>
        <mc:AlternateContent xmlns:mc="http://schemas.openxmlformats.org/markup-compatibility/2006">
          <mc:Choice Requires="x14">
            <control shapeId="2681" r:id="rId189" name="Drop Down 1657">
              <controlPr defaultSize="0" autoLine="0" autoPict="0">
                <anchor moveWithCells="1">
                  <from>
                    <xdr:col>2</xdr:col>
                    <xdr:colOff>15240</xdr:colOff>
                    <xdr:row>1948</xdr:row>
                    <xdr:rowOff>0</xdr:rowOff>
                  </from>
                  <to>
                    <xdr:col>3</xdr:col>
                    <xdr:colOff>830580</xdr:colOff>
                    <xdr:row>1949</xdr:row>
                    <xdr:rowOff>0</xdr:rowOff>
                  </to>
                </anchor>
              </controlPr>
            </control>
          </mc:Choice>
        </mc:AlternateContent>
        <mc:AlternateContent xmlns:mc="http://schemas.openxmlformats.org/markup-compatibility/2006">
          <mc:Choice Requires="x14">
            <control shapeId="2705" r:id="rId190" name="Drop Down 1681">
              <controlPr defaultSize="0" autoLine="0" autoPict="0">
                <anchor moveWithCells="1">
                  <from>
                    <xdr:col>3</xdr:col>
                    <xdr:colOff>15240</xdr:colOff>
                    <xdr:row>1975</xdr:row>
                    <xdr:rowOff>0</xdr:rowOff>
                  </from>
                  <to>
                    <xdr:col>5</xdr:col>
                    <xdr:colOff>0</xdr:colOff>
                    <xdr:row>1975</xdr:row>
                    <xdr:rowOff>213360</xdr:rowOff>
                  </to>
                </anchor>
              </controlPr>
            </control>
          </mc:Choice>
        </mc:AlternateContent>
        <mc:AlternateContent xmlns:mc="http://schemas.openxmlformats.org/markup-compatibility/2006">
          <mc:Choice Requires="x14">
            <control shapeId="3187" r:id="rId191" name="Button 2163">
              <controlPr locked="0" defaultSize="0" print="0" autoFill="0" autoPict="0" macro="[0]!gotonotes">
                <anchor moveWithCells="1" sizeWithCells="1">
                  <from>
                    <xdr:col>10</xdr:col>
                    <xdr:colOff>0</xdr:colOff>
                    <xdr:row>0</xdr:row>
                    <xdr:rowOff>15240</xdr:rowOff>
                  </from>
                  <to>
                    <xdr:col>11</xdr:col>
                    <xdr:colOff>1348740</xdr:colOff>
                    <xdr:row>1</xdr:row>
                    <xdr:rowOff>30480</xdr:rowOff>
                  </to>
                </anchor>
              </controlPr>
            </control>
          </mc:Choice>
        </mc:AlternateContent>
        <mc:AlternateContent xmlns:mc="http://schemas.openxmlformats.org/markup-compatibility/2006">
          <mc:Choice Requires="x14">
            <control shapeId="3188" r:id="rId192" name="Button 2164">
              <controlPr locked="0" defaultSize="0" print="0" autoFill="0" autoPict="0" macro="[0]!printposition1">
                <anchor moveWithCells="1" sizeWithCells="1">
                  <from>
                    <xdr:col>3</xdr:col>
                    <xdr:colOff>30480</xdr:colOff>
                    <xdr:row>9</xdr:row>
                    <xdr:rowOff>152400</xdr:rowOff>
                  </from>
                  <to>
                    <xdr:col>4</xdr:col>
                    <xdr:colOff>0</xdr:colOff>
                    <xdr:row>11</xdr:row>
                    <xdr:rowOff>0</xdr:rowOff>
                  </to>
                </anchor>
              </controlPr>
            </control>
          </mc:Choice>
        </mc:AlternateContent>
        <mc:AlternateContent xmlns:mc="http://schemas.openxmlformats.org/markup-compatibility/2006">
          <mc:Choice Requires="x14">
            <control shapeId="3198" r:id="rId193" name="Button 2174">
              <controlPr locked="0" defaultSize="0" print="0" autoFill="0" autoPict="0" macro="[0]!printtenderernotes">
                <anchor moveWithCells="1" sizeWithCells="1">
                  <from>
                    <xdr:col>108</xdr:col>
                    <xdr:colOff>0</xdr:colOff>
                    <xdr:row>0</xdr:row>
                    <xdr:rowOff>0</xdr:rowOff>
                  </from>
                  <to>
                    <xdr:col>111</xdr:col>
                    <xdr:colOff>457200</xdr:colOff>
                    <xdr:row>0</xdr:row>
                    <xdr:rowOff>411480</xdr:rowOff>
                  </to>
                </anchor>
              </controlPr>
            </control>
          </mc:Choice>
        </mc:AlternateContent>
        <mc:AlternateContent xmlns:mc="http://schemas.openxmlformats.org/markup-compatibility/2006">
          <mc:Choice Requires="x14">
            <control shapeId="3258" r:id="rId194" name="Drop Down 2234">
              <controlPr defaultSize="0" autoLine="0" autoPict="0">
                <anchor moveWithCells="1">
                  <from>
                    <xdr:col>12</xdr:col>
                    <xdr:colOff>0</xdr:colOff>
                    <xdr:row>75</xdr:row>
                    <xdr:rowOff>0</xdr:rowOff>
                  </from>
                  <to>
                    <xdr:col>12</xdr:col>
                    <xdr:colOff>716280</xdr:colOff>
                    <xdr:row>75</xdr:row>
                    <xdr:rowOff>220980</xdr:rowOff>
                  </to>
                </anchor>
              </controlPr>
            </control>
          </mc:Choice>
        </mc:AlternateContent>
        <mc:AlternateContent xmlns:mc="http://schemas.openxmlformats.org/markup-compatibility/2006">
          <mc:Choice Requires="x14">
            <control shapeId="3259" r:id="rId195" name="Drop Down 2235">
              <controlPr defaultSize="0" autoLine="0" autoPict="0">
                <anchor moveWithCells="1">
                  <from>
                    <xdr:col>12</xdr:col>
                    <xdr:colOff>716280</xdr:colOff>
                    <xdr:row>75</xdr:row>
                    <xdr:rowOff>15240</xdr:rowOff>
                  </from>
                  <to>
                    <xdr:col>12</xdr:col>
                    <xdr:colOff>1325880</xdr:colOff>
                    <xdr:row>75</xdr:row>
                    <xdr:rowOff>220980</xdr:rowOff>
                  </to>
                </anchor>
              </controlPr>
            </control>
          </mc:Choice>
        </mc:AlternateContent>
        <mc:AlternateContent xmlns:mc="http://schemas.openxmlformats.org/markup-compatibility/2006">
          <mc:Choice Requires="x14">
            <control shapeId="3260" r:id="rId196" name="Drop Down 2236">
              <controlPr defaultSize="0" autoLine="0" autoPict="0">
                <anchor moveWithCells="1">
                  <from>
                    <xdr:col>12</xdr:col>
                    <xdr:colOff>1325880</xdr:colOff>
                    <xdr:row>75</xdr:row>
                    <xdr:rowOff>0</xdr:rowOff>
                  </from>
                  <to>
                    <xdr:col>13</xdr:col>
                    <xdr:colOff>0</xdr:colOff>
                    <xdr:row>75</xdr:row>
                    <xdr:rowOff>213360</xdr:rowOff>
                  </to>
                </anchor>
              </controlPr>
            </control>
          </mc:Choice>
        </mc:AlternateContent>
        <mc:AlternateContent xmlns:mc="http://schemas.openxmlformats.org/markup-compatibility/2006">
          <mc:Choice Requires="x14">
            <control shapeId="3261" r:id="rId197" name="Drop Down 2237">
              <controlPr defaultSize="0" autoLine="0" autoPict="0">
                <anchor moveWithCells="1">
                  <from>
                    <xdr:col>12</xdr:col>
                    <xdr:colOff>0</xdr:colOff>
                    <xdr:row>77</xdr:row>
                    <xdr:rowOff>0</xdr:rowOff>
                  </from>
                  <to>
                    <xdr:col>12</xdr:col>
                    <xdr:colOff>701040</xdr:colOff>
                    <xdr:row>77</xdr:row>
                    <xdr:rowOff>220980</xdr:rowOff>
                  </to>
                </anchor>
              </controlPr>
            </control>
          </mc:Choice>
        </mc:AlternateContent>
        <mc:AlternateContent xmlns:mc="http://schemas.openxmlformats.org/markup-compatibility/2006">
          <mc:Choice Requires="x14">
            <control shapeId="3262" r:id="rId198" name="Drop Down 2238">
              <controlPr defaultSize="0" autoLine="0" autoPict="0">
                <anchor moveWithCells="1">
                  <from>
                    <xdr:col>12</xdr:col>
                    <xdr:colOff>685800</xdr:colOff>
                    <xdr:row>77</xdr:row>
                    <xdr:rowOff>15240</xdr:rowOff>
                  </from>
                  <to>
                    <xdr:col>12</xdr:col>
                    <xdr:colOff>1310640</xdr:colOff>
                    <xdr:row>77</xdr:row>
                    <xdr:rowOff>220980</xdr:rowOff>
                  </to>
                </anchor>
              </controlPr>
            </control>
          </mc:Choice>
        </mc:AlternateContent>
        <mc:AlternateContent xmlns:mc="http://schemas.openxmlformats.org/markup-compatibility/2006">
          <mc:Choice Requires="x14">
            <control shapeId="3263" r:id="rId199" name="Drop Down 2239">
              <controlPr defaultSize="0" autoLine="0" autoPict="0">
                <anchor moveWithCells="1">
                  <from>
                    <xdr:col>12</xdr:col>
                    <xdr:colOff>1325880</xdr:colOff>
                    <xdr:row>76</xdr:row>
                    <xdr:rowOff>220980</xdr:rowOff>
                  </from>
                  <to>
                    <xdr:col>13</xdr:col>
                    <xdr:colOff>0</xdr:colOff>
                    <xdr:row>77</xdr:row>
                    <xdr:rowOff>220980</xdr:rowOff>
                  </to>
                </anchor>
              </controlPr>
            </control>
          </mc:Choice>
        </mc:AlternateContent>
        <mc:AlternateContent xmlns:mc="http://schemas.openxmlformats.org/markup-compatibility/2006">
          <mc:Choice Requires="x14">
            <control shapeId="3264" r:id="rId200" name="Drop Down 2240">
              <controlPr defaultSize="0" autoLine="0" autoPict="0">
                <anchor moveWithCells="1">
                  <from>
                    <xdr:col>3</xdr:col>
                    <xdr:colOff>0</xdr:colOff>
                    <xdr:row>77</xdr:row>
                    <xdr:rowOff>15240</xdr:rowOff>
                  </from>
                  <to>
                    <xdr:col>4</xdr:col>
                    <xdr:colOff>205740</xdr:colOff>
                    <xdr:row>77</xdr:row>
                    <xdr:rowOff>220980</xdr:rowOff>
                  </to>
                </anchor>
              </controlPr>
            </control>
          </mc:Choice>
        </mc:AlternateContent>
        <mc:AlternateContent xmlns:mc="http://schemas.openxmlformats.org/markup-compatibility/2006">
          <mc:Choice Requires="x14">
            <control shapeId="3265" r:id="rId201" name="Drop Down 2241">
              <controlPr defaultSize="0" autoLine="0" autoPict="0">
                <anchor moveWithCells="1">
                  <from>
                    <xdr:col>4</xdr:col>
                    <xdr:colOff>220980</xdr:colOff>
                    <xdr:row>77</xdr:row>
                    <xdr:rowOff>15240</xdr:rowOff>
                  </from>
                  <to>
                    <xdr:col>4</xdr:col>
                    <xdr:colOff>1021080</xdr:colOff>
                    <xdr:row>77</xdr:row>
                    <xdr:rowOff>220980</xdr:rowOff>
                  </to>
                </anchor>
              </controlPr>
            </control>
          </mc:Choice>
        </mc:AlternateContent>
        <mc:AlternateContent xmlns:mc="http://schemas.openxmlformats.org/markup-compatibility/2006">
          <mc:Choice Requires="x14">
            <control shapeId="3266" r:id="rId202" name="Drop Down 2242">
              <controlPr defaultSize="0" autoLine="0" autoPict="0">
                <anchor moveWithCells="1">
                  <from>
                    <xdr:col>4</xdr:col>
                    <xdr:colOff>1021080</xdr:colOff>
                    <xdr:row>77</xdr:row>
                    <xdr:rowOff>0</xdr:rowOff>
                  </from>
                  <to>
                    <xdr:col>4</xdr:col>
                    <xdr:colOff>1706880</xdr:colOff>
                    <xdr:row>77</xdr:row>
                    <xdr:rowOff>220980</xdr:rowOff>
                  </to>
                </anchor>
              </controlPr>
            </control>
          </mc:Choice>
        </mc:AlternateContent>
        <mc:AlternateContent xmlns:mc="http://schemas.openxmlformats.org/markup-compatibility/2006">
          <mc:Choice Requires="x14">
            <control shapeId="3267" r:id="rId203" name="Drop Down 2243">
              <controlPr defaultSize="0" autoLine="0" autoPict="0">
                <anchor moveWithCells="1">
                  <from>
                    <xdr:col>5</xdr:col>
                    <xdr:colOff>0</xdr:colOff>
                    <xdr:row>77</xdr:row>
                    <xdr:rowOff>15240</xdr:rowOff>
                  </from>
                  <to>
                    <xdr:col>6</xdr:col>
                    <xdr:colOff>259080</xdr:colOff>
                    <xdr:row>77</xdr:row>
                    <xdr:rowOff>220980</xdr:rowOff>
                  </to>
                </anchor>
              </controlPr>
            </control>
          </mc:Choice>
        </mc:AlternateContent>
        <mc:AlternateContent xmlns:mc="http://schemas.openxmlformats.org/markup-compatibility/2006">
          <mc:Choice Requires="x14">
            <control shapeId="3268" r:id="rId204" name="Drop Down 2244">
              <controlPr defaultSize="0" autoLine="0" autoPict="0">
                <anchor moveWithCells="1">
                  <from>
                    <xdr:col>6</xdr:col>
                    <xdr:colOff>266700</xdr:colOff>
                    <xdr:row>77</xdr:row>
                    <xdr:rowOff>15240</xdr:rowOff>
                  </from>
                  <to>
                    <xdr:col>6</xdr:col>
                    <xdr:colOff>1120140</xdr:colOff>
                    <xdr:row>77</xdr:row>
                    <xdr:rowOff>220980</xdr:rowOff>
                  </to>
                </anchor>
              </controlPr>
            </control>
          </mc:Choice>
        </mc:AlternateContent>
        <mc:AlternateContent xmlns:mc="http://schemas.openxmlformats.org/markup-compatibility/2006">
          <mc:Choice Requires="x14">
            <control shapeId="3269" r:id="rId205" name="Drop Down 2245">
              <controlPr defaultSize="0" autoLine="0" autoPict="0">
                <anchor moveWithCells="1">
                  <from>
                    <xdr:col>6</xdr:col>
                    <xdr:colOff>1135380</xdr:colOff>
                    <xdr:row>77</xdr:row>
                    <xdr:rowOff>0</xdr:rowOff>
                  </from>
                  <to>
                    <xdr:col>6</xdr:col>
                    <xdr:colOff>1805940</xdr:colOff>
                    <xdr:row>77</xdr:row>
                    <xdr:rowOff>213360</xdr:rowOff>
                  </to>
                </anchor>
              </controlPr>
            </control>
          </mc:Choice>
        </mc:AlternateContent>
        <mc:AlternateContent xmlns:mc="http://schemas.openxmlformats.org/markup-compatibility/2006">
          <mc:Choice Requires="x14">
            <control shapeId="3327" r:id="rId206" name="Drop Down 2303">
              <controlPr defaultSize="0" autoLine="0" autoPict="0">
                <anchor moveWithCells="1">
                  <from>
                    <xdr:col>7</xdr:col>
                    <xdr:colOff>0</xdr:colOff>
                    <xdr:row>146</xdr:row>
                    <xdr:rowOff>0</xdr:rowOff>
                  </from>
                  <to>
                    <xdr:col>7</xdr:col>
                    <xdr:colOff>624840</xdr:colOff>
                    <xdr:row>147</xdr:row>
                    <xdr:rowOff>0</xdr:rowOff>
                  </to>
                </anchor>
              </controlPr>
            </control>
          </mc:Choice>
        </mc:AlternateContent>
        <mc:AlternateContent xmlns:mc="http://schemas.openxmlformats.org/markup-compatibility/2006">
          <mc:Choice Requires="x14">
            <control shapeId="3328" r:id="rId207" name="Drop Down 2304">
              <controlPr defaultSize="0" autoLine="0" autoPict="0">
                <anchor moveWithCells="1">
                  <from>
                    <xdr:col>7</xdr:col>
                    <xdr:colOff>601980</xdr:colOff>
                    <xdr:row>146</xdr:row>
                    <xdr:rowOff>15240</xdr:rowOff>
                  </from>
                  <to>
                    <xdr:col>7</xdr:col>
                    <xdr:colOff>1272540</xdr:colOff>
                    <xdr:row>147</xdr:row>
                    <xdr:rowOff>0</xdr:rowOff>
                  </to>
                </anchor>
              </controlPr>
            </control>
          </mc:Choice>
        </mc:AlternateContent>
        <mc:AlternateContent xmlns:mc="http://schemas.openxmlformats.org/markup-compatibility/2006">
          <mc:Choice Requires="x14">
            <control shapeId="3329" r:id="rId208" name="Drop Down 2305">
              <controlPr defaultSize="0" autoLine="0" autoPict="0">
                <anchor moveWithCells="1">
                  <from>
                    <xdr:col>7</xdr:col>
                    <xdr:colOff>1272540</xdr:colOff>
                    <xdr:row>146</xdr:row>
                    <xdr:rowOff>15240</xdr:rowOff>
                  </from>
                  <to>
                    <xdr:col>7</xdr:col>
                    <xdr:colOff>1805940</xdr:colOff>
                    <xdr:row>146</xdr:row>
                    <xdr:rowOff>320040</xdr:rowOff>
                  </to>
                </anchor>
              </controlPr>
            </control>
          </mc:Choice>
        </mc:AlternateContent>
        <mc:AlternateContent xmlns:mc="http://schemas.openxmlformats.org/markup-compatibility/2006">
          <mc:Choice Requires="x14">
            <control shapeId="3330" r:id="rId209" name="Drop Down 2306">
              <controlPr defaultSize="0" autoLine="0" autoPict="0">
                <anchor moveWithCells="1">
                  <from>
                    <xdr:col>7</xdr:col>
                    <xdr:colOff>0</xdr:colOff>
                    <xdr:row>147</xdr:row>
                    <xdr:rowOff>0</xdr:rowOff>
                  </from>
                  <to>
                    <xdr:col>7</xdr:col>
                    <xdr:colOff>624840</xdr:colOff>
                    <xdr:row>148</xdr:row>
                    <xdr:rowOff>0</xdr:rowOff>
                  </to>
                </anchor>
              </controlPr>
            </control>
          </mc:Choice>
        </mc:AlternateContent>
        <mc:AlternateContent xmlns:mc="http://schemas.openxmlformats.org/markup-compatibility/2006">
          <mc:Choice Requires="x14">
            <control shapeId="3331" r:id="rId210" name="Drop Down 2307">
              <controlPr defaultSize="0" autoLine="0" autoPict="0">
                <anchor moveWithCells="1">
                  <from>
                    <xdr:col>7</xdr:col>
                    <xdr:colOff>601980</xdr:colOff>
                    <xdr:row>147</xdr:row>
                    <xdr:rowOff>15240</xdr:rowOff>
                  </from>
                  <to>
                    <xdr:col>7</xdr:col>
                    <xdr:colOff>1272540</xdr:colOff>
                    <xdr:row>148</xdr:row>
                    <xdr:rowOff>0</xdr:rowOff>
                  </to>
                </anchor>
              </controlPr>
            </control>
          </mc:Choice>
        </mc:AlternateContent>
        <mc:AlternateContent xmlns:mc="http://schemas.openxmlformats.org/markup-compatibility/2006">
          <mc:Choice Requires="x14">
            <control shapeId="3332" r:id="rId211" name="Drop Down 2308">
              <controlPr defaultSize="0" autoLine="0" autoPict="0">
                <anchor moveWithCells="1">
                  <from>
                    <xdr:col>7</xdr:col>
                    <xdr:colOff>1272540</xdr:colOff>
                    <xdr:row>147</xdr:row>
                    <xdr:rowOff>15240</xdr:rowOff>
                  </from>
                  <to>
                    <xdr:col>7</xdr:col>
                    <xdr:colOff>1805940</xdr:colOff>
                    <xdr:row>147</xdr:row>
                    <xdr:rowOff>320040</xdr:rowOff>
                  </to>
                </anchor>
              </controlPr>
            </control>
          </mc:Choice>
        </mc:AlternateContent>
        <mc:AlternateContent xmlns:mc="http://schemas.openxmlformats.org/markup-compatibility/2006">
          <mc:Choice Requires="x14">
            <control shapeId="3333" r:id="rId212" name="Drop Down 2309">
              <controlPr defaultSize="0" autoLine="0" autoPict="0">
                <anchor moveWithCells="1">
                  <from>
                    <xdr:col>7</xdr:col>
                    <xdr:colOff>0</xdr:colOff>
                    <xdr:row>148</xdr:row>
                    <xdr:rowOff>0</xdr:rowOff>
                  </from>
                  <to>
                    <xdr:col>7</xdr:col>
                    <xdr:colOff>624840</xdr:colOff>
                    <xdr:row>149</xdr:row>
                    <xdr:rowOff>0</xdr:rowOff>
                  </to>
                </anchor>
              </controlPr>
            </control>
          </mc:Choice>
        </mc:AlternateContent>
        <mc:AlternateContent xmlns:mc="http://schemas.openxmlformats.org/markup-compatibility/2006">
          <mc:Choice Requires="x14">
            <control shapeId="3334" r:id="rId213" name="Drop Down 2310">
              <controlPr defaultSize="0" autoLine="0" autoPict="0">
                <anchor moveWithCells="1">
                  <from>
                    <xdr:col>7</xdr:col>
                    <xdr:colOff>601980</xdr:colOff>
                    <xdr:row>148</xdr:row>
                    <xdr:rowOff>15240</xdr:rowOff>
                  </from>
                  <to>
                    <xdr:col>7</xdr:col>
                    <xdr:colOff>1272540</xdr:colOff>
                    <xdr:row>149</xdr:row>
                    <xdr:rowOff>0</xdr:rowOff>
                  </to>
                </anchor>
              </controlPr>
            </control>
          </mc:Choice>
        </mc:AlternateContent>
        <mc:AlternateContent xmlns:mc="http://schemas.openxmlformats.org/markup-compatibility/2006">
          <mc:Choice Requires="x14">
            <control shapeId="3335" r:id="rId214" name="Drop Down 2311">
              <controlPr defaultSize="0" autoLine="0" autoPict="0">
                <anchor moveWithCells="1">
                  <from>
                    <xdr:col>7</xdr:col>
                    <xdr:colOff>1272540</xdr:colOff>
                    <xdr:row>148</xdr:row>
                    <xdr:rowOff>15240</xdr:rowOff>
                  </from>
                  <to>
                    <xdr:col>7</xdr:col>
                    <xdr:colOff>1805940</xdr:colOff>
                    <xdr:row>148</xdr:row>
                    <xdr:rowOff>320040</xdr:rowOff>
                  </to>
                </anchor>
              </controlPr>
            </control>
          </mc:Choice>
        </mc:AlternateContent>
        <mc:AlternateContent xmlns:mc="http://schemas.openxmlformats.org/markup-compatibility/2006">
          <mc:Choice Requires="x14">
            <control shapeId="3342" r:id="rId215" name="Drop Down 2318">
              <controlPr defaultSize="0" autoLine="0" autoPict="0">
                <anchor moveWithCells="1">
                  <from>
                    <xdr:col>3</xdr:col>
                    <xdr:colOff>0</xdr:colOff>
                    <xdr:row>177</xdr:row>
                    <xdr:rowOff>15240</xdr:rowOff>
                  </from>
                  <to>
                    <xdr:col>4</xdr:col>
                    <xdr:colOff>205740</xdr:colOff>
                    <xdr:row>177</xdr:row>
                    <xdr:rowOff>220980</xdr:rowOff>
                  </to>
                </anchor>
              </controlPr>
            </control>
          </mc:Choice>
        </mc:AlternateContent>
        <mc:AlternateContent xmlns:mc="http://schemas.openxmlformats.org/markup-compatibility/2006">
          <mc:Choice Requires="x14">
            <control shapeId="3343" r:id="rId216" name="Drop Down 2319">
              <controlPr defaultSize="0" autoLine="0" autoPict="0">
                <anchor moveWithCells="1">
                  <from>
                    <xdr:col>4</xdr:col>
                    <xdr:colOff>220980</xdr:colOff>
                    <xdr:row>177</xdr:row>
                    <xdr:rowOff>15240</xdr:rowOff>
                  </from>
                  <to>
                    <xdr:col>4</xdr:col>
                    <xdr:colOff>1021080</xdr:colOff>
                    <xdr:row>177</xdr:row>
                    <xdr:rowOff>220980</xdr:rowOff>
                  </to>
                </anchor>
              </controlPr>
            </control>
          </mc:Choice>
        </mc:AlternateContent>
        <mc:AlternateContent xmlns:mc="http://schemas.openxmlformats.org/markup-compatibility/2006">
          <mc:Choice Requires="x14">
            <control shapeId="3344" r:id="rId217" name="Drop Down 2320">
              <controlPr defaultSize="0" autoLine="0" autoPict="0">
                <anchor moveWithCells="1">
                  <from>
                    <xdr:col>4</xdr:col>
                    <xdr:colOff>1021080</xdr:colOff>
                    <xdr:row>177</xdr:row>
                    <xdr:rowOff>0</xdr:rowOff>
                  </from>
                  <to>
                    <xdr:col>4</xdr:col>
                    <xdr:colOff>1706880</xdr:colOff>
                    <xdr:row>177</xdr:row>
                    <xdr:rowOff>220980</xdr:rowOff>
                  </to>
                </anchor>
              </controlPr>
            </control>
          </mc:Choice>
        </mc:AlternateContent>
        <mc:AlternateContent xmlns:mc="http://schemas.openxmlformats.org/markup-compatibility/2006">
          <mc:Choice Requires="x14">
            <control shapeId="3345" r:id="rId218" name="Drop Down 2321">
              <controlPr defaultSize="0" autoLine="0" autoPict="0">
                <anchor moveWithCells="1">
                  <from>
                    <xdr:col>5</xdr:col>
                    <xdr:colOff>0</xdr:colOff>
                    <xdr:row>177</xdr:row>
                    <xdr:rowOff>15240</xdr:rowOff>
                  </from>
                  <to>
                    <xdr:col>6</xdr:col>
                    <xdr:colOff>259080</xdr:colOff>
                    <xdr:row>177</xdr:row>
                    <xdr:rowOff>220980</xdr:rowOff>
                  </to>
                </anchor>
              </controlPr>
            </control>
          </mc:Choice>
        </mc:AlternateContent>
        <mc:AlternateContent xmlns:mc="http://schemas.openxmlformats.org/markup-compatibility/2006">
          <mc:Choice Requires="x14">
            <control shapeId="3346" r:id="rId219" name="Drop Down 2322">
              <controlPr defaultSize="0" autoLine="0" autoPict="0">
                <anchor moveWithCells="1">
                  <from>
                    <xdr:col>6</xdr:col>
                    <xdr:colOff>266700</xdr:colOff>
                    <xdr:row>177</xdr:row>
                    <xdr:rowOff>15240</xdr:rowOff>
                  </from>
                  <to>
                    <xdr:col>6</xdr:col>
                    <xdr:colOff>1120140</xdr:colOff>
                    <xdr:row>177</xdr:row>
                    <xdr:rowOff>220980</xdr:rowOff>
                  </to>
                </anchor>
              </controlPr>
            </control>
          </mc:Choice>
        </mc:AlternateContent>
        <mc:AlternateContent xmlns:mc="http://schemas.openxmlformats.org/markup-compatibility/2006">
          <mc:Choice Requires="x14">
            <control shapeId="3347" r:id="rId220" name="Drop Down 2323">
              <controlPr defaultSize="0" autoLine="0" autoPict="0">
                <anchor moveWithCells="1">
                  <from>
                    <xdr:col>6</xdr:col>
                    <xdr:colOff>1135380</xdr:colOff>
                    <xdr:row>177</xdr:row>
                    <xdr:rowOff>0</xdr:rowOff>
                  </from>
                  <to>
                    <xdr:col>6</xdr:col>
                    <xdr:colOff>1805940</xdr:colOff>
                    <xdr:row>177</xdr:row>
                    <xdr:rowOff>220980</xdr:rowOff>
                  </to>
                </anchor>
              </controlPr>
            </control>
          </mc:Choice>
        </mc:AlternateContent>
        <mc:AlternateContent xmlns:mc="http://schemas.openxmlformats.org/markup-compatibility/2006">
          <mc:Choice Requires="x14">
            <control shapeId="3351" r:id="rId221" name="Drop Down 2327">
              <controlPr defaultSize="0" autoLine="0" autoPict="0">
                <anchor moveWithCells="1">
                  <from>
                    <xdr:col>12</xdr:col>
                    <xdr:colOff>0</xdr:colOff>
                    <xdr:row>175</xdr:row>
                    <xdr:rowOff>0</xdr:rowOff>
                  </from>
                  <to>
                    <xdr:col>12</xdr:col>
                    <xdr:colOff>716280</xdr:colOff>
                    <xdr:row>175</xdr:row>
                    <xdr:rowOff>220980</xdr:rowOff>
                  </to>
                </anchor>
              </controlPr>
            </control>
          </mc:Choice>
        </mc:AlternateContent>
        <mc:AlternateContent xmlns:mc="http://schemas.openxmlformats.org/markup-compatibility/2006">
          <mc:Choice Requires="x14">
            <control shapeId="3352" r:id="rId222" name="Drop Down 2328">
              <controlPr defaultSize="0" autoLine="0" autoPict="0">
                <anchor moveWithCells="1">
                  <from>
                    <xdr:col>12</xdr:col>
                    <xdr:colOff>716280</xdr:colOff>
                    <xdr:row>175</xdr:row>
                    <xdr:rowOff>15240</xdr:rowOff>
                  </from>
                  <to>
                    <xdr:col>12</xdr:col>
                    <xdr:colOff>1325880</xdr:colOff>
                    <xdr:row>175</xdr:row>
                    <xdr:rowOff>220980</xdr:rowOff>
                  </to>
                </anchor>
              </controlPr>
            </control>
          </mc:Choice>
        </mc:AlternateContent>
        <mc:AlternateContent xmlns:mc="http://schemas.openxmlformats.org/markup-compatibility/2006">
          <mc:Choice Requires="x14">
            <control shapeId="3353" r:id="rId223" name="Drop Down 2329">
              <controlPr defaultSize="0" autoLine="0" autoPict="0">
                <anchor moveWithCells="1">
                  <from>
                    <xdr:col>12</xdr:col>
                    <xdr:colOff>1325880</xdr:colOff>
                    <xdr:row>175</xdr:row>
                    <xdr:rowOff>0</xdr:rowOff>
                  </from>
                  <to>
                    <xdr:col>13</xdr:col>
                    <xdr:colOff>0</xdr:colOff>
                    <xdr:row>175</xdr:row>
                    <xdr:rowOff>220980</xdr:rowOff>
                  </to>
                </anchor>
              </controlPr>
            </control>
          </mc:Choice>
        </mc:AlternateContent>
        <mc:AlternateContent xmlns:mc="http://schemas.openxmlformats.org/markup-compatibility/2006">
          <mc:Choice Requires="x14">
            <control shapeId="3354" r:id="rId224" name="Drop Down 2330">
              <controlPr defaultSize="0" autoLine="0" autoPict="0">
                <anchor moveWithCells="1">
                  <from>
                    <xdr:col>12</xdr:col>
                    <xdr:colOff>0</xdr:colOff>
                    <xdr:row>177</xdr:row>
                    <xdr:rowOff>0</xdr:rowOff>
                  </from>
                  <to>
                    <xdr:col>12</xdr:col>
                    <xdr:colOff>701040</xdr:colOff>
                    <xdr:row>177</xdr:row>
                    <xdr:rowOff>220980</xdr:rowOff>
                  </to>
                </anchor>
              </controlPr>
            </control>
          </mc:Choice>
        </mc:AlternateContent>
        <mc:AlternateContent xmlns:mc="http://schemas.openxmlformats.org/markup-compatibility/2006">
          <mc:Choice Requires="x14">
            <control shapeId="3355" r:id="rId225" name="Drop Down 2331">
              <controlPr defaultSize="0" autoLine="0" autoPict="0">
                <anchor moveWithCells="1">
                  <from>
                    <xdr:col>12</xdr:col>
                    <xdr:colOff>685800</xdr:colOff>
                    <xdr:row>177</xdr:row>
                    <xdr:rowOff>15240</xdr:rowOff>
                  </from>
                  <to>
                    <xdr:col>12</xdr:col>
                    <xdr:colOff>1310640</xdr:colOff>
                    <xdr:row>177</xdr:row>
                    <xdr:rowOff>220980</xdr:rowOff>
                  </to>
                </anchor>
              </controlPr>
            </control>
          </mc:Choice>
        </mc:AlternateContent>
        <mc:AlternateContent xmlns:mc="http://schemas.openxmlformats.org/markup-compatibility/2006">
          <mc:Choice Requires="x14">
            <control shapeId="3356" r:id="rId226" name="Drop Down 2332">
              <controlPr defaultSize="0" autoLine="0" autoPict="0">
                <anchor moveWithCells="1">
                  <from>
                    <xdr:col>12</xdr:col>
                    <xdr:colOff>1325880</xdr:colOff>
                    <xdr:row>176</xdr:row>
                    <xdr:rowOff>220980</xdr:rowOff>
                  </from>
                  <to>
                    <xdr:col>13</xdr:col>
                    <xdr:colOff>0</xdr:colOff>
                    <xdr:row>177</xdr:row>
                    <xdr:rowOff>220980</xdr:rowOff>
                  </to>
                </anchor>
              </controlPr>
            </control>
          </mc:Choice>
        </mc:AlternateContent>
        <mc:AlternateContent xmlns:mc="http://schemas.openxmlformats.org/markup-compatibility/2006">
          <mc:Choice Requires="x14">
            <control shapeId="3375" r:id="rId227" name="Drop Down 2351">
              <controlPr defaultSize="0" autoLine="0" autoPict="0">
                <anchor moveWithCells="1">
                  <from>
                    <xdr:col>7</xdr:col>
                    <xdr:colOff>0</xdr:colOff>
                    <xdr:row>246</xdr:row>
                    <xdr:rowOff>0</xdr:rowOff>
                  </from>
                  <to>
                    <xdr:col>7</xdr:col>
                    <xdr:colOff>624840</xdr:colOff>
                    <xdr:row>247</xdr:row>
                    <xdr:rowOff>0</xdr:rowOff>
                  </to>
                </anchor>
              </controlPr>
            </control>
          </mc:Choice>
        </mc:AlternateContent>
        <mc:AlternateContent xmlns:mc="http://schemas.openxmlformats.org/markup-compatibility/2006">
          <mc:Choice Requires="x14">
            <control shapeId="3376" r:id="rId228" name="Drop Down 2352">
              <controlPr defaultSize="0" autoLine="0" autoPict="0">
                <anchor moveWithCells="1">
                  <from>
                    <xdr:col>7</xdr:col>
                    <xdr:colOff>601980</xdr:colOff>
                    <xdr:row>246</xdr:row>
                    <xdr:rowOff>15240</xdr:rowOff>
                  </from>
                  <to>
                    <xdr:col>7</xdr:col>
                    <xdr:colOff>1272540</xdr:colOff>
                    <xdr:row>247</xdr:row>
                    <xdr:rowOff>0</xdr:rowOff>
                  </to>
                </anchor>
              </controlPr>
            </control>
          </mc:Choice>
        </mc:AlternateContent>
        <mc:AlternateContent xmlns:mc="http://schemas.openxmlformats.org/markup-compatibility/2006">
          <mc:Choice Requires="x14">
            <control shapeId="3377" r:id="rId229" name="Drop Down 2353">
              <controlPr defaultSize="0" autoLine="0" autoPict="0">
                <anchor moveWithCells="1">
                  <from>
                    <xdr:col>7</xdr:col>
                    <xdr:colOff>1272540</xdr:colOff>
                    <xdr:row>246</xdr:row>
                    <xdr:rowOff>15240</xdr:rowOff>
                  </from>
                  <to>
                    <xdr:col>7</xdr:col>
                    <xdr:colOff>1805940</xdr:colOff>
                    <xdr:row>246</xdr:row>
                    <xdr:rowOff>320040</xdr:rowOff>
                  </to>
                </anchor>
              </controlPr>
            </control>
          </mc:Choice>
        </mc:AlternateContent>
        <mc:AlternateContent xmlns:mc="http://schemas.openxmlformats.org/markup-compatibility/2006">
          <mc:Choice Requires="x14">
            <control shapeId="3378" r:id="rId230" name="Drop Down 2354">
              <controlPr defaultSize="0" autoLine="0" autoPict="0">
                <anchor moveWithCells="1">
                  <from>
                    <xdr:col>7</xdr:col>
                    <xdr:colOff>0</xdr:colOff>
                    <xdr:row>247</xdr:row>
                    <xdr:rowOff>0</xdr:rowOff>
                  </from>
                  <to>
                    <xdr:col>7</xdr:col>
                    <xdr:colOff>624840</xdr:colOff>
                    <xdr:row>248</xdr:row>
                    <xdr:rowOff>0</xdr:rowOff>
                  </to>
                </anchor>
              </controlPr>
            </control>
          </mc:Choice>
        </mc:AlternateContent>
        <mc:AlternateContent xmlns:mc="http://schemas.openxmlformats.org/markup-compatibility/2006">
          <mc:Choice Requires="x14">
            <control shapeId="3379" r:id="rId231" name="Drop Down 2355">
              <controlPr defaultSize="0" autoLine="0" autoPict="0">
                <anchor moveWithCells="1">
                  <from>
                    <xdr:col>7</xdr:col>
                    <xdr:colOff>601980</xdr:colOff>
                    <xdr:row>247</xdr:row>
                    <xdr:rowOff>15240</xdr:rowOff>
                  </from>
                  <to>
                    <xdr:col>7</xdr:col>
                    <xdr:colOff>1272540</xdr:colOff>
                    <xdr:row>248</xdr:row>
                    <xdr:rowOff>0</xdr:rowOff>
                  </to>
                </anchor>
              </controlPr>
            </control>
          </mc:Choice>
        </mc:AlternateContent>
        <mc:AlternateContent xmlns:mc="http://schemas.openxmlformats.org/markup-compatibility/2006">
          <mc:Choice Requires="x14">
            <control shapeId="3380" r:id="rId232" name="Drop Down 2356">
              <controlPr defaultSize="0" autoLine="0" autoPict="0">
                <anchor moveWithCells="1">
                  <from>
                    <xdr:col>7</xdr:col>
                    <xdr:colOff>1272540</xdr:colOff>
                    <xdr:row>247</xdr:row>
                    <xdr:rowOff>15240</xdr:rowOff>
                  </from>
                  <to>
                    <xdr:col>7</xdr:col>
                    <xdr:colOff>1805940</xdr:colOff>
                    <xdr:row>247</xdr:row>
                    <xdr:rowOff>320040</xdr:rowOff>
                  </to>
                </anchor>
              </controlPr>
            </control>
          </mc:Choice>
        </mc:AlternateContent>
        <mc:AlternateContent xmlns:mc="http://schemas.openxmlformats.org/markup-compatibility/2006">
          <mc:Choice Requires="x14">
            <control shapeId="3381" r:id="rId233" name="Drop Down 2357">
              <controlPr defaultSize="0" autoLine="0" autoPict="0">
                <anchor moveWithCells="1">
                  <from>
                    <xdr:col>7</xdr:col>
                    <xdr:colOff>0</xdr:colOff>
                    <xdr:row>248</xdr:row>
                    <xdr:rowOff>0</xdr:rowOff>
                  </from>
                  <to>
                    <xdr:col>7</xdr:col>
                    <xdr:colOff>624840</xdr:colOff>
                    <xdr:row>249</xdr:row>
                    <xdr:rowOff>0</xdr:rowOff>
                  </to>
                </anchor>
              </controlPr>
            </control>
          </mc:Choice>
        </mc:AlternateContent>
        <mc:AlternateContent xmlns:mc="http://schemas.openxmlformats.org/markup-compatibility/2006">
          <mc:Choice Requires="x14">
            <control shapeId="3382" r:id="rId234" name="Drop Down 2358">
              <controlPr defaultSize="0" autoLine="0" autoPict="0">
                <anchor moveWithCells="1">
                  <from>
                    <xdr:col>7</xdr:col>
                    <xdr:colOff>601980</xdr:colOff>
                    <xdr:row>248</xdr:row>
                    <xdr:rowOff>15240</xdr:rowOff>
                  </from>
                  <to>
                    <xdr:col>7</xdr:col>
                    <xdr:colOff>1272540</xdr:colOff>
                    <xdr:row>249</xdr:row>
                    <xdr:rowOff>0</xdr:rowOff>
                  </to>
                </anchor>
              </controlPr>
            </control>
          </mc:Choice>
        </mc:AlternateContent>
        <mc:AlternateContent xmlns:mc="http://schemas.openxmlformats.org/markup-compatibility/2006">
          <mc:Choice Requires="x14">
            <control shapeId="3383" r:id="rId235" name="Drop Down 2359">
              <controlPr defaultSize="0" autoLine="0" autoPict="0">
                <anchor moveWithCells="1">
                  <from>
                    <xdr:col>7</xdr:col>
                    <xdr:colOff>1272540</xdr:colOff>
                    <xdr:row>248</xdr:row>
                    <xdr:rowOff>15240</xdr:rowOff>
                  </from>
                  <to>
                    <xdr:col>7</xdr:col>
                    <xdr:colOff>1805940</xdr:colOff>
                    <xdr:row>248</xdr:row>
                    <xdr:rowOff>320040</xdr:rowOff>
                  </to>
                </anchor>
              </controlPr>
            </control>
          </mc:Choice>
        </mc:AlternateContent>
        <mc:AlternateContent xmlns:mc="http://schemas.openxmlformats.org/markup-compatibility/2006">
          <mc:Choice Requires="x14">
            <control shapeId="3390" r:id="rId236" name="Drop Down 2366">
              <controlPr defaultSize="0" autoLine="0" autoPict="0">
                <anchor moveWithCells="1">
                  <from>
                    <xdr:col>3</xdr:col>
                    <xdr:colOff>0</xdr:colOff>
                    <xdr:row>277</xdr:row>
                    <xdr:rowOff>15240</xdr:rowOff>
                  </from>
                  <to>
                    <xdr:col>4</xdr:col>
                    <xdr:colOff>205740</xdr:colOff>
                    <xdr:row>277</xdr:row>
                    <xdr:rowOff>220980</xdr:rowOff>
                  </to>
                </anchor>
              </controlPr>
            </control>
          </mc:Choice>
        </mc:AlternateContent>
        <mc:AlternateContent xmlns:mc="http://schemas.openxmlformats.org/markup-compatibility/2006">
          <mc:Choice Requires="x14">
            <control shapeId="3391" r:id="rId237" name="Drop Down 2367">
              <controlPr defaultSize="0" autoLine="0" autoPict="0">
                <anchor moveWithCells="1">
                  <from>
                    <xdr:col>4</xdr:col>
                    <xdr:colOff>220980</xdr:colOff>
                    <xdr:row>277</xdr:row>
                    <xdr:rowOff>15240</xdr:rowOff>
                  </from>
                  <to>
                    <xdr:col>4</xdr:col>
                    <xdr:colOff>1021080</xdr:colOff>
                    <xdr:row>277</xdr:row>
                    <xdr:rowOff>220980</xdr:rowOff>
                  </to>
                </anchor>
              </controlPr>
            </control>
          </mc:Choice>
        </mc:AlternateContent>
        <mc:AlternateContent xmlns:mc="http://schemas.openxmlformats.org/markup-compatibility/2006">
          <mc:Choice Requires="x14">
            <control shapeId="3392" r:id="rId238" name="Drop Down 2368">
              <controlPr defaultSize="0" autoLine="0" autoPict="0">
                <anchor moveWithCells="1">
                  <from>
                    <xdr:col>4</xdr:col>
                    <xdr:colOff>1021080</xdr:colOff>
                    <xdr:row>277</xdr:row>
                    <xdr:rowOff>0</xdr:rowOff>
                  </from>
                  <to>
                    <xdr:col>4</xdr:col>
                    <xdr:colOff>1706880</xdr:colOff>
                    <xdr:row>277</xdr:row>
                    <xdr:rowOff>220980</xdr:rowOff>
                  </to>
                </anchor>
              </controlPr>
            </control>
          </mc:Choice>
        </mc:AlternateContent>
        <mc:AlternateContent xmlns:mc="http://schemas.openxmlformats.org/markup-compatibility/2006">
          <mc:Choice Requires="x14">
            <control shapeId="3393" r:id="rId239" name="Drop Down 2369">
              <controlPr defaultSize="0" autoLine="0" autoPict="0">
                <anchor moveWithCells="1">
                  <from>
                    <xdr:col>5</xdr:col>
                    <xdr:colOff>0</xdr:colOff>
                    <xdr:row>277</xdr:row>
                    <xdr:rowOff>15240</xdr:rowOff>
                  </from>
                  <to>
                    <xdr:col>6</xdr:col>
                    <xdr:colOff>259080</xdr:colOff>
                    <xdr:row>277</xdr:row>
                    <xdr:rowOff>220980</xdr:rowOff>
                  </to>
                </anchor>
              </controlPr>
            </control>
          </mc:Choice>
        </mc:AlternateContent>
        <mc:AlternateContent xmlns:mc="http://schemas.openxmlformats.org/markup-compatibility/2006">
          <mc:Choice Requires="x14">
            <control shapeId="3394" r:id="rId240" name="Drop Down 2370">
              <controlPr defaultSize="0" autoLine="0" autoPict="0">
                <anchor moveWithCells="1">
                  <from>
                    <xdr:col>6</xdr:col>
                    <xdr:colOff>266700</xdr:colOff>
                    <xdr:row>277</xdr:row>
                    <xdr:rowOff>15240</xdr:rowOff>
                  </from>
                  <to>
                    <xdr:col>6</xdr:col>
                    <xdr:colOff>1120140</xdr:colOff>
                    <xdr:row>277</xdr:row>
                    <xdr:rowOff>220980</xdr:rowOff>
                  </to>
                </anchor>
              </controlPr>
            </control>
          </mc:Choice>
        </mc:AlternateContent>
        <mc:AlternateContent xmlns:mc="http://schemas.openxmlformats.org/markup-compatibility/2006">
          <mc:Choice Requires="x14">
            <control shapeId="3395" r:id="rId241" name="Drop Down 2371">
              <controlPr defaultSize="0" autoLine="0" autoPict="0">
                <anchor moveWithCells="1">
                  <from>
                    <xdr:col>6</xdr:col>
                    <xdr:colOff>1135380</xdr:colOff>
                    <xdr:row>277</xdr:row>
                    <xdr:rowOff>0</xdr:rowOff>
                  </from>
                  <to>
                    <xdr:col>6</xdr:col>
                    <xdr:colOff>1805940</xdr:colOff>
                    <xdr:row>277</xdr:row>
                    <xdr:rowOff>220980</xdr:rowOff>
                  </to>
                </anchor>
              </controlPr>
            </control>
          </mc:Choice>
        </mc:AlternateContent>
        <mc:AlternateContent xmlns:mc="http://schemas.openxmlformats.org/markup-compatibility/2006">
          <mc:Choice Requires="x14">
            <control shapeId="3399" r:id="rId242" name="Drop Down 2375">
              <controlPr defaultSize="0" autoLine="0" autoPict="0">
                <anchor moveWithCells="1">
                  <from>
                    <xdr:col>12</xdr:col>
                    <xdr:colOff>0</xdr:colOff>
                    <xdr:row>275</xdr:row>
                    <xdr:rowOff>0</xdr:rowOff>
                  </from>
                  <to>
                    <xdr:col>12</xdr:col>
                    <xdr:colOff>716280</xdr:colOff>
                    <xdr:row>275</xdr:row>
                    <xdr:rowOff>220980</xdr:rowOff>
                  </to>
                </anchor>
              </controlPr>
            </control>
          </mc:Choice>
        </mc:AlternateContent>
        <mc:AlternateContent xmlns:mc="http://schemas.openxmlformats.org/markup-compatibility/2006">
          <mc:Choice Requires="x14">
            <control shapeId="3400" r:id="rId243" name="Drop Down 2376">
              <controlPr defaultSize="0" autoLine="0" autoPict="0">
                <anchor moveWithCells="1">
                  <from>
                    <xdr:col>12</xdr:col>
                    <xdr:colOff>716280</xdr:colOff>
                    <xdr:row>275</xdr:row>
                    <xdr:rowOff>15240</xdr:rowOff>
                  </from>
                  <to>
                    <xdr:col>12</xdr:col>
                    <xdr:colOff>1325880</xdr:colOff>
                    <xdr:row>275</xdr:row>
                    <xdr:rowOff>220980</xdr:rowOff>
                  </to>
                </anchor>
              </controlPr>
            </control>
          </mc:Choice>
        </mc:AlternateContent>
        <mc:AlternateContent xmlns:mc="http://schemas.openxmlformats.org/markup-compatibility/2006">
          <mc:Choice Requires="x14">
            <control shapeId="3401" r:id="rId244" name="Drop Down 2377">
              <controlPr defaultSize="0" autoLine="0" autoPict="0">
                <anchor moveWithCells="1">
                  <from>
                    <xdr:col>12</xdr:col>
                    <xdr:colOff>1325880</xdr:colOff>
                    <xdr:row>275</xdr:row>
                    <xdr:rowOff>0</xdr:rowOff>
                  </from>
                  <to>
                    <xdr:col>13</xdr:col>
                    <xdr:colOff>0</xdr:colOff>
                    <xdr:row>275</xdr:row>
                    <xdr:rowOff>220980</xdr:rowOff>
                  </to>
                </anchor>
              </controlPr>
            </control>
          </mc:Choice>
        </mc:AlternateContent>
        <mc:AlternateContent xmlns:mc="http://schemas.openxmlformats.org/markup-compatibility/2006">
          <mc:Choice Requires="x14">
            <control shapeId="3402" r:id="rId245" name="Drop Down 2378">
              <controlPr defaultSize="0" autoLine="0" autoPict="0">
                <anchor moveWithCells="1">
                  <from>
                    <xdr:col>12</xdr:col>
                    <xdr:colOff>0</xdr:colOff>
                    <xdr:row>277</xdr:row>
                    <xdr:rowOff>0</xdr:rowOff>
                  </from>
                  <to>
                    <xdr:col>12</xdr:col>
                    <xdr:colOff>701040</xdr:colOff>
                    <xdr:row>277</xdr:row>
                    <xdr:rowOff>220980</xdr:rowOff>
                  </to>
                </anchor>
              </controlPr>
            </control>
          </mc:Choice>
        </mc:AlternateContent>
        <mc:AlternateContent xmlns:mc="http://schemas.openxmlformats.org/markup-compatibility/2006">
          <mc:Choice Requires="x14">
            <control shapeId="3403" r:id="rId246" name="Drop Down 2379">
              <controlPr defaultSize="0" autoLine="0" autoPict="0">
                <anchor moveWithCells="1">
                  <from>
                    <xdr:col>12</xdr:col>
                    <xdr:colOff>685800</xdr:colOff>
                    <xdr:row>277</xdr:row>
                    <xdr:rowOff>15240</xdr:rowOff>
                  </from>
                  <to>
                    <xdr:col>12</xdr:col>
                    <xdr:colOff>1310640</xdr:colOff>
                    <xdr:row>277</xdr:row>
                    <xdr:rowOff>220980</xdr:rowOff>
                  </to>
                </anchor>
              </controlPr>
            </control>
          </mc:Choice>
        </mc:AlternateContent>
        <mc:AlternateContent xmlns:mc="http://schemas.openxmlformats.org/markup-compatibility/2006">
          <mc:Choice Requires="x14">
            <control shapeId="3404" r:id="rId247" name="Drop Down 2380">
              <controlPr defaultSize="0" autoLine="0" autoPict="0">
                <anchor moveWithCells="1">
                  <from>
                    <xdr:col>12</xdr:col>
                    <xdr:colOff>1325880</xdr:colOff>
                    <xdr:row>276</xdr:row>
                    <xdr:rowOff>220980</xdr:rowOff>
                  </from>
                  <to>
                    <xdr:col>13</xdr:col>
                    <xdr:colOff>0</xdr:colOff>
                    <xdr:row>277</xdr:row>
                    <xdr:rowOff>220980</xdr:rowOff>
                  </to>
                </anchor>
              </controlPr>
            </control>
          </mc:Choice>
        </mc:AlternateContent>
        <mc:AlternateContent xmlns:mc="http://schemas.openxmlformats.org/markup-compatibility/2006">
          <mc:Choice Requires="x14">
            <control shapeId="3471" r:id="rId248" name="Drop Down 2447">
              <controlPr defaultSize="0" autoLine="0" autoPict="0">
                <anchor moveWithCells="1">
                  <from>
                    <xdr:col>7</xdr:col>
                    <xdr:colOff>0</xdr:colOff>
                    <xdr:row>446</xdr:row>
                    <xdr:rowOff>0</xdr:rowOff>
                  </from>
                  <to>
                    <xdr:col>7</xdr:col>
                    <xdr:colOff>624840</xdr:colOff>
                    <xdr:row>447</xdr:row>
                    <xdr:rowOff>0</xdr:rowOff>
                  </to>
                </anchor>
              </controlPr>
            </control>
          </mc:Choice>
        </mc:AlternateContent>
        <mc:AlternateContent xmlns:mc="http://schemas.openxmlformats.org/markup-compatibility/2006">
          <mc:Choice Requires="x14">
            <control shapeId="3472" r:id="rId249" name="Drop Down 2448">
              <controlPr defaultSize="0" autoLine="0" autoPict="0">
                <anchor moveWithCells="1">
                  <from>
                    <xdr:col>7</xdr:col>
                    <xdr:colOff>601980</xdr:colOff>
                    <xdr:row>446</xdr:row>
                    <xdr:rowOff>15240</xdr:rowOff>
                  </from>
                  <to>
                    <xdr:col>7</xdr:col>
                    <xdr:colOff>1272540</xdr:colOff>
                    <xdr:row>447</xdr:row>
                    <xdr:rowOff>0</xdr:rowOff>
                  </to>
                </anchor>
              </controlPr>
            </control>
          </mc:Choice>
        </mc:AlternateContent>
        <mc:AlternateContent xmlns:mc="http://schemas.openxmlformats.org/markup-compatibility/2006">
          <mc:Choice Requires="x14">
            <control shapeId="3473" r:id="rId250" name="Drop Down 2449">
              <controlPr defaultSize="0" autoLine="0" autoPict="0">
                <anchor moveWithCells="1">
                  <from>
                    <xdr:col>7</xdr:col>
                    <xdr:colOff>1272540</xdr:colOff>
                    <xdr:row>446</xdr:row>
                    <xdr:rowOff>15240</xdr:rowOff>
                  </from>
                  <to>
                    <xdr:col>7</xdr:col>
                    <xdr:colOff>1805940</xdr:colOff>
                    <xdr:row>446</xdr:row>
                    <xdr:rowOff>320040</xdr:rowOff>
                  </to>
                </anchor>
              </controlPr>
            </control>
          </mc:Choice>
        </mc:AlternateContent>
        <mc:AlternateContent xmlns:mc="http://schemas.openxmlformats.org/markup-compatibility/2006">
          <mc:Choice Requires="x14">
            <control shapeId="3474" r:id="rId251" name="Drop Down 2450">
              <controlPr defaultSize="0" autoLine="0" autoPict="0">
                <anchor moveWithCells="1">
                  <from>
                    <xdr:col>7</xdr:col>
                    <xdr:colOff>0</xdr:colOff>
                    <xdr:row>447</xdr:row>
                    <xdr:rowOff>0</xdr:rowOff>
                  </from>
                  <to>
                    <xdr:col>7</xdr:col>
                    <xdr:colOff>624840</xdr:colOff>
                    <xdr:row>448</xdr:row>
                    <xdr:rowOff>0</xdr:rowOff>
                  </to>
                </anchor>
              </controlPr>
            </control>
          </mc:Choice>
        </mc:AlternateContent>
        <mc:AlternateContent xmlns:mc="http://schemas.openxmlformats.org/markup-compatibility/2006">
          <mc:Choice Requires="x14">
            <control shapeId="3475" r:id="rId252" name="Drop Down 2451">
              <controlPr defaultSize="0" autoLine="0" autoPict="0">
                <anchor moveWithCells="1">
                  <from>
                    <xdr:col>7</xdr:col>
                    <xdr:colOff>601980</xdr:colOff>
                    <xdr:row>447</xdr:row>
                    <xdr:rowOff>15240</xdr:rowOff>
                  </from>
                  <to>
                    <xdr:col>7</xdr:col>
                    <xdr:colOff>1272540</xdr:colOff>
                    <xdr:row>448</xdr:row>
                    <xdr:rowOff>0</xdr:rowOff>
                  </to>
                </anchor>
              </controlPr>
            </control>
          </mc:Choice>
        </mc:AlternateContent>
        <mc:AlternateContent xmlns:mc="http://schemas.openxmlformats.org/markup-compatibility/2006">
          <mc:Choice Requires="x14">
            <control shapeId="3476" r:id="rId253" name="Drop Down 2452">
              <controlPr defaultSize="0" autoLine="0" autoPict="0">
                <anchor moveWithCells="1">
                  <from>
                    <xdr:col>7</xdr:col>
                    <xdr:colOff>1272540</xdr:colOff>
                    <xdr:row>447</xdr:row>
                    <xdr:rowOff>15240</xdr:rowOff>
                  </from>
                  <to>
                    <xdr:col>7</xdr:col>
                    <xdr:colOff>1805940</xdr:colOff>
                    <xdr:row>447</xdr:row>
                    <xdr:rowOff>320040</xdr:rowOff>
                  </to>
                </anchor>
              </controlPr>
            </control>
          </mc:Choice>
        </mc:AlternateContent>
        <mc:AlternateContent xmlns:mc="http://schemas.openxmlformats.org/markup-compatibility/2006">
          <mc:Choice Requires="x14">
            <control shapeId="3477" r:id="rId254" name="Drop Down 2453">
              <controlPr defaultSize="0" autoLine="0" autoPict="0">
                <anchor moveWithCells="1">
                  <from>
                    <xdr:col>7</xdr:col>
                    <xdr:colOff>0</xdr:colOff>
                    <xdr:row>448</xdr:row>
                    <xdr:rowOff>0</xdr:rowOff>
                  </from>
                  <to>
                    <xdr:col>7</xdr:col>
                    <xdr:colOff>624840</xdr:colOff>
                    <xdr:row>449</xdr:row>
                    <xdr:rowOff>0</xdr:rowOff>
                  </to>
                </anchor>
              </controlPr>
            </control>
          </mc:Choice>
        </mc:AlternateContent>
        <mc:AlternateContent xmlns:mc="http://schemas.openxmlformats.org/markup-compatibility/2006">
          <mc:Choice Requires="x14">
            <control shapeId="3478" r:id="rId255" name="Drop Down 2454">
              <controlPr defaultSize="0" autoLine="0" autoPict="0">
                <anchor moveWithCells="1">
                  <from>
                    <xdr:col>7</xdr:col>
                    <xdr:colOff>601980</xdr:colOff>
                    <xdr:row>448</xdr:row>
                    <xdr:rowOff>15240</xdr:rowOff>
                  </from>
                  <to>
                    <xdr:col>7</xdr:col>
                    <xdr:colOff>1272540</xdr:colOff>
                    <xdr:row>449</xdr:row>
                    <xdr:rowOff>0</xdr:rowOff>
                  </to>
                </anchor>
              </controlPr>
            </control>
          </mc:Choice>
        </mc:AlternateContent>
        <mc:AlternateContent xmlns:mc="http://schemas.openxmlformats.org/markup-compatibility/2006">
          <mc:Choice Requires="x14">
            <control shapeId="3479" r:id="rId256" name="Drop Down 2455">
              <controlPr defaultSize="0" autoLine="0" autoPict="0">
                <anchor moveWithCells="1">
                  <from>
                    <xdr:col>7</xdr:col>
                    <xdr:colOff>1272540</xdr:colOff>
                    <xdr:row>448</xdr:row>
                    <xdr:rowOff>15240</xdr:rowOff>
                  </from>
                  <to>
                    <xdr:col>7</xdr:col>
                    <xdr:colOff>1805940</xdr:colOff>
                    <xdr:row>448</xdr:row>
                    <xdr:rowOff>320040</xdr:rowOff>
                  </to>
                </anchor>
              </controlPr>
            </control>
          </mc:Choice>
        </mc:AlternateContent>
        <mc:AlternateContent xmlns:mc="http://schemas.openxmlformats.org/markup-compatibility/2006">
          <mc:Choice Requires="x14">
            <control shapeId="3486" r:id="rId257" name="Drop Down 2462">
              <controlPr defaultSize="0" autoLine="0" autoPict="0">
                <anchor moveWithCells="1">
                  <from>
                    <xdr:col>3</xdr:col>
                    <xdr:colOff>0</xdr:colOff>
                    <xdr:row>477</xdr:row>
                    <xdr:rowOff>15240</xdr:rowOff>
                  </from>
                  <to>
                    <xdr:col>4</xdr:col>
                    <xdr:colOff>205740</xdr:colOff>
                    <xdr:row>477</xdr:row>
                    <xdr:rowOff>220980</xdr:rowOff>
                  </to>
                </anchor>
              </controlPr>
            </control>
          </mc:Choice>
        </mc:AlternateContent>
        <mc:AlternateContent xmlns:mc="http://schemas.openxmlformats.org/markup-compatibility/2006">
          <mc:Choice Requires="x14">
            <control shapeId="3487" r:id="rId258" name="Drop Down 2463">
              <controlPr defaultSize="0" autoLine="0" autoPict="0">
                <anchor moveWithCells="1">
                  <from>
                    <xdr:col>4</xdr:col>
                    <xdr:colOff>220980</xdr:colOff>
                    <xdr:row>477</xdr:row>
                    <xdr:rowOff>15240</xdr:rowOff>
                  </from>
                  <to>
                    <xdr:col>4</xdr:col>
                    <xdr:colOff>1021080</xdr:colOff>
                    <xdr:row>477</xdr:row>
                    <xdr:rowOff>220980</xdr:rowOff>
                  </to>
                </anchor>
              </controlPr>
            </control>
          </mc:Choice>
        </mc:AlternateContent>
        <mc:AlternateContent xmlns:mc="http://schemas.openxmlformats.org/markup-compatibility/2006">
          <mc:Choice Requires="x14">
            <control shapeId="3488" r:id="rId259" name="Drop Down 2464">
              <controlPr defaultSize="0" autoLine="0" autoPict="0">
                <anchor moveWithCells="1">
                  <from>
                    <xdr:col>4</xdr:col>
                    <xdr:colOff>1021080</xdr:colOff>
                    <xdr:row>477</xdr:row>
                    <xdr:rowOff>0</xdr:rowOff>
                  </from>
                  <to>
                    <xdr:col>4</xdr:col>
                    <xdr:colOff>1706880</xdr:colOff>
                    <xdr:row>477</xdr:row>
                    <xdr:rowOff>220980</xdr:rowOff>
                  </to>
                </anchor>
              </controlPr>
            </control>
          </mc:Choice>
        </mc:AlternateContent>
        <mc:AlternateContent xmlns:mc="http://schemas.openxmlformats.org/markup-compatibility/2006">
          <mc:Choice Requires="x14">
            <control shapeId="3489" r:id="rId260" name="Drop Down 2465">
              <controlPr defaultSize="0" autoLine="0" autoPict="0">
                <anchor moveWithCells="1">
                  <from>
                    <xdr:col>5</xdr:col>
                    <xdr:colOff>0</xdr:colOff>
                    <xdr:row>477</xdr:row>
                    <xdr:rowOff>15240</xdr:rowOff>
                  </from>
                  <to>
                    <xdr:col>6</xdr:col>
                    <xdr:colOff>259080</xdr:colOff>
                    <xdr:row>477</xdr:row>
                    <xdr:rowOff>220980</xdr:rowOff>
                  </to>
                </anchor>
              </controlPr>
            </control>
          </mc:Choice>
        </mc:AlternateContent>
        <mc:AlternateContent xmlns:mc="http://schemas.openxmlformats.org/markup-compatibility/2006">
          <mc:Choice Requires="x14">
            <control shapeId="3490" r:id="rId261" name="Drop Down 2466">
              <controlPr defaultSize="0" autoLine="0" autoPict="0">
                <anchor moveWithCells="1">
                  <from>
                    <xdr:col>6</xdr:col>
                    <xdr:colOff>266700</xdr:colOff>
                    <xdr:row>477</xdr:row>
                    <xdr:rowOff>15240</xdr:rowOff>
                  </from>
                  <to>
                    <xdr:col>6</xdr:col>
                    <xdr:colOff>1120140</xdr:colOff>
                    <xdr:row>477</xdr:row>
                    <xdr:rowOff>220980</xdr:rowOff>
                  </to>
                </anchor>
              </controlPr>
            </control>
          </mc:Choice>
        </mc:AlternateContent>
        <mc:AlternateContent xmlns:mc="http://schemas.openxmlformats.org/markup-compatibility/2006">
          <mc:Choice Requires="x14">
            <control shapeId="3491" r:id="rId262" name="Drop Down 2467">
              <controlPr defaultSize="0" autoLine="0" autoPict="0">
                <anchor moveWithCells="1">
                  <from>
                    <xdr:col>6</xdr:col>
                    <xdr:colOff>1135380</xdr:colOff>
                    <xdr:row>477</xdr:row>
                    <xdr:rowOff>0</xdr:rowOff>
                  </from>
                  <to>
                    <xdr:col>6</xdr:col>
                    <xdr:colOff>1805940</xdr:colOff>
                    <xdr:row>477</xdr:row>
                    <xdr:rowOff>220980</xdr:rowOff>
                  </to>
                </anchor>
              </controlPr>
            </control>
          </mc:Choice>
        </mc:AlternateContent>
        <mc:AlternateContent xmlns:mc="http://schemas.openxmlformats.org/markup-compatibility/2006">
          <mc:Choice Requires="x14">
            <control shapeId="3495" r:id="rId263" name="Drop Down 2471">
              <controlPr defaultSize="0" autoLine="0" autoPict="0">
                <anchor moveWithCells="1">
                  <from>
                    <xdr:col>12</xdr:col>
                    <xdr:colOff>0</xdr:colOff>
                    <xdr:row>475</xdr:row>
                    <xdr:rowOff>0</xdr:rowOff>
                  </from>
                  <to>
                    <xdr:col>12</xdr:col>
                    <xdr:colOff>716280</xdr:colOff>
                    <xdr:row>475</xdr:row>
                    <xdr:rowOff>220980</xdr:rowOff>
                  </to>
                </anchor>
              </controlPr>
            </control>
          </mc:Choice>
        </mc:AlternateContent>
        <mc:AlternateContent xmlns:mc="http://schemas.openxmlformats.org/markup-compatibility/2006">
          <mc:Choice Requires="x14">
            <control shapeId="3496" r:id="rId264" name="Drop Down 2472">
              <controlPr defaultSize="0" autoLine="0" autoPict="0">
                <anchor moveWithCells="1">
                  <from>
                    <xdr:col>12</xdr:col>
                    <xdr:colOff>716280</xdr:colOff>
                    <xdr:row>475</xdr:row>
                    <xdr:rowOff>15240</xdr:rowOff>
                  </from>
                  <to>
                    <xdr:col>12</xdr:col>
                    <xdr:colOff>1325880</xdr:colOff>
                    <xdr:row>475</xdr:row>
                    <xdr:rowOff>220980</xdr:rowOff>
                  </to>
                </anchor>
              </controlPr>
            </control>
          </mc:Choice>
        </mc:AlternateContent>
        <mc:AlternateContent xmlns:mc="http://schemas.openxmlformats.org/markup-compatibility/2006">
          <mc:Choice Requires="x14">
            <control shapeId="3497" r:id="rId265" name="Drop Down 2473">
              <controlPr defaultSize="0" autoLine="0" autoPict="0">
                <anchor moveWithCells="1">
                  <from>
                    <xdr:col>12</xdr:col>
                    <xdr:colOff>1325880</xdr:colOff>
                    <xdr:row>475</xdr:row>
                    <xdr:rowOff>0</xdr:rowOff>
                  </from>
                  <to>
                    <xdr:col>13</xdr:col>
                    <xdr:colOff>0</xdr:colOff>
                    <xdr:row>475</xdr:row>
                    <xdr:rowOff>220980</xdr:rowOff>
                  </to>
                </anchor>
              </controlPr>
            </control>
          </mc:Choice>
        </mc:AlternateContent>
        <mc:AlternateContent xmlns:mc="http://schemas.openxmlformats.org/markup-compatibility/2006">
          <mc:Choice Requires="x14">
            <control shapeId="3498" r:id="rId266" name="Drop Down 2474">
              <controlPr defaultSize="0" autoLine="0" autoPict="0">
                <anchor moveWithCells="1">
                  <from>
                    <xdr:col>12</xdr:col>
                    <xdr:colOff>0</xdr:colOff>
                    <xdr:row>477</xdr:row>
                    <xdr:rowOff>0</xdr:rowOff>
                  </from>
                  <to>
                    <xdr:col>12</xdr:col>
                    <xdr:colOff>701040</xdr:colOff>
                    <xdr:row>477</xdr:row>
                    <xdr:rowOff>220980</xdr:rowOff>
                  </to>
                </anchor>
              </controlPr>
            </control>
          </mc:Choice>
        </mc:AlternateContent>
        <mc:AlternateContent xmlns:mc="http://schemas.openxmlformats.org/markup-compatibility/2006">
          <mc:Choice Requires="x14">
            <control shapeId="3499" r:id="rId267" name="Drop Down 2475">
              <controlPr defaultSize="0" autoLine="0" autoPict="0">
                <anchor moveWithCells="1">
                  <from>
                    <xdr:col>12</xdr:col>
                    <xdr:colOff>685800</xdr:colOff>
                    <xdr:row>477</xdr:row>
                    <xdr:rowOff>15240</xdr:rowOff>
                  </from>
                  <to>
                    <xdr:col>12</xdr:col>
                    <xdr:colOff>1310640</xdr:colOff>
                    <xdr:row>477</xdr:row>
                    <xdr:rowOff>220980</xdr:rowOff>
                  </to>
                </anchor>
              </controlPr>
            </control>
          </mc:Choice>
        </mc:AlternateContent>
        <mc:AlternateContent xmlns:mc="http://schemas.openxmlformats.org/markup-compatibility/2006">
          <mc:Choice Requires="x14">
            <control shapeId="3500" r:id="rId268" name="Drop Down 2476">
              <controlPr defaultSize="0" autoLine="0" autoPict="0">
                <anchor moveWithCells="1">
                  <from>
                    <xdr:col>12</xdr:col>
                    <xdr:colOff>1325880</xdr:colOff>
                    <xdr:row>476</xdr:row>
                    <xdr:rowOff>220980</xdr:rowOff>
                  </from>
                  <to>
                    <xdr:col>13</xdr:col>
                    <xdr:colOff>0</xdr:colOff>
                    <xdr:row>477</xdr:row>
                    <xdr:rowOff>220980</xdr:rowOff>
                  </to>
                </anchor>
              </controlPr>
            </control>
          </mc:Choice>
        </mc:AlternateContent>
        <mc:AlternateContent xmlns:mc="http://schemas.openxmlformats.org/markup-compatibility/2006">
          <mc:Choice Requires="x14">
            <control shapeId="3519" r:id="rId269" name="Drop Down 2495">
              <controlPr defaultSize="0" autoLine="0" autoPict="0">
                <anchor moveWithCells="1">
                  <from>
                    <xdr:col>7</xdr:col>
                    <xdr:colOff>0</xdr:colOff>
                    <xdr:row>546</xdr:row>
                    <xdr:rowOff>0</xdr:rowOff>
                  </from>
                  <to>
                    <xdr:col>7</xdr:col>
                    <xdr:colOff>624840</xdr:colOff>
                    <xdr:row>547</xdr:row>
                    <xdr:rowOff>0</xdr:rowOff>
                  </to>
                </anchor>
              </controlPr>
            </control>
          </mc:Choice>
        </mc:AlternateContent>
        <mc:AlternateContent xmlns:mc="http://schemas.openxmlformats.org/markup-compatibility/2006">
          <mc:Choice Requires="x14">
            <control shapeId="3520" r:id="rId270" name="Drop Down 2496">
              <controlPr defaultSize="0" autoLine="0" autoPict="0">
                <anchor moveWithCells="1">
                  <from>
                    <xdr:col>7</xdr:col>
                    <xdr:colOff>601980</xdr:colOff>
                    <xdr:row>546</xdr:row>
                    <xdr:rowOff>15240</xdr:rowOff>
                  </from>
                  <to>
                    <xdr:col>7</xdr:col>
                    <xdr:colOff>1272540</xdr:colOff>
                    <xdr:row>547</xdr:row>
                    <xdr:rowOff>0</xdr:rowOff>
                  </to>
                </anchor>
              </controlPr>
            </control>
          </mc:Choice>
        </mc:AlternateContent>
        <mc:AlternateContent xmlns:mc="http://schemas.openxmlformats.org/markup-compatibility/2006">
          <mc:Choice Requires="x14">
            <control shapeId="3521" r:id="rId271" name="Drop Down 2497">
              <controlPr defaultSize="0" autoLine="0" autoPict="0">
                <anchor moveWithCells="1">
                  <from>
                    <xdr:col>7</xdr:col>
                    <xdr:colOff>1272540</xdr:colOff>
                    <xdr:row>546</xdr:row>
                    <xdr:rowOff>15240</xdr:rowOff>
                  </from>
                  <to>
                    <xdr:col>7</xdr:col>
                    <xdr:colOff>1805940</xdr:colOff>
                    <xdr:row>546</xdr:row>
                    <xdr:rowOff>320040</xdr:rowOff>
                  </to>
                </anchor>
              </controlPr>
            </control>
          </mc:Choice>
        </mc:AlternateContent>
        <mc:AlternateContent xmlns:mc="http://schemas.openxmlformats.org/markup-compatibility/2006">
          <mc:Choice Requires="x14">
            <control shapeId="3522" r:id="rId272" name="Drop Down 2498">
              <controlPr defaultSize="0" autoLine="0" autoPict="0">
                <anchor moveWithCells="1">
                  <from>
                    <xdr:col>7</xdr:col>
                    <xdr:colOff>0</xdr:colOff>
                    <xdr:row>547</xdr:row>
                    <xdr:rowOff>0</xdr:rowOff>
                  </from>
                  <to>
                    <xdr:col>7</xdr:col>
                    <xdr:colOff>624840</xdr:colOff>
                    <xdr:row>548</xdr:row>
                    <xdr:rowOff>0</xdr:rowOff>
                  </to>
                </anchor>
              </controlPr>
            </control>
          </mc:Choice>
        </mc:AlternateContent>
        <mc:AlternateContent xmlns:mc="http://schemas.openxmlformats.org/markup-compatibility/2006">
          <mc:Choice Requires="x14">
            <control shapeId="3523" r:id="rId273" name="Drop Down 2499">
              <controlPr defaultSize="0" autoLine="0" autoPict="0">
                <anchor moveWithCells="1">
                  <from>
                    <xdr:col>7</xdr:col>
                    <xdr:colOff>601980</xdr:colOff>
                    <xdr:row>547</xdr:row>
                    <xdr:rowOff>15240</xdr:rowOff>
                  </from>
                  <to>
                    <xdr:col>7</xdr:col>
                    <xdr:colOff>1272540</xdr:colOff>
                    <xdr:row>548</xdr:row>
                    <xdr:rowOff>0</xdr:rowOff>
                  </to>
                </anchor>
              </controlPr>
            </control>
          </mc:Choice>
        </mc:AlternateContent>
        <mc:AlternateContent xmlns:mc="http://schemas.openxmlformats.org/markup-compatibility/2006">
          <mc:Choice Requires="x14">
            <control shapeId="3524" r:id="rId274" name="Drop Down 2500">
              <controlPr defaultSize="0" autoLine="0" autoPict="0">
                <anchor moveWithCells="1">
                  <from>
                    <xdr:col>7</xdr:col>
                    <xdr:colOff>1272540</xdr:colOff>
                    <xdr:row>547</xdr:row>
                    <xdr:rowOff>15240</xdr:rowOff>
                  </from>
                  <to>
                    <xdr:col>7</xdr:col>
                    <xdr:colOff>1805940</xdr:colOff>
                    <xdr:row>547</xdr:row>
                    <xdr:rowOff>320040</xdr:rowOff>
                  </to>
                </anchor>
              </controlPr>
            </control>
          </mc:Choice>
        </mc:AlternateContent>
        <mc:AlternateContent xmlns:mc="http://schemas.openxmlformats.org/markup-compatibility/2006">
          <mc:Choice Requires="x14">
            <control shapeId="3525" r:id="rId275" name="Drop Down 2501">
              <controlPr defaultSize="0" autoLine="0" autoPict="0">
                <anchor moveWithCells="1">
                  <from>
                    <xdr:col>7</xdr:col>
                    <xdr:colOff>0</xdr:colOff>
                    <xdr:row>548</xdr:row>
                    <xdr:rowOff>0</xdr:rowOff>
                  </from>
                  <to>
                    <xdr:col>7</xdr:col>
                    <xdr:colOff>624840</xdr:colOff>
                    <xdr:row>549</xdr:row>
                    <xdr:rowOff>0</xdr:rowOff>
                  </to>
                </anchor>
              </controlPr>
            </control>
          </mc:Choice>
        </mc:AlternateContent>
        <mc:AlternateContent xmlns:mc="http://schemas.openxmlformats.org/markup-compatibility/2006">
          <mc:Choice Requires="x14">
            <control shapeId="3526" r:id="rId276" name="Drop Down 2502">
              <controlPr defaultSize="0" autoLine="0" autoPict="0">
                <anchor moveWithCells="1">
                  <from>
                    <xdr:col>7</xdr:col>
                    <xdr:colOff>601980</xdr:colOff>
                    <xdr:row>548</xdr:row>
                    <xdr:rowOff>15240</xdr:rowOff>
                  </from>
                  <to>
                    <xdr:col>7</xdr:col>
                    <xdr:colOff>1272540</xdr:colOff>
                    <xdr:row>549</xdr:row>
                    <xdr:rowOff>0</xdr:rowOff>
                  </to>
                </anchor>
              </controlPr>
            </control>
          </mc:Choice>
        </mc:AlternateContent>
        <mc:AlternateContent xmlns:mc="http://schemas.openxmlformats.org/markup-compatibility/2006">
          <mc:Choice Requires="x14">
            <control shapeId="3527" r:id="rId277" name="Drop Down 2503">
              <controlPr defaultSize="0" autoLine="0" autoPict="0">
                <anchor moveWithCells="1">
                  <from>
                    <xdr:col>7</xdr:col>
                    <xdr:colOff>1272540</xdr:colOff>
                    <xdr:row>548</xdr:row>
                    <xdr:rowOff>15240</xdr:rowOff>
                  </from>
                  <to>
                    <xdr:col>7</xdr:col>
                    <xdr:colOff>1805940</xdr:colOff>
                    <xdr:row>548</xdr:row>
                    <xdr:rowOff>320040</xdr:rowOff>
                  </to>
                </anchor>
              </controlPr>
            </control>
          </mc:Choice>
        </mc:AlternateContent>
        <mc:AlternateContent xmlns:mc="http://schemas.openxmlformats.org/markup-compatibility/2006">
          <mc:Choice Requires="x14">
            <control shapeId="3534" r:id="rId278" name="Drop Down 2510">
              <controlPr defaultSize="0" autoLine="0" autoPict="0">
                <anchor moveWithCells="1">
                  <from>
                    <xdr:col>3</xdr:col>
                    <xdr:colOff>0</xdr:colOff>
                    <xdr:row>577</xdr:row>
                    <xdr:rowOff>15240</xdr:rowOff>
                  </from>
                  <to>
                    <xdr:col>4</xdr:col>
                    <xdr:colOff>205740</xdr:colOff>
                    <xdr:row>577</xdr:row>
                    <xdr:rowOff>220980</xdr:rowOff>
                  </to>
                </anchor>
              </controlPr>
            </control>
          </mc:Choice>
        </mc:AlternateContent>
        <mc:AlternateContent xmlns:mc="http://schemas.openxmlformats.org/markup-compatibility/2006">
          <mc:Choice Requires="x14">
            <control shapeId="3535" r:id="rId279" name="Drop Down 2511">
              <controlPr defaultSize="0" autoLine="0" autoPict="0">
                <anchor moveWithCells="1">
                  <from>
                    <xdr:col>4</xdr:col>
                    <xdr:colOff>220980</xdr:colOff>
                    <xdr:row>577</xdr:row>
                    <xdr:rowOff>15240</xdr:rowOff>
                  </from>
                  <to>
                    <xdr:col>4</xdr:col>
                    <xdr:colOff>1021080</xdr:colOff>
                    <xdr:row>577</xdr:row>
                    <xdr:rowOff>220980</xdr:rowOff>
                  </to>
                </anchor>
              </controlPr>
            </control>
          </mc:Choice>
        </mc:AlternateContent>
        <mc:AlternateContent xmlns:mc="http://schemas.openxmlformats.org/markup-compatibility/2006">
          <mc:Choice Requires="x14">
            <control shapeId="3536" r:id="rId280" name="Drop Down 2512">
              <controlPr defaultSize="0" autoLine="0" autoPict="0">
                <anchor moveWithCells="1">
                  <from>
                    <xdr:col>4</xdr:col>
                    <xdr:colOff>1021080</xdr:colOff>
                    <xdr:row>577</xdr:row>
                    <xdr:rowOff>0</xdr:rowOff>
                  </from>
                  <to>
                    <xdr:col>4</xdr:col>
                    <xdr:colOff>1706880</xdr:colOff>
                    <xdr:row>577</xdr:row>
                    <xdr:rowOff>220980</xdr:rowOff>
                  </to>
                </anchor>
              </controlPr>
            </control>
          </mc:Choice>
        </mc:AlternateContent>
        <mc:AlternateContent xmlns:mc="http://schemas.openxmlformats.org/markup-compatibility/2006">
          <mc:Choice Requires="x14">
            <control shapeId="3537" r:id="rId281" name="Drop Down 2513">
              <controlPr defaultSize="0" autoLine="0" autoPict="0">
                <anchor moveWithCells="1">
                  <from>
                    <xdr:col>5</xdr:col>
                    <xdr:colOff>0</xdr:colOff>
                    <xdr:row>577</xdr:row>
                    <xdr:rowOff>15240</xdr:rowOff>
                  </from>
                  <to>
                    <xdr:col>6</xdr:col>
                    <xdr:colOff>259080</xdr:colOff>
                    <xdr:row>577</xdr:row>
                    <xdr:rowOff>220980</xdr:rowOff>
                  </to>
                </anchor>
              </controlPr>
            </control>
          </mc:Choice>
        </mc:AlternateContent>
        <mc:AlternateContent xmlns:mc="http://schemas.openxmlformats.org/markup-compatibility/2006">
          <mc:Choice Requires="x14">
            <control shapeId="3538" r:id="rId282" name="Drop Down 2514">
              <controlPr defaultSize="0" autoLine="0" autoPict="0">
                <anchor moveWithCells="1">
                  <from>
                    <xdr:col>6</xdr:col>
                    <xdr:colOff>266700</xdr:colOff>
                    <xdr:row>577</xdr:row>
                    <xdr:rowOff>15240</xdr:rowOff>
                  </from>
                  <to>
                    <xdr:col>6</xdr:col>
                    <xdr:colOff>1120140</xdr:colOff>
                    <xdr:row>577</xdr:row>
                    <xdr:rowOff>220980</xdr:rowOff>
                  </to>
                </anchor>
              </controlPr>
            </control>
          </mc:Choice>
        </mc:AlternateContent>
        <mc:AlternateContent xmlns:mc="http://schemas.openxmlformats.org/markup-compatibility/2006">
          <mc:Choice Requires="x14">
            <control shapeId="3539" r:id="rId283" name="Drop Down 2515">
              <controlPr defaultSize="0" autoLine="0" autoPict="0">
                <anchor moveWithCells="1">
                  <from>
                    <xdr:col>6</xdr:col>
                    <xdr:colOff>1135380</xdr:colOff>
                    <xdr:row>577</xdr:row>
                    <xdr:rowOff>0</xdr:rowOff>
                  </from>
                  <to>
                    <xdr:col>6</xdr:col>
                    <xdr:colOff>1805940</xdr:colOff>
                    <xdr:row>577</xdr:row>
                    <xdr:rowOff>220980</xdr:rowOff>
                  </to>
                </anchor>
              </controlPr>
            </control>
          </mc:Choice>
        </mc:AlternateContent>
        <mc:AlternateContent xmlns:mc="http://schemas.openxmlformats.org/markup-compatibility/2006">
          <mc:Choice Requires="x14">
            <control shapeId="3543" r:id="rId284" name="Drop Down 2519">
              <controlPr defaultSize="0" autoLine="0" autoPict="0">
                <anchor moveWithCells="1">
                  <from>
                    <xdr:col>12</xdr:col>
                    <xdr:colOff>0</xdr:colOff>
                    <xdr:row>575</xdr:row>
                    <xdr:rowOff>0</xdr:rowOff>
                  </from>
                  <to>
                    <xdr:col>12</xdr:col>
                    <xdr:colOff>716280</xdr:colOff>
                    <xdr:row>575</xdr:row>
                    <xdr:rowOff>220980</xdr:rowOff>
                  </to>
                </anchor>
              </controlPr>
            </control>
          </mc:Choice>
        </mc:AlternateContent>
        <mc:AlternateContent xmlns:mc="http://schemas.openxmlformats.org/markup-compatibility/2006">
          <mc:Choice Requires="x14">
            <control shapeId="3544" r:id="rId285" name="Drop Down 2520">
              <controlPr defaultSize="0" autoLine="0" autoPict="0">
                <anchor moveWithCells="1">
                  <from>
                    <xdr:col>12</xdr:col>
                    <xdr:colOff>716280</xdr:colOff>
                    <xdr:row>575</xdr:row>
                    <xdr:rowOff>15240</xdr:rowOff>
                  </from>
                  <to>
                    <xdr:col>12</xdr:col>
                    <xdr:colOff>1325880</xdr:colOff>
                    <xdr:row>575</xdr:row>
                    <xdr:rowOff>220980</xdr:rowOff>
                  </to>
                </anchor>
              </controlPr>
            </control>
          </mc:Choice>
        </mc:AlternateContent>
        <mc:AlternateContent xmlns:mc="http://schemas.openxmlformats.org/markup-compatibility/2006">
          <mc:Choice Requires="x14">
            <control shapeId="3545" r:id="rId286" name="Drop Down 2521">
              <controlPr defaultSize="0" autoLine="0" autoPict="0">
                <anchor moveWithCells="1">
                  <from>
                    <xdr:col>12</xdr:col>
                    <xdr:colOff>1325880</xdr:colOff>
                    <xdr:row>575</xdr:row>
                    <xdr:rowOff>0</xdr:rowOff>
                  </from>
                  <to>
                    <xdr:col>13</xdr:col>
                    <xdr:colOff>0</xdr:colOff>
                    <xdr:row>575</xdr:row>
                    <xdr:rowOff>220980</xdr:rowOff>
                  </to>
                </anchor>
              </controlPr>
            </control>
          </mc:Choice>
        </mc:AlternateContent>
        <mc:AlternateContent xmlns:mc="http://schemas.openxmlformats.org/markup-compatibility/2006">
          <mc:Choice Requires="x14">
            <control shapeId="3546" r:id="rId287" name="Drop Down 2522">
              <controlPr defaultSize="0" autoLine="0" autoPict="0">
                <anchor moveWithCells="1">
                  <from>
                    <xdr:col>12</xdr:col>
                    <xdr:colOff>0</xdr:colOff>
                    <xdr:row>577</xdr:row>
                    <xdr:rowOff>0</xdr:rowOff>
                  </from>
                  <to>
                    <xdr:col>12</xdr:col>
                    <xdr:colOff>701040</xdr:colOff>
                    <xdr:row>577</xdr:row>
                    <xdr:rowOff>220980</xdr:rowOff>
                  </to>
                </anchor>
              </controlPr>
            </control>
          </mc:Choice>
        </mc:AlternateContent>
        <mc:AlternateContent xmlns:mc="http://schemas.openxmlformats.org/markup-compatibility/2006">
          <mc:Choice Requires="x14">
            <control shapeId="3547" r:id="rId288" name="Drop Down 2523">
              <controlPr defaultSize="0" autoLine="0" autoPict="0">
                <anchor moveWithCells="1">
                  <from>
                    <xdr:col>12</xdr:col>
                    <xdr:colOff>685800</xdr:colOff>
                    <xdr:row>577</xdr:row>
                    <xdr:rowOff>15240</xdr:rowOff>
                  </from>
                  <to>
                    <xdr:col>12</xdr:col>
                    <xdr:colOff>1310640</xdr:colOff>
                    <xdr:row>577</xdr:row>
                    <xdr:rowOff>220980</xdr:rowOff>
                  </to>
                </anchor>
              </controlPr>
            </control>
          </mc:Choice>
        </mc:AlternateContent>
        <mc:AlternateContent xmlns:mc="http://schemas.openxmlformats.org/markup-compatibility/2006">
          <mc:Choice Requires="x14">
            <control shapeId="3548" r:id="rId289" name="Drop Down 2524">
              <controlPr defaultSize="0" autoLine="0" autoPict="0">
                <anchor moveWithCells="1">
                  <from>
                    <xdr:col>12</xdr:col>
                    <xdr:colOff>1325880</xdr:colOff>
                    <xdr:row>576</xdr:row>
                    <xdr:rowOff>220980</xdr:rowOff>
                  </from>
                  <to>
                    <xdr:col>13</xdr:col>
                    <xdr:colOff>0</xdr:colOff>
                    <xdr:row>577</xdr:row>
                    <xdr:rowOff>220980</xdr:rowOff>
                  </to>
                </anchor>
              </controlPr>
            </control>
          </mc:Choice>
        </mc:AlternateContent>
        <mc:AlternateContent xmlns:mc="http://schemas.openxmlformats.org/markup-compatibility/2006">
          <mc:Choice Requires="x14">
            <control shapeId="3567" r:id="rId290" name="Drop Down 2543">
              <controlPr defaultSize="0" autoLine="0" autoPict="0">
                <anchor moveWithCells="1">
                  <from>
                    <xdr:col>7</xdr:col>
                    <xdr:colOff>0</xdr:colOff>
                    <xdr:row>646</xdr:row>
                    <xdr:rowOff>0</xdr:rowOff>
                  </from>
                  <to>
                    <xdr:col>7</xdr:col>
                    <xdr:colOff>624840</xdr:colOff>
                    <xdr:row>647</xdr:row>
                    <xdr:rowOff>0</xdr:rowOff>
                  </to>
                </anchor>
              </controlPr>
            </control>
          </mc:Choice>
        </mc:AlternateContent>
        <mc:AlternateContent xmlns:mc="http://schemas.openxmlformats.org/markup-compatibility/2006">
          <mc:Choice Requires="x14">
            <control shapeId="3568" r:id="rId291" name="Drop Down 2544">
              <controlPr defaultSize="0" autoLine="0" autoPict="0">
                <anchor moveWithCells="1">
                  <from>
                    <xdr:col>7</xdr:col>
                    <xdr:colOff>601980</xdr:colOff>
                    <xdr:row>646</xdr:row>
                    <xdr:rowOff>15240</xdr:rowOff>
                  </from>
                  <to>
                    <xdr:col>7</xdr:col>
                    <xdr:colOff>1272540</xdr:colOff>
                    <xdr:row>647</xdr:row>
                    <xdr:rowOff>0</xdr:rowOff>
                  </to>
                </anchor>
              </controlPr>
            </control>
          </mc:Choice>
        </mc:AlternateContent>
        <mc:AlternateContent xmlns:mc="http://schemas.openxmlformats.org/markup-compatibility/2006">
          <mc:Choice Requires="x14">
            <control shapeId="3569" r:id="rId292" name="Drop Down 2545">
              <controlPr defaultSize="0" autoLine="0" autoPict="0">
                <anchor moveWithCells="1">
                  <from>
                    <xdr:col>7</xdr:col>
                    <xdr:colOff>1272540</xdr:colOff>
                    <xdr:row>646</xdr:row>
                    <xdr:rowOff>15240</xdr:rowOff>
                  </from>
                  <to>
                    <xdr:col>7</xdr:col>
                    <xdr:colOff>1805940</xdr:colOff>
                    <xdr:row>646</xdr:row>
                    <xdr:rowOff>320040</xdr:rowOff>
                  </to>
                </anchor>
              </controlPr>
            </control>
          </mc:Choice>
        </mc:AlternateContent>
        <mc:AlternateContent xmlns:mc="http://schemas.openxmlformats.org/markup-compatibility/2006">
          <mc:Choice Requires="x14">
            <control shapeId="3570" r:id="rId293" name="Drop Down 2546">
              <controlPr defaultSize="0" autoLine="0" autoPict="0">
                <anchor moveWithCells="1">
                  <from>
                    <xdr:col>7</xdr:col>
                    <xdr:colOff>0</xdr:colOff>
                    <xdr:row>647</xdr:row>
                    <xdr:rowOff>0</xdr:rowOff>
                  </from>
                  <to>
                    <xdr:col>7</xdr:col>
                    <xdr:colOff>624840</xdr:colOff>
                    <xdr:row>648</xdr:row>
                    <xdr:rowOff>0</xdr:rowOff>
                  </to>
                </anchor>
              </controlPr>
            </control>
          </mc:Choice>
        </mc:AlternateContent>
        <mc:AlternateContent xmlns:mc="http://schemas.openxmlformats.org/markup-compatibility/2006">
          <mc:Choice Requires="x14">
            <control shapeId="3571" r:id="rId294" name="Drop Down 2547">
              <controlPr defaultSize="0" autoLine="0" autoPict="0">
                <anchor moveWithCells="1">
                  <from>
                    <xdr:col>7</xdr:col>
                    <xdr:colOff>601980</xdr:colOff>
                    <xdr:row>647</xdr:row>
                    <xdr:rowOff>15240</xdr:rowOff>
                  </from>
                  <to>
                    <xdr:col>7</xdr:col>
                    <xdr:colOff>1272540</xdr:colOff>
                    <xdr:row>648</xdr:row>
                    <xdr:rowOff>0</xdr:rowOff>
                  </to>
                </anchor>
              </controlPr>
            </control>
          </mc:Choice>
        </mc:AlternateContent>
        <mc:AlternateContent xmlns:mc="http://schemas.openxmlformats.org/markup-compatibility/2006">
          <mc:Choice Requires="x14">
            <control shapeId="3572" r:id="rId295" name="Drop Down 2548">
              <controlPr defaultSize="0" autoLine="0" autoPict="0">
                <anchor moveWithCells="1">
                  <from>
                    <xdr:col>7</xdr:col>
                    <xdr:colOff>1272540</xdr:colOff>
                    <xdr:row>647</xdr:row>
                    <xdr:rowOff>15240</xdr:rowOff>
                  </from>
                  <to>
                    <xdr:col>7</xdr:col>
                    <xdr:colOff>1805940</xdr:colOff>
                    <xdr:row>647</xdr:row>
                    <xdr:rowOff>320040</xdr:rowOff>
                  </to>
                </anchor>
              </controlPr>
            </control>
          </mc:Choice>
        </mc:AlternateContent>
        <mc:AlternateContent xmlns:mc="http://schemas.openxmlformats.org/markup-compatibility/2006">
          <mc:Choice Requires="x14">
            <control shapeId="3573" r:id="rId296" name="Drop Down 2549">
              <controlPr defaultSize="0" autoLine="0" autoPict="0">
                <anchor moveWithCells="1">
                  <from>
                    <xdr:col>7</xdr:col>
                    <xdr:colOff>0</xdr:colOff>
                    <xdr:row>648</xdr:row>
                    <xdr:rowOff>0</xdr:rowOff>
                  </from>
                  <to>
                    <xdr:col>7</xdr:col>
                    <xdr:colOff>624840</xdr:colOff>
                    <xdr:row>649</xdr:row>
                    <xdr:rowOff>0</xdr:rowOff>
                  </to>
                </anchor>
              </controlPr>
            </control>
          </mc:Choice>
        </mc:AlternateContent>
        <mc:AlternateContent xmlns:mc="http://schemas.openxmlformats.org/markup-compatibility/2006">
          <mc:Choice Requires="x14">
            <control shapeId="3574" r:id="rId297" name="Drop Down 2550">
              <controlPr defaultSize="0" autoLine="0" autoPict="0">
                <anchor moveWithCells="1">
                  <from>
                    <xdr:col>7</xdr:col>
                    <xdr:colOff>601980</xdr:colOff>
                    <xdr:row>648</xdr:row>
                    <xdr:rowOff>15240</xdr:rowOff>
                  </from>
                  <to>
                    <xdr:col>7</xdr:col>
                    <xdr:colOff>1272540</xdr:colOff>
                    <xdr:row>649</xdr:row>
                    <xdr:rowOff>0</xdr:rowOff>
                  </to>
                </anchor>
              </controlPr>
            </control>
          </mc:Choice>
        </mc:AlternateContent>
        <mc:AlternateContent xmlns:mc="http://schemas.openxmlformats.org/markup-compatibility/2006">
          <mc:Choice Requires="x14">
            <control shapeId="3575" r:id="rId298" name="Drop Down 2551">
              <controlPr defaultSize="0" autoLine="0" autoPict="0">
                <anchor moveWithCells="1">
                  <from>
                    <xdr:col>7</xdr:col>
                    <xdr:colOff>1272540</xdr:colOff>
                    <xdr:row>648</xdr:row>
                    <xdr:rowOff>15240</xdr:rowOff>
                  </from>
                  <to>
                    <xdr:col>7</xdr:col>
                    <xdr:colOff>1805940</xdr:colOff>
                    <xdr:row>648</xdr:row>
                    <xdr:rowOff>320040</xdr:rowOff>
                  </to>
                </anchor>
              </controlPr>
            </control>
          </mc:Choice>
        </mc:AlternateContent>
        <mc:AlternateContent xmlns:mc="http://schemas.openxmlformats.org/markup-compatibility/2006">
          <mc:Choice Requires="x14">
            <control shapeId="3582" r:id="rId299" name="Drop Down 2558">
              <controlPr defaultSize="0" autoLine="0" autoPict="0">
                <anchor moveWithCells="1">
                  <from>
                    <xdr:col>3</xdr:col>
                    <xdr:colOff>0</xdr:colOff>
                    <xdr:row>677</xdr:row>
                    <xdr:rowOff>15240</xdr:rowOff>
                  </from>
                  <to>
                    <xdr:col>4</xdr:col>
                    <xdr:colOff>205740</xdr:colOff>
                    <xdr:row>677</xdr:row>
                    <xdr:rowOff>220980</xdr:rowOff>
                  </to>
                </anchor>
              </controlPr>
            </control>
          </mc:Choice>
        </mc:AlternateContent>
        <mc:AlternateContent xmlns:mc="http://schemas.openxmlformats.org/markup-compatibility/2006">
          <mc:Choice Requires="x14">
            <control shapeId="3583" r:id="rId300" name="Drop Down 2559">
              <controlPr defaultSize="0" autoLine="0" autoPict="0">
                <anchor moveWithCells="1">
                  <from>
                    <xdr:col>4</xdr:col>
                    <xdr:colOff>220980</xdr:colOff>
                    <xdr:row>677</xdr:row>
                    <xdr:rowOff>15240</xdr:rowOff>
                  </from>
                  <to>
                    <xdr:col>4</xdr:col>
                    <xdr:colOff>1021080</xdr:colOff>
                    <xdr:row>677</xdr:row>
                    <xdr:rowOff>220980</xdr:rowOff>
                  </to>
                </anchor>
              </controlPr>
            </control>
          </mc:Choice>
        </mc:AlternateContent>
        <mc:AlternateContent xmlns:mc="http://schemas.openxmlformats.org/markup-compatibility/2006">
          <mc:Choice Requires="x14">
            <control shapeId="3584" r:id="rId301" name="Drop Down 2560">
              <controlPr defaultSize="0" autoLine="0" autoPict="0">
                <anchor moveWithCells="1">
                  <from>
                    <xdr:col>4</xdr:col>
                    <xdr:colOff>1021080</xdr:colOff>
                    <xdr:row>677</xdr:row>
                    <xdr:rowOff>0</xdr:rowOff>
                  </from>
                  <to>
                    <xdr:col>4</xdr:col>
                    <xdr:colOff>1706880</xdr:colOff>
                    <xdr:row>677</xdr:row>
                    <xdr:rowOff>220980</xdr:rowOff>
                  </to>
                </anchor>
              </controlPr>
            </control>
          </mc:Choice>
        </mc:AlternateContent>
        <mc:AlternateContent xmlns:mc="http://schemas.openxmlformats.org/markup-compatibility/2006">
          <mc:Choice Requires="x14">
            <control shapeId="3585" r:id="rId302" name="Drop Down 2561">
              <controlPr defaultSize="0" autoLine="0" autoPict="0">
                <anchor moveWithCells="1">
                  <from>
                    <xdr:col>5</xdr:col>
                    <xdr:colOff>0</xdr:colOff>
                    <xdr:row>677</xdr:row>
                    <xdr:rowOff>15240</xdr:rowOff>
                  </from>
                  <to>
                    <xdr:col>6</xdr:col>
                    <xdr:colOff>259080</xdr:colOff>
                    <xdr:row>677</xdr:row>
                    <xdr:rowOff>220980</xdr:rowOff>
                  </to>
                </anchor>
              </controlPr>
            </control>
          </mc:Choice>
        </mc:AlternateContent>
        <mc:AlternateContent xmlns:mc="http://schemas.openxmlformats.org/markup-compatibility/2006">
          <mc:Choice Requires="x14">
            <control shapeId="3586" r:id="rId303" name="Drop Down 2562">
              <controlPr defaultSize="0" autoLine="0" autoPict="0">
                <anchor moveWithCells="1">
                  <from>
                    <xdr:col>6</xdr:col>
                    <xdr:colOff>266700</xdr:colOff>
                    <xdr:row>677</xdr:row>
                    <xdr:rowOff>15240</xdr:rowOff>
                  </from>
                  <to>
                    <xdr:col>6</xdr:col>
                    <xdr:colOff>1120140</xdr:colOff>
                    <xdr:row>677</xdr:row>
                    <xdr:rowOff>220980</xdr:rowOff>
                  </to>
                </anchor>
              </controlPr>
            </control>
          </mc:Choice>
        </mc:AlternateContent>
        <mc:AlternateContent xmlns:mc="http://schemas.openxmlformats.org/markup-compatibility/2006">
          <mc:Choice Requires="x14">
            <control shapeId="3587" r:id="rId304" name="Drop Down 2563">
              <controlPr defaultSize="0" autoLine="0" autoPict="0">
                <anchor moveWithCells="1">
                  <from>
                    <xdr:col>6</xdr:col>
                    <xdr:colOff>1135380</xdr:colOff>
                    <xdr:row>677</xdr:row>
                    <xdr:rowOff>0</xdr:rowOff>
                  </from>
                  <to>
                    <xdr:col>6</xdr:col>
                    <xdr:colOff>1805940</xdr:colOff>
                    <xdr:row>677</xdr:row>
                    <xdr:rowOff>220980</xdr:rowOff>
                  </to>
                </anchor>
              </controlPr>
            </control>
          </mc:Choice>
        </mc:AlternateContent>
        <mc:AlternateContent xmlns:mc="http://schemas.openxmlformats.org/markup-compatibility/2006">
          <mc:Choice Requires="x14">
            <control shapeId="3591" r:id="rId305" name="Drop Down 2567">
              <controlPr defaultSize="0" autoLine="0" autoPict="0">
                <anchor moveWithCells="1">
                  <from>
                    <xdr:col>12</xdr:col>
                    <xdr:colOff>0</xdr:colOff>
                    <xdr:row>675</xdr:row>
                    <xdr:rowOff>0</xdr:rowOff>
                  </from>
                  <to>
                    <xdr:col>12</xdr:col>
                    <xdr:colOff>716280</xdr:colOff>
                    <xdr:row>675</xdr:row>
                    <xdr:rowOff>220980</xdr:rowOff>
                  </to>
                </anchor>
              </controlPr>
            </control>
          </mc:Choice>
        </mc:AlternateContent>
        <mc:AlternateContent xmlns:mc="http://schemas.openxmlformats.org/markup-compatibility/2006">
          <mc:Choice Requires="x14">
            <control shapeId="3592" r:id="rId306" name="Drop Down 2568">
              <controlPr defaultSize="0" autoLine="0" autoPict="0">
                <anchor moveWithCells="1">
                  <from>
                    <xdr:col>12</xdr:col>
                    <xdr:colOff>716280</xdr:colOff>
                    <xdr:row>675</xdr:row>
                    <xdr:rowOff>15240</xdr:rowOff>
                  </from>
                  <to>
                    <xdr:col>12</xdr:col>
                    <xdr:colOff>1325880</xdr:colOff>
                    <xdr:row>675</xdr:row>
                    <xdr:rowOff>220980</xdr:rowOff>
                  </to>
                </anchor>
              </controlPr>
            </control>
          </mc:Choice>
        </mc:AlternateContent>
        <mc:AlternateContent xmlns:mc="http://schemas.openxmlformats.org/markup-compatibility/2006">
          <mc:Choice Requires="x14">
            <control shapeId="3593" r:id="rId307" name="Drop Down 2569">
              <controlPr defaultSize="0" autoLine="0" autoPict="0">
                <anchor moveWithCells="1">
                  <from>
                    <xdr:col>12</xdr:col>
                    <xdr:colOff>1325880</xdr:colOff>
                    <xdr:row>675</xdr:row>
                    <xdr:rowOff>0</xdr:rowOff>
                  </from>
                  <to>
                    <xdr:col>13</xdr:col>
                    <xdr:colOff>0</xdr:colOff>
                    <xdr:row>675</xdr:row>
                    <xdr:rowOff>220980</xdr:rowOff>
                  </to>
                </anchor>
              </controlPr>
            </control>
          </mc:Choice>
        </mc:AlternateContent>
        <mc:AlternateContent xmlns:mc="http://schemas.openxmlformats.org/markup-compatibility/2006">
          <mc:Choice Requires="x14">
            <control shapeId="3594" r:id="rId308" name="Drop Down 2570">
              <controlPr defaultSize="0" autoLine="0" autoPict="0">
                <anchor moveWithCells="1">
                  <from>
                    <xdr:col>12</xdr:col>
                    <xdr:colOff>0</xdr:colOff>
                    <xdr:row>677</xdr:row>
                    <xdr:rowOff>0</xdr:rowOff>
                  </from>
                  <to>
                    <xdr:col>12</xdr:col>
                    <xdr:colOff>701040</xdr:colOff>
                    <xdr:row>677</xdr:row>
                    <xdr:rowOff>220980</xdr:rowOff>
                  </to>
                </anchor>
              </controlPr>
            </control>
          </mc:Choice>
        </mc:AlternateContent>
        <mc:AlternateContent xmlns:mc="http://schemas.openxmlformats.org/markup-compatibility/2006">
          <mc:Choice Requires="x14">
            <control shapeId="3595" r:id="rId309" name="Drop Down 2571">
              <controlPr defaultSize="0" autoLine="0" autoPict="0">
                <anchor moveWithCells="1">
                  <from>
                    <xdr:col>12</xdr:col>
                    <xdr:colOff>685800</xdr:colOff>
                    <xdr:row>677</xdr:row>
                    <xdr:rowOff>15240</xdr:rowOff>
                  </from>
                  <to>
                    <xdr:col>12</xdr:col>
                    <xdr:colOff>1310640</xdr:colOff>
                    <xdr:row>677</xdr:row>
                    <xdr:rowOff>220980</xdr:rowOff>
                  </to>
                </anchor>
              </controlPr>
            </control>
          </mc:Choice>
        </mc:AlternateContent>
        <mc:AlternateContent xmlns:mc="http://schemas.openxmlformats.org/markup-compatibility/2006">
          <mc:Choice Requires="x14">
            <control shapeId="3596" r:id="rId310" name="Drop Down 2572">
              <controlPr defaultSize="0" autoLine="0" autoPict="0">
                <anchor moveWithCells="1">
                  <from>
                    <xdr:col>12</xdr:col>
                    <xdr:colOff>1325880</xdr:colOff>
                    <xdr:row>676</xdr:row>
                    <xdr:rowOff>220980</xdr:rowOff>
                  </from>
                  <to>
                    <xdr:col>13</xdr:col>
                    <xdr:colOff>0</xdr:colOff>
                    <xdr:row>677</xdr:row>
                    <xdr:rowOff>220980</xdr:rowOff>
                  </to>
                </anchor>
              </controlPr>
            </control>
          </mc:Choice>
        </mc:AlternateContent>
        <mc:AlternateContent xmlns:mc="http://schemas.openxmlformats.org/markup-compatibility/2006">
          <mc:Choice Requires="x14">
            <control shapeId="3615" r:id="rId311" name="Drop Down 2591">
              <controlPr defaultSize="0" autoLine="0" autoPict="0">
                <anchor moveWithCells="1">
                  <from>
                    <xdr:col>7</xdr:col>
                    <xdr:colOff>0</xdr:colOff>
                    <xdr:row>746</xdr:row>
                    <xdr:rowOff>0</xdr:rowOff>
                  </from>
                  <to>
                    <xdr:col>7</xdr:col>
                    <xdr:colOff>624840</xdr:colOff>
                    <xdr:row>747</xdr:row>
                    <xdr:rowOff>0</xdr:rowOff>
                  </to>
                </anchor>
              </controlPr>
            </control>
          </mc:Choice>
        </mc:AlternateContent>
        <mc:AlternateContent xmlns:mc="http://schemas.openxmlformats.org/markup-compatibility/2006">
          <mc:Choice Requires="x14">
            <control shapeId="3616" r:id="rId312" name="Drop Down 2592">
              <controlPr defaultSize="0" autoLine="0" autoPict="0">
                <anchor moveWithCells="1">
                  <from>
                    <xdr:col>7</xdr:col>
                    <xdr:colOff>601980</xdr:colOff>
                    <xdr:row>746</xdr:row>
                    <xdr:rowOff>15240</xdr:rowOff>
                  </from>
                  <to>
                    <xdr:col>7</xdr:col>
                    <xdr:colOff>1272540</xdr:colOff>
                    <xdr:row>747</xdr:row>
                    <xdr:rowOff>0</xdr:rowOff>
                  </to>
                </anchor>
              </controlPr>
            </control>
          </mc:Choice>
        </mc:AlternateContent>
        <mc:AlternateContent xmlns:mc="http://schemas.openxmlformats.org/markup-compatibility/2006">
          <mc:Choice Requires="x14">
            <control shapeId="3617" r:id="rId313" name="Drop Down 2593">
              <controlPr defaultSize="0" autoLine="0" autoPict="0">
                <anchor moveWithCells="1">
                  <from>
                    <xdr:col>7</xdr:col>
                    <xdr:colOff>1272540</xdr:colOff>
                    <xdr:row>746</xdr:row>
                    <xdr:rowOff>15240</xdr:rowOff>
                  </from>
                  <to>
                    <xdr:col>7</xdr:col>
                    <xdr:colOff>1805940</xdr:colOff>
                    <xdr:row>746</xdr:row>
                    <xdr:rowOff>320040</xdr:rowOff>
                  </to>
                </anchor>
              </controlPr>
            </control>
          </mc:Choice>
        </mc:AlternateContent>
        <mc:AlternateContent xmlns:mc="http://schemas.openxmlformats.org/markup-compatibility/2006">
          <mc:Choice Requires="x14">
            <control shapeId="3618" r:id="rId314" name="Drop Down 2594">
              <controlPr defaultSize="0" autoLine="0" autoPict="0">
                <anchor moveWithCells="1">
                  <from>
                    <xdr:col>7</xdr:col>
                    <xdr:colOff>0</xdr:colOff>
                    <xdr:row>747</xdr:row>
                    <xdr:rowOff>0</xdr:rowOff>
                  </from>
                  <to>
                    <xdr:col>7</xdr:col>
                    <xdr:colOff>624840</xdr:colOff>
                    <xdr:row>748</xdr:row>
                    <xdr:rowOff>0</xdr:rowOff>
                  </to>
                </anchor>
              </controlPr>
            </control>
          </mc:Choice>
        </mc:AlternateContent>
        <mc:AlternateContent xmlns:mc="http://schemas.openxmlformats.org/markup-compatibility/2006">
          <mc:Choice Requires="x14">
            <control shapeId="3619" r:id="rId315" name="Drop Down 2595">
              <controlPr defaultSize="0" autoLine="0" autoPict="0">
                <anchor moveWithCells="1">
                  <from>
                    <xdr:col>7</xdr:col>
                    <xdr:colOff>601980</xdr:colOff>
                    <xdr:row>747</xdr:row>
                    <xdr:rowOff>15240</xdr:rowOff>
                  </from>
                  <to>
                    <xdr:col>7</xdr:col>
                    <xdr:colOff>1272540</xdr:colOff>
                    <xdr:row>748</xdr:row>
                    <xdr:rowOff>0</xdr:rowOff>
                  </to>
                </anchor>
              </controlPr>
            </control>
          </mc:Choice>
        </mc:AlternateContent>
        <mc:AlternateContent xmlns:mc="http://schemas.openxmlformats.org/markup-compatibility/2006">
          <mc:Choice Requires="x14">
            <control shapeId="3620" r:id="rId316" name="Drop Down 2596">
              <controlPr defaultSize="0" autoLine="0" autoPict="0">
                <anchor moveWithCells="1">
                  <from>
                    <xdr:col>7</xdr:col>
                    <xdr:colOff>1272540</xdr:colOff>
                    <xdr:row>747</xdr:row>
                    <xdr:rowOff>15240</xdr:rowOff>
                  </from>
                  <to>
                    <xdr:col>7</xdr:col>
                    <xdr:colOff>1805940</xdr:colOff>
                    <xdr:row>747</xdr:row>
                    <xdr:rowOff>320040</xdr:rowOff>
                  </to>
                </anchor>
              </controlPr>
            </control>
          </mc:Choice>
        </mc:AlternateContent>
        <mc:AlternateContent xmlns:mc="http://schemas.openxmlformats.org/markup-compatibility/2006">
          <mc:Choice Requires="x14">
            <control shapeId="3621" r:id="rId317" name="Drop Down 2597">
              <controlPr defaultSize="0" autoLine="0" autoPict="0">
                <anchor moveWithCells="1">
                  <from>
                    <xdr:col>7</xdr:col>
                    <xdr:colOff>0</xdr:colOff>
                    <xdr:row>748</xdr:row>
                    <xdr:rowOff>0</xdr:rowOff>
                  </from>
                  <to>
                    <xdr:col>7</xdr:col>
                    <xdr:colOff>624840</xdr:colOff>
                    <xdr:row>749</xdr:row>
                    <xdr:rowOff>0</xdr:rowOff>
                  </to>
                </anchor>
              </controlPr>
            </control>
          </mc:Choice>
        </mc:AlternateContent>
        <mc:AlternateContent xmlns:mc="http://schemas.openxmlformats.org/markup-compatibility/2006">
          <mc:Choice Requires="x14">
            <control shapeId="3622" r:id="rId318" name="Drop Down 2598">
              <controlPr defaultSize="0" autoLine="0" autoPict="0">
                <anchor moveWithCells="1">
                  <from>
                    <xdr:col>7</xdr:col>
                    <xdr:colOff>601980</xdr:colOff>
                    <xdr:row>748</xdr:row>
                    <xdr:rowOff>15240</xdr:rowOff>
                  </from>
                  <to>
                    <xdr:col>7</xdr:col>
                    <xdr:colOff>1272540</xdr:colOff>
                    <xdr:row>749</xdr:row>
                    <xdr:rowOff>0</xdr:rowOff>
                  </to>
                </anchor>
              </controlPr>
            </control>
          </mc:Choice>
        </mc:AlternateContent>
        <mc:AlternateContent xmlns:mc="http://schemas.openxmlformats.org/markup-compatibility/2006">
          <mc:Choice Requires="x14">
            <control shapeId="3623" r:id="rId319" name="Drop Down 2599">
              <controlPr defaultSize="0" autoLine="0" autoPict="0">
                <anchor moveWithCells="1">
                  <from>
                    <xdr:col>7</xdr:col>
                    <xdr:colOff>1272540</xdr:colOff>
                    <xdr:row>748</xdr:row>
                    <xdr:rowOff>15240</xdr:rowOff>
                  </from>
                  <to>
                    <xdr:col>7</xdr:col>
                    <xdr:colOff>1805940</xdr:colOff>
                    <xdr:row>748</xdr:row>
                    <xdr:rowOff>320040</xdr:rowOff>
                  </to>
                </anchor>
              </controlPr>
            </control>
          </mc:Choice>
        </mc:AlternateContent>
        <mc:AlternateContent xmlns:mc="http://schemas.openxmlformats.org/markup-compatibility/2006">
          <mc:Choice Requires="x14">
            <control shapeId="3636" r:id="rId320" name="Drop Down 2612">
              <controlPr defaultSize="0" autoLine="0" autoPict="0">
                <anchor moveWithCells="1">
                  <from>
                    <xdr:col>3</xdr:col>
                    <xdr:colOff>0</xdr:colOff>
                    <xdr:row>777</xdr:row>
                    <xdr:rowOff>15240</xdr:rowOff>
                  </from>
                  <to>
                    <xdr:col>4</xdr:col>
                    <xdr:colOff>205740</xdr:colOff>
                    <xdr:row>777</xdr:row>
                    <xdr:rowOff>220980</xdr:rowOff>
                  </to>
                </anchor>
              </controlPr>
            </control>
          </mc:Choice>
        </mc:AlternateContent>
        <mc:AlternateContent xmlns:mc="http://schemas.openxmlformats.org/markup-compatibility/2006">
          <mc:Choice Requires="x14">
            <control shapeId="3637" r:id="rId321" name="Drop Down 2613">
              <controlPr defaultSize="0" autoLine="0" autoPict="0">
                <anchor moveWithCells="1">
                  <from>
                    <xdr:col>4</xdr:col>
                    <xdr:colOff>220980</xdr:colOff>
                    <xdr:row>777</xdr:row>
                    <xdr:rowOff>15240</xdr:rowOff>
                  </from>
                  <to>
                    <xdr:col>4</xdr:col>
                    <xdr:colOff>1021080</xdr:colOff>
                    <xdr:row>777</xdr:row>
                    <xdr:rowOff>220980</xdr:rowOff>
                  </to>
                </anchor>
              </controlPr>
            </control>
          </mc:Choice>
        </mc:AlternateContent>
        <mc:AlternateContent xmlns:mc="http://schemas.openxmlformats.org/markup-compatibility/2006">
          <mc:Choice Requires="x14">
            <control shapeId="3638" r:id="rId322" name="Drop Down 2614">
              <controlPr defaultSize="0" autoLine="0" autoPict="0">
                <anchor moveWithCells="1">
                  <from>
                    <xdr:col>4</xdr:col>
                    <xdr:colOff>1021080</xdr:colOff>
                    <xdr:row>777</xdr:row>
                    <xdr:rowOff>0</xdr:rowOff>
                  </from>
                  <to>
                    <xdr:col>4</xdr:col>
                    <xdr:colOff>1706880</xdr:colOff>
                    <xdr:row>777</xdr:row>
                    <xdr:rowOff>220980</xdr:rowOff>
                  </to>
                </anchor>
              </controlPr>
            </control>
          </mc:Choice>
        </mc:AlternateContent>
        <mc:AlternateContent xmlns:mc="http://schemas.openxmlformats.org/markup-compatibility/2006">
          <mc:Choice Requires="x14">
            <control shapeId="3639" r:id="rId323" name="Drop Down 2615">
              <controlPr defaultSize="0" autoLine="0" autoPict="0">
                <anchor moveWithCells="1">
                  <from>
                    <xdr:col>5</xdr:col>
                    <xdr:colOff>0</xdr:colOff>
                    <xdr:row>777</xdr:row>
                    <xdr:rowOff>15240</xdr:rowOff>
                  </from>
                  <to>
                    <xdr:col>6</xdr:col>
                    <xdr:colOff>259080</xdr:colOff>
                    <xdr:row>777</xdr:row>
                    <xdr:rowOff>220980</xdr:rowOff>
                  </to>
                </anchor>
              </controlPr>
            </control>
          </mc:Choice>
        </mc:AlternateContent>
        <mc:AlternateContent xmlns:mc="http://schemas.openxmlformats.org/markup-compatibility/2006">
          <mc:Choice Requires="x14">
            <control shapeId="3640" r:id="rId324" name="Drop Down 2616">
              <controlPr defaultSize="0" autoLine="0" autoPict="0">
                <anchor moveWithCells="1">
                  <from>
                    <xdr:col>6</xdr:col>
                    <xdr:colOff>266700</xdr:colOff>
                    <xdr:row>777</xdr:row>
                    <xdr:rowOff>15240</xdr:rowOff>
                  </from>
                  <to>
                    <xdr:col>6</xdr:col>
                    <xdr:colOff>1120140</xdr:colOff>
                    <xdr:row>777</xdr:row>
                    <xdr:rowOff>220980</xdr:rowOff>
                  </to>
                </anchor>
              </controlPr>
            </control>
          </mc:Choice>
        </mc:AlternateContent>
        <mc:AlternateContent xmlns:mc="http://schemas.openxmlformats.org/markup-compatibility/2006">
          <mc:Choice Requires="x14">
            <control shapeId="3641" r:id="rId325" name="Drop Down 2617">
              <controlPr defaultSize="0" autoLine="0" autoPict="0">
                <anchor moveWithCells="1">
                  <from>
                    <xdr:col>6</xdr:col>
                    <xdr:colOff>1135380</xdr:colOff>
                    <xdr:row>777</xdr:row>
                    <xdr:rowOff>0</xdr:rowOff>
                  </from>
                  <to>
                    <xdr:col>6</xdr:col>
                    <xdr:colOff>1805940</xdr:colOff>
                    <xdr:row>777</xdr:row>
                    <xdr:rowOff>220980</xdr:rowOff>
                  </to>
                </anchor>
              </controlPr>
            </control>
          </mc:Choice>
        </mc:AlternateContent>
        <mc:AlternateContent xmlns:mc="http://schemas.openxmlformats.org/markup-compatibility/2006">
          <mc:Choice Requires="x14">
            <control shapeId="3645" r:id="rId326" name="Drop Down 2621">
              <controlPr defaultSize="0" autoLine="0" autoPict="0">
                <anchor moveWithCells="1">
                  <from>
                    <xdr:col>12</xdr:col>
                    <xdr:colOff>0</xdr:colOff>
                    <xdr:row>775</xdr:row>
                    <xdr:rowOff>0</xdr:rowOff>
                  </from>
                  <to>
                    <xdr:col>12</xdr:col>
                    <xdr:colOff>716280</xdr:colOff>
                    <xdr:row>775</xdr:row>
                    <xdr:rowOff>220980</xdr:rowOff>
                  </to>
                </anchor>
              </controlPr>
            </control>
          </mc:Choice>
        </mc:AlternateContent>
        <mc:AlternateContent xmlns:mc="http://schemas.openxmlformats.org/markup-compatibility/2006">
          <mc:Choice Requires="x14">
            <control shapeId="3646" r:id="rId327" name="Drop Down 2622">
              <controlPr defaultSize="0" autoLine="0" autoPict="0">
                <anchor moveWithCells="1">
                  <from>
                    <xdr:col>12</xdr:col>
                    <xdr:colOff>716280</xdr:colOff>
                    <xdr:row>775</xdr:row>
                    <xdr:rowOff>15240</xdr:rowOff>
                  </from>
                  <to>
                    <xdr:col>12</xdr:col>
                    <xdr:colOff>1325880</xdr:colOff>
                    <xdr:row>775</xdr:row>
                    <xdr:rowOff>220980</xdr:rowOff>
                  </to>
                </anchor>
              </controlPr>
            </control>
          </mc:Choice>
        </mc:AlternateContent>
        <mc:AlternateContent xmlns:mc="http://schemas.openxmlformats.org/markup-compatibility/2006">
          <mc:Choice Requires="x14">
            <control shapeId="3647" r:id="rId328" name="Drop Down 2623">
              <controlPr defaultSize="0" autoLine="0" autoPict="0">
                <anchor moveWithCells="1">
                  <from>
                    <xdr:col>12</xdr:col>
                    <xdr:colOff>1325880</xdr:colOff>
                    <xdr:row>775</xdr:row>
                    <xdr:rowOff>0</xdr:rowOff>
                  </from>
                  <to>
                    <xdr:col>13</xdr:col>
                    <xdr:colOff>0</xdr:colOff>
                    <xdr:row>775</xdr:row>
                    <xdr:rowOff>220980</xdr:rowOff>
                  </to>
                </anchor>
              </controlPr>
            </control>
          </mc:Choice>
        </mc:AlternateContent>
        <mc:AlternateContent xmlns:mc="http://schemas.openxmlformats.org/markup-compatibility/2006">
          <mc:Choice Requires="x14">
            <control shapeId="3648" r:id="rId329" name="Drop Down 2624">
              <controlPr defaultSize="0" autoLine="0" autoPict="0">
                <anchor moveWithCells="1">
                  <from>
                    <xdr:col>12</xdr:col>
                    <xdr:colOff>0</xdr:colOff>
                    <xdr:row>777</xdr:row>
                    <xdr:rowOff>0</xdr:rowOff>
                  </from>
                  <to>
                    <xdr:col>12</xdr:col>
                    <xdr:colOff>701040</xdr:colOff>
                    <xdr:row>777</xdr:row>
                    <xdr:rowOff>220980</xdr:rowOff>
                  </to>
                </anchor>
              </controlPr>
            </control>
          </mc:Choice>
        </mc:AlternateContent>
        <mc:AlternateContent xmlns:mc="http://schemas.openxmlformats.org/markup-compatibility/2006">
          <mc:Choice Requires="x14">
            <control shapeId="3649" r:id="rId330" name="Drop Down 2625">
              <controlPr defaultSize="0" autoLine="0" autoPict="0">
                <anchor moveWithCells="1">
                  <from>
                    <xdr:col>12</xdr:col>
                    <xdr:colOff>685800</xdr:colOff>
                    <xdr:row>777</xdr:row>
                    <xdr:rowOff>15240</xdr:rowOff>
                  </from>
                  <to>
                    <xdr:col>12</xdr:col>
                    <xdr:colOff>1310640</xdr:colOff>
                    <xdr:row>777</xdr:row>
                    <xdr:rowOff>220980</xdr:rowOff>
                  </to>
                </anchor>
              </controlPr>
            </control>
          </mc:Choice>
        </mc:AlternateContent>
        <mc:AlternateContent xmlns:mc="http://schemas.openxmlformats.org/markup-compatibility/2006">
          <mc:Choice Requires="x14">
            <control shapeId="3650" r:id="rId331" name="Drop Down 2626">
              <controlPr defaultSize="0" autoLine="0" autoPict="0">
                <anchor moveWithCells="1">
                  <from>
                    <xdr:col>12</xdr:col>
                    <xdr:colOff>1325880</xdr:colOff>
                    <xdr:row>776</xdr:row>
                    <xdr:rowOff>220980</xdr:rowOff>
                  </from>
                  <to>
                    <xdr:col>13</xdr:col>
                    <xdr:colOff>0</xdr:colOff>
                    <xdr:row>777</xdr:row>
                    <xdr:rowOff>220980</xdr:rowOff>
                  </to>
                </anchor>
              </controlPr>
            </control>
          </mc:Choice>
        </mc:AlternateContent>
        <mc:AlternateContent xmlns:mc="http://schemas.openxmlformats.org/markup-compatibility/2006">
          <mc:Choice Requires="x14">
            <control shapeId="3669" r:id="rId332" name="Drop Down 2645">
              <controlPr defaultSize="0" autoLine="0" autoPict="0">
                <anchor moveWithCells="1">
                  <from>
                    <xdr:col>7</xdr:col>
                    <xdr:colOff>0</xdr:colOff>
                    <xdr:row>846</xdr:row>
                    <xdr:rowOff>0</xdr:rowOff>
                  </from>
                  <to>
                    <xdr:col>7</xdr:col>
                    <xdr:colOff>624840</xdr:colOff>
                    <xdr:row>847</xdr:row>
                    <xdr:rowOff>0</xdr:rowOff>
                  </to>
                </anchor>
              </controlPr>
            </control>
          </mc:Choice>
        </mc:AlternateContent>
        <mc:AlternateContent xmlns:mc="http://schemas.openxmlformats.org/markup-compatibility/2006">
          <mc:Choice Requires="x14">
            <control shapeId="3670" r:id="rId333" name="Drop Down 2646">
              <controlPr defaultSize="0" autoLine="0" autoPict="0">
                <anchor moveWithCells="1">
                  <from>
                    <xdr:col>7</xdr:col>
                    <xdr:colOff>601980</xdr:colOff>
                    <xdr:row>846</xdr:row>
                    <xdr:rowOff>15240</xdr:rowOff>
                  </from>
                  <to>
                    <xdr:col>7</xdr:col>
                    <xdr:colOff>1272540</xdr:colOff>
                    <xdr:row>847</xdr:row>
                    <xdr:rowOff>0</xdr:rowOff>
                  </to>
                </anchor>
              </controlPr>
            </control>
          </mc:Choice>
        </mc:AlternateContent>
        <mc:AlternateContent xmlns:mc="http://schemas.openxmlformats.org/markup-compatibility/2006">
          <mc:Choice Requires="x14">
            <control shapeId="3671" r:id="rId334" name="Drop Down 2647">
              <controlPr defaultSize="0" autoLine="0" autoPict="0">
                <anchor moveWithCells="1">
                  <from>
                    <xdr:col>7</xdr:col>
                    <xdr:colOff>1272540</xdr:colOff>
                    <xdr:row>846</xdr:row>
                    <xdr:rowOff>15240</xdr:rowOff>
                  </from>
                  <to>
                    <xdr:col>7</xdr:col>
                    <xdr:colOff>1805940</xdr:colOff>
                    <xdr:row>846</xdr:row>
                    <xdr:rowOff>320040</xdr:rowOff>
                  </to>
                </anchor>
              </controlPr>
            </control>
          </mc:Choice>
        </mc:AlternateContent>
        <mc:AlternateContent xmlns:mc="http://schemas.openxmlformats.org/markup-compatibility/2006">
          <mc:Choice Requires="x14">
            <control shapeId="3672" r:id="rId335" name="Drop Down 2648">
              <controlPr defaultSize="0" autoLine="0" autoPict="0">
                <anchor moveWithCells="1">
                  <from>
                    <xdr:col>7</xdr:col>
                    <xdr:colOff>0</xdr:colOff>
                    <xdr:row>847</xdr:row>
                    <xdr:rowOff>0</xdr:rowOff>
                  </from>
                  <to>
                    <xdr:col>7</xdr:col>
                    <xdr:colOff>624840</xdr:colOff>
                    <xdr:row>848</xdr:row>
                    <xdr:rowOff>0</xdr:rowOff>
                  </to>
                </anchor>
              </controlPr>
            </control>
          </mc:Choice>
        </mc:AlternateContent>
        <mc:AlternateContent xmlns:mc="http://schemas.openxmlformats.org/markup-compatibility/2006">
          <mc:Choice Requires="x14">
            <control shapeId="3673" r:id="rId336" name="Drop Down 2649">
              <controlPr defaultSize="0" autoLine="0" autoPict="0">
                <anchor moveWithCells="1">
                  <from>
                    <xdr:col>7</xdr:col>
                    <xdr:colOff>601980</xdr:colOff>
                    <xdr:row>847</xdr:row>
                    <xdr:rowOff>15240</xdr:rowOff>
                  </from>
                  <to>
                    <xdr:col>7</xdr:col>
                    <xdr:colOff>1272540</xdr:colOff>
                    <xdr:row>848</xdr:row>
                    <xdr:rowOff>0</xdr:rowOff>
                  </to>
                </anchor>
              </controlPr>
            </control>
          </mc:Choice>
        </mc:AlternateContent>
        <mc:AlternateContent xmlns:mc="http://schemas.openxmlformats.org/markup-compatibility/2006">
          <mc:Choice Requires="x14">
            <control shapeId="3674" r:id="rId337" name="Drop Down 2650">
              <controlPr defaultSize="0" autoLine="0" autoPict="0">
                <anchor moveWithCells="1">
                  <from>
                    <xdr:col>7</xdr:col>
                    <xdr:colOff>1272540</xdr:colOff>
                    <xdr:row>847</xdr:row>
                    <xdr:rowOff>15240</xdr:rowOff>
                  </from>
                  <to>
                    <xdr:col>7</xdr:col>
                    <xdr:colOff>1805940</xdr:colOff>
                    <xdr:row>847</xdr:row>
                    <xdr:rowOff>320040</xdr:rowOff>
                  </to>
                </anchor>
              </controlPr>
            </control>
          </mc:Choice>
        </mc:AlternateContent>
        <mc:AlternateContent xmlns:mc="http://schemas.openxmlformats.org/markup-compatibility/2006">
          <mc:Choice Requires="x14">
            <control shapeId="3675" r:id="rId338" name="Drop Down 2651">
              <controlPr defaultSize="0" autoLine="0" autoPict="0">
                <anchor moveWithCells="1">
                  <from>
                    <xdr:col>7</xdr:col>
                    <xdr:colOff>0</xdr:colOff>
                    <xdr:row>848</xdr:row>
                    <xdr:rowOff>0</xdr:rowOff>
                  </from>
                  <to>
                    <xdr:col>7</xdr:col>
                    <xdr:colOff>624840</xdr:colOff>
                    <xdr:row>849</xdr:row>
                    <xdr:rowOff>0</xdr:rowOff>
                  </to>
                </anchor>
              </controlPr>
            </control>
          </mc:Choice>
        </mc:AlternateContent>
        <mc:AlternateContent xmlns:mc="http://schemas.openxmlformats.org/markup-compatibility/2006">
          <mc:Choice Requires="x14">
            <control shapeId="3676" r:id="rId339" name="Drop Down 2652">
              <controlPr defaultSize="0" autoLine="0" autoPict="0">
                <anchor moveWithCells="1">
                  <from>
                    <xdr:col>7</xdr:col>
                    <xdr:colOff>601980</xdr:colOff>
                    <xdr:row>848</xdr:row>
                    <xdr:rowOff>15240</xdr:rowOff>
                  </from>
                  <to>
                    <xdr:col>7</xdr:col>
                    <xdr:colOff>1272540</xdr:colOff>
                    <xdr:row>849</xdr:row>
                    <xdr:rowOff>0</xdr:rowOff>
                  </to>
                </anchor>
              </controlPr>
            </control>
          </mc:Choice>
        </mc:AlternateContent>
        <mc:AlternateContent xmlns:mc="http://schemas.openxmlformats.org/markup-compatibility/2006">
          <mc:Choice Requires="x14">
            <control shapeId="3677" r:id="rId340" name="Drop Down 2653">
              <controlPr defaultSize="0" autoLine="0" autoPict="0">
                <anchor moveWithCells="1">
                  <from>
                    <xdr:col>7</xdr:col>
                    <xdr:colOff>1272540</xdr:colOff>
                    <xdr:row>848</xdr:row>
                    <xdr:rowOff>15240</xdr:rowOff>
                  </from>
                  <to>
                    <xdr:col>7</xdr:col>
                    <xdr:colOff>1805940</xdr:colOff>
                    <xdr:row>848</xdr:row>
                    <xdr:rowOff>320040</xdr:rowOff>
                  </to>
                </anchor>
              </controlPr>
            </control>
          </mc:Choice>
        </mc:AlternateContent>
        <mc:AlternateContent xmlns:mc="http://schemas.openxmlformats.org/markup-compatibility/2006">
          <mc:Choice Requires="x14">
            <control shapeId="3684" r:id="rId341" name="Drop Down 2660">
              <controlPr defaultSize="0" autoLine="0" autoPict="0">
                <anchor moveWithCells="1">
                  <from>
                    <xdr:col>3</xdr:col>
                    <xdr:colOff>0</xdr:colOff>
                    <xdr:row>877</xdr:row>
                    <xdr:rowOff>15240</xdr:rowOff>
                  </from>
                  <to>
                    <xdr:col>4</xdr:col>
                    <xdr:colOff>205740</xdr:colOff>
                    <xdr:row>877</xdr:row>
                    <xdr:rowOff>220980</xdr:rowOff>
                  </to>
                </anchor>
              </controlPr>
            </control>
          </mc:Choice>
        </mc:AlternateContent>
        <mc:AlternateContent xmlns:mc="http://schemas.openxmlformats.org/markup-compatibility/2006">
          <mc:Choice Requires="x14">
            <control shapeId="3685" r:id="rId342" name="Drop Down 2661">
              <controlPr defaultSize="0" autoLine="0" autoPict="0">
                <anchor moveWithCells="1">
                  <from>
                    <xdr:col>4</xdr:col>
                    <xdr:colOff>220980</xdr:colOff>
                    <xdr:row>877</xdr:row>
                    <xdr:rowOff>15240</xdr:rowOff>
                  </from>
                  <to>
                    <xdr:col>4</xdr:col>
                    <xdr:colOff>1021080</xdr:colOff>
                    <xdr:row>877</xdr:row>
                    <xdr:rowOff>220980</xdr:rowOff>
                  </to>
                </anchor>
              </controlPr>
            </control>
          </mc:Choice>
        </mc:AlternateContent>
        <mc:AlternateContent xmlns:mc="http://schemas.openxmlformats.org/markup-compatibility/2006">
          <mc:Choice Requires="x14">
            <control shapeId="3686" r:id="rId343" name="Drop Down 2662">
              <controlPr defaultSize="0" autoLine="0" autoPict="0">
                <anchor moveWithCells="1">
                  <from>
                    <xdr:col>4</xdr:col>
                    <xdr:colOff>1021080</xdr:colOff>
                    <xdr:row>877</xdr:row>
                    <xdr:rowOff>0</xdr:rowOff>
                  </from>
                  <to>
                    <xdr:col>4</xdr:col>
                    <xdr:colOff>1706880</xdr:colOff>
                    <xdr:row>877</xdr:row>
                    <xdr:rowOff>220980</xdr:rowOff>
                  </to>
                </anchor>
              </controlPr>
            </control>
          </mc:Choice>
        </mc:AlternateContent>
        <mc:AlternateContent xmlns:mc="http://schemas.openxmlformats.org/markup-compatibility/2006">
          <mc:Choice Requires="x14">
            <control shapeId="3687" r:id="rId344" name="Drop Down 2663">
              <controlPr defaultSize="0" autoLine="0" autoPict="0">
                <anchor moveWithCells="1">
                  <from>
                    <xdr:col>5</xdr:col>
                    <xdr:colOff>0</xdr:colOff>
                    <xdr:row>877</xdr:row>
                    <xdr:rowOff>15240</xdr:rowOff>
                  </from>
                  <to>
                    <xdr:col>6</xdr:col>
                    <xdr:colOff>259080</xdr:colOff>
                    <xdr:row>877</xdr:row>
                    <xdr:rowOff>220980</xdr:rowOff>
                  </to>
                </anchor>
              </controlPr>
            </control>
          </mc:Choice>
        </mc:AlternateContent>
        <mc:AlternateContent xmlns:mc="http://schemas.openxmlformats.org/markup-compatibility/2006">
          <mc:Choice Requires="x14">
            <control shapeId="3688" r:id="rId345" name="Drop Down 2664">
              <controlPr defaultSize="0" autoLine="0" autoPict="0">
                <anchor moveWithCells="1">
                  <from>
                    <xdr:col>6</xdr:col>
                    <xdr:colOff>266700</xdr:colOff>
                    <xdr:row>877</xdr:row>
                    <xdr:rowOff>15240</xdr:rowOff>
                  </from>
                  <to>
                    <xdr:col>6</xdr:col>
                    <xdr:colOff>1120140</xdr:colOff>
                    <xdr:row>877</xdr:row>
                    <xdr:rowOff>220980</xdr:rowOff>
                  </to>
                </anchor>
              </controlPr>
            </control>
          </mc:Choice>
        </mc:AlternateContent>
        <mc:AlternateContent xmlns:mc="http://schemas.openxmlformats.org/markup-compatibility/2006">
          <mc:Choice Requires="x14">
            <control shapeId="3689" r:id="rId346" name="Drop Down 2665">
              <controlPr defaultSize="0" autoLine="0" autoPict="0">
                <anchor moveWithCells="1">
                  <from>
                    <xdr:col>6</xdr:col>
                    <xdr:colOff>1135380</xdr:colOff>
                    <xdr:row>877</xdr:row>
                    <xdr:rowOff>0</xdr:rowOff>
                  </from>
                  <to>
                    <xdr:col>6</xdr:col>
                    <xdr:colOff>1805940</xdr:colOff>
                    <xdr:row>877</xdr:row>
                    <xdr:rowOff>220980</xdr:rowOff>
                  </to>
                </anchor>
              </controlPr>
            </control>
          </mc:Choice>
        </mc:AlternateContent>
        <mc:AlternateContent xmlns:mc="http://schemas.openxmlformats.org/markup-compatibility/2006">
          <mc:Choice Requires="x14">
            <control shapeId="3693" r:id="rId347" name="Drop Down 2669">
              <controlPr defaultSize="0" autoLine="0" autoPict="0">
                <anchor moveWithCells="1">
                  <from>
                    <xdr:col>12</xdr:col>
                    <xdr:colOff>0</xdr:colOff>
                    <xdr:row>875</xdr:row>
                    <xdr:rowOff>0</xdr:rowOff>
                  </from>
                  <to>
                    <xdr:col>12</xdr:col>
                    <xdr:colOff>716280</xdr:colOff>
                    <xdr:row>875</xdr:row>
                    <xdr:rowOff>220980</xdr:rowOff>
                  </to>
                </anchor>
              </controlPr>
            </control>
          </mc:Choice>
        </mc:AlternateContent>
        <mc:AlternateContent xmlns:mc="http://schemas.openxmlformats.org/markup-compatibility/2006">
          <mc:Choice Requires="x14">
            <control shapeId="3694" r:id="rId348" name="Drop Down 2670">
              <controlPr defaultSize="0" autoLine="0" autoPict="0">
                <anchor moveWithCells="1">
                  <from>
                    <xdr:col>12</xdr:col>
                    <xdr:colOff>716280</xdr:colOff>
                    <xdr:row>875</xdr:row>
                    <xdr:rowOff>15240</xdr:rowOff>
                  </from>
                  <to>
                    <xdr:col>12</xdr:col>
                    <xdr:colOff>1325880</xdr:colOff>
                    <xdr:row>875</xdr:row>
                    <xdr:rowOff>220980</xdr:rowOff>
                  </to>
                </anchor>
              </controlPr>
            </control>
          </mc:Choice>
        </mc:AlternateContent>
        <mc:AlternateContent xmlns:mc="http://schemas.openxmlformats.org/markup-compatibility/2006">
          <mc:Choice Requires="x14">
            <control shapeId="3695" r:id="rId349" name="Drop Down 2671">
              <controlPr defaultSize="0" autoLine="0" autoPict="0">
                <anchor moveWithCells="1">
                  <from>
                    <xdr:col>12</xdr:col>
                    <xdr:colOff>1325880</xdr:colOff>
                    <xdr:row>875</xdr:row>
                    <xdr:rowOff>0</xdr:rowOff>
                  </from>
                  <to>
                    <xdr:col>13</xdr:col>
                    <xdr:colOff>0</xdr:colOff>
                    <xdr:row>875</xdr:row>
                    <xdr:rowOff>220980</xdr:rowOff>
                  </to>
                </anchor>
              </controlPr>
            </control>
          </mc:Choice>
        </mc:AlternateContent>
        <mc:AlternateContent xmlns:mc="http://schemas.openxmlformats.org/markup-compatibility/2006">
          <mc:Choice Requires="x14">
            <control shapeId="3696" r:id="rId350" name="Drop Down 2672">
              <controlPr defaultSize="0" autoLine="0" autoPict="0">
                <anchor moveWithCells="1">
                  <from>
                    <xdr:col>12</xdr:col>
                    <xdr:colOff>0</xdr:colOff>
                    <xdr:row>877</xdr:row>
                    <xdr:rowOff>0</xdr:rowOff>
                  </from>
                  <to>
                    <xdr:col>12</xdr:col>
                    <xdr:colOff>701040</xdr:colOff>
                    <xdr:row>877</xdr:row>
                    <xdr:rowOff>220980</xdr:rowOff>
                  </to>
                </anchor>
              </controlPr>
            </control>
          </mc:Choice>
        </mc:AlternateContent>
        <mc:AlternateContent xmlns:mc="http://schemas.openxmlformats.org/markup-compatibility/2006">
          <mc:Choice Requires="x14">
            <control shapeId="3697" r:id="rId351" name="Drop Down 2673">
              <controlPr defaultSize="0" autoLine="0" autoPict="0">
                <anchor moveWithCells="1">
                  <from>
                    <xdr:col>12</xdr:col>
                    <xdr:colOff>685800</xdr:colOff>
                    <xdr:row>877</xdr:row>
                    <xdr:rowOff>15240</xdr:rowOff>
                  </from>
                  <to>
                    <xdr:col>12</xdr:col>
                    <xdr:colOff>1310640</xdr:colOff>
                    <xdr:row>877</xdr:row>
                    <xdr:rowOff>220980</xdr:rowOff>
                  </to>
                </anchor>
              </controlPr>
            </control>
          </mc:Choice>
        </mc:AlternateContent>
        <mc:AlternateContent xmlns:mc="http://schemas.openxmlformats.org/markup-compatibility/2006">
          <mc:Choice Requires="x14">
            <control shapeId="3698" r:id="rId352" name="Drop Down 2674">
              <controlPr defaultSize="0" autoLine="0" autoPict="0">
                <anchor moveWithCells="1">
                  <from>
                    <xdr:col>12</xdr:col>
                    <xdr:colOff>1325880</xdr:colOff>
                    <xdr:row>876</xdr:row>
                    <xdr:rowOff>220980</xdr:rowOff>
                  </from>
                  <to>
                    <xdr:col>13</xdr:col>
                    <xdr:colOff>0</xdr:colOff>
                    <xdr:row>877</xdr:row>
                    <xdr:rowOff>220980</xdr:rowOff>
                  </to>
                </anchor>
              </controlPr>
            </control>
          </mc:Choice>
        </mc:AlternateContent>
        <mc:AlternateContent xmlns:mc="http://schemas.openxmlformats.org/markup-compatibility/2006">
          <mc:Choice Requires="x14">
            <control shapeId="3717" r:id="rId353" name="Drop Down 2693">
              <controlPr defaultSize="0" autoLine="0" autoPict="0">
                <anchor moveWithCells="1">
                  <from>
                    <xdr:col>7</xdr:col>
                    <xdr:colOff>0</xdr:colOff>
                    <xdr:row>946</xdr:row>
                    <xdr:rowOff>0</xdr:rowOff>
                  </from>
                  <to>
                    <xdr:col>7</xdr:col>
                    <xdr:colOff>624840</xdr:colOff>
                    <xdr:row>947</xdr:row>
                    <xdr:rowOff>0</xdr:rowOff>
                  </to>
                </anchor>
              </controlPr>
            </control>
          </mc:Choice>
        </mc:AlternateContent>
        <mc:AlternateContent xmlns:mc="http://schemas.openxmlformats.org/markup-compatibility/2006">
          <mc:Choice Requires="x14">
            <control shapeId="3718" r:id="rId354" name="Drop Down 2694">
              <controlPr defaultSize="0" autoLine="0" autoPict="0">
                <anchor moveWithCells="1">
                  <from>
                    <xdr:col>7</xdr:col>
                    <xdr:colOff>601980</xdr:colOff>
                    <xdr:row>946</xdr:row>
                    <xdr:rowOff>15240</xdr:rowOff>
                  </from>
                  <to>
                    <xdr:col>7</xdr:col>
                    <xdr:colOff>1272540</xdr:colOff>
                    <xdr:row>947</xdr:row>
                    <xdr:rowOff>0</xdr:rowOff>
                  </to>
                </anchor>
              </controlPr>
            </control>
          </mc:Choice>
        </mc:AlternateContent>
        <mc:AlternateContent xmlns:mc="http://schemas.openxmlformats.org/markup-compatibility/2006">
          <mc:Choice Requires="x14">
            <control shapeId="3719" r:id="rId355" name="Drop Down 2695">
              <controlPr defaultSize="0" autoLine="0" autoPict="0">
                <anchor moveWithCells="1">
                  <from>
                    <xdr:col>7</xdr:col>
                    <xdr:colOff>1272540</xdr:colOff>
                    <xdr:row>946</xdr:row>
                    <xdr:rowOff>15240</xdr:rowOff>
                  </from>
                  <to>
                    <xdr:col>7</xdr:col>
                    <xdr:colOff>1805940</xdr:colOff>
                    <xdr:row>946</xdr:row>
                    <xdr:rowOff>320040</xdr:rowOff>
                  </to>
                </anchor>
              </controlPr>
            </control>
          </mc:Choice>
        </mc:AlternateContent>
        <mc:AlternateContent xmlns:mc="http://schemas.openxmlformats.org/markup-compatibility/2006">
          <mc:Choice Requires="x14">
            <control shapeId="3720" r:id="rId356" name="Drop Down 2696">
              <controlPr defaultSize="0" autoLine="0" autoPict="0">
                <anchor moveWithCells="1">
                  <from>
                    <xdr:col>7</xdr:col>
                    <xdr:colOff>0</xdr:colOff>
                    <xdr:row>947</xdr:row>
                    <xdr:rowOff>0</xdr:rowOff>
                  </from>
                  <to>
                    <xdr:col>7</xdr:col>
                    <xdr:colOff>624840</xdr:colOff>
                    <xdr:row>948</xdr:row>
                    <xdr:rowOff>0</xdr:rowOff>
                  </to>
                </anchor>
              </controlPr>
            </control>
          </mc:Choice>
        </mc:AlternateContent>
        <mc:AlternateContent xmlns:mc="http://schemas.openxmlformats.org/markup-compatibility/2006">
          <mc:Choice Requires="x14">
            <control shapeId="3721" r:id="rId357" name="Drop Down 2697">
              <controlPr defaultSize="0" autoLine="0" autoPict="0">
                <anchor moveWithCells="1">
                  <from>
                    <xdr:col>7</xdr:col>
                    <xdr:colOff>601980</xdr:colOff>
                    <xdr:row>947</xdr:row>
                    <xdr:rowOff>15240</xdr:rowOff>
                  </from>
                  <to>
                    <xdr:col>7</xdr:col>
                    <xdr:colOff>1272540</xdr:colOff>
                    <xdr:row>948</xdr:row>
                    <xdr:rowOff>0</xdr:rowOff>
                  </to>
                </anchor>
              </controlPr>
            </control>
          </mc:Choice>
        </mc:AlternateContent>
        <mc:AlternateContent xmlns:mc="http://schemas.openxmlformats.org/markup-compatibility/2006">
          <mc:Choice Requires="x14">
            <control shapeId="3722" r:id="rId358" name="Drop Down 2698">
              <controlPr defaultSize="0" autoLine="0" autoPict="0">
                <anchor moveWithCells="1">
                  <from>
                    <xdr:col>7</xdr:col>
                    <xdr:colOff>1272540</xdr:colOff>
                    <xdr:row>947</xdr:row>
                    <xdr:rowOff>15240</xdr:rowOff>
                  </from>
                  <to>
                    <xdr:col>7</xdr:col>
                    <xdr:colOff>1805940</xdr:colOff>
                    <xdr:row>947</xdr:row>
                    <xdr:rowOff>320040</xdr:rowOff>
                  </to>
                </anchor>
              </controlPr>
            </control>
          </mc:Choice>
        </mc:AlternateContent>
        <mc:AlternateContent xmlns:mc="http://schemas.openxmlformats.org/markup-compatibility/2006">
          <mc:Choice Requires="x14">
            <control shapeId="3723" r:id="rId359" name="Drop Down 2699">
              <controlPr defaultSize="0" autoLine="0" autoPict="0">
                <anchor moveWithCells="1">
                  <from>
                    <xdr:col>7</xdr:col>
                    <xdr:colOff>0</xdr:colOff>
                    <xdr:row>948</xdr:row>
                    <xdr:rowOff>0</xdr:rowOff>
                  </from>
                  <to>
                    <xdr:col>7</xdr:col>
                    <xdr:colOff>624840</xdr:colOff>
                    <xdr:row>949</xdr:row>
                    <xdr:rowOff>0</xdr:rowOff>
                  </to>
                </anchor>
              </controlPr>
            </control>
          </mc:Choice>
        </mc:AlternateContent>
        <mc:AlternateContent xmlns:mc="http://schemas.openxmlformats.org/markup-compatibility/2006">
          <mc:Choice Requires="x14">
            <control shapeId="3724" r:id="rId360" name="Drop Down 2700">
              <controlPr defaultSize="0" autoLine="0" autoPict="0">
                <anchor moveWithCells="1">
                  <from>
                    <xdr:col>7</xdr:col>
                    <xdr:colOff>601980</xdr:colOff>
                    <xdr:row>948</xdr:row>
                    <xdr:rowOff>15240</xdr:rowOff>
                  </from>
                  <to>
                    <xdr:col>7</xdr:col>
                    <xdr:colOff>1272540</xdr:colOff>
                    <xdr:row>949</xdr:row>
                    <xdr:rowOff>0</xdr:rowOff>
                  </to>
                </anchor>
              </controlPr>
            </control>
          </mc:Choice>
        </mc:AlternateContent>
        <mc:AlternateContent xmlns:mc="http://schemas.openxmlformats.org/markup-compatibility/2006">
          <mc:Choice Requires="x14">
            <control shapeId="3725" r:id="rId361" name="Drop Down 2701">
              <controlPr defaultSize="0" autoLine="0" autoPict="0">
                <anchor moveWithCells="1">
                  <from>
                    <xdr:col>7</xdr:col>
                    <xdr:colOff>1272540</xdr:colOff>
                    <xdr:row>948</xdr:row>
                    <xdr:rowOff>15240</xdr:rowOff>
                  </from>
                  <to>
                    <xdr:col>7</xdr:col>
                    <xdr:colOff>1805940</xdr:colOff>
                    <xdr:row>948</xdr:row>
                    <xdr:rowOff>320040</xdr:rowOff>
                  </to>
                </anchor>
              </controlPr>
            </control>
          </mc:Choice>
        </mc:AlternateContent>
        <mc:AlternateContent xmlns:mc="http://schemas.openxmlformats.org/markup-compatibility/2006">
          <mc:Choice Requires="x14">
            <control shapeId="3732" r:id="rId362" name="Drop Down 2708">
              <controlPr defaultSize="0" autoLine="0" autoPict="0">
                <anchor moveWithCells="1">
                  <from>
                    <xdr:col>3</xdr:col>
                    <xdr:colOff>0</xdr:colOff>
                    <xdr:row>977</xdr:row>
                    <xdr:rowOff>15240</xdr:rowOff>
                  </from>
                  <to>
                    <xdr:col>4</xdr:col>
                    <xdr:colOff>205740</xdr:colOff>
                    <xdr:row>977</xdr:row>
                    <xdr:rowOff>220980</xdr:rowOff>
                  </to>
                </anchor>
              </controlPr>
            </control>
          </mc:Choice>
        </mc:AlternateContent>
        <mc:AlternateContent xmlns:mc="http://schemas.openxmlformats.org/markup-compatibility/2006">
          <mc:Choice Requires="x14">
            <control shapeId="3733" r:id="rId363" name="Drop Down 2709">
              <controlPr defaultSize="0" autoLine="0" autoPict="0">
                <anchor moveWithCells="1">
                  <from>
                    <xdr:col>4</xdr:col>
                    <xdr:colOff>220980</xdr:colOff>
                    <xdr:row>977</xdr:row>
                    <xdr:rowOff>15240</xdr:rowOff>
                  </from>
                  <to>
                    <xdr:col>4</xdr:col>
                    <xdr:colOff>1021080</xdr:colOff>
                    <xdr:row>977</xdr:row>
                    <xdr:rowOff>220980</xdr:rowOff>
                  </to>
                </anchor>
              </controlPr>
            </control>
          </mc:Choice>
        </mc:AlternateContent>
        <mc:AlternateContent xmlns:mc="http://schemas.openxmlformats.org/markup-compatibility/2006">
          <mc:Choice Requires="x14">
            <control shapeId="3734" r:id="rId364" name="Drop Down 2710">
              <controlPr defaultSize="0" autoLine="0" autoPict="0">
                <anchor moveWithCells="1">
                  <from>
                    <xdr:col>4</xdr:col>
                    <xdr:colOff>1021080</xdr:colOff>
                    <xdr:row>977</xdr:row>
                    <xdr:rowOff>0</xdr:rowOff>
                  </from>
                  <to>
                    <xdr:col>4</xdr:col>
                    <xdr:colOff>1706880</xdr:colOff>
                    <xdr:row>977</xdr:row>
                    <xdr:rowOff>220980</xdr:rowOff>
                  </to>
                </anchor>
              </controlPr>
            </control>
          </mc:Choice>
        </mc:AlternateContent>
        <mc:AlternateContent xmlns:mc="http://schemas.openxmlformats.org/markup-compatibility/2006">
          <mc:Choice Requires="x14">
            <control shapeId="3735" r:id="rId365" name="Drop Down 2711">
              <controlPr defaultSize="0" autoLine="0" autoPict="0">
                <anchor moveWithCells="1">
                  <from>
                    <xdr:col>5</xdr:col>
                    <xdr:colOff>0</xdr:colOff>
                    <xdr:row>977</xdr:row>
                    <xdr:rowOff>15240</xdr:rowOff>
                  </from>
                  <to>
                    <xdr:col>6</xdr:col>
                    <xdr:colOff>259080</xdr:colOff>
                    <xdr:row>977</xdr:row>
                    <xdr:rowOff>220980</xdr:rowOff>
                  </to>
                </anchor>
              </controlPr>
            </control>
          </mc:Choice>
        </mc:AlternateContent>
        <mc:AlternateContent xmlns:mc="http://schemas.openxmlformats.org/markup-compatibility/2006">
          <mc:Choice Requires="x14">
            <control shapeId="3736" r:id="rId366" name="Drop Down 2712">
              <controlPr defaultSize="0" autoLine="0" autoPict="0">
                <anchor moveWithCells="1">
                  <from>
                    <xdr:col>6</xdr:col>
                    <xdr:colOff>266700</xdr:colOff>
                    <xdr:row>977</xdr:row>
                    <xdr:rowOff>15240</xdr:rowOff>
                  </from>
                  <to>
                    <xdr:col>6</xdr:col>
                    <xdr:colOff>1120140</xdr:colOff>
                    <xdr:row>977</xdr:row>
                    <xdr:rowOff>220980</xdr:rowOff>
                  </to>
                </anchor>
              </controlPr>
            </control>
          </mc:Choice>
        </mc:AlternateContent>
        <mc:AlternateContent xmlns:mc="http://schemas.openxmlformats.org/markup-compatibility/2006">
          <mc:Choice Requires="x14">
            <control shapeId="3737" r:id="rId367" name="Drop Down 2713">
              <controlPr defaultSize="0" autoLine="0" autoPict="0">
                <anchor moveWithCells="1">
                  <from>
                    <xdr:col>6</xdr:col>
                    <xdr:colOff>1135380</xdr:colOff>
                    <xdr:row>977</xdr:row>
                    <xdr:rowOff>0</xdr:rowOff>
                  </from>
                  <to>
                    <xdr:col>6</xdr:col>
                    <xdr:colOff>1805940</xdr:colOff>
                    <xdr:row>977</xdr:row>
                    <xdr:rowOff>220980</xdr:rowOff>
                  </to>
                </anchor>
              </controlPr>
            </control>
          </mc:Choice>
        </mc:AlternateContent>
        <mc:AlternateContent xmlns:mc="http://schemas.openxmlformats.org/markup-compatibility/2006">
          <mc:Choice Requires="x14">
            <control shapeId="3741" r:id="rId368" name="Drop Down 2717">
              <controlPr defaultSize="0" autoLine="0" autoPict="0">
                <anchor moveWithCells="1">
                  <from>
                    <xdr:col>12</xdr:col>
                    <xdr:colOff>0</xdr:colOff>
                    <xdr:row>975</xdr:row>
                    <xdr:rowOff>0</xdr:rowOff>
                  </from>
                  <to>
                    <xdr:col>12</xdr:col>
                    <xdr:colOff>716280</xdr:colOff>
                    <xdr:row>975</xdr:row>
                    <xdr:rowOff>220980</xdr:rowOff>
                  </to>
                </anchor>
              </controlPr>
            </control>
          </mc:Choice>
        </mc:AlternateContent>
        <mc:AlternateContent xmlns:mc="http://schemas.openxmlformats.org/markup-compatibility/2006">
          <mc:Choice Requires="x14">
            <control shapeId="3742" r:id="rId369" name="Drop Down 2718">
              <controlPr defaultSize="0" autoLine="0" autoPict="0">
                <anchor moveWithCells="1">
                  <from>
                    <xdr:col>12</xdr:col>
                    <xdr:colOff>716280</xdr:colOff>
                    <xdr:row>975</xdr:row>
                    <xdr:rowOff>15240</xdr:rowOff>
                  </from>
                  <to>
                    <xdr:col>12</xdr:col>
                    <xdr:colOff>1325880</xdr:colOff>
                    <xdr:row>975</xdr:row>
                    <xdr:rowOff>220980</xdr:rowOff>
                  </to>
                </anchor>
              </controlPr>
            </control>
          </mc:Choice>
        </mc:AlternateContent>
        <mc:AlternateContent xmlns:mc="http://schemas.openxmlformats.org/markup-compatibility/2006">
          <mc:Choice Requires="x14">
            <control shapeId="3743" r:id="rId370" name="Drop Down 2719">
              <controlPr defaultSize="0" autoLine="0" autoPict="0">
                <anchor moveWithCells="1">
                  <from>
                    <xdr:col>12</xdr:col>
                    <xdr:colOff>1325880</xdr:colOff>
                    <xdr:row>975</xdr:row>
                    <xdr:rowOff>0</xdr:rowOff>
                  </from>
                  <to>
                    <xdr:col>13</xdr:col>
                    <xdr:colOff>0</xdr:colOff>
                    <xdr:row>975</xdr:row>
                    <xdr:rowOff>220980</xdr:rowOff>
                  </to>
                </anchor>
              </controlPr>
            </control>
          </mc:Choice>
        </mc:AlternateContent>
        <mc:AlternateContent xmlns:mc="http://schemas.openxmlformats.org/markup-compatibility/2006">
          <mc:Choice Requires="x14">
            <control shapeId="3744" r:id="rId371" name="Drop Down 2720">
              <controlPr defaultSize="0" autoLine="0" autoPict="0">
                <anchor moveWithCells="1">
                  <from>
                    <xdr:col>12</xdr:col>
                    <xdr:colOff>0</xdr:colOff>
                    <xdr:row>977</xdr:row>
                    <xdr:rowOff>0</xdr:rowOff>
                  </from>
                  <to>
                    <xdr:col>12</xdr:col>
                    <xdr:colOff>701040</xdr:colOff>
                    <xdr:row>977</xdr:row>
                    <xdr:rowOff>220980</xdr:rowOff>
                  </to>
                </anchor>
              </controlPr>
            </control>
          </mc:Choice>
        </mc:AlternateContent>
        <mc:AlternateContent xmlns:mc="http://schemas.openxmlformats.org/markup-compatibility/2006">
          <mc:Choice Requires="x14">
            <control shapeId="3745" r:id="rId372" name="Drop Down 2721">
              <controlPr defaultSize="0" autoLine="0" autoPict="0">
                <anchor moveWithCells="1">
                  <from>
                    <xdr:col>12</xdr:col>
                    <xdr:colOff>685800</xdr:colOff>
                    <xdr:row>977</xdr:row>
                    <xdr:rowOff>15240</xdr:rowOff>
                  </from>
                  <to>
                    <xdr:col>12</xdr:col>
                    <xdr:colOff>1310640</xdr:colOff>
                    <xdr:row>977</xdr:row>
                    <xdr:rowOff>220980</xdr:rowOff>
                  </to>
                </anchor>
              </controlPr>
            </control>
          </mc:Choice>
        </mc:AlternateContent>
        <mc:AlternateContent xmlns:mc="http://schemas.openxmlformats.org/markup-compatibility/2006">
          <mc:Choice Requires="x14">
            <control shapeId="3746" r:id="rId373" name="Drop Down 2722">
              <controlPr defaultSize="0" autoLine="0" autoPict="0">
                <anchor moveWithCells="1">
                  <from>
                    <xdr:col>12</xdr:col>
                    <xdr:colOff>1325880</xdr:colOff>
                    <xdr:row>976</xdr:row>
                    <xdr:rowOff>220980</xdr:rowOff>
                  </from>
                  <to>
                    <xdr:col>13</xdr:col>
                    <xdr:colOff>0</xdr:colOff>
                    <xdr:row>977</xdr:row>
                    <xdr:rowOff>220980</xdr:rowOff>
                  </to>
                </anchor>
              </controlPr>
            </control>
          </mc:Choice>
        </mc:AlternateContent>
        <mc:AlternateContent xmlns:mc="http://schemas.openxmlformats.org/markup-compatibility/2006">
          <mc:Choice Requires="x14">
            <control shapeId="3765" r:id="rId374" name="Drop Down 2741">
              <controlPr defaultSize="0" autoLine="0" autoPict="0">
                <anchor moveWithCells="1">
                  <from>
                    <xdr:col>7</xdr:col>
                    <xdr:colOff>0</xdr:colOff>
                    <xdr:row>1046</xdr:row>
                    <xdr:rowOff>0</xdr:rowOff>
                  </from>
                  <to>
                    <xdr:col>7</xdr:col>
                    <xdr:colOff>624840</xdr:colOff>
                    <xdr:row>1047</xdr:row>
                    <xdr:rowOff>0</xdr:rowOff>
                  </to>
                </anchor>
              </controlPr>
            </control>
          </mc:Choice>
        </mc:AlternateContent>
        <mc:AlternateContent xmlns:mc="http://schemas.openxmlformats.org/markup-compatibility/2006">
          <mc:Choice Requires="x14">
            <control shapeId="3766" r:id="rId375" name="Drop Down 2742">
              <controlPr defaultSize="0" autoLine="0" autoPict="0">
                <anchor moveWithCells="1">
                  <from>
                    <xdr:col>7</xdr:col>
                    <xdr:colOff>601980</xdr:colOff>
                    <xdr:row>1046</xdr:row>
                    <xdr:rowOff>15240</xdr:rowOff>
                  </from>
                  <to>
                    <xdr:col>7</xdr:col>
                    <xdr:colOff>1272540</xdr:colOff>
                    <xdr:row>1047</xdr:row>
                    <xdr:rowOff>0</xdr:rowOff>
                  </to>
                </anchor>
              </controlPr>
            </control>
          </mc:Choice>
        </mc:AlternateContent>
        <mc:AlternateContent xmlns:mc="http://schemas.openxmlformats.org/markup-compatibility/2006">
          <mc:Choice Requires="x14">
            <control shapeId="3767" r:id="rId376" name="Drop Down 2743">
              <controlPr defaultSize="0" autoLine="0" autoPict="0">
                <anchor moveWithCells="1">
                  <from>
                    <xdr:col>7</xdr:col>
                    <xdr:colOff>1272540</xdr:colOff>
                    <xdr:row>1046</xdr:row>
                    <xdr:rowOff>15240</xdr:rowOff>
                  </from>
                  <to>
                    <xdr:col>7</xdr:col>
                    <xdr:colOff>1805940</xdr:colOff>
                    <xdr:row>1046</xdr:row>
                    <xdr:rowOff>320040</xdr:rowOff>
                  </to>
                </anchor>
              </controlPr>
            </control>
          </mc:Choice>
        </mc:AlternateContent>
        <mc:AlternateContent xmlns:mc="http://schemas.openxmlformats.org/markup-compatibility/2006">
          <mc:Choice Requires="x14">
            <control shapeId="3768" r:id="rId377" name="Drop Down 2744">
              <controlPr defaultSize="0" autoLine="0" autoPict="0">
                <anchor moveWithCells="1">
                  <from>
                    <xdr:col>7</xdr:col>
                    <xdr:colOff>0</xdr:colOff>
                    <xdr:row>1047</xdr:row>
                    <xdr:rowOff>0</xdr:rowOff>
                  </from>
                  <to>
                    <xdr:col>7</xdr:col>
                    <xdr:colOff>624840</xdr:colOff>
                    <xdr:row>1048</xdr:row>
                    <xdr:rowOff>0</xdr:rowOff>
                  </to>
                </anchor>
              </controlPr>
            </control>
          </mc:Choice>
        </mc:AlternateContent>
        <mc:AlternateContent xmlns:mc="http://schemas.openxmlformats.org/markup-compatibility/2006">
          <mc:Choice Requires="x14">
            <control shapeId="3769" r:id="rId378" name="Drop Down 2745">
              <controlPr defaultSize="0" autoLine="0" autoPict="0">
                <anchor moveWithCells="1">
                  <from>
                    <xdr:col>7</xdr:col>
                    <xdr:colOff>601980</xdr:colOff>
                    <xdr:row>1047</xdr:row>
                    <xdr:rowOff>15240</xdr:rowOff>
                  </from>
                  <to>
                    <xdr:col>7</xdr:col>
                    <xdr:colOff>1272540</xdr:colOff>
                    <xdr:row>1048</xdr:row>
                    <xdr:rowOff>0</xdr:rowOff>
                  </to>
                </anchor>
              </controlPr>
            </control>
          </mc:Choice>
        </mc:AlternateContent>
        <mc:AlternateContent xmlns:mc="http://schemas.openxmlformats.org/markup-compatibility/2006">
          <mc:Choice Requires="x14">
            <control shapeId="3770" r:id="rId379" name="Drop Down 2746">
              <controlPr defaultSize="0" autoLine="0" autoPict="0">
                <anchor moveWithCells="1">
                  <from>
                    <xdr:col>7</xdr:col>
                    <xdr:colOff>1272540</xdr:colOff>
                    <xdr:row>1047</xdr:row>
                    <xdr:rowOff>15240</xdr:rowOff>
                  </from>
                  <to>
                    <xdr:col>7</xdr:col>
                    <xdr:colOff>1805940</xdr:colOff>
                    <xdr:row>1047</xdr:row>
                    <xdr:rowOff>320040</xdr:rowOff>
                  </to>
                </anchor>
              </controlPr>
            </control>
          </mc:Choice>
        </mc:AlternateContent>
        <mc:AlternateContent xmlns:mc="http://schemas.openxmlformats.org/markup-compatibility/2006">
          <mc:Choice Requires="x14">
            <control shapeId="3771" r:id="rId380" name="Drop Down 2747">
              <controlPr defaultSize="0" autoLine="0" autoPict="0">
                <anchor moveWithCells="1">
                  <from>
                    <xdr:col>7</xdr:col>
                    <xdr:colOff>0</xdr:colOff>
                    <xdr:row>1048</xdr:row>
                    <xdr:rowOff>0</xdr:rowOff>
                  </from>
                  <to>
                    <xdr:col>7</xdr:col>
                    <xdr:colOff>624840</xdr:colOff>
                    <xdr:row>1049</xdr:row>
                    <xdr:rowOff>0</xdr:rowOff>
                  </to>
                </anchor>
              </controlPr>
            </control>
          </mc:Choice>
        </mc:AlternateContent>
        <mc:AlternateContent xmlns:mc="http://schemas.openxmlformats.org/markup-compatibility/2006">
          <mc:Choice Requires="x14">
            <control shapeId="3772" r:id="rId381" name="Drop Down 2748">
              <controlPr defaultSize="0" autoLine="0" autoPict="0">
                <anchor moveWithCells="1">
                  <from>
                    <xdr:col>7</xdr:col>
                    <xdr:colOff>601980</xdr:colOff>
                    <xdr:row>1048</xdr:row>
                    <xdr:rowOff>15240</xdr:rowOff>
                  </from>
                  <to>
                    <xdr:col>7</xdr:col>
                    <xdr:colOff>1272540</xdr:colOff>
                    <xdr:row>1049</xdr:row>
                    <xdr:rowOff>0</xdr:rowOff>
                  </to>
                </anchor>
              </controlPr>
            </control>
          </mc:Choice>
        </mc:AlternateContent>
        <mc:AlternateContent xmlns:mc="http://schemas.openxmlformats.org/markup-compatibility/2006">
          <mc:Choice Requires="x14">
            <control shapeId="3773" r:id="rId382" name="Drop Down 2749">
              <controlPr defaultSize="0" autoLine="0" autoPict="0">
                <anchor moveWithCells="1">
                  <from>
                    <xdr:col>7</xdr:col>
                    <xdr:colOff>1272540</xdr:colOff>
                    <xdr:row>1048</xdr:row>
                    <xdr:rowOff>15240</xdr:rowOff>
                  </from>
                  <to>
                    <xdr:col>7</xdr:col>
                    <xdr:colOff>1805940</xdr:colOff>
                    <xdr:row>1048</xdr:row>
                    <xdr:rowOff>320040</xdr:rowOff>
                  </to>
                </anchor>
              </controlPr>
            </control>
          </mc:Choice>
        </mc:AlternateContent>
        <mc:AlternateContent xmlns:mc="http://schemas.openxmlformats.org/markup-compatibility/2006">
          <mc:Choice Requires="x14">
            <control shapeId="3780" r:id="rId383" name="Drop Down 2756">
              <controlPr defaultSize="0" autoLine="0" autoPict="0">
                <anchor moveWithCells="1">
                  <from>
                    <xdr:col>3</xdr:col>
                    <xdr:colOff>0</xdr:colOff>
                    <xdr:row>1077</xdr:row>
                    <xdr:rowOff>15240</xdr:rowOff>
                  </from>
                  <to>
                    <xdr:col>4</xdr:col>
                    <xdr:colOff>205740</xdr:colOff>
                    <xdr:row>1077</xdr:row>
                    <xdr:rowOff>220980</xdr:rowOff>
                  </to>
                </anchor>
              </controlPr>
            </control>
          </mc:Choice>
        </mc:AlternateContent>
        <mc:AlternateContent xmlns:mc="http://schemas.openxmlformats.org/markup-compatibility/2006">
          <mc:Choice Requires="x14">
            <control shapeId="3781" r:id="rId384" name="Drop Down 2757">
              <controlPr defaultSize="0" autoLine="0" autoPict="0">
                <anchor moveWithCells="1">
                  <from>
                    <xdr:col>4</xdr:col>
                    <xdr:colOff>220980</xdr:colOff>
                    <xdr:row>1077</xdr:row>
                    <xdr:rowOff>15240</xdr:rowOff>
                  </from>
                  <to>
                    <xdr:col>4</xdr:col>
                    <xdr:colOff>1021080</xdr:colOff>
                    <xdr:row>1077</xdr:row>
                    <xdr:rowOff>220980</xdr:rowOff>
                  </to>
                </anchor>
              </controlPr>
            </control>
          </mc:Choice>
        </mc:AlternateContent>
        <mc:AlternateContent xmlns:mc="http://schemas.openxmlformats.org/markup-compatibility/2006">
          <mc:Choice Requires="x14">
            <control shapeId="3782" r:id="rId385" name="Drop Down 2758">
              <controlPr defaultSize="0" autoLine="0" autoPict="0">
                <anchor moveWithCells="1">
                  <from>
                    <xdr:col>4</xdr:col>
                    <xdr:colOff>1021080</xdr:colOff>
                    <xdr:row>1077</xdr:row>
                    <xdr:rowOff>0</xdr:rowOff>
                  </from>
                  <to>
                    <xdr:col>4</xdr:col>
                    <xdr:colOff>1706880</xdr:colOff>
                    <xdr:row>1077</xdr:row>
                    <xdr:rowOff>220980</xdr:rowOff>
                  </to>
                </anchor>
              </controlPr>
            </control>
          </mc:Choice>
        </mc:AlternateContent>
        <mc:AlternateContent xmlns:mc="http://schemas.openxmlformats.org/markup-compatibility/2006">
          <mc:Choice Requires="x14">
            <control shapeId="3783" r:id="rId386" name="Drop Down 2759">
              <controlPr defaultSize="0" autoLine="0" autoPict="0">
                <anchor moveWithCells="1">
                  <from>
                    <xdr:col>5</xdr:col>
                    <xdr:colOff>0</xdr:colOff>
                    <xdr:row>1077</xdr:row>
                    <xdr:rowOff>15240</xdr:rowOff>
                  </from>
                  <to>
                    <xdr:col>6</xdr:col>
                    <xdr:colOff>259080</xdr:colOff>
                    <xdr:row>1077</xdr:row>
                    <xdr:rowOff>220980</xdr:rowOff>
                  </to>
                </anchor>
              </controlPr>
            </control>
          </mc:Choice>
        </mc:AlternateContent>
        <mc:AlternateContent xmlns:mc="http://schemas.openxmlformats.org/markup-compatibility/2006">
          <mc:Choice Requires="x14">
            <control shapeId="3784" r:id="rId387" name="Drop Down 2760">
              <controlPr defaultSize="0" autoLine="0" autoPict="0">
                <anchor moveWithCells="1">
                  <from>
                    <xdr:col>6</xdr:col>
                    <xdr:colOff>266700</xdr:colOff>
                    <xdr:row>1077</xdr:row>
                    <xdr:rowOff>15240</xdr:rowOff>
                  </from>
                  <to>
                    <xdr:col>6</xdr:col>
                    <xdr:colOff>1120140</xdr:colOff>
                    <xdr:row>1077</xdr:row>
                    <xdr:rowOff>220980</xdr:rowOff>
                  </to>
                </anchor>
              </controlPr>
            </control>
          </mc:Choice>
        </mc:AlternateContent>
        <mc:AlternateContent xmlns:mc="http://schemas.openxmlformats.org/markup-compatibility/2006">
          <mc:Choice Requires="x14">
            <control shapeId="3785" r:id="rId388" name="Drop Down 2761">
              <controlPr defaultSize="0" autoLine="0" autoPict="0">
                <anchor moveWithCells="1">
                  <from>
                    <xdr:col>6</xdr:col>
                    <xdr:colOff>1135380</xdr:colOff>
                    <xdr:row>1077</xdr:row>
                    <xdr:rowOff>0</xdr:rowOff>
                  </from>
                  <to>
                    <xdr:col>6</xdr:col>
                    <xdr:colOff>1805940</xdr:colOff>
                    <xdr:row>1077</xdr:row>
                    <xdr:rowOff>220980</xdr:rowOff>
                  </to>
                </anchor>
              </controlPr>
            </control>
          </mc:Choice>
        </mc:AlternateContent>
        <mc:AlternateContent xmlns:mc="http://schemas.openxmlformats.org/markup-compatibility/2006">
          <mc:Choice Requires="x14">
            <control shapeId="3789" r:id="rId389" name="Drop Down 2765">
              <controlPr defaultSize="0" autoLine="0" autoPict="0">
                <anchor moveWithCells="1">
                  <from>
                    <xdr:col>12</xdr:col>
                    <xdr:colOff>0</xdr:colOff>
                    <xdr:row>1075</xdr:row>
                    <xdr:rowOff>0</xdr:rowOff>
                  </from>
                  <to>
                    <xdr:col>12</xdr:col>
                    <xdr:colOff>716280</xdr:colOff>
                    <xdr:row>1075</xdr:row>
                    <xdr:rowOff>220980</xdr:rowOff>
                  </to>
                </anchor>
              </controlPr>
            </control>
          </mc:Choice>
        </mc:AlternateContent>
        <mc:AlternateContent xmlns:mc="http://schemas.openxmlformats.org/markup-compatibility/2006">
          <mc:Choice Requires="x14">
            <control shapeId="3790" r:id="rId390" name="Drop Down 2766">
              <controlPr defaultSize="0" autoLine="0" autoPict="0">
                <anchor moveWithCells="1">
                  <from>
                    <xdr:col>12</xdr:col>
                    <xdr:colOff>716280</xdr:colOff>
                    <xdr:row>1075</xdr:row>
                    <xdr:rowOff>15240</xdr:rowOff>
                  </from>
                  <to>
                    <xdr:col>12</xdr:col>
                    <xdr:colOff>1325880</xdr:colOff>
                    <xdr:row>1075</xdr:row>
                    <xdr:rowOff>220980</xdr:rowOff>
                  </to>
                </anchor>
              </controlPr>
            </control>
          </mc:Choice>
        </mc:AlternateContent>
        <mc:AlternateContent xmlns:mc="http://schemas.openxmlformats.org/markup-compatibility/2006">
          <mc:Choice Requires="x14">
            <control shapeId="3791" r:id="rId391" name="Drop Down 2767">
              <controlPr defaultSize="0" autoLine="0" autoPict="0">
                <anchor moveWithCells="1">
                  <from>
                    <xdr:col>12</xdr:col>
                    <xdr:colOff>1325880</xdr:colOff>
                    <xdr:row>1075</xdr:row>
                    <xdr:rowOff>0</xdr:rowOff>
                  </from>
                  <to>
                    <xdr:col>13</xdr:col>
                    <xdr:colOff>0</xdr:colOff>
                    <xdr:row>1075</xdr:row>
                    <xdr:rowOff>220980</xdr:rowOff>
                  </to>
                </anchor>
              </controlPr>
            </control>
          </mc:Choice>
        </mc:AlternateContent>
        <mc:AlternateContent xmlns:mc="http://schemas.openxmlformats.org/markup-compatibility/2006">
          <mc:Choice Requires="x14">
            <control shapeId="3792" r:id="rId392" name="Drop Down 2768">
              <controlPr defaultSize="0" autoLine="0" autoPict="0">
                <anchor moveWithCells="1">
                  <from>
                    <xdr:col>12</xdr:col>
                    <xdr:colOff>0</xdr:colOff>
                    <xdr:row>1077</xdr:row>
                    <xdr:rowOff>0</xdr:rowOff>
                  </from>
                  <to>
                    <xdr:col>12</xdr:col>
                    <xdr:colOff>701040</xdr:colOff>
                    <xdr:row>1077</xdr:row>
                    <xdr:rowOff>220980</xdr:rowOff>
                  </to>
                </anchor>
              </controlPr>
            </control>
          </mc:Choice>
        </mc:AlternateContent>
        <mc:AlternateContent xmlns:mc="http://schemas.openxmlformats.org/markup-compatibility/2006">
          <mc:Choice Requires="x14">
            <control shapeId="3793" r:id="rId393" name="Drop Down 2769">
              <controlPr defaultSize="0" autoLine="0" autoPict="0">
                <anchor moveWithCells="1">
                  <from>
                    <xdr:col>12</xdr:col>
                    <xdr:colOff>685800</xdr:colOff>
                    <xdr:row>1077</xdr:row>
                    <xdr:rowOff>15240</xdr:rowOff>
                  </from>
                  <to>
                    <xdr:col>12</xdr:col>
                    <xdr:colOff>1310640</xdr:colOff>
                    <xdr:row>1077</xdr:row>
                    <xdr:rowOff>220980</xdr:rowOff>
                  </to>
                </anchor>
              </controlPr>
            </control>
          </mc:Choice>
        </mc:AlternateContent>
        <mc:AlternateContent xmlns:mc="http://schemas.openxmlformats.org/markup-compatibility/2006">
          <mc:Choice Requires="x14">
            <control shapeId="3794" r:id="rId394" name="Drop Down 2770">
              <controlPr defaultSize="0" autoLine="0" autoPict="0">
                <anchor moveWithCells="1">
                  <from>
                    <xdr:col>12</xdr:col>
                    <xdr:colOff>1325880</xdr:colOff>
                    <xdr:row>1076</xdr:row>
                    <xdr:rowOff>220980</xdr:rowOff>
                  </from>
                  <to>
                    <xdr:col>13</xdr:col>
                    <xdr:colOff>0</xdr:colOff>
                    <xdr:row>1077</xdr:row>
                    <xdr:rowOff>220980</xdr:rowOff>
                  </to>
                </anchor>
              </controlPr>
            </control>
          </mc:Choice>
        </mc:AlternateContent>
        <mc:AlternateContent xmlns:mc="http://schemas.openxmlformats.org/markup-compatibility/2006">
          <mc:Choice Requires="x14">
            <control shapeId="3813" r:id="rId395" name="Drop Down 2789">
              <controlPr defaultSize="0" autoLine="0" autoPict="0">
                <anchor moveWithCells="1">
                  <from>
                    <xdr:col>7</xdr:col>
                    <xdr:colOff>0</xdr:colOff>
                    <xdr:row>1146</xdr:row>
                    <xdr:rowOff>0</xdr:rowOff>
                  </from>
                  <to>
                    <xdr:col>7</xdr:col>
                    <xdr:colOff>624840</xdr:colOff>
                    <xdr:row>1147</xdr:row>
                    <xdr:rowOff>0</xdr:rowOff>
                  </to>
                </anchor>
              </controlPr>
            </control>
          </mc:Choice>
        </mc:AlternateContent>
        <mc:AlternateContent xmlns:mc="http://schemas.openxmlformats.org/markup-compatibility/2006">
          <mc:Choice Requires="x14">
            <control shapeId="3814" r:id="rId396" name="Drop Down 2790">
              <controlPr defaultSize="0" autoLine="0" autoPict="0">
                <anchor moveWithCells="1">
                  <from>
                    <xdr:col>7</xdr:col>
                    <xdr:colOff>601980</xdr:colOff>
                    <xdr:row>1146</xdr:row>
                    <xdr:rowOff>15240</xdr:rowOff>
                  </from>
                  <to>
                    <xdr:col>7</xdr:col>
                    <xdr:colOff>1272540</xdr:colOff>
                    <xdr:row>1147</xdr:row>
                    <xdr:rowOff>0</xdr:rowOff>
                  </to>
                </anchor>
              </controlPr>
            </control>
          </mc:Choice>
        </mc:AlternateContent>
        <mc:AlternateContent xmlns:mc="http://schemas.openxmlformats.org/markup-compatibility/2006">
          <mc:Choice Requires="x14">
            <control shapeId="3815" r:id="rId397" name="Drop Down 2791">
              <controlPr defaultSize="0" autoLine="0" autoPict="0">
                <anchor moveWithCells="1">
                  <from>
                    <xdr:col>7</xdr:col>
                    <xdr:colOff>1272540</xdr:colOff>
                    <xdr:row>1146</xdr:row>
                    <xdr:rowOff>15240</xdr:rowOff>
                  </from>
                  <to>
                    <xdr:col>7</xdr:col>
                    <xdr:colOff>1805940</xdr:colOff>
                    <xdr:row>1146</xdr:row>
                    <xdr:rowOff>320040</xdr:rowOff>
                  </to>
                </anchor>
              </controlPr>
            </control>
          </mc:Choice>
        </mc:AlternateContent>
        <mc:AlternateContent xmlns:mc="http://schemas.openxmlformats.org/markup-compatibility/2006">
          <mc:Choice Requires="x14">
            <control shapeId="3816" r:id="rId398" name="Drop Down 2792">
              <controlPr defaultSize="0" autoLine="0" autoPict="0">
                <anchor moveWithCells="1">
                  <from>
                    <xdr:col>7</xdr:col>
                    <xdr:colOff>0</xdr:colOff>
                    <xdr:row>1147</xdr:row>
                    <xdr:rowOff>0</xdr:rowOff>
                  </from>
                  <to>
                    <xdr:col>7</xdr:col>
                    <xdr:colOff>624840</xdr:colOff>
                    <xdr:row>1148</xdr:row>
                    <xdr:rowOff>0</xdr:rowOff>
                  </to>
                </anchor>
              </controlPr>
            </control>
          </mc:Choice>
        </mc:AlternateContent>
        <mc:AlternateContent xmlns:mc="http://schemas.openxmlformats.org/markup-compatibility/2006">
          <mc:Choice Requires="x14">
            <control shapeId="3817" r:id="rId399" name="Drop Down 2793">
              <controlPr defaultSize="0" autoLine="0" autoPict="0">
                <anchor moveWithCells="1">
                  <from>
                    <xdr:col>7</xdr:col>
                    <xdr:colOff>601980</xdr:colOff>
                    <xdr:row>1147</xdr:row>
                    <xdr:rowOff>15240</xdr:rowOff>
                  </from>
                  <to>
                    <xdr:col>7</xdr:col>
                    <xdr:colOff>1272540</xdr:colOff>
                    <xdr:row>1148</xdr:row>
                    <xdr:rowOff>0</xdr:rowOff>
                  </to>
                </anchor>
              </controlPr>
            </control>
          </mc:Choice>
        </mc:AlternateContent>
        <mc:AlternateContent xmlns:mc="http://schemas.openxmlformats.org/markup-compatibility/2006">
          <mc:Choice Requires="x14">
            <control shapeId="3818" r:id="rId400" name="Drop Down 2794">
              <controlPr defaultSize="0" autoLine="0" autoPict="0">
                <anchor moveWithCells="1">
                  <from>
                    <xdr:col>7</xdr:col>
                    <xdr:colOff>1272540</xdr:colOff>
                    <xdr:row>1147</xdr:row>
                    <xdr:rowOff>15240</xdr:rowOff>
                  </from>
                  <to>
                    <xdr:col>7</xdr:col>
                    <xdr:colOff>1805940</xdr:colOff>
                    <xdr:row>1147</xdr:row>
                    <xdr:rowOff>320040</xdr:rowOff>
                  </to>
                </anchor>
              </controlPr>
            </control>
          </mc:Choice>
        </mc:AlternateContent>
        <mc:AlternateContent xmlns:mc="http://schemas.openxmlformats.org/markup-compatibility/2006">
          <mc:Choice Requires="x14">
            <control shapeId="3819" r:id="rId401" name="Drop Down 2795">
              <controlPr defaultSize="0" autoLine="0" autoPict="0">
                <anchor moveWithCells="1">
                  <from>
                    <xdr:col>7</xdr:col>
                    <xdr:colOff>0</xdr:colOff>
                    <xdr:row>1148</xdr:row>
                    <xdr:rowOff>0</xdr:rowOff>
                  </from>
                  <to>
                    <xdr:col>7</xdr:col>
                    <xdr:colOff>624840</xdr:colOff>
                    <xdr:row>1149</xdr:row>
                    <xdr:rowOff>0</xdr:rowOff>
                  </to>
                </anchor>
              </controlPr>
            </control>
          </mc:Choice>
        </mc:AlternateContent>
        <mc:AlternateContent xmlns:mc="http://schemas.openxmlformats.org/markup-compatibility/2006">
          <mc:Choice Requires="x14">
            <control shapeId="3820" r:id="rId402" name="Drop Down 2796">
              <controlPr defaultSize="0" autoLine="0" autoPict="0">
                <anchor moveWithCells="1">
                  <from>
                    <xdr:col>7</xdr:col>
                    <xdr:colOff>601980</xdr:colOff>
                    <xdr:row>1148</xdr:row>
                    <xdr:rowOff>15240</xdr:rowOff>
                  </from>
                  <to>
                    <xdr:col>7</xdr:col>
                    <xdr:colOff>1272540</xdr:colOff>
                    <xdr:row>1149</xdr:row>
                    <xdr:rowOff>0</xdr:rowOff>
                  </to>
                </anchor>
              </controlPr>
            </control>
          </mc:Choice>
        </mc:AlternateContent>
        <mc:AlternateContent xmlns:mc="http://schemas.openxmlformats.org/markup-compatibility/2006">
          <mc:Choice Requires="x14">
            <control shapeId="3821" r:id="rId403" name="Drop Down 2797">
              <controlPr defaultSize="0" autoLine="0" autoPict="0">
                <anchor moveWithCells="1">
                  <from>
                    <xdr:col>7</xdr:col>
                    <xdr:colOff>1272540</xdr:colOff>
                    <xdr:row>1148</xdr:row>
                    <xdr:rowOff>15240</xdr:rowOff>
                  </from>
                  <to>
                    <xdr:col>7</xdr:col>
                    <xdr:colOff>1805940</xdr:colOff>
                    <xdr:row>1148</xdr:row>
                    <xdr:rowOff>320040</xdr:rowOff>
                  </to>
                </anchor>
              </controlPr>
            </control>
          </mc:Choice>
        </mc:AlternateContent>
        <mc:AlternateContent xmlns:mc="http://schemas.openxmlformats.org/markup-compatibility/2006">
          <mc:Choice Requires="x14">
            <control shapeId="3828" r:id="rId404" name="Drop Down 2804">
              <controlPr defaultSize="0" autoLine="0" autoPict="0">
                <anchor moveWithCells="1">
                  <from>
                    <xdr:col>3</xdr:col>
                    <xdr:colOff>0</xdr:colOff>
                    <xdr:row>1177</xdr:row>
                    <xdr:rowOff>15240</xdr:rowOff>
                  </from>
                  <to>
                    <xdr:col>4</xdr:col>
                    <xdr:colOff>205740</xdr:colOff>
                    <xdr:row>1177</xdr:row>
                    <xdr:rowOff>220980</xdr:rowOff>
                  </to>
                </anchor>
              </controlPr>
            </control>
          </mc:Choice>
        </mc:AlternateContent>
        <mc:AlternateContent xmlns:mc="http://schemas.openxmlformats.org/markup-compatibility/2006">
          <mc:Choice Requires="x14">
            <control shapeId="3829" r:id="rId405" name="Drop Down 2805">
              <controlPr defaultSize="0" autoLine="0" autoPict="0">
                <anchor moveWithCells="1">
                  <from>
                    <xdr:col>4</xdr:col>
                    <xdr:colOff>220980</xdr:colOff>
                    <xdr:row>1177</xdr:row>
                    <xdr:rowOff>15240</xdr:rowOff>
                  </from>
                  <to>
                    <xdr:col>4</xdr:col>
                    <xdr:colOff>1021080</xdr:colOff>
                    <xdr:row>1177</xdr:row>
                    <xdr:rowOff>220980</xdr:rowOff>
                  </to>
                </anchor>
              </controlPr>
            </control>
          </mc:Choice>
        </mc:AlternateContent>
        <mc:AlternateContent xmlns:mc="http://schemas.openxmlformats.org/markup-compatibility/2006">
          <mc:Choice Requires="x14">
            <control shapeId="3830" r:id="rId406" name="Drop Down 2806">
              <controlPr defaultSize="0" autoLine="0" autoPict="0">
                <anchor moveWithCells="1">
                  <from>
                    <xdr:col>4</xdr:col>
                    <xdr:colOff>1021080</xdr:colOff>
                    <xdr:row>1177</xdr:row>
                    <xdr:rowOff>0</xdr:rowOff>
                  </from>
                  <to>
                    <xdr:col>4</xdr:col>
                    <xdr:colOff>1706880</xdr:colOff>
                    <xdr:row>1177</xdr:row>
                    <xdr:rowOff>220980</xdr:rowOff>
                  </to>
                </anchor>
              </controlPr>
            </control>
          </mc:Choice>
        </mc:AlternateContent>
        <mc:AlternateContent xmlns:mc="http://schemas.openxmlformats.org/markup-compatibility/2006">
          <mc:Choice Requires="x14">
            <control shapeId="3831" r:id="rId407" name="Drop Down 2807">
              <controlPr defaultSize="0" autoLine="0" autoPict="0">
                <anchor moveWithCells="1">
                  <from>
                    <xdr:col>5</xdr:col>
                    <xdr:colOff>0</xdr:colOff>
                    <xdr:row>1177</xdr:row>
                    <xdr:rowOff>15240</xdr:rowOff>
                  </from>
                  <to>
                    <xdr:col>6</xdr:col>
                    <xdr:colOff>259080</xdr:colOff>
                    <xdr:row>1177</xdr:row>
                    <xdr:rowOff>220980</xdr:rowOff>
                  </to>
                </anchor>
              </controlPr>
            </control>
          </mc:Choice>
        </mc:AlternateContent>
        <mc:AlternateContent xmlns:mc="http://schemas.openxmlformats.org/markup-compatibility/2006">
          <mc:Choice Requires="x14">
            <control shapeId="3832" r:id="rId408" name="Drop Down 2808">
              <controlPr defaultSize="0" autoLine="0" autoPict="0">
                <anchor moveWithCells="1">
                  <from>
                    <xdr:col>6</xdr:col>
                    <xdr:colOff>266700</xdr:colOff>
                    <xdr:row>1177</xdr:row>
                    <xdr:rowOff>15240</xdr:rowOff>
                  </from>
                  <to>
                    <xdr:col>6</xdr:col>
                    <xdr:colOff>1120140</xdr:colOff>
                    <xdr:row>1177</xdr:row>
                    <xdr:rowOff>220980</xdr:rowOff>
                  </to>
                </anchor>
              </controlPr>
            </control>
          </mc:Choice>
        </mc:AlternateContent>
        <mc:AlternateContent xmlns:mc="http://schemas.openxmlformats.org/markup-compatibility/2006">
          <mc:Choice Requires="x14">
            <control shapeId="3833" r:id="rId409" name="Drop Down 2809">
              <controlPr defaultSize="0" autoLine="0" autoPict="0">
                <anchor moveWithCells="1">
                  <from>
                    <xdr:col>6</xdr:col>
                    <xdr:colOff>1135380</xdr:colOff>
                    <xdr:row>1177</xdr:row>
                    <xdr:rowOff>0</xdr:rowOff>
                  </from>
                  <to>
                    <xdr:col>6</xdr:col>
                    <xdr:colOff>1805940</xdr:colOff>
                    <xdr:row>1177</xdr:row>
                    <xdr:rowOff>220980</xdr:rowOff>
                  </to>
                </anchor>
              </controlPr>
            </control>
          </mc:Choice>
        </mc:AlternateContent>
        <mc:AlternateContent xmlns:mc="http://schemas.openxmlformats.org/markup-compatibility/2006">
          <mc:Choice Requires="x14">
            <control shapeId="3837" r:id="rId410" name="Drop Down 2813">
              <controlPr defaultSize="0" autoLine="0" autoPict="0">
                <anchor moveWithCells="1">
                  <from>
                    <xdr:col>12</xdr:col>
                    <xdr:colOff>0</xdr:colOff>
                    <xdr:row>1175</xdr:row>
                    <xdr:rowOff>0</xdr:rowOff>
                  </from>
                  <to>
                    <xdr:col>12</xdr:col>
                    <xdr:colOff>716280</xdr:colOff>
                    <xdr:row>1175</xdr:row>
                    <xdr:rowOff>220980</xdr:rowOff>
                  </to>
                </anchor>
              </controlPr>
            </control>
          </mc:Choice>
        </mc:AlternateContent>
        <mc:AlternateContent xmlns:mc="http://schemas.openxmlformats.org/markup-compatibility/2006">
          <mc:Choice Requires="x14">
            <control shapeId="3838" r:id="rId411" name="Drop Down 2814">
              <controlPr defaultSize="0" autoLine="0" autoPict="0">
                <anchor moveWithCells="1">
                  <from>
                    <xdr:col>12</xdr:col>
                    <xdr:colOff>716280</xdr:colOff>
                    <xdr:row>1175</xdr:row>
                    <xdr:rowOff>15240</xdr:rowOff>
                  </from>
                  <to>
                    <xdr:col>12</xdr:col>
                    <xdr:colOff>1325880</xdr:colOff>
                    <xdr:row>1175</xdr:row>
                    <xdr:rowOff>220980</xdr:rowOff>
                  </to>
                </anchor>
              </controlPr>
            </control>
          </mc:Choice>
        </mc:AlternateContent>
        <mc:AlternateContent xmlns:mc="http://schemas.openxmlformats.org/markup-compatibility/2006">
          <mc:Choice Requires="x14">
            <control shapeId="3839" r:id="rId412" name="Drop Down 2815">
              <controlPr defaultSize="0" autoLine="0" autoPict="0">
                <anchor moveWithCells="1">
                  <from>
                    <xdr:col>12</xdr:col>
                    <xdr:colOff>1325880</xdr:colOff>
                    <xdr:row>1175</xdr:row>
                    <xdr:rowOff>0</xdr:rowOff>
                  </from>
                  <to>
                    <xdr:col>13</xdr:col>
                    <xdr:colOff>0</xdr:colOff>
                    <xdr:row>1175</xdr:row>
                    <xdr:rowOff>220980</xdr:rowOff>
                  </to>
                </anchor>
              </controlPr>
            </control>
          </mc:Choice>
        </mc:AlternateContent>
        <mc:AlternateContent xmlns:mc="http://schemas.openxmlformats.org/markup-compatibility/2006">
          <mc:Choice Requires="x14">
            <control shapeId="3840" r:id="rId413" name="Drop Down 2816">
              <controlPr defaultSize="0" autoLine="0" autoPict="0">
                <anchor moveWithCells="1">
                  <from>
                    <xdr:col>12</xdr:col>
                    <xdr:colOff>0</xdr:colOff>
                    <xdr:row>1177</xdr:row>
                    <xdr:rowOff>0</xdr:rowOff>
                  </from>
                  <to>
                    <xdr:col>12</xdr:col>
                    <xdr:colOff>701040</xdr:colOff>
                    <xdr:row>1177</xdr:row>
                    <xdr:rowOff>220980</xdr:rowOff>
                  </to>
                </anchor>
              </controlPr>
            </control>
          </mc:Choice>
        </mc:AlternateContent>
        <mc:AlternateContent xmlns:mc="http://schemas.openxmlformats.org/markup-compatibility/2006">
          <mc:Choice Requires="x14">
            <control shapeId="3841" r:id="rId414" name="Drop Down 2817">
              <controlPr defaultSize="0" autoLine="0" autoPict="0">
                <anchor moveWithCells="1">
                  <from>
                    <xdr:col>12</xdr:col>
                    <xdr:colOff>685800</xdr:colOff>
                    <xdr:row>1177</xdr:row>
                    <xdr:rowOff>15240</xdr:rowOff>
                  </from>
                  <to>
                    <xdr:col>12</xdr:col>
                    <xdr:colOff>1310640</xdr:colOff>
                    <xdr:row>1177</xdr:row>
                    <xdr:rowOff>220980</xdr:rowOff>
                  </to>
                </anchor>
              </controlPr>
            </control>
          </mc:Choice>
        </mc:AlternateContent>
        <mc:AlternateContent xmlns:mc="http://schemas.openxmlformats.org/markup-compatibility/2006">
          <mc:Choice Requires="x14">
            <control shapeId="3842" r:id="rId415" name="Drop Down 2818">
              <controlPr defaultSize="0" autoLine="0" autoPict="0">
                <anchor moveWithCells="1">
                  <from>
                    <xdr:col>12</xdr:col>
                    <xdr:colOff>1325880</xdr:colOff>
                    <xdr:row>1176</xdr:row>
                    <xdr:rowOff>220980</xdr:rowOff>
                  </from>
                  <to>
                    <xdr:col>13</xdr:col>
                    <xdr:colOff>0</xdr:colOff>
                    <xdr:row>1177</xdr:row>
                    <xdr:rowOff>220980</xdr:rowOff>
                  </to>
                </anchor>
              </controlPr>
            </control>
          </mc:Choice>
        </mc:AlternateContent>
        <mc:AlternateContent xmlns:mc="http://schemas.openxmlformats.org/markup-compatibility/2006">
          <mc:Choice Requires="x14">
            <control shapeId="3861" r:id="rId416" name="Drop Down 2837">
              <controlPr defaultSize="0" autoLine="0" autoPict="0">
                <anchor moveWithCells="1">
                  <from>
                    <xdr:col>7</xdr:col>
                    <xdr:colOff>0</xdr:colOff>
                    <xdr:row>1246</xdr:row>
                    <xdr:rowOff>0</xdr:rowOff>
                  </from>
                  <to>
                    <xdr:col>7</xdr:col>
                    <xdr:colOff>624840</xdr:colOff>
                    <xdr:row>1247</xdr:row>
                    <xdr:rowOff>0</xdr:rowOff>
                  </to>
                </anchor>
              </controlPr>
            </control>
          </mc:Choice>
        </mc:AlternateContent>
        <mc:AlternateContent xmlns:mc="http://schemas.openxmlformats.org/markup-compatibility/2006">
          <mc:Choice Requires="x14">
            <control shapeId="3862" r:id="rId417" name="Drop Down 2838">
              <controlPr defaultSize="0" autoLine="0" autoPict="0">
                <anchor moveWithCells="1">
                  <from>
                    <xdr:col>7</xdr:col>
                    <xdr:colOff>601980</xdr:colOff>
                    <xdr:row>1246</xdr:row>
                    <xdr:rowOff>15240</xdr:rowOff>
                  </from>
                  <to>
                    <xdr:col>7</xdr:col>
                    <xdr:colOff>1272540</xdr:colOff>
                    <xdr:row>1247</xdr:row>
                    <xdr:rowOff>0</xdr:rowOff>
                  </to>
                </anchor>
              </controlPr>
            </control>
          </mc:Choice>
        </mc:AlternateContent>
        <mc:AlternateContent xmlns:mc="http://schemas.openxmlformats.org/markup-compatibility/2006">
          <mc:Choice Requires="x14">
            <control shapeId="3863" r:id="rId418" name="Drop Down 2839">
              <controlPr defaultSize="0" autoLine="0" autoPict="0">
                <anchor moveWithCells="1">
                  <from>
                    <xdr:col>7</xdr:col>
                    <xdr:colOff>1272540</xdr:colOff>
                    <xdr:row>1246</xdr:row>
                    <xdr:rowOff>15240</xdr:rowOff>
                  </from>
                  <to>
                    <xdr:col>7</xdr:col>
                    <xdr:colOff>1805940</xdr:colOff>
                    <xdr:row>1246</xdr:row>
                    <xdr:rowOff>320040</xdr:rowOff>
                  </to>
                </anchor>
              </controlPr>
            </control>
          </mc:Choice>
        </mc:AlternateContent>
        <mc:AlternateContent xmlns:mc="http://schemas.openxmlformats.org/markup-compatibility/2006">
          <mc:Choice Requires="x14">
            <control shapeId="3864" r:id="rId419" name="Drop Down 2840">
              <controlPr defaultSize="0" autoLine="0" autoPict="0">
                <anchor moveWithCells="1">
                  <from>
                    <xdr:col>7</xdr:col>
                    <xdr:colOff>0</xdr:colOff>
                    <xdr:row>1247</xdr:row>
                    <xdr:rowOff>0</xdr:rowOff>
                  </from>
                  <to>
                    <xdr:col>7</xdr:col>
                    <xdr:colOff>624840</xdr:colOff>
                    <xdr:row>1248</xdr:row>
                    <xdr:rowOff>0</xdr:rowOff>
                  </to>
                </anchor>
              </controlPr>
            </control>
          </mc:Choice>
        </mc:AlternateContent>
        <mc:AlternateContent xmlns:mc="http://schemas.openxmlformats.org/markup-compatibility/2006">
          <mc:Choice Requires="x14">
            <control shapeId="3865" r:id="rId420" name="Drop Down 2841">
              <controlPr defaultSize="0" autoLine="0" autoPict="0">
                <anchor moveWithCells="1">
                  <from>
                    <xdr:col>7</xdr:col>
                    <xdr:colOff>601980</xdr:colOff>
                    <xdr:row>1247</xdr:row>
                    <xdr:rowOff>15240</xdr:rowOff>
                  </from>
                  <to>
                    <xdr:col>7</xdr:col>
                    <xdr:colOff>1272540</xdr:colOff>
                    <xdr:row>1248</xdr:row>
                    <xdr:rowOff>0</xdr:rowOff>
                  </to>
                </anchor>
              </controlPr>
            </control>
          </mc:Choice>
        </mc:AlternateContent>
        <mc:AlternateContent xmlns:mc="http://schemas.openxmlformats.org/markup-compatibility/2006">
          <mc:Choice Requires="x14">
            <control shapeId="3866" r:id="rId421" name="Drop Down 2842">
              <controlPr defaultSize="0" autoLine="0" autoPict="0">
                <anchor moveWithCells="1">
                  <from>
                    <xdr:col>7</xdr:col>
                    <xdr:colOff>1272540</xdr:colOff>
                    <xdr:row>1247</xdr:row>
                    <xdr:rowOff>15240</xdr:rowOff>
                  </from>
                  <to>
                    <xdr:col>7</xdr:col>
                    <xdr:colOff>1805940</xdr:colOff>
                    <xdr:row>1247</xdr:row>
                    <xdr:rowOff>320040</xdr:rowOff>
                  </to>
                </anchor>
              </controlPr>
            </control>
          </mc:Choice>
        </mc:AlternateContent>
        <mc:AlternateContent xmlns:mc="http://schemas.openxmlformats.org/markup-compatibility/2006">
          <mc:Choice Requires="x14">
            <control shapeId="3867" r:id="rId422" name="Drop Down 2843">
              <controlPr defaultSize="0" autoLine="0" autoPict="0">
                <anchor moveWithCells="1">
                  <from>
                    <xdr:col>7</xdr:col>
                    <xdr:colOff>0</xdr:colOff>
                    <xdr:row>1248</xdr:row>
                    <xdr:rowOff>0</xdr:rowOff>
                  </from>
                  <to>
                    <xdr:col>7</xdr:col>
                    <xdr:colOff>624840</xdr:colOff>
                    <xdr:row>1249</xdr:row>
                    <xdr:rowOff>0</xdr:rowOff>
                  </to>
                </anchor>
              </controlPr>
            </control>
          </mc:Choice>
        </mc:AlternateContent>
        <mc:AlternateContent xmlns:mc="http://schemas.openxmlformats.org/markup-compatibility/2006">
          <mc:Choice Requires="x14">
            <control shapeId="3868" r:id="rId423" name="Drop Down 2844">
              <controlPr defaultSize="0" autoLine="0" autoPict="0">
                <anchor moveWithCells="1">
                  <from>
                    <xdr:col>7</xdr:col>
                    <xdr:colOff>601980</xdr:colOff>
                    <xdr:row>1248</xdr:row>
                    <xdr:rowOff>15240</xdr:rowOff>
                  </from>
                  <to>
                    <xdr:col>7</xdr:col>
                    <xdr:colOff>1272540</xdr:colOff>
                    <xdr:row>1249</xdr:row>
                    <xdr:rowOff>0</xdr:rowOff>
                  </to>
                </anchor>
              </controlPr>
            </control>
          </mc:Choice>
        </mc:AlternateContent>
        <mc:AlternateContent xmlns:mc="http://schemas.openxmlformats.org/markup-compatibility/2006">
          <mc:Choice Requires="x14">
            <control shapeId="3869" r:id="rId424" name="Drop Down 2845">
              <controlPr defaultSize="0" autoLine="0" autoPict="0">
                <anchor moveWithCells="1">
                  <from>
                    <xdr:col>7</xdr:col>
                    <xdr:colOff>1272540</xdr:colOff>
                    <xdr:row>1248</xdr:row>
                    <xdr:rowOff>15240</xdr:rowOff>
                  </from>
                  <to>
                    <xdr:col>7</xdr:col>
                    <xdr:colOff>1805940</xdr:colOff>
                    <xdr:row>1248</xdr:row>
                    <xdr:rowOff>320040</xdr:rowOff>
                  </to>
                </anchor>
              </controlPr>
            </control>
          </mc:Choice>
        </mc:AlternateContent>
        <mc:AlternateContent xmlns:mc="http://schemas.openxmlformats.org/markup-compatibility/2006">
          <mc:Choice Requires="x14">
            <control shapeId="3876" r:id="rId425" name="Drop Down 2852">
              <controlPr defaultSize="0" autoLine="0" autoPict="0">
                <anchor moveWithCells="1">
                  <from>
                    <xdr:col>3</xdr:col>
                    <xdr:colOff>0</xdr:colOff>
                    <xdr:row>1277</xdr:row>
                    <xdr:rowOff>15240</xdr:rowOff>
                  </from>
                  <to>
                    <xdr:col>4</xdr:col>
                    <xdr:colOff>205740</xdr:colOff>
                    <xdr:row>1277</xdr:row>
                    <xdr:rowOff>220980</xdr:rowOff>
                  </to>
                </anchor>
              </controlPr>
            </control>
          </mc:Choice>
        </mc:AlternateContent>
        <mc:AlternateContent xmlns:mc="http://schemas.openxmlformats.org/markup-compatibility/2006">
          <mc:Choice Requires="x14">
            <control shapeId="3877" r:id="rId426" name="Drop Down 2853">
              <controlPr defaultSize="0" autoLine="0" autoPict="0">
                <anchor moveWithCells="1">
                  <from>
                    <xdr:col>4</xdr:col>
                    <xdr:colOff>220980</xdr:colOff>
                    <xdr:row>1277</xdr:row>
                    <xdr:rowOff>15240</xdr:rowOff>
                  </from>
                  <to>
                    <xdr:col>4</xdr:col>
                    <xdr:colOff>1021080</xdr:colOff>
                    <xdr:row>1277</xdr:row>
                    <xdr:rowOff>220980</xdr:rowOff>
                  </to>
                </anchor>
              </controlPr>
            </control>
          </mc:Choice>
        </mc:AlternateContent>
        <mc:AlternateContent xmlns:mc="http://schemas.openxmlformats.org/markup-compatibility/2006">
          <mc:Choice Requires="x14">
            <control shapeId="3878" r:id="rId427" name="Drop Down 2854">
              <controlPr defaultSize="0" autoLine="0" autoPict="0">
                <anchor moveWithCells="1">
                  <from>
                    <xdr:col>4</xdr:col>
                    <xdr:colOff>1021080</xdr:colOff>
                    <xdr:row>1277</xdr:row>
                    <xdr:rowOff>0</xdr:rowOff>
                  </from>
                  <to>
                    <xdr:col>4</xdr:col>
                    <xdr:colOff>1706880</xdr:colOff>
                    <xdr:row>1277</xdr:row>
                    <xdr:rowOff>220980</xdr:rowOff>
                  </to>
                </anchor>
              </controlPr>
            </control>
          </mc:Choice>
        </mc:AlternateContent>
        <mc:AlternateContent xmlns:mc="http://schemas.openxmlformats.org/markup-compatibility/2006">
          <mc:Choice Requires="x14">
            <control shapeId="3879" r:id="rId428" name="Drop Down 2855">
              <controlPr defaultSize="0" autoLine="0" autoPict="0">
                <anchor moveWithCells="1">
                  <from>
                    <xdr:col>5</xdr:col>
                    <xdr:colOff>0</xdr:colOff>
                    <xdr:row>1277</xdr:row>
                    <xdr:rowOff>15240</xdr:rowOff>
                  </from>
                  <to>
                    <xdr:col>6</xdr:col>
                    <xdr:colOff>259080</xdr:colOff>
                    <xdr:row>1277</xdr:row>
                    <xdr:rowOff>220980</xdr:rowOff>
                  </to>
                </anchor>
              </controlPr>
            </control>
          </mc:Choice>
        </mc:AlternateContent>
        <mc:AlternateContent xmlns:mc="http://schemas.openxmlformats.org/markup-compatibility/2006">
          <mc:Choice Requires="x14">
            <control shapeId="3880" r:id="rId429" name="Drop Down 2856">
              <controlPr defaultSize="0" autoLine="0" autoPict="0">
                <anchor moveWithCells="1">
                  <from>
                    <xdr:col>6</xdr:col>
                    <xdr:colOff>266700</xdr:colOff>
                    <xdr:row>1277</xdr:row>
                    <xdr:rowOff>15240</xdr:rowOff>
                  </from>
                  <to>
                    <xdr:col>6</xdr:col>
                    <xdr:colOff>1120140</xdr:colOff>
                    <xdr:row>1277</xdr:row>
                    <xdr:rowOff>220980</xdr:rowOff>
                  </to>
                </anchor>
              </controlPr>
            </control>
          </mc:Choice>
        </mc:AlternateContent>
        <mc:AlternateContent xmlns:mc="http://schemas.openxmlformats.org/markup-compatibility/2006">
          <mc:Choice Requires="x14">
            <control shapeId="3881" r:id="rId430" name="Drop Down 2857">
              <controlPr defaultSize="0" autoLine="0" autoPict="0">
                <anchor moveWithCells="1">
                  <from>
                    <xdr:col>6</xdr:col>
                    <xdr:colOff>1135380</xdr:colOff>
                    <xdr:row>1277</xdr:row>
                    <xdr:rowOff>0</xdr:rowOff>
                  </from>
                  <to>
                    <xdr:col>6</xdr:col>
                    <xdr:colOff>1805940</xdr:colOff>
                    <xdr:row>1277</xdr:row>
                    <xdr:rowOff>220980</xdr:rowOff>
                  </to>
                </anchor>
              </controlPr>
            </control>
          </mc:Choice>
        </mc:AlternateContent>
        <mc:AlternateContent xmlns:mc="http://schemas.openxmlformats.org/markup-compatibility/2006">
          <mc:Choice Requires="x14">
            <control shapeId="3885" r:id="rId431" name="Drop Down 2861">
              <controlPr defaultSize="0" autoLine="0" autoPict="0">
                <anchor moveWithCells="1">
                  <from>
                    <xdr:col>12</xdr:col>
                    <xdr:colOff>0</xdr:colOff>
                    <xdr:row>1275</xdr:row>
                    <xdr:rowOff>0</xdr:rowOff>
                  </from>
                  <to>
                    <xdr:col>12</xdr:col>
                    <xdr:colOff>716280</xdr:colOff>
                    <xdr:row>1275</xdr:row>
                    <xdr:rowOff>220980</xdr:rowOff>
                  </to>
                </anchor>
              </controlPr>
            </control>
          </mc:Choice>
        </mc:AlternateContent>
        <mc:AlternateContent xmlns:mc="http://schemas.openxmlformats.org/markup-compatibility/2006">
          <mc:Choice Requires="x14">
            <control shapeId="3886" r:id="rId432" name="Drop Down 2862">
              <controlPr defaultSize="0" autoLine="0" autoPict="0">
                <anchor moveWithCells="1">
                  <from>
                    <xdr:col>12</xdr:col>
                    <xdr:colOff>716280</xdr:colOff>
                    <xdr:row>1275</xdr:row>
                    <xdr:rowOff>15240</xdr:rowOff>
                  </from>
                  <to>
                    <xdr:col>12</xdr:col>
                    <xdr:colOff>1325880</xdr:colOff>
                    <xdr:row>1275</xdr:row>
                    <xdr:rowOff>220980</xdr:rowOff>
                  </to>
                </anchor>
              </controlPr>
            </control>
          </mc:Choice>
        </mc:AlternateContent>
        <mc:AlternateContent xmlns:mc="http://schemas.openxmlformats.org/markup-compatibility/2006">
          <mc:Choice Requires="x14">
            <control shapeId="3887" r:id="rId433" name="Drop Down 2863">
              <controlPr defaultSize="0" autoLine="0" autoPict="0">
                <anchor moveWithCells="1">
                  <from>
                    <xdr:col>12</xdr:col>
                    <xdr:colOff>1325880</xdr:colOff>
                    <xdr:row>1275</xdr:row>
                    <xdr:rowOff>0</xdr:rowOff>
                  </from>
                  <to>
                    <xdr:col>13</xdr:col>
                    <xdr:colOff>0</xdr:colOff>
                    <xdr:row>1275</xdr:row>
                    <xdr:rowOff>220980</xdr:rowOff>
                  </to>
                </anchor>
              </controlPr>
            </control>
          </mc:Choice>
        </mc:AlternateContent>
        <mc:AlternateContent xmlns:mc="http://schemas.openxmlformats.org/markup-compatibility/2006">
          <mc:Choice Requires="x14">
            <control shapeId="3888" r:id="rId434" name="Drop Down 2864">
              <controlPr defaultSize="0" autoLine="0" autoPict="0">
                <anchor moveWithCells="1">
                  <from>
                    <xdr:col>12</xdr:col>
                    <xdr:colOff>0</xdr:colOff>
                    <xdr:row>1277</xdr:row>
                    <xdr:rowOff>0</xdr:rowOff>
                  </from>
                  <to>
                    <xdr:col>12</xdr:col>
                    <xdr:colOff>701040</xdr:colOff>
                    <xdr:row>1277</xdr:row>
                    <xdr:rowOff>220980</xdr:rowOff>
                  </to>
                </anchor>
              </controlPr>
            </control>
          </mc:Choice>
        </mc:AlternateContent>
        <mc:AlternateContent xmlns:mc="http://schemas.openxmlformats.org/markup-compatibility/2006">
          <mc:Choice Requires="x14">
            <control shapeId="3889" r:id="rId435" name="Drop Down 2865">
              <controlPr defaultSize="0" autoLine="0" autoPict="0">
                <anchor moveWithCells="1">
                  <from>
                    <xdr:col>12</xdr:col>
                    <xdr:colOff>685800</xdr:colOff>
                    <xdr:row>1277</xdr:row>
                    <xdr:rowOff>15240</xdr:rowOff>
                  </from>
                  <to>
                    <xdr:col>12</xdr:col>
                    <xdr:colOff>1310640</xdr:colOff>
                    <xdr:row>1277</xdr:row>
                    <xdr:rowOff>220980</xdr:rowOff>
                  </to>
                </anchor>
              </controlPr>
            </control>
          </mc:Choice>
        </mc:AlternateContent>
        <mc:AlternateContent xmlns:mc="http://schemas.openxmlformats.org/markup-compatibility/2006">
          <mc:Choice Requires="x14">
            <control shapeId="3890" r:id="rId436" name="Drop Down 2866">
              <controlPr defaultSize="0" autoLine="0" autoPict="0">
                <anchor moveWithCells="1">
                  <from>
                    <xdr:col>12</xdr:col>
                    <xdr:colOff>1325880</xdr:colOff>
                    <xdr:row>1276</xdr:row>
                    <xdr:rowOff>220980</xdr:rowOff>
                  </from>
                  <to>
                    <xdr:col>13</xdr:col>
                    <xdr:colOff>0</xdr:colOff>
                    <xdr:row>1277</xdr:row>
                    <xdr:rowOff>220980</xdr:rowOff>
                  </to>
                </anchor>
              </controlPr>
            </control>
          </mc:Choice>
        </mc:AlternateContent>
        <mc:AlternateContent xmlns:mc="http://schemas.openxmlformats.org/markup-compatibility/2006">
          <mc:Choice Requires="x14">
            <control shapeId="3909" r:id="rId437" name="Drop Down 2885">
              <controlPr defaultSize="0" autoLine="0" autoPict="0">
                <anchor moveWithCells="1">
                  <from>
                    <xdr:col>7</xdr:col>
                    <xdr:colOff>0</xdr:colOff>
                    <xdr:row>1346</xdr:row>
                    <xdr:rowOff>0</xdr:rowOff>
                  </from>
                  <to>
                    <xdr:col>7</xdr:col>
                    <xdr:colOff>624840</xdr:colOff>
                    <xdr:row>1347</xdr:row>
                    <xdr:rowOff>0</xdr:rowOff>
                  </to>
                </anchor>
              </controlPr>
            </control>
          </mc:Choice>
        </mc:AlternateContent>
        <mc:AlternateContent xmlns:mc="http://schemas.openxmlformats.org/markup-compatibility/2006">
          <mc:Choice Requires="x14">
            <control shapeId="3910" r:id="rId438" name="Drop Down 2886">
              <controlPr defaultSize="0" autoLine="0" autoPict="0">
                <anchor moveWithCells="1">
                  <from>
                    <xdr:col>7</xdr:col>
                    <xdr:colOff>601980</xdr:colOff>
                    <xdr:row>1346</xdr:row>
                    <xdr:rowOff>15240</xdr:rowOff>
                  </from>
                  <to>
                    <xdr:col>7</xdr:col>
                    <xdr:colOff>1272540</xdr:colOff>
                    <xdr:row>1347</xdr:row>
                    <xdr:rowOff>0</xdr:rowOff>
                  </to>
                </anchor>
              </controlPr>
            </control>
          </mc:Choice>
        </mc:AlternateContent>
        <mc:AlternateContent xmlns:mc="http://schemas.openxmlformats.org/markup-compatibility/2006">
          <mc:Choice Requires="x14">
            <control shapeId="3911" r:id="rId439" name="Drop Down 2887">
              <controlPr defaultSize="0" autoLine="0" autoPict="0">
                <anchor moveWithCells="1">
                  <from>
                    <xdr:col>7</xdr:col>
                    <xdr:colOff>1272540</xdr:colOff>
                    <xdr:row>1346</xdr:row>
                    <xdr:rowOff>15240</xdr:rowOff>
                  </from>
                  <to>
                    <xdr:col>7</xdr:col>
                    <xdr:colOff>1805940</xdr:colOff>
                    <xdr:row>1346</xdr:row>
                    <xdr:rowOff>320040</xdr:rowOff>
                  </to>
                </anchor>
              </controlPr>
            </control>
          </mc:Choice>
        </mc:AlternateContent>
        <mc:AlternateContent xmlns:mc="http://schemas.openxmlformats.org/markup-compatibility/2006">
          <mc:Choice Requires="x14">
            <control shapeId="3912" r:id="rId440" name="Drop Down 2888">
              <controlPr defaultSize="0" autoLine="0" autoPict="0">
                <anchor moveWithCells="1">
                  <from>
                    <xdr:col>7</xdr:col>
                    <xdr:colOff>0</xdr:colOff>
                    <xdr:row>1347</xdr:row>
                    <xdr:rowOff>0</xdr:rowOff>
                  </from>
                  <to>
                    <xdr:col>7</xdr:col>
                    <xdr:colOff>624840</xdr:colOff>
                    <xdr:row>1348</xdr:row>
                    <xdr:rowOff>0</xdr:rowOff>
                  </to>
                </anchor>
              </controlPr>
            </control>
          </mc:Choice>
        </mc:AlternateContent>
        <mc:AlternateContent xmlns:mc="http://schemas.openxmlformats.org/markup-compatibility/2006">
          <mc:Choice Requires="x14">
            <control shapeId="3913" r:id="rId441" name="Drop Down 2889">
              <controlPr defaultSize="0" autoLine="0" autoPict="0">
                <anchor moveWithCells="1">
                  <from>
                    <xdr:col>7</xdr:col>
                    <xdr:colOff>601980</xdr:colOff>
                    <xdr:row>1347</xdr:row>
                    <xdr:rowOff>15240</xdr:rowOff>
                  </from>
                  <to>
                    <xdr:col>7</xdr:col>
                    <xdr:colOff>1272540</xdr:colOff>
                    <xdr:row>1348</xdr:row>
                    <xdr:rowOff>0</xdr:rowOff>
                  </to>
                </anchor>
              </controlPr>
            </control>
          </mc:Choice>
        </mc:AlternateContent>
        <mc:AlternateContent xmlns:mc="http://schemas.openxmlformats.org/markup-compatibility/2006">
          <mc:Choice Requires="x14">
            <control shapeId="3914" r:id="rId442" name="Drop Down 2890">
              <controlPr defaultSize="0" autoLine="0" autoPict="0">
                <anchor moveWithCells="1">
                  <from>
                    <xdr:col>7</xdr:col>
                    <xdr:colOff>1272540</xdr:colOff>
                    <xdr:row>1347</xdr:row>
                    <xdr:rowOff>15240</xdr:rowOff>
                  </from>
                  <to>
                    <xdr:col>7</xdr:col>
                    <xdr:colOff>1805940</xdr:colOff>
                    <xdr:row>1347</xdr:row>
                    <xdr:rowOff>320040</xdr:rowOff>
                  </to>
                </anchor>
              </controlPr>
            </control>
          </mc:Choice>
        </mc:AlternateContent>
        <mc:AlternateContent xmlns:mc="http://schemas.openxmlformats.org/markup-compatibility/2006">
          <mc:Choice Requires="x14">
            <control shapeId="3915" r:id="rId443" name="Drop Down 2891">
              <controlPr defaultSize="0" autoLine="0" autoPict="0">
                <anchor moveWithCells="1">
                  <from>
                    <xdr:col>7</xdr:col>
                    <xdr:colOff>0</xdr:colOff>
                    <xdr:row>1348</xdr:row>
                    <xdr:rowOff>0</xdr:rowOff>
                  </from>
                  <to>
                    <xdr:col>7</xdr:col>
                    <xdr:colOff>624840</xdr:colOff>
                    <xdr:row>1349</xdr:row>
                    <xdr:rowOff>0</xdr:rowOff>
                  </to>
                </anchor>
              </controlPr>
            </control>
          </mc:Choice>
        </mc:AlternateContent>
        <mc:AlternateContent xmlns:mc="http://schemas.openxmlformats.org/markup-compatibility/2006">
          <mc:Choice Requires="x14">
            <control shapeId="3916" r:id="rId444" name="Drop Down 2892">
              <controlPr defaultSize="0" autoLine="0" autoPict="0">
                <anchor moveWithCells="1">
                  <from>
                    <xdr:col>7</xdr:col>
                    <xdr:colOff>601980</xdr:colOff>
                    <xdr:row>1348</xdr:row>
                    <xdr:rowOff>15240</xdr:rowOff>
                  </from>
                  <to>
                    <xdr:col>7</xdr:col>
                    <xdr:colOff>1272540</xdr:colOff>
                    <xdr:row>1349</xdr:row>
                    <xdr:rowOff>0</xdr:rowOff>
                  </to>
                </anchor>
              </controlPr>
            </control>
          </mc:Choice>
        </mc:AlternateContent>
        <mc:AlternateContent xmlns:mc="http://schemas.openxmlformats.org/markup-compatibility/2006">
          <mc:Choice Requires="x14">
            <control shapeId="3917" r:id="rId445" name="Drop Down 2893">
              <controlPr defaultSize="0" autoLine="0" autoPict="0">
                <anchor moveWithCells="1">
                  <from>
                    <xdr:col>7</xdr:col>
                    <xdr:colOff>1272540</xdr:colOff>
                    <xdr:row>1348</xdr:row>
                    <xdr:rowOff>15240</xdr:rowOff>
                  </from>
                  <to>
                    <xdr:col>7</xdr:col>
                    <xdr:colOff>1805940</xdr:colOff>
                    <xdr:row>1348</xdr:row>
                    <xdr:rowOff>320040</xdr:rowOff>
                  </to>
                </anchor>
              </controlPr>
            </control>
          </mc:Choice>
        </mc:AlternateContent>
        <mc:AlternateContent xmlns:mc="http://schemas.openxmlformats.org/markup-compatibility/2006">
          <mc:Choice Requires="x14">
            <control shapeId="3924" r:id="rId446" name="Drop Down 2900">
              <controlPr defaultSize="0" autoLine="0" autoPict="0">
                <anchor moveWithCells="1">
                  <from>
                    <xdr:col>3</xdr:col>
                    <xdr:colOff>0</xdr:colOff>
                    <xdr:row>1377</xdr:row>
                    <xdr:rowOff>15240</xdr:rowOff>
                  </from>
                  <to>
                    <xdr:col>4</xdr:col>
                    <xdr:colOff>205740</xdr:colOff>
                    <xdr:row>1377</xdr:row>
                    <xdr:rowOff>220980</xdr:rowOff>
                  </to>
                </anchor>
              </controlPr>
            </control>
          </mc:Choice>
        </mc:AlternateContent>
        <mc:AlternateContent xmlns:mc="http://schemas.openxmlformats.org/markup-compatibility/2006">
          <mc:Choice Requires="x14">
            <control shapeId="3925" r:id="rId447" name="Drop Down 2901">
              <controlPr defaultSize="0" autoLine="0" autoPict="0">
                <anchor moveWithCells="1">
                  <from>
                    <xdr:col>4</xdr:col>
                    <xdr:colOff>220980</xdr:colOff>
                    <xdr:row>1377</xdr:row>
                    <xdr:rowOff>15240</xdr:rowOff>
                  </from>
                  <to>
                    <xdr:col>4</xdr:col>
                    <xdr:colOff>1021080</xdr:colOff>
                    <xdr:row>1377</xdr:row>
                    <xdr:rowOff>220980</xdr:rowOff>
                  </to>
                </anchor>
              </controlPr>
            </control>
          </mc:Choice>
        </mc:AlternateContent>
        <mc:AlternateContent xmlns:mc="http://schemas.openxmlformats.org/markup-compatibility/2006">
          <mc:Choice Requires="x14">
            <control shapeId="3926" r:id="rId448" name="Drop Down 2902">
              <controlPr defaultSize="0" autoLine="0" autoPict="0">
                <anchor moveWithCells="1">
                  <from>
                    <xdr:col>4</xdr:col>
                    <xdr:colOff>1021080</xdr:colOff>
                    <xdr:row>1377</xdr:row>
                    <xdr:rowOff>0</xdr:rowOff>
                  </from>
                  <to>
                    <xdr:col>4</xdr:col>
                    <xdr:colOff>1706880</xdr:colOff>
                    <xdr:row>1377</xdr:row>
                    <xdr:rowOff>220980</xdr:rowOff>
                  </to>
                </anchor>
              </controlPr>
            </control>
          </mc:Choice>
        </mc:AlternateContent>
        <mc:AlternateContent xmlns:mc="http://schemas.openxmlformats.org/markup-compatibility/2006">
          <mc:Choice Requires="x14">
            <control shapeId="3927" r:id="rId449" name="Drop Down 2903">
              <controlPr defaultSize="0" autoLine="0" autoPict="0">
                <anchor moveWithCells="1">
                  <from>
                    <xdr:col>5</xdr:col>
                    <xdr:colOff>0</xdr:colOff>
                    <xdr:row>1377</xdr:row>
                    <xdr:rowOff>15240</xdr:rowOff>
                  </from>
                  <to>
                    <xdr:col>6</xdr:col>
                    <xdr:colOff>259080</xdr:colOff>
                    <xdr:row>1377</xdr:row>
                    <xdr:rowOff>220980</xdr:rowOff>
                  </to>
                </anchor>
              </controlPr>
            </control>
          </mc:Choice>
        </mc:AlternateContent>
        <mc:AlternateContent xmlns:mc="http://schemas.openxmlformats.org/markup-compatibility/2006">
          <mc:Choice Requires="x14">
            <control shapeId="3928" r:id="rId450" name="Drop Down 2904">
              <controlPr defaultSize="0" autoLine="0" autoPict="0">
                <anchor moveWithCells="1">
                  <from>
                    <xdr:col>6</xdr:col>
                    <xdr:colOff>266700</xdr:colOff>
                    <xdr:row>1377</xdr:row>
                    <xdr:rowOff>15240</xdr:rowOff>
                  </from>
                  <to>
                    <xdr:col>6</xdr:col>
                    <xdr:colOff>1120140</xdr:colOff>
                    <xdr:row>1377</xdr:row>
                    <xdr:rowOff>220980</xdr:rowOff>
                  </to>
                </anchor>
              </controlPr>
            </control>
          </mc:Choice>
        </mc:AlternateContent>
        <mc:AlternateContent xmlns:mc="http://schemas.openxmlformats.org/markup-compatibility/2006">
          <mc:Choice Requires="x14">
            <control shapeId="3929" r:id="rId451" name="Drop Down 2905">
              <controlPr defaultSize="0" autoLine="0" autoPict="0">
                <anchor moveWithCells="1">
                  <from>
                    <xdr:col>6</xdr:col>
                    <xdr:colOff>1135380</xdr:colOff>
                    <xdr:row>1377</xdr:row>
                    <xdr:rowOff>0</xdr:rowOff>
                  </from>
                  <to>
                    <xdr:col>6</xdr:col>
                    <xdr:colOff>1805940</xdr:colOff>
                    <xdr:row>1377</xdr:row>
                    <xdr:rowOff>220980</xdr:rowOff>
                  </to>
                </anchor>
              </controlPr>
            </control>
          </mc:Choice>
        </mc:AlternateContent>
        <mc:AlternateContent xmlns:mc="http://schemas.openxmlformats.org/markup-compatibility/2006">
          <mc:Choice Requires="x14">
            <control shapeId="3933" r:id="rId452" name="Drop Down 2909">
              <controlPr defaultSize="0" autoLine="0" autoPict="0">
                <anchor moveWithCells="1">
                  <from>
                    <xdr:col>12</xdr:col>
                    <xdr:colOff>0</xdr:colOff>
                    <xdr:row>1375</xdr:row>
                    <xdr:rowOff>0</xdr:rowOff>
                  </from>
                  <to>
                    <xdr:col>12</xdr:col>
                    <xdr:colOff>716280</xdr:colOff>
                    <xdr:row>1375</xdr:row>
                    <xdr:rowOff>220980</xdr:rowOff>
                  </to>
                </anchor>
              </controlPr>
            </control>
          </mc:Choice>
        </mc:AlternateContent>
        <mc:AlternateContent xmlns:mc="http://schemas.openxmlformats.org/markup-compatibility/2006">
          <mc:Choice Requires="x14">
            <control shapeId="3934" r:id="rId453" name="Drop Down 2910">
              <controlPr defaultSize="0" autoLine="0" autoPict="0">
                <anchor moveWithCells="1">
                  <from>
                    <xdr:col>12</xdr:col>
                    <xdr:colOff>716280</xdr:colOff>
                    <xdr:row>1375</xdr:row>
                    <xdr:rowOff>15240</xdr:rowOff>
                  </from>
                  <to>
                    <xdr:col>12</xdr:col>
                    <xdr:colOff>1325880</xdr:colOff>
                    <xdr:row>1375</xdr:row>
                    <xdr:rowOff>220980</xdr:rowOff>
                  </to>
                </anchor>
              </controlPr>
            </control>
          </mc:Choice>
        </mc:AlternateContent>
        <mc:AlternateContent xmlns:mc="http://schemas.openxmlformats.org/markup-compatibility/2006">
          <mc:Choice Requires="x14">
            <control shapeId="3935" r:id="rId454" name="Drop Down 2911">
              <controlPr defaultSize="0" autoLine="0" autoPict="0">
                <anchor moveWithCells="1">
                  <from>
                    <xdr:col>12</xdr:col>
                    <xdr:colOff>1325880</xdr:colOff>
                    <xdr:row>1375</xdr:row>
                    <xdr:rowOff>0</xdr:rowOff>
                  </from>
                  <to>
                    <xdr:col>13</xdr:col>
                    <xdr:colOff>0</xdr:colOff>
                    <xdr:row>1375</xdr:row>
                    <xdr:rowOff>220980</xdr:rowOff>
                  </to>
                </anchor>
              </controlPr>
            </control>
          </mc:Choice>
        </mc:AlternateContent>
        <mc:AlternateContent xmlns:mc="http://schemas.openxmlformats.org/markup-compatibility/2006">
          <mc:Choice Requires="x14">
            <control shapeId="3936" r:id="rId455" name="Drop Down 2912">
              <controlPr defaultSize="0" autoLine="0" autoPict="0">
                <anchor moveWithCells="1">
                  <from>
                    <xdr:col>12</xdr:col>
                    <xdr:colOff>0</xdr:colOff>
                    <xdr:row>1377</xdr:row>
                    <xdr:rowOff>0</xdr:rowOff>
                  </from>
                  <to>
                    <xdr:col>12</xdr:col>
                    <xdr:colOff>701040</xdr:colOff>
                    <xdr:row>1377</xdr:row>
                    <xdr:rowOff>220980</xdr:rowOff>
                  </to>
                </anchor>
              </controlPr>
            </control>
          </mc:Choice>
        </mc:AlternateContent>
        <mc:AlternateContent xmlns:mc="http://schemas.openxmlformats.org/markup-compatibility/2006">
          <mc:Choice Requires="x14">
            <control shapeId="3937" r:id="rId456" name="Drop Down 2913">
              <controlPr defaultSize="0" autoLine="0" autoPict="0">
                <anchor moveWithCells="1">
                  <from>
                    <xdr:col>12</xdr:col>
                    <xdr:colOff>685800</xdr:colOff>
                    <xdr:row>1377</xdr:row>
                    <xdr:rowOff>15240</xdr:rowOff>
                  </from>
                  <to>
                    <xdr:col>12</xdr:col>
                    <xdr:colOff>1310640</xdr:colOff>
                    <xdr:row>1377</xdr:row>
                    <xdr:rowOff>220980</xdr:rowOff>
                  </to>
                </anchor>
              </controlPr>
            </control>
          </mc:Choice>
        </mc:AlternateContent>
        <mc:AlternateContent xmlns:mc="http://schemas.openxmlformats.org/markup-compatibility/2006">
          <mc:Choice Requires="x14">
            <control shapeId="3938" r:id="rId457" name="Drop Down 2914">
              <controlPr defaultSize="0" autoLine="0" autoPict="0">
                <anchor moveWithCells="1">
                  <from>
                    <xdr:col>12</xdr:col>
                    <xdr:colOff>1325880</xdr:colOff>
                    <xdr:row>1376</xdr:row>
                    <xdr:rowOff>220980</xdr:rowOff>
                  </from>
                  <to>
                    <xdr:col>13</xdr:col>
                    <xdr:colOff>0</xdr:colOff>
                    <xdr:row>1377</xdr:row>
                    <xdr:rowOff>220980</xdr:rowOff>
                  </to>
                </anchor>
              </controlPr>
            </control>
          </mc:Choice>
        </mc:AlternateContent>
        <mc:AlternateContent xmlns:mc="http://schemas.openxmlformats.org/markup-compatibility/2006">
          <mc:Choice Requires="x14">
            <control shapeId="3957" r:id="rId458" name="Drop Down 2933">
              <controlPr defaultSize="0" autoLine="0" autoPict="0">
                <anchor moveWithCells="1">
                  <from>
                    <xdr:col>7</xdr:col>
                    <xdr:colOff>0</xdr:colOff>
                    <xdr:row>1446</xdr:row>
                    <xdr:rowOff>0</xdr:rowOff>
                  </from>
                  <to>
                    <xdr:col>7</xdr:col>
                    <xdr:colOff>624840</xdr:colOff>
                    <xdr:row>1447</xdr:row>
                    <xdr:rowOff>0</xdr:rowOff>
                  </to>
                </anchor>
              </controlPr>
            </control>
          </mc:Choice>
        </mc:AlternateContent>
        <mc:AlternateContent xmlns:mc="http://schemas.openxmlformats.org/markup-compatibility/2006">
          <mc:Choice Requires="x14">
            <control shapeId="3958" r:id="rId459" name="Drop Down 2934">
              <controlPr defaultSize="0" autoLine="0" autoPict="0">
                <anchor moveWithCells="1">
                  <from>
                    <xdr:col>7</xdr:col>
                    <xdr:colOff>601980</xdr:colOff>
                    <xdr:row>1446</xdr:row>
                    <xdr:rowOff>15240</xdr:rowOff>
                  </from>
                  <to>
                    <xdr:col>7</xdr:col>
                    <xdr:colOff>1272540</xdr:colOff>
                    <xdr:row>1447</xdr:row>
                    <xdr:rowOff>0</xdr:rowOff>
                  </to>
                </anchor>
              </controlPr>
            </control>
          </mc:Choice>
        </mc:AlternateContent>
        <mc:AlternateContent xmlns:mc="http://schemas.openxmlformats.org/markup-compatibility/2006">
          <mc:Choice Requires="x14">
            <control shapeId="3959" r:id="rId460" name="Drop Down 2935">
              <controlPr defaultSize="0" autoLine="0" autoPict="0">
                <anchor moveWithCells="1">
                  <from>
                    <xdr:col>7</xdr:col>
                    <xdr:colOff>1272540</xdr:colOff>
                    <xdr:row>1446</xdr:row>
                    <xdr:rowOff>15240</xdr:rowOff>
                  </from>
                  <to>
                    <xdr:col>7</xdr:col>
                    <xdr:colOff>1805940</xdr:colOff>
                    <xdr:row>1446</xdr:row>
                    <xdr:rowOff>320040</xdr:rowOff>
                  </to>
                </anchor>
              </controlPr>
            </control>
          </mc:Choice>
        </mc:AlternateContent>
        <mc:AlternateContent xmlns:mc="http://schemas.openxmlformats.org/markup-compatibility/2006">
          <mc:Choice Requires="x14">
            <control shapeId="3960" r:id="rId461" name="Drop Down 2936">
              <controlPr defaultSize="0" autoLine="0" autoPict="0">
                <anchor moveWithCells="1">
                  <from>
                    <xdr:col>7</xdr:col>
                    <xdr:colOff>0</xdr:colOff>
                    <xdr:row>1447</xdr:row>
                    <xdr:rowOff>0</xdr:rowOff>
                  </from>
                  <to>
                    <xdr:col>7</xdr:col>
                    <xdr:colOff>624840</xdr:colOff>
                    <xdr:row>1448</xdr:row>
                    <xdr:rowOff>0</xdr:rowOff>
                  </to>
                </anchor>
              </controlPr>
            </control>
          </mc:Choice>
        </mc:AlternateContent>
        <mc:AlternateContent xmlns:mc="http://schemas.openxmlformats.org/markup-compatibility/2006">
          <mc:Choice Requires="x14">
            <control shapeId="3961" r:id="rId462" name="Drop Down 2937">
              <controlPr defaultSize="0" autoLine="0" autoPict="0">
                <anchor moveWithCells="1">
                  <from>
                    <xdr:col>7</xdr:col>
                    <xdr:colOff>601980</xdr:colOff>
                    <xdr:row>1447</xdr:row>
                    <xdr:rowOff>15240</xdr:rowOff>
                  </from>
                  <to>
                    <xdr:col>7</xdr:col>
                    <xdr:colOff>1272540</xdr:colOff>
                    <xdr:row>1448</xdr:row>
                    <xdr:rowOff>0</xdr:rowOff>
                  </to>
                </anchor>
              </controlPr>
            </control>
          </mc:Choice>
        </mc:AlternateContent>
        <mc:AlternateContent xmlns:mc="http://schemas.openxmlformats.org/markup-compatibility/2006">
          <mc:Choice Requires="x14">
            <control shapeId="3962" r:id="rId463" name="Drop Down 2938">
              <controlPr defaultSize="0" autoLine="0" autoPict="0">
                <anchor moveWithCells="1">
                  <from>
                    <xdr:col>7</xdr:col>
                    <xdr:colOff>1272540</xdr:colOff>
                    <xdr:row>1447</xdr:row>
                    <xdr:rowOff>15240</xdr:rowOff>
                  </from>
                  <to>
                    <xdr:col>7</xdr:col>
                    <xdr:colOff>1805940</xdr:colOff>
                    <xdr:row>1447</xdr:row>
                    <xdr:rowOff>320040</xdr:rowOff>
                  </to>
                </anchor>
              </controlPr>
            </control>
          </mc:Choice>
        </mc:AlternateContent>
        <mc:AlternateContent xmlns:mc="http://schemas.openxmlformats.org/markup-compatibility/2006">
          <mc:Choice Requires="x14">
            <control shapeId="3963" r:id="rId464" name="Drop Down 2939">
              <controlPr defaultSize="0" autoLine="0" autoPict="0">
                <anchor moveWithCells="1">
                  <from>
                    <xdr:col>7</xdr:col>
                    <xdr:colOff>0</xdr:colOff>
                    <xdr:row>1448</xdr:row>
                    <xdr:rowOff>0</xdr:rowOff>
                  </from>
                  <to>
                    <xdr:col>7</xdr:col>
                    <xdr:colOff>624840</xdr:colOff>
                    <xdr:row>1449</xdr:row>
                    <xdr:rowOff>0</xdr:rowOff>
                  </to>
                </anchor>
              </controlPr>
            </control>
          </mc:Choice>
        </mc:AlternateContent>
        <mc:AlternateContent xmlns:mc="http://schemas.openxmlformats.org/markup-compatibility/2006">
          <mc:Choice Requires="x14">
            <control shapeId="3964" r:id="rId465" name="Drop Down 2940">
              <controlPr defaultSize="0" autoLine="0" autoPict="0">
                <anchor moveWithCells="1">
                  <from>
                    <xdr:col>7</xdr:col>
                    <xdr:colOff>601980</xdr:colOff>
                    <xdr:row>1448</xdr:row>
                    <xdr:rowOff>15240</xdr:rowOff>
                  </from>
                  <to>
                    <xdr:col>7</xdr:col>
                    <xdr:colOff>1272540</xdr:colOff>
                    <xdr:row>1449</xdr:row>
                    <xdr:rowOff>0</xdr:rowOff>
                  </to>
                </anchor>
              </controlPr>
            </control>
          </mc:Choice>
        </mc:AlternateContent>
        <mc:AlternateContent xmlns:mc="http://schemas.openxmlformats.org/markup-compatibility/2006">
          <mc:Choice Requires="x14">
            <control shapeId="3965" r:id="rId466" name="Drop Down 2941">
              <controlPr defaultSize="0" autoLine="0" autoPict="0">
                <anchor moveWithCells="1">
                  <from>
                    <xdr:col>7</xdr:col>
                    <xdr:colOff>1272540</xdr:colOff>
                    <xdr:row>1448</xdr:row>
                    <xdr:rowOff>15240</xdr:rowOff>
                  </from>
                  <to>
                    <xdr:col>7</xdr:col>
                    <xdr:colOff>1805940</xdr:colOff>
                    <xdr:row>1448</xdr:row>
                    <xdr:rowOff>320040</xdr:rowOff>
                  </to>
                </anchor>
              </controlPr>
            </control>
          </mc:Choice>
        </mc:AlternateContent>
        <mc:AlternateContent xmlns:mc="http://schemas.openxmlformats.org/markup-compatibility/2006">
          <mc:Choice Requires="x14">
            <control shapeId="3972" r:id="rId467" name="Drop Down 2948">
              <controlPr defaultSize="0" autoLine="0" autoPict="0">
                <anchor moveWithCells="1">
                  <from>
                    <xdr:col>3</xdr:col>
                    <xdr:colOff>0</xdr:colOff>
                    <xdr:row>1477</xdr:row>
                    <xdr:rowOff>15240</xdr:rowOff>
                  </from>
                  <to>
                    <xdr:col>4</xdr:col>
                    <xdr:colOff>205740</xdr:colOff>
                    <xdr:row>1477</xdr:row>
                    <xdr:rowOff>220980</xdr:rowOff>
                  </to>
                </anchor>
              </controlPr>
            </control>
          </mc:Choice>
        </mc:AlternateContent>
        <mc:AlternateContent xmlns:mc="http://schemas.openxmlformats.org/markup-compatibility/2006">
          <mc:Choice Requires="x14">
            <control shapeId="3973" r:id="rId468" name="Drop Down 2949">
              <controlPr defaultSize="0" autoLine="0" autoPict="0">
                <anchor moveWithCells="1">
                  <from>
                    <xdr:col>4</xdr:col>
                    <xdr:colOff>220980</xdr:colOff>
                    <xdr:row>1477</xdr:row>
                    <xdr:rowOff>15240</xdr:rowOff>
                  </from>
                  <to>
                    <xdr:col>4</xdr:col>
                    <xdr:colOff>1021080</xdr:colOff>
                    <xdr:row>1477</xdr:row>
                    <xdr:rowOff>220980</xdr:rowOff>
                  </to>
                </anchor>
              </controlPr>
            </control>
          </mc:Choice>
        </mc:AlternateContent>
        <mc:AlternateContent xmlns:mc="http://schemas.openxmlformats.org/markup-compatibility/2006">
          <mc:Choice Requires="x14">
            <control shapeId="3974" r:id="rId469" name="Drop Down 2950">
              <controlPr defaultSize="0" autoLine="0" autoPict="0">
                <anchor moveWithCells="1">
                  <from>
                    <xdr:col>4</xdr:col>
                    <xdr:colOff>1021080</xdr:colOff>
                    <xdr:row>1477</xdr:row>
                    <xdr:rowOff>0</xdr:rowOff>
                  </from>
                  <to>
                    <xdr:col>4</xdr:col>
                    <xdr:colOff>1706880</xdr:colOff>
                    <xdr:row>1477</xdr:row>
                    <xdr:rowOff>220980</xdr:rowOff>
                  </to>
                </anchor>
              </controlPr>
            </control>
          </mc:Choice>
        </mc:AlternateContent>
        <mc:AlternateContent xmlns:mc="http://schemas.openxmlformats.org/markup-compatibility/2006">
          <mc:Choice Requires="x14">
            <control shapeId="3975" r:id="rId470" name="Drop Down 2951">
              <controlPr defaultSize="0" autoLine="0" autoPict="0">
                <anchor moveWithCells="1">
                  <from>
                    <xdr:col>5</xdr:col>
                    <xdr:colOff>0</xdr:colOff>
                    <xdr:row>1477</xdr:row>
                    <xdr:rowOff>15240</xdr:rowOff>
                  </from>
                  <to>
                    <xdr:col>6</xdr:col>
                    <xdr:colOff>259080</xdr:colOff>
                    <xdr:row>1477</xdr:row>
                    <xdr:rowOff>220980</xdr:rowOff>
                  </to>
                </anchor>
              </controlPr>
            </control>
          </mc:Choice>
        </mc:AlternateContent>
        <mc:AlternateContent xmlns:mc="http://schemas.openxmlformats.org/markup-compatibility/2006">
          <mc:Choice Requires="x14">
            <control shapeId="3976" r:id="rId471" name="Drop Down 2952">
              <controlPr defaultSize="0" autoLine="0" autoPict="0">
                <anchor moveWithCells="1">
                  <from>
                    <xdr:col>6</xdr:col>
                    <xdr:colOff>266700</xdr:colOff>
                    <xdr:row>1477</xdr:row>
                    <xdr:rowOff>15240</xdr:rowOff>
                  </from>
                  <to>
                    <xdr:col>6</xdr:col>
                    <xdr:colOff>1120140</xdr:colOff>
                    <xdr:row>1477</xdr:row>
                    <xdr:rowOff>220980</xdr:rowOff>
                  </to>
                </anchor>
              </controlPr>
            </control>
          </mc:Choice>
        </mc:AlternateContent>
        <mc:AlternateContent xmlns:mc="http://schemas.openxmlformats.org/markup-compatibility/2006">
          <mc:Choice Requires="x14">
            <control shapeId="3977" r:id="rId472" name="Drop Down 2953">
              <controlPr defaultSize="0" autoLine="0" autoPict="0">
                <anchor moveWithCells="1">
                  <from>
                    <xdr:col>6</xdr:col>
                    <xdr:colOff>1135380</xdr:colOff>
                    <xdr:row>1477</xdr:row>
                    <xdr:rowOff>0</xdr:rowOff>
                  </from>
                  <to>
                    <xdr:col>6</xdr:col>
                    <xdr:colOff>1805940</xdr:colOff>
                    <xdr:row>1477</xdr:row>
                    <xdr:rowOff>220980</xdr:rowOff>
                  </to>
                </anchor>
              </controlPr>
            </control>
          </mc:Choice>
        </mc:AlternateContent>
        <mc:AlternateContent xmlns:mc="http://schemas.openxmlformats.org/markup-compatibility/2006">
          <mc:Choice Requires="x14">
            <control shapeId="3981" r:id="rId473" name="Drop Down 2957">
              <controlPr defaultSize="0" autoLine="0" autoPict="0">
                <anchor moveWithCells="1">
                  <from>
                    <xdr:col>12</xdr:col>
                    <xdr:colOff>0</xdr:colOff>
                    <xdr:row>1475</xdr:row>
                    <xdr:rowOff>0</xdr:rowOff>
                  </from>
                  <to>
                    <xdr:col>12</xdr:col>
                    <xdr:colOff>716280</xdr:colOff>
                    <xdr:row>1475</xdr:row>
                    <xdr:rowOff>220980</xdr:rowOff>
                  </to>
                </anchor>
              </controlPr>
            </control>
          </mc:Choice>
        </mc:AlternateContent>
        <mc:AlternateContent xmlns:mc="http://schemas.openxmlformats.org/markup-compatibility/2006">
          <mc:Choice Requires="x14">
            <control shapeId="3982" r:id="rId474" name="Drop Down 2958">
              <controlPr defaultSize="0" autoLine="0" autoPict="0">
                <anchor moveWithCells="1">
                  <from>
                    <xdr:col>12</xdr:col>
                    <xdr:colOff>716280</xdr:colOff>
                    <xdr:row>1475</xdr:row>
                    <xdr:rowOff>15240</xdr:rowOff>
                  </from>
                  <to>
                    <xdr:col>12</xdr:col>
                    <xdr:colOff>1325880</xdr:colOff>
                    <xdr:row>1475</xdr:row>
                    <xdr:rowOff>220980</xdr:rowOff>
                  </to>
                </anchor>
              </controlPr>
            </control>
          </mc:Choice>
        </mc:AlternateContent>
        <mc:AlternateContent xmlns:mc="http://schemas.openxmlformats.org/markup-compatibility/2006">
          <mc:Choice Requires="x14">
            <control shapeId="3983" r:id="rId475" name="Drop Down 2959">
              <controlPr defaultSize="0" autoLine="0" autoPict="0">
                <anchor moveWithCells="1">
                  <from>
                    <xdr:col>12</xdr:col>
                    <xdr:colOff>1325880</xdr:colOff>
                    <xdr:row>1475</xdr:row>
                    <xdr:rowOff>0</xdr:rowOff>
                  </from>
                  <to>
                    <xdr:col>13</xdr:col>
                    <xdr:colOff>0</xdr:colOff>
                    <xdr:row>1475</xdr:row>
                    <xdr:rowOff>220980</xdr:rowOff>
                  </to>
                </anchor>
              </controlPr>
            </control>
          </mc:Choice>
        </mc:AlternateContent>
        <mc:AlternateContent xmlns:mc="http://schemas.openxmlformats.org/markup-compatibility/2006">
          <mc:Choice Requires="x14">
            <control shapeId="3984" r:id="rId476" name="Drop Down 2960">
              <controlPr defaultSize="0" autoLine="0" autoPict="0">
                <anchor moveWithCells="1">
                  <from>
                    <xdr:col>12</xdr:col>
                    <xdr:colOff>0</xdr:colOff>
                    <xdr:row>1477</xdr:row>
                    <xdr:rowOff>0</xdr:rowOff>
                  </from>
                  <to>
                    <xdr:col>12</xdr:col>
                    <xdr:colOff>701040</xdr:colOff>
                    <xdr:row>1477</xdr:row>
                    <xdr:rowOff>220980</xdr:rowOff>
                  </to>
                </anchor>
              </controlPr>
            </control>
          </mc:Choice>
        </mc:AlternateContent>
        <mc:AlternateContent xmlns:mc="http://schemas.openxmlformats.org/markup-compatibility/2006">
          <mc:Choice Requires="x14">
            <control shapeId="3985" r:id="rId477" name="Drop Down 2961">
              <controlPr defaultSize="0" autoLine="0" autoPict="0">
                <anchor moveWithCells="1">
                  <from>
                    <xdr:col>12</xdr:col>
                    <xdr:colOff>685800</xdr:colOff>
                    <xdr:row>1477</xdr:row>
                    <xdr:rowOff>15240</xdr:rowOff>
                  </from>
                  <to>
                    <xdr:col>12</xdr:col>
                    <xdr:colOff>1310640</xdr:colOff>
                    <xdr:row>1477</xdr:row>
                    <xdr:rowOff>220980</xdr:rowOff>
                  </to>
                </anchor>
              </controlPr>
            </control>
          </mc:Choice>
        </mc:AlternateContent>
        <mc:AlternateContent xmlns:mc="http://schemas.openxmlformats.org/markup-compatibility/2006">
          <mc:Choice Requires="x14">
            <control shapeId="3986" r:id="rId478" name="Drop Down 2962">
              <controlPr defaultSize="0" autoLine="0" autoPict="0">
                <anchor moveWithCells="1">
                  <from>
                    <xdr:col>12</xdr:col>
                    <xdr:colOff>1325880</xdr:colOff>
                    <xdr:row>1476</xdr:row>
                    <xdr:rowOff>220980</xdr:rowOff>
                  </from>
                  <to>
                    <xdr:col>13</xdr:col>
                    <xdr:colOff>0</xdr:colOff>
                    <xdr:row>1477</xdr:row>
                    <xdr:rowOff>220980</xdr:rowOff>
                  </to>
                </anchor>
              </controlPr>
            </control>
          </mc:Choice>
        </mc:AlternateContent>
        <mc:AlternateContent xmlns:mc="http://schemas.openxmlformats.org/markup-compatibility/2006">
          <mc:Choice Requires="x14">
            <control shapeId="4005" r:id="rId479" name="Drop Down 2981">
              <controlPr defaultSize="0" autoLine="0" autoPict="0">
                <anchor moveWithCells="1">
                  <from>
                    <xdr:col>7</xdr:col>
                    <xdr:colOff>0</xdr:colOff>
                    <xdr:row>1546</xdr:row>
                    <xdr:rowOff>0</xdr:rowOff>
                  </from>
                  <to>
                    <xdr:col>7</xdr:col>
                    <xdr:colOff>624840</xdr:colOff>
                    <xdr:row>1547</xdr:row>
                    <xdr:rowOff>0</xdr:rowOff>
                  </to>
                </anchor>
              </controlPr>
            </control>
          </mc:Choice>
        </mc:AlternateContent>
        <mc:AlternateContent xmlns:mc="http://schemas.openxmlformats.org/markup-compatibility/2006">
          <mc:Choice Requires="x14">
            <control shapeId="4006" r:id="rId480" name="Drop Down 2982">
              <controlPr defaultSize="0" autoLine="0" autoPict="0">
                <anchor moveWithCells="1">
                  <from>
                    <xdr:col>7</xdr:col>
                    <xdr:colOff>601980</xdr:colOff>
                    <xdr:row>1546</xdr:row>
                    <xdr:rowOff>15240</xdr:rowOff>
                  </from>
                  <to>
                    <xdr:col>7</xdr:col>
                    <xdr:colOff>1272540</xdr:colOff>
                    <xdr:row>1547</xdr:row>
                    <xdr:rowOff>0</xdr:rowOff>
                  </to>
                </anchor>
              </controlPr>
            </control>
          </mc:Choice>
        </mc:AlternateContent>
        <mc:AlternateContent xmlns:mc="http://schemas.openxmlformats.org/markup-compatibility/2006">
          <mc:Choice Requires="x14">
            <control shapeId="4007" r:id="rId481" name="Drop Down 2983">
              <controlPr defaultSize="0" autoLine="0" autoPict="0">
                <anchor moveWithCells="1">
                  <from>
                    <xdr:col>7</xdr:col>
                    <xdr:colOff>1272540</xdr:colOff>
                    <xdr:row>1546</xdr:row>
                    <xdr:rowOff>15240</xdr:rowOff>
                  </from>
                  <to>
                    <xdr:col>7</xdr:col>
                    <xdr:colOff>1805940</xdr:colOff>
                    <xdr:row>1546</xdr:row>
                    <xdr:rowOff>320040</xdr:rowOff>
                  </to>
                </anchor>
              </controlPr>
            </control>
          </mc:Choice>
        </mc:AlternateContent>
        <mc:AlternateContent xmlns:mc="http://schemas.openxmlformats.org/markup-compatibility/2006">
          <mc:Choice Requires="x14">
            <control shapeId="4008" r:id="rId482" name="Drop Down 2984">
              <controlPr defaultSize="0" autoLine="0" autoPict="0">
                <anchor moveWithCells="1">
                  <from>
                    <xdr:col>7</xdr:col>
                    <xdr:colOff>0</xdr:colOff>
                    <xdr:row>1547</xdr:row>
                    <xdr:rowOff>0</xdr:rowOff>
                  </from>
                  <to>
                    <xdr:col>7</xdr:col>
                    <xdr:colOff>624840</xdr:colOff>
                    <xdr:row>1548</xdr:row>
                    <xdr:rowOff>0</xdr:rowOff>
                  </to>
                </anchor>
              </controlPr>
            </control>
          </mc:Choice>
        </mc:AlternateContent>
        <mc:AlternateContent xmlns:mc="http://schemas.openxmlformats.org/markup-compatibility/2006">
          <mc:Choice Requires="x14">
            <control shapeId="4009" r:id="rId483" name="Drop Down 2985">
              <controlPr defaultSize="0" autoLine="0" autoPict="0">
                <anchor moveWithCells="1">
                  <from>
                    <xdr:col>7</xdr:col>
                    <xdr:colOff>601980</xdr:colOff>
                    <xdr:row>1547</xdr:row>
                    <xdr:rowOff>15240</xdr:rowOff>
                  </from>
                  <to>
                    <xdr:col>7</xdr:col>
                    <xdr:colOff>1272540</xdr:colOff>
                    <xdr:row>1548</xdr:row>
                    <xdr:rowOff>0</xdr:rowOff>
                  </to>
                </anchor>
              </controlPr>
            </control>
          </mc:Choice>
        </mc:AlternateContent>
        <mc:AlternateContent xmlns:mc="http://schemas.openxmlformats.org/markup-compatibility/2006">
          <mc:Choice Requires="x14">
            <control shapeId="4010" r:id="rId484" name="Drop Down 2986">
              <controlPr defaultSize="0" autoLine="0" autoPict="0">
                <anchor moveWithCells="1">
                  <from>
                    <xdr:col>7</xdr:col>
                    <xdr:colOff>1272540</xdr:colOff>
                    <xdr:row>1547</xdr:row>
                    <xdr:rowOff>15240</xdr:rowOff>
                  </from>
                  <to>
                    <xdr:col>7</xdr:col>
                    <xdr:colOff>1805940</xdr:colOff>
                    <xdr:row>1547</xdr:row>
                    <xdr:rowOff>320040</xdr:rowOff>
                  </to>
                </anchor>
              </controlPr>
            </control>
          </mc:Choice>
        </mc:AlternateContent>
        <mc:AlternateContent xmlns:mc="http://schemas.openxmlformats.org/markup-compatibility/2006">
          <mc:Choice Requires="x14">
            <control shapeId="4011" r:id="rId485" name="Drop Down 2987">
              <controlPr defaultSize="0" autoLine="0" autoPict="0">
                <anchor moveWithCells="1">
                  <from>
                    <xdr:col>7</xdr:col>
                    <xdr:colOff>0</xdr:colOff>
                    <xdr:row>1548</xdr:row>
                    <xdr:rowOff>0</xdr:rowOff>
                  </from>
                  <to>
                    <xdr:col>7</xdr:col>
                    <xdr:colOff>624840</xdr:colOff>
                    <xdr:row>1549</xdr:row>
                    <xdr:rowOff>0</xdr:rowOff>
                  </to>
                </anchor>
              </controlPr>
            </control>
          </mc:Choice>
        </mc:AlternateContent>
        <mc:AlternateContent xmlns:mc="http://schemas.openxmlformats.org/markup-compatibility/2006">
          <mc:Choice Requires="x14">
            <control shapeId="4012" r:id="rId486" name="Drop Down 2988">
              <controlPr defaultSize="0" autoLine="0" autoPict="0">
                <anchor moveWithCells="1">
                  <from>
                    <xdr:col>7</xdr:col>
                    <xdr:colOff>601980</xdr:colOff>
                    <xdr:row>1548</xdr:row>
                    <xdr:rowOff>15240</xdr:rowOff>
                  </from>
                  <to>
                    <xdr:col>7</xdr:col>
                    <xdr:colOff>1272540</xdr:colOff>
                    <xdr:row>1549</xdr:row>
                    <xdr:rowOff>0</xdr:rowOff>
                  </to>
                </anchor>
              </controlPr>
            </control>
          </mc:Choice>
        </mc:AlternateContent>
        <mc:AlternateContent xmlns:mc="http://schemas.openxmlformats.org/markup-compatibility/2006">
          <mc:Choice Requires="x14">
            <control shapeId="4013" r:id="rId487" name="Drop Down 2989">
              <controlPr defaultSize="0" autoLine="0" autoPict="0">
                <anchor moveWithCells="1">
                  <from>
                    <xdr:col>7</xdr:col>
                    <xdr:colOff>1272540</xdr:colOff>
                    <xdr:row>1548</xdr:row>
                    <xdr:rowOff>15240</xdr:rowOff>
                  </from>
                  <to>
                    <xdr:col>7</xdr:col>
                    <xdr:colOff>1805940</xdr:colOff>
                    <xdr:row>1548</xdr:row>
                    <xdr:rowOff>320040</xdr:rowOff>
                  </to>
                </anchor>
              </controlPr>
            </control>
          </mc:Choice>
        </mc:AlternateContent>
        <mc:AlternateContent xmlns:mc="http://schemas.openxmlformats.org/markup-compatibility/2006">
          <mc:Choice Requires="x14">
            <control shapeId="4020" r:id="rId488" name="Drop Down 2996">
              <controlPr defaultSize="0" autoLine="0" autoPict="0">
                <anchor moveWithCells="1">
                  <from>
                    <xdr:col>3</xdr:col>
                    <xdr:colOff>0</xdr:colOff>
                    <xdr:row>1577</xdr:row>
                    <xdr:rowOff>15240</xdr:rowOff>
                  </from>
                  <to>
                    <xdr:col>4</xdr:col>
                    <xdr:colOff>205740</xdr:colOff>
                    <xdr:row>1577</xdr:row>
                    <xdr:rowOff>220980</xdr:rowOff>
                  </to>
                </anchor>
              </controlPr>
            </control>
          </mc:Choice>
        </mc:AlternateContent>
        <mc:AlternateContent xmlns:mc="http://schemas.openxmlformats.org/markup-compatibility/2006">
          <mc:Choice Requires="x14">
            <control shapeId="4021" r:id="rId489" name="Drop Down 2997">
              <controlPr defaultSize="0" autoLine="0" autoPict="0">
                <anchor moveWithCells="1">
                  <from>
                    <xdr:col>4</xdr:col>
                    <xdr:colOff>220980</xdr:colOff>
                    <xdr:row>1577</xdr:row>
                    <xdr:rowOff>15240</xdr:rowOff>
                  </from>
                  <to>
                    <xdr:col>4</xdr:col>
                    <xdr:colOff>1021080</xdr:colOff>
                    <xdr:row>1577</xdr:row>
                    <xdr:rowOff>220980</xdr:rowOff>
                  </to>
                </anchor>
              </controlPr>
            </control>
          </mc:Choice>
        </mc:AlternateContent>
        <mc:AlternateContent xmlns:mc="http://schemas.openxmlformats.org/markup-compatibility/2006">
          <mc:Choice Requires="x14">
            <control shapeId="4022" r:id="rId490" name="Drop Down 2998">
              <controlPr defaultSize="0" autoLine="0" autoPict="0">
                <anchor moveWithCells="1">
                  <from>
                    <xdr:col>4</xdr:col>
                    <xdr:colOff>1021080</xdr:colOff>
                    <xdr:row>1577</xdr:row>
                    <xdr:rowOff>0</xdr:rowOff>
                  </from>
                  <to>
                    <xdr:col>4</xdr:col>
                    <xdr:colOff>1706880</xdr:colOff>
                    <xdr:row>1577</xdr:row>
                    <xdr:rowOff>220980</xdr:rowOff>
                  </to>
                </anchor>
              </controlPr>
            </control>
          </mc:Choice>
        </mc:AlternateContent>
        <mc:AlternateContent xmlns:mc="http://schemas.openxmlformats.org/markup-compatibility/2006">
          <mc:Choice Requires="x14">
            <control shapeId="4023" r:id="rId491" name="Drop Down 2999">
              <controlPr defaultSize="0" autoLine="0" autoPict="0">
                <anchor moveWithCells="1">
                  <from>
                    <xdr:col>5</xdr:col>
                    <xdr:colOff>0</xdr:colOff>
                    <xdr:row>1577</xdr:row>
                    <xdr:rowOff>15240</xdr:rowOff>
                  </from>
                  <to>
                    <xdr:col>6</xdr:col>
                    <xdr:colOff>259080</xdr:colOff>
                    <xdr:row>1577</xdr:row>
                    <xdr:rowOff>220980</xdr:rowOff>
                  </to>
                </anchor>
              </controlPr>
            </control>
          </mc:Choice>
        </mc:AlternateContent>
        <mc:AlternateContent xmlns:mc="http://schemas.openxmlformats.org/markup-compatibility/2006">
          <mc:Choice Requires="x14">
            <control shapeId="4024" r:id="rId492" name="Drop Down 3000">
              <controlPr defaultSize="0" autoLine="0" autoPict="0">
                <anchor moveWithCells="1">
                  <from>
                    <xdr:col>6</xdr:col>
                    <xdr:colOff>266700</xdr:colOff>
                    <xdr:row>1577</xdr:row>
                    <xdr:rowOff>15240</xdr:rowOff>
                  </from>
                  <to>
                    <xdr:col>6</xdr:col>
                    <xdr:colOff>1120140</xdr:colOff>
                    <xdr:row>1577</xdr:row>
                    <xdr:rowOff>220980</xdr:rowOff>
                  </to>
                </anchor>
              </controlPr>
            </control>
          </mc:Choice>
        </mc:AlternateContent>
        <mc:AlternateContent xmlns:mc="http://schemas.openxmlformats.org/markup-compatibility/2006">
          <mc:Choice Requires="x14">
            <control shapeId="4025" r:id="rId493" name="Drop Down 3001">
              <controlPr defaultSize="0" autoLine="0" autoPict="0">
                <anchor moveWithCells="1">
                  <from>
                    <xdr:col>6</xdr:col>
                    <xdr:colOff>1135380</xdr:colOff>
                    <xdr:row>1577</xdr:row>
                    <xdr:rowOff>0</xdr:rowOff>
                  </from>
                  <to>
                    <xdr:col>6</xdr:col>
                    <xdr:colOff>1805940</xdr:colOff>
                    <xdr:row>1577</xdr:row>
                    <xdr:rowOff>220980</xdr:rowOff>
                  </to>
                </anchor>
              </controlPr>
            </control>
          </mc:Choice>
        </mc:AlternateContent>
        <mc:AlternateContent xmlns:mc="http://schemas.openxmlformats.org/markup-compatibility/2006">
          <mc:Choice Requires="x14">
            <control shapeId="4029" r:id="rId494" name="Drop Down 3005">
              <controlPr defaultSize="0" autoLine="0" autoPict="0">
                <anchor moveWithCells="1">
                  <from>
                    <xdr:col>12</xdr:col>
                    <xdr:colOff>0</xdr:colOff>
                    <xdr:row>1575</xdr:row>
                    <xdr:rowOff>0</xdr:rowOff>
                  </from>
                  <to>
                    <xdr:col>12</xdr:col>
                    <xdr:colOff>716280</xdr:colOff>
                    <xdr:row>1575</xdr:row>
                    <xdr:rowOff>220980</xdr:rowOff>
                  </to>
                </anchor>
              </controlPr>
            </control>
          </mc:Choice>
        </mc:AlternateContent>
        <mc:AlternateContent xmlns:mc="http://schemas.openxmlformats.org/markup-compatibility/2006">
          <mc:Choice Requires="x14">
            <control shapeId="4030" r:id="rId495" name="Drop Down 3006">
              <controlPr defaultSize="0" autoLine="0" autoPict="0">
                <anchor moveWithCells="1">
                  <from>
                    <xdr:col>12</xdr:col>
                    <xdr:colOff>716280</xdr:colOff>
                    <xdr:row>1575</xdr:row>
                    <xdr:rowOff>15240</xdr:rowOff>
                  </from>
                  <to>
                    <xdr:col>12</xdr:col>
                    <xdr:colOff>1325880</xdr:colOff>
                    <xdr:row>1575</xdr:row>
                    <xdr:rowOff>220980</xdr:rowOff>
                  </to>
                </anchor>
              </controlPr>
            </control>
          </mc:Choice>
        </mc:AlternateContent>
        <mc:AlternateContent xmlns:mc="http://schemas.openxmlformats.org/markup-compatibility/2006">
          <mc:Choice Requires="x14">
            <control shapeId="4031" r:id="rId496" name="Drop Down 3007">
              <controlPr defaultSize="0" autoLine="0" autoPict="0">
                <anchor moveWithCells="1">
                  <from>
                    <xdr:col>12</xdr:col>
                    <xdr:colOff>1325880</xdr:colOff>
                    <xdr:row>1575</xdr:row>
                    <xdr:rowOff>0</xdr:rowOff>
                  </from>
                  <to>
                    <xdr:col>13</xdr:col>
                    <xdr:colOff>0</xdr:colOff>
                    <xdr:row>1575</xdr:row>
                    <xdr:rowOff>220980</xdr:rowOff>
                  </to>
                </anchor>
              </controlPr>
            </control>
          </mc:Choice>
        </mc:AlternateContent>
        <mc:AlternateContent xmlns:mc="http://schemas.openxmlformats.org/markup-compatibility/2006">
          <mc:Choice Requires="x14">
            <control shapeId="4032" r:id="rId497" name="Drop Down 3008">
              <controlPr defaultSize="0" autoLine="0" autoPict="0">
                <anchor moveWithCells="1">
                  <from>
                    <xdr:col>12</xdr:col>
                    <xdr:colOff>0</xdr:colOff>
                    <xdr:row>1577</xdr:row>
                    <xdr:rowOff>0</xdr:rowOff>
                  </from>
                  <to>
                    <xdr:col>12</xdr:col>
                    <xdr:colOff>701040</xdr:colOff>
                    <xdr:row>1577</xdr:row>
                    <xdr:rowOff>220980</xdr:rowOff>
                  </to>
                </anchor>
              </controlPr>
            </control>
          </mc:Choice>
        </mc:AlternateContent>
        <mc:AlternateContent xmlns:mc="http://schemas.openxmlformats.org/markup-compatibility/2006">
          <mc:Choice Requires="x14">
            <control shapeId="4033" r:id="rId498" name="Drop Down 3009">
              <controlPr defaultSize="0" autoLine="0" autoPict="0">
                <anchor moveWithCells="1">
                  <from>
                    <xdr:col>12</xdr:col>
                    <xdr:colOff>685800</xdr:colOff>
                    <xdr:row>1577</xdr:row>
                    <xdr:rowOff>15240</xdr:rowOff>
                  </from>
                  <to>
                    <xdr:col>12</xdr:col>
                    <xdr:colOff>1310640</xdr:colOff>
                    <xdr:row>1577</xdr:row>
                    <xdr:rowOff>220980</xdr:rowOff>
                  </to>
                </anchor>
              </controlPr>
            </control>
          </mc:Choice>
        </mc:AlternateContent>
        <mc:AlternateContent xmlns:mc="http://schemas.openxmlformats.org/markup-compatibility/2006">
          <mc:Choice Requires="x14">
            <control shapeId="4034" r:id="rId499" name="Drop Down 3010">
              <controlPr defaultSize="0" autoLine="0" autoPict="0">
                <anchor moveWithCells="1">
                  <from>
                    <xdr:col>12</xdr:col>
                    <xdr:colOff>1325880</xdr:colOff>
                    <xdr:row>1576</xdr:row>
                    <xdr:rowOff>220980</xdr:rowOff>
                  </from>
                  <to>
                    <xdr:col>13</xdr:col>
                    <xdr:colOff>0</xdr:colOff>
                    <xdr:row>1577</xdr:row>
                    <xdr:rowOff>220980</xdr:rowOff>
                  </to>
                </anchor>
              </controlPr>
            </control>
          </mc:Choice>
        </mc:AlternateContent>
        <mc:AlternateContent xmlns:mc="http://schemas.openxmlformats.org/markup-compatibility/2006">
          <mc:Choice Requires="x14">
            <control shapeId="4053" r:id="rId500" name="Drop Down 3029">
              <controlPr defaultSize="0" autoLine="0" autoPict="0">
                <anchor moveWithCells="1">
                  <from>
                    <xdr:col>7</xdr:col>
                    <xdr:colOff>0</xdr:colOff>
                    <xdr:row>1646</xdr:row>
                    <xdr:rowOff>0</xdr:rowOff>
                  </from>
                  <to>
                    <xdr:col>7</xdr:col>
                    <xdr:colOff>624840</xdr:colOff>
                    <xdr:row>1647</xdr:row>
                    <xdr:rowOff>0</xdr:rowOff>
                  </to>
                </anchor>
              </controlPr>
            </control>
          </mc:Choice>
        </mc:AlternateContent>
        <mc:AlternateContent xmlns:mc="http://schemas.openxmlformats.org/markup-compatibility/2006">
          <mc:Choice Requires="x14">
            <control shapeId="4054" r:id="rId501" name="Drop Down 3030">
              <controlPr defaultSize="0" autoLine="0" autoPict="0">
                <anchor moveWithCells="1">
                  <from>
                    <xdr:col>7</xdr:col>
                    <xdr:colOff>601980</xdr:colOff>
                    <xdr:row>1646</xdr:row>
                    <xdr:rowOff>15240</xdr:rowOff>
                  </from>
                  <to>
                    <xdr:col>7</xdr:col>
                    <xdr:colOff>1272540</xdr:colOff>
                    <xdr:row>1647</xdr:row>
                    <xdr:rowOff>0</xdr:rowOff>
                  </to>
                </anchor>
              </controlPr>
            </control>
          </mc:Choice>
        </mc:AlternateContent>
        <mc:AlternateContent xmlns:mc="http://schemas.openxmlformats.org/markup-compatibility/2006">
          <mc:Choice Requires="x14">
            <control shapeId="4055" r:id="rId502" name="Drop Down 3031">
              <controlPr defaultSize="0" autoLine="0" autoPict="0">
                <anchor moveWithCells="1">
                  <from>
                    <xdr:col>7</xdr:col>
                    <xdr:colOff>1272540</xdr:colOff>
                    <xdr:row>1646</xdr:row>
                    <xdr:rowOff>15240</xdr:rowOff>
                  </from>
                  <to>
                    <xdr:col>7</xdr:col>
                    <xdr:colOff>1805940</xdr:colOff>
                    <xdr:row>1646</xdr:row>
                    <xdr:rowOff>320040</xdr:rowOff>
                  </to>
                </anchor>
              </controlPr>
            </control>
          </mc:Choice>
        </mc:AlternateContent>
        <mc:AlternateContent xmlns:mc="http://schemas.openxmlformats.org/markup-compatibility/2006">
          <mc:Choice Requires="x14">
            <control shapeId="4056" r:id="rId503" name="Drop Down 3032">
              <controlPr defaultSize="0" autoLine="0" autoPict="0">
                <anchor moveWithCells="1">
                  <from>
                    <xdr:col>7</xdr:col>
                    <xdr:colOff>0</xdr:colOff>
                    <xdr:row>1647</xdr:row>
                    <xdr:rowOff>0</xdr:rowOff>
                  </from>
                  <to>
                    <xdr:col>7</xdr:col>
                    <xdr:colOff>624840</xdr:colOff>
                    <xdr:row>1648</xdr:row>
                    <xdr:rowOff>0</xdr:rowOff>
                  </to>
                </anchor>
              </controlPr>
            </control>
          </mc:Choice>
        </mc:AlternateContent>
        <mc:AlternateContent xmlns:mc="http://schemas.openxmlformats.org/markup-compatibility/2006">
          <mc:Choice Requires="x14">
            <control shapeId="4057" r:id="rId504" name="Drop Down 3033">
              <controlPr defaultSize="0" autoLine="0" autoPict="0">
                <anchor moveWithCells="1">
                  <from>
                    <xdr:col>7</xdr:col>
                    <xdr:colOff>601980</xdr:colOff>
                    <xdr:row>1647</xdr:row>
                    <xdr:rowOff>15240</xdr:rowOff>
                  </from>
                  <to>
                    <xdr:col>7</xdr:col>
                    <xdr:colOff>1272540</xdr:colOff>
                    <xdr:row>1648</xdr:row>
                    <xdr:rowOff>0</xdr:rowOff>
                  </to>
                </anchor>
              </controlPr>
            </control>
          </mc:Choice>
        </mc:AlternateContent>
        <mc:AlternateContent xmlns:mc="http://schemas.openxmlformats.org/markup-compatibility/2006">
          <mc:Choice Requires="x14">
            <control shapeId="4058" r:id="rId505" name="Drop Down 3034">
              <controlPr defaultSize="0" autoLine="0" autoPict="0">
                <anchor moveWithCells="1">
                  <from>
                    <xdr:col>7</xdr:col>
                    <xdr:colOff>1272540</xdr:colOff>
                    <xdr:row>1647</xdr:row>
                    <xdr:rowOff>15240</xdr:rowOff>
                  </from>
                  <to>
                    <xdr:col>7</xdr:col>
                    <xdr:colOff>1805940</xdr:colOff>
                    <xdr:row>1647</xdr:row>
                    <xdr:rowOff>320040</xdr:rowOff>
                  </to>
                </anchor>
              </controlPr>
            </control>
          </mc:Choice>
        </mc:AlternateContent>
        <mc:AlternateContent xmlns:mc="http://schemas.openxmlformats.org/markup-compatibility/2006">
          <mc:Choice Requires="x14">
            <control shapeId="4059" r:id="rId506" name="Drop Down 3035">
              <controlPr defaultSize="0" autoLine="0" autoPict="0">
                <anchor moveWithCells="1">
                  <from>
                    <xdr:col>7</xdr:col>
                    <xdr:colOff>0</xdr:colOff>
                    <xdr:row>1648</xdr:row>
                    <xdr:rowOff>0</xdr:rowOff>
                  </from>
                  <to>
                    <xdr:col>7</xdr:col>
                    <xdr:colOff>624840</xdr:colOff>
                    <xdr:row>1649</xdr:row>
                    <xdr:rowOff>0</xdr:rowOff>
                  </to>
                </anchor>
              </controlPr>
            </control>
          </mc:Choice>
        </mc:AlternateContent>
        <mc:AlternateContent xmlns:mc="http://schemas.openxmlformats.org/markup-compatibility/2006">
          <mc:Choice Requires="x14">
            <control shapeId="4060" r:id="rId507" name="Drop Down 3036">
              <controlPr defaultSize="0" autoLine="0" autoPict="0">
                <anchor moveWithCells="1">
                  <from>
                    <xdr:col>7</xdr:col>
                    <xdr:colOff>601980</xdr:colOff>
                    <xdr:row>1648</xdr:row>
                    <xdr:rowOff>15240</xdr:rowOff>
                  </from>
                  <to>
                    <xdr:col>7</xdr:col>
                    <xdr:colOff>1272540</xdr:colOff>
                    <xdr:row>1649</xdr:row>
                    <xdr:rowOff>0</xdr:rowOff>
                  </to>
                </anchor>
              </controlPr>
            </control>
          </mc:Choice>
        </mc:AlternateContent>
        <mc:AlternateContent xmlns:mc="http://schemas.openxmlformats.org/markup-compatibility/2006">
          <mc:Choice Requires="x14">
            <control shapeId="4061" r:id="rId508" name="Drop Down 3037">
              <controlPr defaultSize="0" autoLine="0" autoPict="0">
                <anchor moveWithCells="1">
                  <from>
                    <xdr:col>7</xdr:col>
                    <xdr:colOff>1272540</xdr:colOff>
                    <xdr:row>1648</xdr:row>
                    <xdr:rowOff>15240</xdr:rowOff>
                  </from>
                  <to>
                    <xdr:col>7</xdr:col>
                    <xdr:colOff>1805940</xdr:colOff>
                    <xdr:row>1648</xdr:row>
                    <xdr:rowOff>320040</xdr:rowOff>
                  </to>
                </anchor>
              </controlPr>
            </control>
          </mc:Choice>
        </mc:AlternateContent>
        <mc:AlternateContent xmlns:mc="http://schemas.openxmlformats.org/markup-compatibility/2006">
          <mc:Choice Requires="x14">
            <control shapeId="4068" r:id="rId509" name="Drop Down 3044">
              <controlPr defaultSize="0" autoLine="0" autoPict="0">
                <anchor moveWithCells="1">
                  <from>
                    <xdr:col>3</xdr:col>
                    <xdr:colOff>0</xdr:colOff>
                    <xdr:row>1677</xdr:row>
                    <xdr:rowOff>15240</xdr:rowOff>
                  </from>
                  <to>
                    <xdr:col>4</xdr:col>
                    <xdr:colOff>205740</xdr:colOff>
                    <xdr:row>1677</xdr:row>
                    <xdr:rowOff>220980</xdr:rowOff>
                  </to>
                </anchor>
              </controlPr>
            </control>
          </mc:Choice>
        </mc:AlternateContent>
        <mc:AlternateContent xmlns:mc="http://schemas.openxmlformats.org/markup-compatibility/2006">
          <mc:Choice Requires="x14">
            <control shapeId="4069" r:id="rId510" name="Drop Down 3045">
              <controlPr defaultSize="0" autoLine="0" autoPict="0">
                <anchor moveWithCells="1">
                  <from>
                    <xdr:col>4</xdr:col>
                    <xdr:colOff>220980</xdr:colOff>
                    <xdr:row>1677</xdr:row>
                    <xdr:rowOff>15240</xdr:rowOff>
                  </from>
                  <to>
                    <xdr:col>4</xdr:col>
                    <xdr:colOff>1021080</xdr:colOff>
                    <xdr:row>1677</xdr:row>
                    <xdr:rowOff>220980</xdr:rowOff>
                  </to>
                </anchor>
              </controlPr>
            </control>
          </mc:Choice>
        </mc:AlternateContent>
        <mc:AlternateContent xmlns:mc="http://schemas.openxmlformats.org/markup-compatibility/2006">
          <mc:Choice Requires="x14">
            <control shapeId="4070" r:id="rId511" name="Drop Down 3046">
              <controlPr defaultSize="0" autoLine="0" autoPict="0">
                <anchor moveWithCells="1">
                  <from>
                    <xdr:col>4</xdr:col>
                    <xdr:colOff>1021080</xdr:colOff>
                    <xdr:row>1677</xdr:row>
                    <xdr:rowOff>0</xdr:rowOff>
                  </from>
                  <to>
                    <xdr:col>4</xdr:col>
                    <xdr:colOff>1706880</xdr:colOff>
                    <xdr:row>1677</xdr:row>
                    <xdr:rowOff>220980</xdr:rowOff>
                  </to>
                </anchor>
              </controlPr>
            </control>
          </mc:Choice>
        </mc:AlternateContent>
        <mc:AlternateContent xmlns:mc="http://schemas.openxmlformats.org/markup-compatibility/2006">
          <mc:Choice Requires="x14">
            <control shapeId="4071" r:id="rId512" name="Drop Down 3047">
              <controlPr defaultSize="0" autoLine="0" autoPict="0">
                <anchor moveWithCells="1">
                  <from>
                    <xdr:col>5</xdr:col>
                    <xdr:colOff>0</xdr:colOff>
                    <xdr:row>1677</xdr:row>
                    <xdr:rowOff>15240</xdr:rowOff>
                  </from>
                  <to>
                    <xdr:col>6</xdr:col>
                    <xdr:colOff>259080</xdr:colOff>
                    <xdr:row>1677</xdr:row>
                    <xdr:rowOff>220980</xdr:rowOff>
                  </to>
                </anchor>
              </controlPr>
            </control>
          </mc:Choice>
        </mc:AlternateContent>
        <mc:AlternateContent xmlns:mc="http://schemas.openxmlformats.org/markup-compatibility/2006">
          <mc:Choice Requires="x14">
            <control shapeId="4072" r:id="rId513" name="Drop Down 3048">
              <controlPr defaultSize="0" autoLine="0" autoPict="0">
                <anchor moveWithCells="1">
                  <from>
                    <xdr:col>6</xdr:col>
                    <xdr:colOff>266700</xdr:colOff>
                    <xdr:row>1677</xdr:row>
                    <xdr:rowOff>15240</xdr:rowOff>
                  </from>
                  <to>
                    <xdr:col>6</xdr:col>
                    <xdr:colOff>1120140</xdr:colOff>
                    <xdr:row>1677</xdr:row>
                    <xdr:rowOff>220980</xdr:rowOff>
                  </to>
                </anchor>
              </controlPr>
            </control>
          </mc:Choice>
        </mc:AlternateContent>
        <mc:AlternateContent xmlns:mc="http://schemas.openxmlformats.org/markup-compatibility/2006">
          <mc:Choice Requires="x14">
            <control shapeId="4073" r:id="rId514" name="Drop Down 3049">
              <controlPr defaultSize="0" autoLine="0" autoPict="0">
                <anchor moveWithCells="1">
                  <from>
                    <xdr:col>6</xdr:col>
                    <xdr:colOff>1135380</xdr:colOff>
                    <xdr:row>1677</xdr:row>
                    <xdr:rowOff>0</xdr:rowOff>
                  </from>
                  <to>
                    <xdr:col>6</xdr:col>
                    <xdr:colOff>1805940</xdr:colOff>
                    <xdr:row>1677</xdr:row>
                    <xdr:rowOff>220980</xdr:rowOff>
                  </to>
                </anchor>
              </controlPr>
            </control>
          </mc:Choice>
        </mc:AlternateContent>
        <mc:AlternateContent xmlns:mc="http://schemas.openxmlformats.org/markup-compatibility/2006">
          <mc:Choice Requires="x14">
            <control shapeId="4077" r:id="rId515" name="Drop Down 3053">
              <controlPr defaultSize="0" autoLine="0" autoPict="0">
                <anchor moveWithCells="1">
                  <from>
                    <xdr:col>12</xdr:col>
                    <xdr:colOff>0</xdr:colOff>
                    <xdr:row>1675</xdr:row>
                    <xdr:rowOff>0</xdr:rowOff>
                  </from>
                  <to>
                    <xdr:col>12</xdr:col>
                    <xdr:colOff>716280</xdr:colOff>
                    <xdr:row>1675</xdr:row>
                    <xdr:rowOff>220980</xdr:rowOff>
                  </to>
                </anchor>
              </controlPr>
            </control>
          </mc:Choice>
        </mc:AlternateContent>
        <mc:AlternateContent xmlns:mc="http://schemas.openxmlformats.org/markup-compatibility/2006">
          <mc:Choice Requires="x14">
            <control shapeId="4078" r:id="rId516" name="Drop Down 3054">
              <controlPr defaultSize="0" autoLine="0" autoPict="0">
                <anchor moveWithCells="1">
                  <from>
                    <xdr:col>12</xdr:col>
                    <xdr:colOff>716280</xdr:colOff>
                    <xdr:row>1675</xdr:row>
                    <xdr:rowOff>15240</xdr:rowOff>
                  </from>
                  <to>
                    <xdr:col>12</xdr:col>
                    <xdr:colOff>1325880</xdr:colOff>
                    <xdr:row>1675</xdr:row>
                    <xdr:rowOff>220980</xdr:rowOff>
                  </to>
                </anchor>
              </controlPr>
            </control>
          </mc:Choice>
        </mc:AlternateContent>
        <mc:AlternateContent xmlns:mc="http://schemas.openxmlformats.org/markup-compatibility/2006">
          <mc:Choice Requires="x14">
            <control shapeId="4079" r:id="rId517" name="Drop Down 3055">
              <controlPr defaultSize="0" autoLine="0" autoPict="0">
                <anchor moveWithCells="1">
                  <from>
                    <xdr:col>12</xdr:col>
                    <xdr:colOff>1325880</xdr:colOff>
                    <xdr:row>1675</xdr:row>
                    <xdr:rowOff>0</xdr:rowOff>
                  </from>
                  <to>
                    <xdr:col>13</xdr:col>
                    <xdr:colOff>0</xdr:colOff>
                    <xdr:row>1675</xdr:row>
                    <xdr:rowOff>220980</xdr:rowOff>
                  </to>
                </anchor>
              </controlPr>
            </control>
          </mc:Choice>
        </mc:AlternateContent>
        <mc:AlternateContent xmlns:mc="http://schemas.openxmlformats.org/markup-compatibility/2006">
          <mc:Choice Requires="x14">
            <control shapeId="4080" r:id="rId518" name="Drop Down 3056">
              <controlPr defaultSize="0" autoLine="0" autoPict="0">
                <anchor moveWithCells="1">
                  <from>
                    <xdr:col>12</xdr:col>
                    <xdr:colOff>0</xdr:colOff>
                    <xdr:row>1677</xdr:row>
                    <xdr:rowOff>0</xdr:rowOff>
                  </from>
                  <to>
                    <xdr:col>12</xdr:col>
                    <xdr:colOff>701040</xdr:colOff>
                    <xdr:row>1677</xdr:row>
                    <xdr:rowOff>220980</xdr:rowOff>
                  </to>
                </anchor>
              </controlPr>
            </control>
          </mc:Choice>
        </mc:AlternateContent>
        <mc:AlternateContent xmlns:mc="http://schemas.openxmlformats.org/markup-compatibility/2006">
          <mc:Choice Requires="x14">
            <control shapeId="4081" r:id="rId519" name="Drop Down 3057">
              <controlPr defaultSize="0" autoLine="0" autoPict="0">
                <anchor moveWithCells="1">
                  <from>
                    <xdr:col>12</xdr:col>
                    <xdr:colOff>685800</xdr:colOff>
                    <xdr:row>1677</xdr:row>
                    <xdr:rowOff>15240</xdr:rowOff>
                  </from>
                  <to>
                    <xdr:col>12</xdr:col>
                    <xdr:colOff>1310640</xdr:colOff>
                    <xdr:row>1677</xdr:row>
                    <xdr:rowOff>220980</xdr:rowOff>
                  </to>
                </anchor>
              </controlPr>
            </control>
          </mc:Choice>
        </mc:AlternateContent>
        <mc:AlternateContent xmlns:mc="http://schemas.openxmlformats.org/markup-compatibility/2006">
          <mc:Choice Requires="x14">
            <control shapeId="4082" r:id="rId520" name="Drop Down 3058">
              <controlPr defaultSize="0" autoLine="0" autoPict="0">
                <anchor moveWithCells="1">
                  <from>
                    <xdr:col>12</xdr:col>
                    <xdr:colOff>1325880</xdr:colOff>
                    <xdr:row>1676</xdr:row>
                    <xdr:rowOff>220980</xdr:rowOff>
                  </from>
                  <to>
                    <xdr:col>13</xdr:col>
                    <xdr:colOff>0</xdr:colOff>
                    <xdr:row>1677</xdr:row>
                    <xdr:rowOff>220980</xdr:rowOff>
                  </to>
                </anchor>
              </controlPr>
            </control>
          </mc:Choice>
        </mc:AlternateContent>
        <mc:AlternateContent xmlns:mc="http://schemas.openxmlformats.org/markup-compatibility/2006">
          <mc:Choice Requires="x14">
            <control shapeId="4101" r:id="rId521" name="Drop Down 3077">
              <controlPr defaultSize="0" autoLine="0" autoPict="0">
                <anchor moveWithCells="1">
                  <from>
                    <xdr:col>7</xdr:col>
                    <xdr:colOff>0</xdr:colOff>
                    <xdr:row>1746</xdr:row>
                    <xdr:rowOff>0</xdr:rowOff>
                  </from>
                  <to>
                    <xdr:col>7</xdr:col>
                    <xdr:colOff>624840</xdr:colOff>
                    <xdr:row>1747</xdr:row>
                    <xdr:rowOff>0</xdr:rowOff>
                  </to>
                </anchor>
              </controlPr>
            </control>
          </mc:Choice>
        </mc:AlternateContent>
        <mc:AlternateContent xmlns:mc="http://schemas.openxmlformats.org/markup-compatibility/2006">
          <mc:Choice Requires="x14">
            <control shapeId="4102" r:id="rId522" name="Drop Down 3078">
              <controlPr defaultSize="0" autoLine="0" autoPict="0">
                <anchor moveWithCells="1">
                  <from>
                    <xdr:col>7</xdr:col>
                    <xdr:colOff>601980</xdr:colOff>
                    <xdr:row>1746</xdr:row>
                    <xdr:rowOff>15240</xdr:rowOff>
                  </from>
                  <to>
                    <xdr:col>7</xdr:col>
                    <xdr:colOff>1272540</xdr:colOff>
                    <xdr:row>1747</xdr:row>
                    <xdr:rowOff>0</xdr:rowOff>
                  </to>
                </anchor>
              </controlPr>
            </control>
          </mc:Choice>
        </mc:AlternateContent>
        <mc:AlternateContent xmlns:mc="http://schemas.openxmlformats.org/markup-compatibility/2006">
          <mc:Choice Requires="x14">
            <control shapeId="4103" r:id="rId523" name="Drop Down 3079">
              <controlPr defaultSize="0" autoLine="0" autoPict="0">
                <anchor moveWithCells="1">
                  <from>
                    <xdr:col>7</xdr:col>
                    <xdr:colOff>1272540</xdr:colOff>
                    <xdr:row>1746</xdr:row>
                    <xdr:rowOff>15240</xdr:rowOff>
                  </from>
                  <to>
                    <xdr:col>7</xdr:col>
                    <xdr:colOff>1805940</xdr:colOff>
                    <xdr:row>1746</xdr:row>
                    <xdr:rowOff>320040</xdr:rowOff>
                  </to>
                </anchor>
              </controlPr>
            </control>
          </mc:Choice>
        </mc:AlternateContent>
        <mc:AlternateContent xmlns:mc="http://schemas.openxmlformats.org/markup-compatibility/2006">
          <mc:Choice Requires="x14">
            <control shapeId="4104" r:id="rId524" name="Drop Down 3080">
              <controlPr defaultSize="0" autoLine="0" autoPict="0">
                <anchor moveWithCells="1">
                  <from>
                    <xdr:col>7</xdr:col>
                    <xdr:colOff>0</xdr:colOff>
                    <xdr:row>1747</xdr:row>
                    <xdr:rowOff>0</xdr:rowOff>
                  </from>
                  <to>
                    <xdr:col>7</xdr:col>
                    <xdr:colOff>624840</xdr:colOff>
                    <xdr:row>1748</xdr:row>
                    <xdr:rowOff>0</xdr:rowOff>
                  </to>
                </anchor>
              </controlPr>
            </control>
          </mc:Choice>
        </mc:AlternateContent>
        <mc:AlternateContent xmlns:mc="http://schemas.openxmlformats.org/markup-compatibility/2006">
          <mc:Choice Requires="x14">
            <control shapeId="4105" r:id="rId525" name="Drop Down 3081">
              <controlPr defaultSize="0" autoLine="0" autoPict="0">
                <anchor moveWithCells="1">
                  <from>
                    <xdr:col>7</xdr:col>
                    <xdr:colOff>601980</xdr:colOff>
                    <xdr:row>1747</xdr:row>
                    <xdr:rowOff>15240</xdr:rowOff>
                  </from>
                  <to>
                    <xdr:col>7</xdr:col>
                    <xdr:colOff>1272540</xdr:colOff>
                    <xdr:row>1748</xdr:row>
                    <xdr:rowOff>0</xdr:rowOff>
                  </to>
                </anchor>
              </controlPr>
            </control>
          </mc:Choice>
        </mc:AlternateContent>
        <mc:AlternateContent xmlns:mc="http://schemas.openxmlformats.org/markup-compatibility/2006">
          <mc:Choice Requires="x14">
            <control shapeId="4106" r:id="rId526" name="Drop Down 3082">
              <controlPr defaultSize="0" autoLine="0" autoPict="0">
                <anchor moveWithCells="1">
                  <from>
                    <xdr:col>7</xdr:col>
                    <xdr:colOff>1272540</xdr:colOff>
                    <xdr:row>1747</xdr:row>
                    <xdr:rowOff>15240</xdr:rowOff>
                  </from>
                  <to>
                    <xdr:col>7</xdr:col>
                    <xdr:colOff>1805940</xdr:colOff>
                    <xdr:row>1747</xdr:row>
                    <xdr:rowOff>320040</xdr:rowOff>
                  </to>
                </anchor>
              </controlPr>
            </control>
          </mc:Choice>
        </mc:AlternateContent>
        <mc:AlternateContent xmlns:mc="http://schemas.openxmlformats.org/markup-compatibility/2006">
          <mc:Choice Requires="x14">
            <control shapeId="4107" r:id="rId527" name="Drop Down 3083">
              <controlPr defaultSize="0" autoLine="0" autoPict="0">
                <anchor moveWithCells="1">
                  <from>
                    <xdr:col>7</xdr:col>
                    <xdr:colOff>0</xdr:colOff>
                    <xdr:row>1748</xdr:row>
                    <xdr:rowOff>0</xdr:rowOff>
                  </from>
                  <to>
                    <xdr:col>7</xdr:col>
                    <xdr:colOff>624840</xdr:colOff>
                    <xdr:row>1749</xdr:row>
                    <xdr:rowOff>0</xdr:rowOff>
                  </to>
                </anchor>
              </controlPr>
            </control>
          </mc:Choice>
        </mc:AlternateContent>
        <mc:AlternateContent xmlns:mc="http://schemas.openxmlformats.org/markup-compatibility/2006">
          <mc:Choice Requires="x14">
            <control shapeId="4108" r:id="rId528" name="Drop Down 3084">
              <controlPr defaultSize="0" autoLine="0" autoPict="0">
                <anchor moveWithCells="1">
                  <from>
                    <xdr:col>7</xdr:col>
                    <xdr:colOff>601980</xdr:colOff>
                    <xdr:row>1748</xdr:row>
                    <xdr:rowOff>15240</xdr:rowOff>
                  </from>
                  <to>
                    <xdr:col>7</xdr:col>
                    <xdr:colOff>1272540</xdr:colOff>
                    <xdr:row>1749</xdr:row>
                    <xdr:rowOff>0</xdr:rowOff>
                  </to>
                </anchor>
              </controlPr>
            </control>
          </mc:Choice>
        </mc:AlternateContent>
        <mc:AlternateContent xmlns:mc="http://schemas.openxmlformats.org/markup-compatibility/2006">
          <mc:Choice Requires="x14">
            <control shapeId="4109" r:id="rId529" name="Drop Down 3085">
              <controlPr defaultSize="0" autoLine="0" autoPict="0">
                <anchor moveWithCells="1">
                  <from>
                    <xdr:col>7</xdr:col>
                    <xdr:colOff>1272540</xdr:colOff>
                    <xdr:row>1748</xdr:row>
                    <xdr:rowOff>15240</xdr:rowOff>
                  </from>
                  <to>
                    <xdr:col>7</xdr:col>
                    <xdr:colOff>1805940</xdr:colOff>
                    <xdr:row>1748</xdr:row>
                    <xdr:rowOff>320040</xdr:rowOff>
                  </to>
                </anchor>
              </controlPr>
            </control>
          </mc:Choice>
        </mc:AlternateContent>
        <mc:AlternateContent xmlns:mc="http://schemas.openxmlformats.org/markup-compatibility/2006">
          <mc:Choice Requires="x14">
            <control shapeId="4116" r:id="rId530" name="Drop Down 3092">
              <controlPr defaultSize="0" autoLine="0" autoPict="0">
                <anchor moveWithCells="1">
                  <from>
                    <xdr:col>3</xdr:col>
                    <xdr:colOff>0</xdr:colOff>
                    <xdr:row>1777</xdr:row>
                    <xdr:rowOff>15240</xdr:rowOff>
                  </from>
                  <to>
                    <xdr:col>4</xdr:col>
                    <xdr:colOff>205740</xdr:colOff>
                    <xdr:row>1777</xdr:row>
                    <xdr:rowOff>220980</xdr:rowOff>
                  </to>
                </anchor>
              </controlPr>
            </control>
          </mc:Choice>
        </mc:AlternateContent>
        <mc:AlternateContent xmlns:mc="http://schemas.openxmlformats.org/markup-compatibility/2006">
          <mc:Choice Requires="x14">
            <control shapeId="4117" r:id="rId531" name="Drop Down 3093">
              <controlPr defaultSize="0" autoLine="0" autoPict="0">
                <anchor moveWithCells="1">
                  <from>
                    <xdr:col>4</xdr:col>
                    <xdr:colOff>220980</xdr:colOff>
                    <xdr:row>1777</xdr:row>
                    <xdr:rowOff>15240</xdr:rowOff>
                  </from>
                  <to>
                    <xdr:col>4</xdr:col>
                    <xdr:colOff>1021080</xdr:colOff>
                    <xdr:row>1777</xdr:row>
                    <xdr:rowOff>220980</xdr:rowOff>
                  </to>
                </anchor>
              </controlPr>
            </control>
          </mc:Choice>
        </mc:AlternateContent>
        <mc:AlternateContent xmlns:mc="http://schemas.openxmlformats.org/markup-compatibility/2006">
          <mc:Choice Requires="x14">
            <control shapeId="4118" r:id="rId532" name="Drop Down 3094">
              <controlPr defaultSize="0" autoLine="0" autoPict="0">
                <anchor moveWithCells="1">
                  <from>
                    <xdr:col>4</xdr:col>
                    <xdr:colOff>1021080</xdr:colOff>
                    <xdr:row>1777</xdr:row>
                    <xdr:rowOff>0</xdr:rowOff>
                  </from>
                  <to>
                    <xdr:col>4</xdr:col>
                    <xdr:colOff>1706880</xdr:colOff>
                    <xdr:row>1777</xdr:row>
                    <xdr:rowOff>220980</xdr:rowOff>
                  </to>
                </anchor>
              </controlPr>
            </control>
          </mc:Choice>
        </mc:AlternateContent>
        <mc:AlternateContent xmlns:mc="http://schemas.openxmlformats.org/markup-compatibility/2006">
          <mc:Choice Requires="x14">
            <control shapeId="4119" r:id="rId533" name="Drop Down 3095">
              <controlPr defaultSize="0" autoLine="0" autoPict="0">
                <anchor moveWithCells="1">
                  <from>
                    <xdr:col>5</xdr:col>
                    <xdr:colOff>0</xdr:colOff>
                    <xdr:row>1777</xdr:row>
                    <xdr:rowOff>15240</xdr:rowOff>
                  </from>
                  <to>
                    <xdr:col>6</xdr:col>
                    <xdr:colOff>259080</xdr:colOff>
                    <xdr:row>1777</xdr:row>
                    <xdr:rowOff>220980</xdr:rowOff>
                  </to>
                </anchor>
              </controlPr>
            </control>
          </mc:Choice>
        </mc:AlternateContent>
        <mc:AlternateContent xmlns:mc="http://schemas.openxmlformats.org/markup-compatibility/2006">
          <mc:Choice Requires="x14">
            <control shapeId="4120" r:id="rId534" name="Drop Down 3096">
              <controlPr defaultSize="0" autoLine="0" autoPict="0">
                <anchor moveWithCells="1">
                  <from>
                    <xdr:col>6</xdr:col>
                    <xdr:colOff>266700</xdr:colOff>
                    <xdr:row>1777</xdr:row>
                    <xdr:rowOff>15240</xdr:rowOff>
                  </from>
                  <to>
                    <xdr:col>6</xdr:col>
                    <xdr:colOff>1120140</xdr:colOff>
                    <xdr:row>1777</xdr:row>
                    <xdr:rowOff>220980</xdr:rowOff>
                  </to>
                </anchor>
              </controlPr>
            </control>
          </mc:Choice>
        </mc:AlternateContent>
        <mc:AlternateContent xmlns:mc="http://schemas.openxmlformats.org/markup-compatibility/2006">
          <mc:Choice Requires="x14">
            <control shapeId="4121" r:id="rId535" name="Drop Down 3097">
              <controlPr defaultSize="0" autoLine="0" autoPict="0">
                <anchor moveWithCells="1">
                  <from>
                    <xdr:col>6</xdr:col>
                    <xdr:colOff>1135380</xdr:colOff>
                    <xdr:row>1777</xdr:row>
                    <xdr:rowOff>0</xdr:rowOff>
                  </from>
                  <to>
                    <xdr:col>6</xdr:col>
                    <xdr:colOff>1805940</xdr:colOff>
                    <xdr:row>1777</xdr:row>
                    <xdr:rowOff>220980</xdr:rowOff>
                  </to>
                </anchor>
              </controlPr>
            </control>
          </mc:Choice>
        </mc:AlternateContent>
        <mc:AlternateContent xmlns:mc="http://schemas.openxmlformats.org/markup-compatibility/2006">
          <mc:Choice Requires="x14">
            <control shapeId="4125" r:id="rId536" name="Drop Down 3101">
              <controlPr defaultSize="0" autoLine="0" autoPict="0">
                <anchor moveWithCells="1">
                  <from>
                    <xdr:col>12</xdr:col>
                    <xdr:colOff>0</xdr:colOff>
                    <xdr:row>1775</xdr:row>
                    <xdr:rowOff>0</xdr:rowOff>
                  </from>
                  <to>
                    <xdr:col>12</xdr:col>
                    <xdr:colOff>716280</xdr:colOff>
                    <xdr:row>1775</xdr:row>
                    <xdr:rowOff>220980</xdr:rowOff>
                  </to>
                </anchor>
              </controlPr>
            </control>
          </mc:Choice>
        </mc:AlternateContent>
        <mc:AlternateContent xmlns:mc="http://schemas.openxmlformats.org/markup-compatibility/2006">
          <mc:Choice Requires="x14">
            <control shapeId="4126" r:id="rId537" name="Drop Down 3102">
              <controlPr defaultSize="0" autoLine="0" autoPict="0">
                <anchor moveWithCells="1">
                  <from>
                    <xdr:col>12</xdr:col>
                    <xdr:colOff>716280</xdr:colOff>
                    <xdr:row>1775</xdr:row>
                    <xdr:rowOff>15240</xdr:rowOff>
                  </from>
                  <to>
                    <xdr:col>12</xdr:col>
                    <xdr:colOff>1325880</xdr:colOff>
                    <xdr:row>1775</xdr:row>
                    <xdr:rowOff>220980</xdr:rowOff>
                  </to>
                </anchor>
              </controlPr>
            </control>
          </mc:Choice>
        </mc:AlternateContent>
        <mc:AlternateContent xmlns:mc="http://schemas.openxmlformats.org/markup-compatibility/2006">
          <mc:Choice Requires="x14">
            <control shapeId="4127" r:id="rId538" name="Drop Down 3103">
              <controlPr defaultSize="0" autoLine="0" autoPict="0">
                <anchor moveWithCells="1">
                  <from>
                    <xdr:col>12</xdr:col>
                    <xdr:colOff>1325880</xdr:colOff>
                    <xdr:row>1775</xdr:row>
                    <xdr:rowOff>0</xdr:rowOff>
                  </from>
                  <to>
                    <xdr:col>13</xdr:col>
                    <xdr:colOff>0</xdr:colOff>
                    <xdr:row>1775</xdr:row>
                    <xdr:rowOff>220980</xdr:rowOff>
                  </to>
                </anchor>
              </controlPr>
            </control>
          </mc:Choice>
        </mc:AlternateContent>
        <mc:AlternateContent xmlns:mc="http://schemas.openxmlformats.org/markup-compatibility/2006">
          <mc:Choice Requires="x14">
            <control shapeId="4128" r:id="rId539" name="Drop Down 3104">
              <controlPr defaultSize="0" autoLine="0" autoPict="0">
                <anchor moveWithCells="1">
                  <from>
                    <xdr:col>12</xdr:col>
                    <xdr:colOff>0</xdr:colOff>
                    <xdr:row>1777</xdr:row>
                    <xdr:rowOff>0</xdr:rowOff>
                  </from>
                  <to>
                    <xdr:col>12</xdr:col>
                    <xdr:colOff>701040</xdr:colOff>
                    <xdr:row>1777</xdr:row>
                    <xdr:rowOff>220980</xdr:rowOff>
                  </to>
                </anchor>
              </controlPr>
            </control>
          </mc:Choice>
        </mc:AlternateContent>
        <mc:AlternateContent xmlns:mc="http://schemas.openxmlformats.org/markup-compatibility/2006">
          <mc:Choice Requires="x14">
            <control shapeId="4129" r:id="rId540" name="Drop Down 3105">
              <controlPr defaultSize="0" autoLine="0" autoPict="0">
                <anchor moveWithCells="1">
                  <from>
                    <xdr:col>12</xdr:col>
                    <xdr:colOff>685800</xdr:colOff>
                    <xdr:row>1777</xdr:row>
                    <xdr:rowOff>15240</xdr:rowOff>
                  </from>
                  <to>
                    <xdr:col>12</xdr:col>
                    <xdr:colOff>1310640</xdr:colOff>
                    <xdr:row>1777</xdr:row>
                    <xdr:rowOff>220980</xdr:rowOff>
                  </to>
                </anchor>
              </controlPr>
            </control>
          </mc:Choice>
        </mc:AlternateContent>
        <mc:AlternateContent xmlns:mc="http://schemas.openxmlformats.org/markup-compatibility/2006">
          <mc:Choice Requires="x14">
            <control shapeId="4130" r:id="rId541" name="Drop Down 3106">
              <controlPr defaultSize="0" autoLine="0" autoPict="0">
                <anchor moveWithCells="1">
                  <from>
                    <xdr:col>12</xdr:col>
                    <xdr:colOff>1325880</xdr:colOff>
                    <xdr:row>1776</xdr:row>
                    <xdr:rowOff>220980</xdr:rowOff>
                  </from>
                  <to>
                    <xdr:col>13</xdr:col>
                    <xdr:colOff>0</xdr:colOff>
                    <xdr:row>1777</xdr:row>
                    <xdr:rowOff>220980</xdr:rowOff>
                  </to>
                </anchor>
              </controlPr>
            </control>
          </mc:Choice>
        </mc:AlternateContent>
        <mc:AlternateContent xmlns:mc="http://schemas.openxmlformats.org/markup-compatibility/2006">
          <mc:Choice Requires="x14">
            <control shapeId="4149" r:id="rId542" name="Drop Down 3125">
              <controlPr defaultSize="0" autoLine="0" autoPict="0">
                <anchor moveWithCells="1">
                  <from>
                    <xdr:col>7</xdr:col>
                    <xdr:colOff>0</xdr:colOff>
                    <xdr:row>1846</xdr:row>
                    <xdr:rowOff>0</xdr:rowOff>
                  </from>
                  <to>
                    <xdr:col>7</xdr:col>
                    <xdr:colOff>624840</xdr:colOff>
                    <xdr:row>1847</xdr:row>
                    <xdr:rowOff>0</xdr:rowOff>
                  </to>
                </anchor>
              </controlPr>
            </control>
          </mc:Choice>
        </mc:AlternateContent>
        <mc:AlternateContent xmlns:mc="http://schemas.openxmlformats.org/markup-compatibility/2006">
          <mc:Choice Requires="x14">
            <control shapeId="4150" r:id="rId543" name="Drop Down 3126">
              <controlPr defaultSize="0" autoLine="0" autoPict="0">
                <anchor moveWithCells="1">
                  <from>
                    <xdr:col>7</xdr:col>
                    <xdr:colOff>601980</xdr:colOff>
                    <xdr:row>1846</xdr:row>
                    <xdr:rowOff>15240</xdr:rowOff>
                  </from>
                  <to>
                    <xdr:col>7</xdr:col>
                    <xdr:colOff>1272540</xdr:colOff>
                    <xdr:row>1847</xdr:row>
                    <xdr:rowOff>0</xdr:rowOff>
                  </to>
                </anchor>
              </controlPr>
            </control>
          </mc:Choice>
        </mc:AlternateContent>
        <mc:AlternateContent xmlns:mc="http://schemas.openxmlformats.org/markup-compatibility/2006">
          <mc:Choice Requires="x14">
            <control shapeId="4151" r:id="rId544" name="Drop Down 3127">
              <controlPr defaultSize="0" autoLine="0" autoPict="0">
                <anchor moveWithCells="1">
                  <from>
                    <xdr:col>7</xdr:col>
                    <xdr:colOff>1272540</xdr:colOff>
                    <xdr:row>1846</xdr:row>
                    <xdr:rowOff>15240</xdr:rowOff>
                  </from>
                  <to>
                    <xdr:col>7</xdr:col>
                    <xdr:colOff>1805940</xdr:colOff>
                    <xdr:row>1846</xdr:row>
                    <xdr:rowOff>320040</xdr:rowOff>
                  </to>
                </anchor>
              </controlPr>
            </control>
          </mc:Choice>
        </mc:AlternateContent>
        <mc:AlternateContent xmlns:mc="http://schemas.openxmlformats.org/markup-compatibility/2006">
          <mc:Choice Requires="x14">
            <control shapeId="4152" r:id="rId545" name="Drop Down 3128">
              <controlPr defaultSize="0" autoLine="0" autoPict="0">
                <anchor moveWithCells="1">
                  <from>
                    <xdr:col>7</xdr:col>
                    <xdr:colOff>0</xdr:colOff>
                    <xdr:row>1847</xdr:row>
                    <xdr:rowOff>0</xdr:rowOff>
                  </from>
                  <to>
                    <xdr:col>7</xdr:col>
                    <xdr:colOff>624840</xdr:colOff>
                    <xdr:row>1848</xdr:row>
                    <xdr:rowOff>0</xdr:rowOff>
                  </to>
                </anchor>
              </controlPr>
            </control>
          </mc:Choice>
        </mc:AlternateContent>
        <mc:AlternateContent xmlns:mc="http://schemas.openxmlformats.org/markup-compatibility/2006">
          <mc:Choice Requires="x14">
            <control shapeId="4153" r:id="rId546" name="Drop Down 3129">
              <controlPr defaultSize="0" autoLine="0" autoPict="0">
                <anchor moveWithCells="1">
                  <from>
                    <xdr:col>7</xdr:col>
                    <xdr:colOff>601980</xdr:colOff>
                    <xdr:row>1847</xdr:row>
                    <xdr:rowOff>15240</xdr:rowOff>
                  </from>
                  <to>
                    <xdr:col>7</xdr:col>
                    <xdr:colOff>1272540</xdr:colOff>
                    <xdr:row>1848</xdr:row>
                    <xdr:rowOff>0</xdr:rowOff>
                  </to>
                </anchor>
              </controlPr>
            </control>
          </mc:Choice>
        </mc:AlternateContent>
        <mc:AlternateContent xmlns:mc="http://schemas.openxmlformats.org/markup-compatibility/2006">
          <mc:Choice Requires="x14">
            <control shapeId="4154" r:id="rId547" name="Drop Down 3130">
              <controlPr defaultSize="0" autoLine="0" autoPict="0">
                <anchor moveWithCells="1">
                  <from>
                    <xdr:col>7</xdr:col>
                    <xdr:colOff>1272540</xdr:colOff>
                    <xdr:row>1847</xdr:row>
                    <xdr:rowOff>15240</xdr:rowOff>
                  </from>
                  <to>
                    <xdr:col>7</xdr:col>
                    <xdr:colOff>1805940</xdr:colOff>
                    <xdr:row>1847</xdr:row>
                    <xdr:rowOff>320040</xdr:rowOff>
                  </to>
                </anchor>
              </controlPr>
            </control>
          </mc:Choice>
        </mc:AlternateContent>
        <mc:AlternateContent xmlns:mc="http://schemas.openxmlformats.org/markup-compatibility/2006">
          <mc:Choice Requires="x14">
            <control shapeId="4155" r:id="rId548" name="Drop Down 3131">
              <controlPr defaultSize="0" autoLine="0" autoPict="0">
                <anchor moveWithCells="1">
                  <from>
                    <xdr:col>7</xdr:col>
                    <xdr:colOff>0</xdr:colOff>
                    <xdr:row>1848</xdr:row>
                    <xdr:rowOff>0</xdr:rowOff>
                  </from>
                  <to>
                    <xdr:col>7</xdr:col>
                    <xdr:colOff>624840</xdr:colOff>
                    <xdr:row>1849</xdr:row>
                    <xdr:rowOff>0</xdr:rowOff>
                  </to>
                </anchor>
              </controlPr>
            </control>
          </mc:Choice>
        </mc:AlternateContent>
        <mc:AlternateContent xmlns:mc="http://schemas.openxmlformats.org/markup-compatibility/2006">
          <mc:Choice Requires="x14">
            <control shapeId="4156" r:id="rId549" name="Drop Down 3132">
              <controlPr defaultSize="0" autoLine="0" autoPict="0">
                <anchor moveWithCells="1">
                  <from>
                    <xdr:col>7</xdr:col>
                    <xdr:colOff>601980</xdr:colOff>
                    <xdr:row>1848</xdr:row>
                    <xdr:rowOff>15240</xdr:rowOff>
                  </from>
                  <to>
                    <xdr:col>7</xdr:col>
                    <xdr:colOff>1272540</xdr:colOff>
                    <xdr:row>1849</xdr:row>
                    <xdr:rowOff>0</xdr:rowOff>
                  </to>
                </anchor>
              </controlPr>
            </control>
          </mc:Choice>
        </mc:AlternateContent>
        <mc:AlternateContent xmlns:mc="http://schemas.openxmlformats.org/markup-compatibility/2006">
          <mc:Choice Requires="x14">
            <control shapeId="4157" r:id="rId550" name="Drop Down 3133">
              <controlPr defaultSize="0" autoLine="0" autoPict="0">
                <anchor moveWithCells="1">
                  <from>
                    <xdr:col>7</xdr:col>
                    <xdr:colOff>1272540</xdr:colOff>
                    <xdr:row>1848</xdr:row>
                    <xdr:rowOff>15240</xdr:rowOff>
                  </from>
                  <to>
                    <xdr:col>7</xdr:col>
                    <xdr:colOff>1805940</xdr:colOff>
                    <xdr:row>1848</xdr:row>
                    <xdr:rowOff>320040</xdr:rowOff>
                  </to>
                </anchor>
              </controlPr>
            </control>
          </mc:Choice>
        </mc:AlternateContent>
        <mc:AlternateContent xmlns:mc="http://schemas.openxmlformats.org/markup-compatibility/2006">
          <mc:Choice Requires="x14">
            <control shapeId="4164" r:id="rId551" name="Drop Down 3140">
              <controlPr defaultSize="0" autoLine="0" autoPict="0">
                <anchor moveWithCells="1">
                  <from>
                    <xdr:col>3</xdr:col>
                    <xdr:colOff>0</xdr:colOff>
                    <xdr:row>1877</xdr:row>
                    <xdr:rowOff>15240</xdr:rowOff>
                  </from>
                  <to>
                    <xdr:col>4</xdr:col>
                    <xdr:colOff>205740</xdr:colOff>
                    <xdr:row>1877</xdr:row>
                    <xdr:rowOff>220980</xdr:rowOff>
                  </to>
                </anchor>
              </controlPr>
            </control>
          </mc:Choice>
        </mc:AlternateContent>
        <mc:AlternateContent xmlns:mc="http://schemas.openxmlformats.org/markup-compatibility/2006">
          <mc:Choice Requires="x14">
            <control shapeId="4165" r:id="rId552" name="Drop Down 3141">
              <controlPr defaultSize="0" autoLine="0" autoPict="0">
                <anchor moveWithCells="1">
                  <from>
                    <xdr:col>4</xdr:col>
                    <xdr:colOff>220980</xdr:colOff>
                    <xdr:row>1877</xdr:row>
                    <xdr:rowOff>15240</xdr:rowOff>
                  </from>
                  <to>
                    <xdr:col>4</xdr:col>
                    <xdr:colOff>1021080</xdr:colOff>
                    <xdr:row>1877</xdr:row>
                    <xdr:rowOff>220980</xdr:rowOff>
                  </to>
                </anchor>
              </controlPr>
            </control>
          </mc:Choice>
        </mc:AlternateContent>
        <mc:AlternateContent xmlns:mc="http://schemas.openxmlformats.org/markup-compatibility/2006">
          <mc:Choice Requires="x14">
            <control shapeId="4166" r:id="rId553" name="Drop Down 3142">
              <controlPr defaultSize="0" autoLine="0" autoPict="0">
                <anchor moveWithCells="1">
                  <from>
                    <xdr:col>4</xdr:col>
                    <xdr:colOff>1021080</xdr:colOff>
                    <xdr:row>1877</xdr:row>
                    <xdr:rowOff>0</xdr:rowOff>
                  </from>
                  <to>
                    <xdr:col>4</xdr:col>
                    <xdr:colOff>1706880</xdr:colOff>
                    <xdr:row>1877</xdr:row>
                    <xdr:rowOff>220980</xdr:rowOff>
                  </to>
                </anchor>
              </controlPr>
            </control>
          </mc:Choice>
        </mc:AlternateContent>
        <mc:AlternateContent xmlns:mc="http://schemas.openxmlformats.org/markup-compatibility/2006">
          <mc:Choice Requires="x14">
            <control shapeId="4167" r:id="rId554" name="Drop Down 3143">
              <controlPr defaultSize="0" autoLine="0" autoPict="0">
                <anchor moveWithCells="1">
                  <from>
                    <xdr:col>5</xdr:col>
                    <xdr:colOff>0</xdr:colOff>
                    <xdr:row>1877</xdr:row>
                    <xdr:rowOff>15240</xdr:rowOff>
                  </from>
                  <to>
                    <xdr:col>6</xdr:col>
                    <xdr:colOff>259080</xdr:colOff>
                    <xdr:row>1877</xdr:row>
                    <xdr:rowOff>220980</xdr:rowOff>
                  </to>
                </anchor>
              </controlPr>
            </control>
          </mc:Choice>
        </mc:AlternateContent>
        <mc:AlternateContent xmlns:mc="http://schemas.openxmlformats.org/markup-compatibility/2006">
          <mc:Choice Requires="x14">
            <control shapeId="4168" r:id="rId555" name="Drop Down 3144">
              <controlPr defaultSize="0" autoLine="0" autoPict="0">
                <anchor moveWithCells="1">
                  <from>
                    <xdr:col>6</xdr:col>
                    <xdr:colOff>266700</xdr:colOff>
                    <xdr:row>1877</xdr:row>
                    <xdr:rowOff>15240</xdr:rowOff>
                  </from>
                  <to>
                    <xdr:col>6</xdr:col>
                    <xdr:colOff>1120140</xdr:colOff>
                    <xdr:row>1877</xdr:row>
                    <xdr:rowOff>220980</xdr:rowOff>
                  </to>
                </anchor>
              </controlPr>
            </control>
          </mc:Choice>
        </mc:AlternateContent>
        <mc:AlternateContent xmlns:mc="http://schemas.openxmlformats.org/markup-compatibility/2006">
          <mc:Choice Requires="x14">
            <control shapeId="4169" r:id="rId556" name="Drop Down 3145">
              <controlPr defaultSize="0" autoLine="0" autoPict="0">
                <anchor moveWithCells="1">
                  <from>
                    <xdr:col>6</xdr:col>
                    <xdr:colOff>1135380</xdr:colOff>
                    <xdr:row>1877</xdr:row>
                    <xdr:rowOff>0</xdr:rowOff>
                  </from>
                  <to>
                    <xdr:col>6</xdr:col>
                    <xdr:colOff>1805940</xdr:colOff>
                    <xdr:row>1877</xdr:row>
                    <xdr:rowOff>220980</xdr:rowOff>
                  </to>
                </anchor>
              </controlPr>
            </control>
          </mc:Choice>
        </mc:AlternateContent>
        <mc:AlternateContent xmlns:mc="http://schemas.openxmlformats.org/markup-compatibility/2006">
          <mc:Choice Requires="x14">
            <control shapeId="4173" r:id="rId557" name="Drop Down 3149">
              <controlPr defaultSize="0" autoLine="0" autoPict="0">
                <anchor moveWithCells="1">
                  <from>
                    <xdr:col>12</xdr:col>
                    <xdr:colOff>0</xdr:colOff>
                    <xdr:row>1875</xdr:row>
                    <xdr:rowOff>0</xdr:rowOff>
                  </from>
                  <to>
                    <xdr:col>12</xdr:col>
                    <xdr:colOff>716280</xdr:colOff>
                    <xdr:row>1875</xdr:row>
                    <xdr:rowOff>220980</xdr:rowOff>
                  </to>
                </anchor>
              </controlPr>
            </control>
          </mc:Choice>
        </mc:AlternateContent>
        <mc:AlternateContent xmlns:mc="http://schemas.openxmlformats.org/markup-compatibility/2006">
          <mc:Choice Requires="x14">
            <control shapeId="4174" r:id="rId558" name="Drop Down 3150">
              <controlPr defaultSize="0" autoLine="0" autoPict="0">
                <anchor moveWithCells="1">
                  <from>
                    <xdr:col>12</xdr:col>
                    <xdr:colOff>716280</xdr:colOff>
                    <xdr:row>1875</xdr:row>
                    <xdr:rowOff>15240</xdr:rowOff>
                  </from>
                  <to>
                    <xdr:col>12</xdr:col>
                    <xdr:colOff>1325880</xdr:colOff>
                    <xdr:row>1875</xdr:row>
                    <xdr:rowOff>220980</xdr:rowOff>
                  </to>
                </anchor>
              </controlPr>
            </control>
          </mc:Choice>
        </mc:AlternateContent>
        <mc:AlternateContent xmlns:mc="http://schemas.openxmlformats.org/markup-compatibility/2006">
          <mc:Choice Requires="x14">
            <control shapeId="4175" r:id="rId559" name="Drop Down 3151">
              <controlPr defaultSize="0" autoLine="0" autoPict="0">
                <anchor moveWithCells="1">
                  <from>
                    <xdr:col>12</xdr:col>
                    <xdr:colOff>1325880</xdr:colOff>
                    <xdr:row>1875</xdr:row>
                    <xdr:rowOff>0</xdr:rowOff>
                  </from>
                  <to>
                    <xdr:col>13</xdr:col>
                    <xdr:colOff>0</xdr:colOff>
                    <xdr:row>1875</xdr:row>
                    <xdr:rowOff>220980</xdr:rowOff>
                  </to>
                </anchor>
              </controlPr>
            </control>
          </mc:Choice>
        </mc:AlternateContent>
        <mc:AlternateContent xmlns:mc="http://schemas.openxmlformats.org/markup-compatibility/2006">
          <mc:Choice Requires="x14">
            <control shapeId="4176" r:id="rId560" name="Drop Down 3152">
              <controlPr defaultSize="0" autoLine="0" autoPict="0">
                <anchor moveWithCells="1">
                  <from>
                    <xdr:col>12</xdr:col>
                    <xdr:colOff>0</xdr:colOff>
                    <xdr:row>1877</xdr:row>
                    <xdr:rowOff>0</xdr:rowOff>
                  </from>
                  <to>
                    <xdr:col>12</xdr:col>
                    <xdr:colOff>701040</xdr:colOff>
                    <xdr:row>1877</xdr:row>
                    <xdr:rowOff>220980</xdr:rowOff>
                  </to>
                </anchor>
              </controlPr>
            </control>
          </mc:Choice>
        </mc:AlternateContent>
        <mc:AlternateContent xmlns:mc="http://schemas.openxmlformats.org/markup-compatibility/2006">
          <mc:Choice Requires="x14">
            <control shapeId="4177" r:id="rId561" name="Drop Down 3153">
              <controlPr defaultSize="0" autoLine="0" autoPict="0">
                <anchor moveWithCells="1">
                  <from>
                    <xdr:col>12</xdr:col>
                    <xdr:colOff>685800</xdr:colOff>
                    <xdr:row>1877</xdr:row>
                    <xdr:rowOff>15240</xdr:rowOff>
                  </from>
                  <to>
                    <xdr:col>12</xdr:col>
                    <xdr:colOff>1310640</xdr:colOff>
                    <xdr:row>1877</xdr:row>
                    <xdr:rowOff>220980</xdr:rowOff>
                  </to>
                </anchor>
              </controlPr>
            </control>
          </mc:Choice>
        </mc:AlternateContent>
        <mc:AlternateContent xmlns:mc="http://schemas.openxmlformats.org/markup-compatibility/2006">
          <mc:Choice Requires="x14">
            <control shapeId="4178" r:id="rId562" name="Drop Down 3154">
              <controlPr defaultSize="0" autoLine="0" autoPict="0">
                <anchor moveWithCells="1">
                  <from>
                    <xdr:col>12</xdr:col>
                    <xdr:colOff>1325880</xdr:colOff>
                    <xdr:row>1876</xdr:row>
                    <xdr:rowOff>220980</xdr:rowOff>
                  </from>
                  <to>
                    <xdr:col>13</xdr:col>
                    <xdr:colOff>0</xdr:colOff>
                    <xdr:row>1877</xdr:row>
                    <xdr:rowOff>220980</xdr:rowOff>
                  </to>
                </anchor>
              </controlPr>
            </control>
          </mc:Choice>
        </mc:AlternateContent>
        <mc:AlternateContent xmlns:mc="http://schemas.openxmlformats.org/markup-compatibility/2006">
          <mc:Choice Requires="x14">
            <control shapeId="4197" r:id="rId563" name="Drop Down 3173">
              <controlPr defaultSize="0" autoLine="0" autoPict="0">
                <anchor moveWithCells="1">
                  <from>
                    <xdr:col>7</xdr:col>
                    <xdr:colOff>0</xdr:colOff>
                    <xdr:row>1946</xdr:row>
                    <xdr:rowOff>0</xdr:rowOff>
                  </from>
                  <to>
                    <xdr:col>7</xdr:col>
                    <xdr:colOff>624840</xdr:colOff>
                    <xdr:row>1947</xdr:row>
                    <xdr:rowOff>0</xdr:rowOff>
                  </to>
                </anchor>
              </controlPr>
            </control>
          </mc:Choice>
        </mc:AlternateContent>
        <mc:AlternateContent xmlns:mc="http://schemas.openxmlformats.org/markup-compatibility/2006">
          <mc:Choice Requires="x14">
            <control shapeId="4198" r:id="rId564" name="Drop Down 3174">
              <controlPr defaultSize="0" autoLine="0" autoPict="0">
                <anchor moveWithCells="1">
                  <from>
                    <xdr:col>7</xdr:col>
                    <xdr:colOff>601980</xdr:colOff>
                    <xdr:row>1946</xdr:row>
                    <xdr:rowOff>15240</xdr:rowOff>
                  </from>
                  <to>
                    <xdr:col>7</xdr:col>
                    <xdr:colOff>1272540</xdr:colOff>
                    <xdr:row>1947</xdr:row>
                    <xdr:rowOff>0</xdr:rowOff>
                  </to>
                </anchor>
              </controlPr>
            </control>
          </mc:Choice>
        </mc:AlternateContent>
        <mc:AlternateContent xmlns:mc="http://schemas.openxmlformats.org/markup-compatibility/2006">
          <mc:Choice Requires="x14">
            <control shapeId="4199" r:id="rId565" name="Drop Down 3175">
              <controlPr defaultSize="0" autoLine="0" autoPict="0">
                <anchor moveWithCells="1">
                  <from>
                    <xdr:col>7</xdr:col>
                    <xdr:colOff>1272540</xdr:colOff>
                    <xdr:row>1946</xdr:row>
                    <xdr:rowOff>15240</xdr:rowOff>
                  </from>
                  <to>
                    <xdr:col>7</xdr:col>
                    <xdr:colOff>1805940</xdr:colOff>
                    <xdr:row>1946</xdr:row>
                    <xdr:rowOff>320040</xdr:rowOff>
                  </to>
                </anchor>
              </controlPr>
            </control>
          </mc:Choice>
        </mc:AlternateContent>
        <mc:AlternateContent xmlns:mc="http://schemas.openxmlformats.org/markup-compatibility/2006">
          <mc:Choice Requires="x14">
            <control shapeId="4200" r:id="rId566" name="Drop Down 3176">
              <controlPr defaultSize="0" autoLine="0" autoPict="0">
                <anchor moveWithCells="1">
                  <from>
                    <xdr:col>7</xdr:col>
                    <xdr:colOff>0</xdr:colOff>
                    <xdr:row>1947</xdr:row>
                    <xdr:rowOff>0</xdr:rowOff>
                  </from>
                  <to>
                    <xdr:col>7</xdr:col>
                    <xdr:colOff>624840</xdr:colOff>
                    <xdr:row>1948</xdr:row>
                    <xdr:rowOff>0</xdr:rowOff>
                  </to>
                </anchor>
              </controlPr>
            </control>
          </mc:Choice>
        </mc:AlternateContent>
        <mc:AlternateContent xmlns:mc="http://schemas.openxmlformats.org/markup-compatibility/2006">
          <mc:Choice Requires="x14">
            <control shapeId="4201" r:id="rId567" name="Drop Down 3177">
              <controlPr defaultSize="0" autoLine="0" autoPict="0">
                <anchor moveWithCells="1">
                  <from>
                    <xdr:col>7</xdr:col>
                    <xdr:colOff>601980</xdr:colOff>
                    <xdr:row>1947</xdr:row>
                    <xdr:rowOff>15240</xdr:rowOff>
                  </from>
                  <to>
                    <xdr:col>7</xdr:col>
                    <xdr:colOff>1272540</xdr:colOff>
                    <xdr:row>1948</xdr:row>
                    <xdr:rowOff>0</xdr:rowOff>
                  </to>
                </anchor>
              </controlPr>
            </control>
          </mc:Choice>
        </mc:AlternateContent>
        <mc:AlternateContent xmlns:mc="http://schemas.openxmlformats.org/markup-compatibility/2006">
          <mc:Choice Requires="x14">
            <control shapeId="4202" r:id="rId568" name="Drop Down 3178">
              <controlPr defaultSize="0" autoLine="0" autoPict="0">
                <anchor moveWithCells="1">
                  <from>
                    <xdr:col>7</xdr:col>
                    <xdr:colOff>1272540</xdr:colOff>
                    <xdr:row>1947</xdr:row>
                    <xdr:rowOff>15240</xdr:rowOff>
                  </from>
                  <to>
                    <xdr:col>7</xdr:col>
                    <xdr:colOff>1805940</xdr:colOff>
                    <xdr:row>1947</xdr:row>
                    <xdr:rowOff>320040</xdr:rowOff>
                  </to>
                </anchor>
              </controlPr>
            </control>
          </mc:Choice>
        </mc:AlternateContent>
        <mc:AlternateContent xmlns:mc="http://schemas.openxmlformats.org/markup-compatibility/2006">
          <mc:Choice Requires="x14">
            <control shapeId="4203" r:id="rId569" name="Drop Down 3179">
              <controlPr defaultSize="0" autoLine="0" autoPict="0">
                <anchor moveWithCells="1">
                  <from>
                    <xdr:col>7</xdr:col>
                    <xdr:colOff>0</xdr:colOff>
                    <xdr:row>1948</xdr:row>
                    <xdr:rowOff>0</xdr:rowOff>
                  </from>
                  <to>
                    <xdr:col>7</xdr:col>
                    <xdr:colOff>624840</xdr:colOff>
                    <xdr:row>1949</xdr:row>
                    <xdr:rowOff>0</xdr:rowOff>
                  </to>
                </anchor>
              </controlPr>
            </control>
          </mc:Choice>
        </mc:AlternateContent>
        <mc:AlternateContent xmlns:mc="http://schemas.openxmlformats.org/markup-compatibility/2006">
          <mc:Choice Requires="x14">
            <control shapeId="4204" r:id="rId570" name="Drop Down 3180">
              <controlPr defaultSize="0" autoLine="0" autoPict="0">
                <anchor moveWithCells="1">
                  <from>
                    <xdr:col>7</xdr:col>
                    <xdr:colOff>601980</xdr:colOff>
                    <xdr:row>1948</xdr:row>
                    <xdr:rowOff>15240</xdr:rowOff>
                  </from>
                  <to>
                    <xdr:col>7</xdr:col>
                    <xdr:colOff>1272540</xdr:colOff>
                    <xdr:row>1949</xdr:row>
                    <xdr:rowOff>0</xdr:rowOff>
                  </to>
                </anchor>
              </controlPr>
            </control>
          </mc:Choice>
        </mc:AlternateContent>
        <mc:AlternateContent xmlns:mc="http://schemas.openxmlformats.org/markup-compatibility/2006">
          <mc:Choice Requires="x14">
            <control shapeId="4205" r:id="rId571" name="Drop Down 3181">
              <controlPr defaultSize="0" autoLine="0" autoPict="0">
                <anchor moveWithCells="1">
                  <from>
                    <xdr:col>7</xdr:col>
                    <xdr:colOff>1272540</xdr:colOff>
                    <xdr:row>1948</xdr:row>
                    <xdr:rowOff>15240</xdr:rowOff>
                  </from>
                  <to>
                    <xdr:col>7</xdr:col>
                    <xdr:colOff>1805940</xdr:colOff>
                    <xdr:row>1948</xdr:row>
                    <xdr:rowOff>320040</xdr:rowOff>
                  </to>
                </anchor>
              </controlPr>
            </control>
          </mc:Choice>
        </mc:AlternateContent>
        <mc:AlternateContent xmlns:mc="http://schemas.openxmlformats.org/markup-compatibility/2006">
          <mc:Choice Requires="x14">
            <control shapeId="4212" r:id="rId572" name="Drop Down 3188">
              <controlPr defaultSize="0" autoLine="0" autoPict="0">
                <anchor moveWithCells="1">
                  <from>
                    <xdr:col>3</xdr:col>
                    <xdr:colOff>0</xdr:colOff>
                    <xdr:row>1977</xdr:row>
                    <xdr:rowOff>15240</xdr:rowOff>
                  </from>
                  <to>
                    <xdr:col>4</xdr:col>
                    <xdr:colOff>205740</xdr:colOff>
                    <xdr:row>1977</xdr:row>
                    <xdr:rowOff>220980</xdr:rowOff>
                  </to>
                </anchor>
              </controlPr>
            </control>
          </mc:Choice>
        </mc:AlternateContent>
        <mc:AlternateContent xmlns:mc="http://schemas.openxmlformats.org/markup-compatibility/2006">
          <mc:Choice Requires="x14">
            <control shapeId="4213" r:id="rId573" name="Drop Down 3189">
              <controlPr defaultSize="0" autoLine="0" autoPict="0">
                <anchor moveWithCells="1">
                  <from>
                    <xdr:col>4</xdr:col>
                    <xdr:colOff>220980</xdr:colOff>
                    <xdr:row>1977</xdr:row>
                    <xdr:rowOff>15240</xdr:rowOff>
                  </from>
                  <to>
                    <xdr:col>4</xdr:col>
                    <xdr:colOff>1021080</xdr:colOff>
                    <xdr:row>1977</xdr:row>
                    <xdr:rowOff>220980</xdr:rowOff>
                  </to>
                </anchor>
              </controlPr>
            </control>
          </mc:Choice>
        </mc:AlternateContent>
        <mc:AlternateContent xmlns:mc="http://schemas.openxmlformats.org/markup-compatibility/2006">
          <mc:Choice Requires="x14">
            <control shapeId="4214" r:id="rId574" name="Drop Down 3190">
              <controlPr defaultSize="0" autoLine="0" autoPict="0">
                <anchor moveWithCells="1">
                  <from>
                    <xdr:col>4</xdr:col>
                    <xdr:colOff>1021080</xdr:colOff>
                    <xdr:row>1977</xdr:row>
                    <xdr:rowOff>0</xdr:rowOff>
                  </from>
                  <to>
                    <xdr:col>4</xdr:col>
                    <xdr:colOff>1706880</xdr:colOff>
                    <xdr:row>1977</xdr:row>
                    <xdr:rowOff>220980</xdr:rowOff>
                  </to>
                </anchor>
              </controlPr>
            </control>
          </mc:Choice>
        </mc:AlternateContent>
        <mc:AlternateContent xmlns:mc="http://schemas.openxmlformats.org/markup-compatibility/2006">
          <mc:Choice Requires="x14">
            <control shapeId="4215" r:id="rId575" name="Drop Down 3191">
              <controlPr defaultSize="0" autoLine="0" autoPict="0">
                <anchor moveWithCells="1">
                  <from>
                    <xdr:col>5</xdr:col>
                    <xdr:colOff>0</xdr:colOff>
                    <xdr:row>1977</xdr:row>
                    <xdr:rowOff>15240</xdr:rowOff>
                  </from>
                  <to>
                    <xdr:col>6</xdr:col>
                    <xdr:colOff>259080</xdr:colOff>
                    <xdr:row>1977</xdr:row>
                    <xdr:rowOff>220980</xdr:rowOff>
                  </to>
                </anchor>
              </controlPr>
            </control>
          </mc:Choice>
        </mc:AlternateContent>
        <mc:AlternateContent xmlns:mc="http://schemas.openxmlformats.org/markup-compatibility/2006">
          <mc:Choice Requires="x14">
            <control shapeId="4216" r:id="rId576" name="Drop Down 3192">
              <controlPr defaultSize="0" autoLine="0" autoPict="0">
                <anchor moveWithCells="1">
                  <from>
                    <xdr:col>6</xdr:col>
                    <xdr:colOff>266700</xdr:colOff>
                    <xdr:row>1977</xdr:row>
                    <xdr:rowOff>15240</xdr:rowOff>
                  </from>
                  <to>
                    <xdr:col>6</xdr:col>
                    <xdr:colOff>1120140</xdr:colOff>
                    <xdr:row>1977</xdr:row>
                    <xdr:rowOff>220980</xdr:rowOff>
                  </to>
                </anchor>
              </controlPr>
            </control>
          </mc:Choice>
        </mc:AlternateContent>
        <mc:AlternateContent xmlns:mc="http://schemas.openxmlformats.org/markup-compatibility/2006">
          <mc:Choice Requires="x14">
            <control shapeId="4217" r:id="rId577" name="Drop Down 3193">
              <controlPr defaultSize="0" autoLine="0" autoPict="0">
                <anchor moveWithCells="1">
                  <from>
                    <xdr:col>6</xdr:col>
                    <xdr:colOff>1135380</xdr:colOff>
                    <xdr:row>1977</xdr:row>
                    <xdr:rowOff>0</xdr:rowOff>
                  </from>
                  <to>
                    <xdr:col>6</xdr:col>
                    <xdr:colOff>1805940</xdr:colOff>
                    <xdr:row>1977</xdr:row>
                    <xdr:rowOff>220980</xdr:rowOff>
                  </to>
                </anchor>
              </controlPr>
            </control>
          </mc:Choice>
        </mc:AlternateContent>
        <mc:AlternateContent xmlns:mc="http://schemas.openxmlformats.org/markup-compatibility/2006">
          <mc:Choice Requires="x14">
            <control shapeId="4221" r:id="rId578" name="Drop Down 3197">
              <controlPr defaultSize="0" autoLine="0" autoPict="0">
                <anchor moveWithCells="1">
                  <from>
                    <xdr:col>12</xdr:col>
                    <xdr:colOff>0</xdr:colOff>
                    <xdr:row>1975</xdr:row>
                    <xdr:rowOff>0</xdr:rowOff>
                  </from>
                  <to>
                    <xdr:col>12</xdr:col>
                    <xdr:colOff>716280</xdr:colOff>
                    <xdr:row>1975</xdr:row>
                    <xdr:rowOff>220980</xdr:rowOff>
                  </to>
                </anchor>
              </controlPr>
            </control>
          </mc:Choice>
        </mc:AlternateContent>
        <mc:AlternateContent xmlns:mc="http://schemas.openxmlformats.org/markup-compatibility/2006">
          <mc:Choice Requires="x14">
            <control shapeId="4222" r:id="rId579" name="Drop Down 3198">
              <controlPr defaultSize="0" autoLine="0" autoPict="0">
                <anchor moveWithCells="1">
                  <from>
                    <xdr:col>12</xdr:col>
                    <xdr:colOff>716280</xdr:colOff>
                    <xdr:row>1975</xdr:row>
                    <xdr:rowOff>15240</xdr:rowOff>
                  </from>
                  <to>
                    <xdr:col>12</xdr:col>
                    <xdr:colOff>1325880</xdr:colOff>
                    <xdr:row>1975</xdr:row>
                    <xdr:rowOff>220980</xdr:rowOff>
                  </to>
                </anchor>
              </controlPr>
            </control>
          </mc:Choice>
        </mc:AlternateContent>
        <mc:AlternateContent xmlns:mc="http://schemas.openxmlformats.org/markup-compatibility/2006">
          <mc:Choice Requires="x14">
            <control shapeId="4223" r:id="rId580" name="Drop Down 3199">
              <controlPr defaultSize="0" autoLine="0" autoPict="0">
                <anchor moveWithCells="1">
                  <from>
                    <xdr:col>12</xdr:col>
                    <xdr:colOff>1325880</xdr:colOff>
                    <xdr:row>1975</xdr:row>
                    <xdr:rowOff>0</xdr:rowOff>
                  </from>
                  <to>
                    <xdr:col>13</xdr:col>
                    <xdr:colOff>0</xdr:colOff>
                    <xdr:row>1975</xdr:row>
                    <xdr:rowOff>220980</xdr:rowOff>
                  </to>
                </anchor>
              </controlPr>
            </control>
          </mc:Choice>
        </mc:AlternateContent>
        <mc:AlternateContent xmlns:mc="http://schemas.openxmlformats.org/markup-compatibility/2006">
          <mc:Choice Requires="x14">
            <control shapeId="4224" r:id="rId581" name="Drop Down 3200">
              <controlPr defaultSize="0" autoLine="0" autoPict="0">
                <anchor moveWithCells="1">
                  <from>
                    <xdr:col>12</xdr:col>
                    <xdr:colOff>0</xdr:colOff>
                    <xdr:row>1977</xdr:row>
                    <xdr:rowOff>0</xdr:rowOff>
                  </from>
                  <to>
                    <xdr:col>12</xdr:col>
                    <xdr:colOff>701040</xdr:colOff>
                    <xdr:row>1977</xdr:row>
                    <xdr:rowOff>220980</xdr:rowOff>
                  </to>
                </anchor>
              </controlPr>
            </control>
          </mc:Choice>
        </mc:AlternateContent>
        <mc:AlternateContent xmlns:mc="http://schemas.openxmlformats.org/markup-compatibility/2006">
          <mc:Choice Requires="x14">
            <control shapeId="4225" r:id="rId582" name="Drop Down 3201">
              <controlPr defaultSize="0" autoLine="0" autoPict="0">
                <anchor moveWithCells="1">
                  <from>
                    <xdr:col>12</xdr:col>
                    <xdr:colOff>685800</xdr:colOff>
                    <xdr:row>1977</xdr:row>
                    <xdr:rowOff>15240</xdr:rowOff>
                  </from>
                  <to>
                    <xdr:col>12</xdr:col>
                    <xdr:colOff>1310640</xdr:colOff>
                    <xdr:row>1977</xdr:row>
                    <xdr:rowOff>220980</xdr:rowOff>
                  </to>
                </anchor>
              </controlPr>
            </control>
          </mc:Choice>
        </mc:AlternateContent>
        <mc:AlternateContent xmlns:mc="http://schemas.openxmlformats.org/markup-compatibility/2006">
          <mc:Choice Requires="x14">
            <control shapeId="4226" r:id="rId583" name="Drop Down 3202">
              <controlPr defaultSize="0" autoLine="0" autoPict="0">
                <anchor moveWithCells="1">
                  <from>
                    <xdr:col>12</xdr:col>
                    <xdr:colOff>1325880</xdr:colOff>
                    <xdr:row>1976</xdr:row>
                    <xdr:rowOff>220980</xdr:rowOff>
                  </from>
                  <to>
                    <xdr:col>13</xdr:col>
                    <xdr:colOff>0</xdr:colOff>
                    <xdr:row>1977</xdr:row>
                    <xdr:rowOff>220980</xdr:rowOff>
                  </to>
                </anchor>
              </controlPr>
            </control>
          </mc:Choice>
        </mc:AlternateContent>
        <mc:AlternateContent xmlns:mc="http://schemas.openxmlformats.org/markup-compatibility/2006">
          <mc:Choice Requires="x14">
            <control shapeId="4909" r:id="rId584" name="Drop Down 3885">
              <controlPr defaultSize="0" autoLine="0" autoPict="0">
                <anchor moveWithCells="1">
                  <from>
                    <xdr:col>83</xdr:col>
                    <xdr:colOff>0</xdr:colOff>
                    <xdr:row>4015</xdr:row>
                    <xdr:rowOff>0</xdr:rowOff>
                  </from>
                  <to>
                    <xdr:col>84</xdr:col>
                    <xdr:colOff>0</xdr:colOff>
                    <xdr:row>4016</xdr:row>
                    <xdr:rowOff>38100</xdr:rowOff>
                  </to>
                </anchor>
              </controlPr>
            </control>
          </mc:Choice>
        </mc:AlternateContent>
        <mc:AlternateContent xmlns:mc="http://schemas.openxmlformats.org/markup-compatibility/2006">
          <mc:Choice Requires="x14">
            <control shapeId="4926" r:id="rId585" name="Drop Down 3902">
              <controlPr defaultSize="0" autoLine="0" autoPict="0">
                <anchor moveWithCells="1">
                  <from>
                    <xdr:col>6</xdr:col>
                    <xdr:colOff>0</xdr:colOff>
                    <xdr:row>1846</xdr:row>
                    <xdr:rowOff>0</xdr:rowOff>
                  </from>
                  <to>
                    <xdr:col>6</xdr:col>
                    <xdr:colOff>624840</xdr:colOff>
                    <xdr:row>1847</xdr:row>
                    <xdr:rowOff>0</xdr:rowOff>
                  </to>
                </anchor>
              </controlPr>
            </control>
          </mc:Choice>
        </mc:AlternateContent>
        <mc:AlternateContent xmlns:mc="http://schemas.openxmlformats.org/markup-compatibility/2006">
          <mc:Choice Requires="x14">
            <control shapeId="4927" r:id="rId586" name="Drop Down 3903">
              <controlPr defaultSize="0" autoLine="0" autoPict="0">
                <anchor moveWithCells="1">
                  <from>
                    <xdr:col>6</xdr:col>
                    <xdr:colOff>601980</xdr:colOff>
                    <xdr:row>1846</xdr:row>
                    <xdr:rowOff>15240</xdr:rowOff>
                  </from>
                  <to>
                    <xdr:col>6</xdr:col>
                    <xdr:colOff>1272540</xdr:colOff>
                    <xdr:row>1847</xdr:row>
                    <xdr:rowOff>0</xdr:rowOff>
                  </to>
                </anchor>
              </controlPr>
            </control>
          </mc:Choice>
        </mc:AlternateContent>
        <mc:AlternateContent xmlns:mc="http://schemas.openxmlformats.org/markup-compatibility/2006">
          <mc:Choice Requires="x14">
            <control shapeId="4928" r:id="rId587" name="Drop Down 3904">
              <controlPr defaultSize="0" autoLine="0" autoPict="0">
                <anchor moveWithCells="1">
                  <from>
                    <xdr:col>6</xdr:col>
                    <xdr:colOff>1272540</xdr:colOff>
                    <xdr:row>1846</xdr:row>
                    <xdr:rowOff>15240</xdr:rowOff>
                  </from>
                  <to>
                    <xdr:col>6</xdr:col>
                    <xdr:colOff>1805940</xdr:colOff>
                    <xdr:row>1846</xdr:row>
                    <xdr:rowOff>320040</xdr:rowOff>
                  </to>
                </anchor>
              </controlPr>
            </control>
          </mc:Choice>
        </mc:AlternateContent>
        <mc:AlternateContent xmlns:mc="http://schemas.openxmlformats.org/markup-compatibility/2006">
          <mc:Choice Requires="x14">
            <control shapeId="4929" r:id="rId588" name="Drop Down 3905">
              <controlPr defaultSize="0" autoLine="0" autoPict="0">
                <anchor moveWithCells="1">
                  <from>
                    <xdr:col>6</xdr:col>
                    <xdr:colOff>0</xdr:colOff>
                    <xdr:row>1847</xdr:row>
                    <xdr:rowOff>0</xdr:rowOff>
                  </from>
                  <to>
                    <xdr:col>6</xdr:col>
                    <xdr:colOff>624840</xdr:colOff>
                    <xdr:row>1848</xdr:row>
                    <xdr:rowOff>0</xdr:rowOff>
                  </to>
                </anchor>
              </controlPr>
            </control>
          </mc:Choice>
        </mc:AlternateContent>
        <mc:AlternateContent xmlns:mc="http://schemas.openxmlformats.org/markup-compatibility/2006">
          <mc:Choice Requires="x14">
            <control shapeId="4930" r:id="rId589" name="Drop Down 3906">
              <controlPr defaultSize="0" autoLine="0" autoPict="0">
                <anchor moveWithCells="1">
                  <from>
                    <xdr:col>6</xdr:col>
                    <xdr:colOff>601980</xdr:colOff>
                    <xdr:row>1847</xdr:row>
                    <xdr:rowOff>15240</xdr:rowOff>
                  </from>
                  <to>
                    <xdr:col>6</xdr:col>
                    <xdr:colOff>1272540</xdr:colOff>
                    <xdr:row>1848</xdr:row>
                    <xdr:rowOff>0</xdr:rowOff>
                  </to>
                </anchor>
              </controlPr>
            </control>
          </mc:Choice>
        </mc:AlternateContent>
        <mc:AlternateContent xmlns:mc="http://schemas.openxmlformats.org/markup-compatibility/2006">
          <mc:Choice Requires="x14">
            <control shapeId="4931" r:id="rId590" name="Drop Down 3907">
              <controlPr defaultSize="0" autoLine="0" autoPict="0">
                <anchor moveWithCells="1">
                  <from>
                    <xdr:col>6</xdr:col>
                    <xdr:colOff>1272540</xdr:colOff>
                    <xdr:row>1847</xdr:row>
                    <xdr:rowOff>15240</xdr:rowOff>
                  </from>
                  <to>
                    <xdr:col>6</xdr:col>
                    <xdr:colOff>1805940</xdr:colOff>
                    <xdr:row>1847</xdr:row>
                    <xdr:rowOff>320040</xdr:rowOff>
                  </to>
                </anchor>
              </controlPr>
            </control>
          </mc:Choice>
        </mc:AlternateContent>
        <mc:AlternateContent xmlns:mc="http://schemas.openxmlformats.org/markup-compatibility/2006">
          <mc:Choice Requires="x14">
            <control shapeId="4932" r:id="rId591" name="Drop Down 3908">
              <controlPr defaultSize="0" autoLine="0" autoPict="0">
                <anchor moveWithCells="1">
                  <from>
                    <xdr:col>6</xdr:col>
                    <xdr:colOff>0</xdr:colOff>
                    <xdr:row>1848</xdr:row>
                    <xdr:rowOff>0</xdr:rowOff>
                  </from>
                  <to>
                    <xdr:col>6</xdr:col>
                    <xdr:colOff>624840</xdr:colOff>
                    <xdr:row>1849</xdr:row>
                    <xdr:rowOff>0</xdr:rowOff>
                  </to>
                </anchor>
              </controlPr>
            </control>
          </mc:Choice>
        </mc:AlternateContent>
        <mc:AlternateContent xmlns:mc="http://schemas.openxmlformats.org/markup-compatibility/2006">
          <mc:Choice Requires="x14">
            <control shapeId="4933" r:id="rId592" name="Drop Down 3909">
              <controlPr defaultSize="0" autoLine="0" autoPict="0">
                <anchor moveWithCells="1">
                  <from>
                    <xdr:col>6</xdr:col>
                    <xdr:colOff>601980</xdr:colOff>
                    <xdr:row>1848</xdr:row>
                    <xdr:rowOff>15240</xdr:rowOff>
                  </from>
                  <to>
                    <xdr:col>6</xdr:col>
                    <xdr:colOff>1272540</xdr:colOff>
                    <xdr:row>1849</xdr:row>
                    <xdr:rowOff>0</xdr:rowOff>
                  </to>
                </anchor>
              </controlPr>
            </control>
          </mc:Choice>
        </mc:AlternateContent>
        <mc:AlternateContent xmlns:mc="http://schemas.openxmlformats.org/markup-compatibility/2006">
          <mc:Choice Requires="x14">
            <control shapeId="4934" r:id="rId593" name="Drop Down 3910">
              <controlPr defaultSize="0" autoLine="0" autoPict="0">
                <anchor moveWithCells="1">
                  <from>
                    <xdr:col>6</xdr:col>
                    <xdr:colOff>1272540</xdr:colOff>
                    <xdr:row>1848</xdr:row>
                    <xdr:rowOff>15240</xdr:rowOff>
                  </from>
                  <to>
                    <xdr:col>6</xdr:col>
                    <xdr:colOff>1805940</xdr:colOff>
                    <xdr:row>1848</xdr:row>
                    <xdr:rowOff>320040</xdr:rowOff>
                  </to>
                </anchor>
              </controlPr>
            </control>
          </mc:Choice>
        </mc:AlternateContent>
        <mc:AlternateContent xmlns:mc="http://schemas.openxmlformats.org/markup-compatibility/2006">
          <mc:Choice Requires="x14">
            <control shapeId="4941" r:id="rId594" name="Drop Down 3917">
              <controlPr defaultSize="0" autoLine="0" autoPict="0">
                <anchor moveWithCells="1">
                  <from>
                    <xdr:col>6</xdr:col>
                    <xdr:colOff>0</xdr:colOff>
                    <xdr:row>1946</xdr:row>
                    <xdr:rowOff>0</xdr:rowOff>
                  </from>
                  <to>
                    <xdr:col>6</xdr:col>
                    <xdr:colOff>624840</xdr:colOff>
                    <xdr:row>1947</xdr:row>
                    <xdr:rowOff>0</xdr:rowOff>
                  </to>
                </anchor>
              </controlPr>
            </control>
          </mc:Choice>
        </mc:AlternateContent>
        <mc:AlternateContent xmlns:mc="http://schemas.openxmlformats.org/markup-compatibility/2006">
          <mc:Choice Requires="x14">
            <control shapeId="4942" r:id="rId595" name="Drop Down 3918">
              <controlPr defaultSize="0" autoLine="0" autoPict="0">
                <anchor moveWithCells="1">
                  <from>
                    <xdr:col>6</xdr:col>
                    <xdr:colOff>601980</xdr:colOff>
                    <xdr:row>1946</xdr:row>
                    <xdr:rowOff>15240</xdr:rowOff>
                  </from>
                  <to>
                    <xdr:col>6</xdr:col>
                    <xdr:colOff>1272540</xdr:colOff>
                    <xdr:row>1947</xdr:row>
                    <xdr:rowOff>0</xdr:rowOff>
                  </to>
                </anchor>
              </controlPr>
            </control>
          </mc:Choice>
        </mc:AlternateContent>
        <mc:AlternateContent xmlns:mc="http://schemas.openxmlformats.org/markup-compatibility/2006">
          <mc:Choice Requires="x14">
            <control shapeId="4943" r:id="rId596" name="Drop Down 3919">
              <controlPr defaultSize="0" autoLine="0" autoPict="0">
                <anchor moveWithCells="1">
                  <from>
                    <xdr:col>6</xdr:col>
                    <xdr:colOff>1272540</xdr:colOff>
                    <xdr:row>1946</xdr:row>
                    <xdr:rowOff>15240</xdr:rowOff>
                  </from>
                  <to>
                    <xdr:col>6</xdr:col>
                    <xdr:colOff>1805940</xdr:colOff>
                    <xdr:row>1946</xdr:row>
                    <xdr:rowOff>320040</xdr:rowOff>
                  </to>
                </anchor>
              </controlPr>
            </control>
          </mc:Choice>
        </mc:AlternateContent>
        <mc:AlternateContent xmlns:mc="http://schemas.openxmlformats.org/markup-compatibility/2006">
          <mc:Choice Requires="x14">
            <control shapeId="4944" r:id="rId597" name="Drop Down 3920">
              <controlPr defaultSize="0" autoLine="0" autoPict="0">
                <anchor moveWithCells="1">
                  <from>
                    <xdr:col>6</xdr:col>
                    <xdr:colOff>0</xdr:colOff>
                    <xdr:row>1948</xdr:row>
                    <xdr:rowOff>0</xdr:rowOff>
                  </from>
                  <to>
                    <xdr:col>6</xdr:col>
                    <xdr:colOff>624840</xdr:colOff>
                    <xdr:row>1949</xdr:row>
                    <xdr:rowOff>0</xdr:rowOff>
                  </to>
                </anchor>
              </controlPr>
            </control>
          </mc:Choice>
        </mc:AlternateContent>
        <mc:AlternateContent xmlns:mc="http://schemas.openxmlformats.org/markup-compatibility/2006">
          <mc:Choice Requires="x14">
            <control shapeId="4945" r:id="rId598" name="Drop Down 3921">
              <controlPr defaultSize="0" autoLine="0" autoPict="0">
                <anchor moveWithCells="1">
                  <from>
                    <xdr:col>6</xdr:col>
                    <xdr:colOff>601980</xdr:colOff>
                    <xdr:row>1948</xdr:row>
                    <xdr:rowOff>15240</xdr:rowOff>
                  </from>
                  <to>
                    <xdr:col>6</xdr:col>
                    <xdr:colOff>1272540</xdr:colOff>
                    <xdr:row>1949</xdr:row>
                    <xdr:rowOff>0</xdr:rowOff>
                  </to>
                </anchor>
              </controlPr>
            </control>
          </mc:Choice>
        </mc:AlternateContent>
        <mc:AlternateContent xmlns:mc="http://schemas.openxmlformats.org/markup-compatibility/2006">
          <mc:Choice Requires="x14">
            <control shapeId="4946" r:id="rId599" name="Drop Down 3922">
              <controlPr defaultSize="0" autoLine="0" autoPict="0">
                <anchor moveWithCells="1">
                  <from>
                    <xdr:col>6</xdr:col>
                    <xdr:colOff>1272540</xdr:colOff>
                    <xdr:row>1948</xdr:row>
                    <xdr:rowOff>15240</xdr:rowOff>
                  </from>
                  <to>
                    <xdr:col>6</xdr:col>
                    <xdr:colOff>1805940</xdr:colOff>
                    <xdr:row>1948</xdr:row>
                    <xdr:rowOff>320040</xdr:rowOff>
                  </to>
                </anchor>
              </controlPr>
            </control>
          </mc:Choice>
        </mc:AlternateContent>
        <mc:AlternateContent xmlns:mc="http://schemas.openxmlformats.org/markup-compatibility/2006">
          <mc:Choice Requires="x14">
            <control shapeId="4947" r:id="rId600" name="Drop Down 3923">
              <controlPr defaultSize="0" autoLine="0" autoPict="0">
                <anchor moveWithCells="1">
                  <from>
                    <xdr:col>6</xdr:col>
                    <xdr:colOff>0</xdr:colOff>
                    <xdr:row>1947</xdr:row>
                    <xdr:rowOff>0</xdr:rowOff>
                  </from>
                  <to>
                    <xdr:col>6</xdr:col>
                    <xdr:colOff>624840</xdr:colOff>
                    <xdr:row>1948</xdr:row>
                    <xdr:rowOff>0</xdr:rowOff>
                  </to>
                </anchor>
              </controlPr>
            </control>
          </mc:Choice>
        </mc:AlternateContent>
        <mc:AlternateContent xmlns:mc="http://schemas.openxmlformats.org/markup-compatibility/2006">
          <mc:Choice Requires="x14">
            <control shapeId="4948" r:id="rId601" name="Drop Down 3924">
              <controlPr defaultSize="0" autoLine="0" autoPict="0">
                <anchor moveWithCells="1">
                  <from>
                    <xdr:col>6</xdr:col>
                    <xdr:colOff>601980</xdr:colOff>
                    <xdr:row>1947</xdr:row>
                    <xdr:rowOff>15240</xdr:rowOff>
                  </from>
                  <to>
                    <xdr:col>6</xdr:col>
                    <xdr:colOff>1272540</xdr:colOff>
                    <xdr:row>1948</xdr:row>
                    <xdr:rowOff>0</xdr:rowOff>
                  </to>
                </anchor>
              </controlPr>
            </control>
          </mc:Choice>
        </mc:AlternateContent>
        <mc:AlternateContent xmlns:mc="http://schemas.openxmlformats.org/markup-compatibility/2006">
          <mc:Choice Requires="x14">
            <control shapeId="4949" r:id="rId602" name="Drop Down 3925">
              <controlPr defaultSize="0" autoLine="0" autoPict="0">
                <anchor moveWithCells="1">
                  <from>
                    <xdr:col>6</xdr:col>
                    <xdr:colOff>1272540</xdr:colOff>
                    <xdr:row>1947</xdr:row>
                    <xdr:rowOff>15240</xdr:rowOff>
                  </from>
                  <to>
                    <xdr:col>6</xdr:col>
                    <xdr:colOff>1805940</xdr:colOff>
                    <xdr:row>1947</xdr:row>
                    <xdr:rowOff>320040</xdr:rowOff>
                  </to>
                </anchor>
              </controlPr>
            </control>
          </mc:Choice>
        </mc:AlternateContent>
        <mc:AlternateContent xmlns:mc="http://schemas.openxmlformats.org/markup-compatibility/2006">
          <mc:Choice Requires="x14">
            <control shapeId="5106" r:id="rId603" name="Drop Down 4082">
              <controlPr defaultSize="0" autoLine="0" autoPict="0">
                <anchor moveWithCells="1">
                  <from>
                    <xdr:col>6</xdr:col>
                    <xdr:colOff>0</xdr:colOff>
                    <xdr:row>1546</xdr:row>
                    <xdr:rowOff>0</xdr:rowOff>
                  </from>
                  <to>
                    <xdr:col>6</xdr:col>
                    <xdr:colOff>624840</xdr:colOff>
                    <xdr:row>1547</xdr:row>
                    <xdr:rowOff>0</xdr:rowOff>
                  </to>
                </anchor>
              </controlPr>
            </control>
          </mc:Choice>
        </mc:AlternateContent>
        <mc:AlternateContent xmlns:mc="http://schemas.openxmlformats.org/markup-compatibility/2006">
          <mc:Choice Requires="x14">
            <control shapeId="5107" r:id="rId604" name="Drop Down 4083">
              <controlPr defaultSize="0" autoLine="0" autoPict="0">
                <anchor moveWithCells="1">
                  <from>
                    <xdr:col>6</xdr:col>
                    <xdr:colOff>601980</xdr:colOff>
                    <xdr:row>1546</xdr:row>
                    <xdr:rowOff>15240</xdr:rowOff>
                  </from>
                  <to>
                    <xdr:col>6</xdr:col>
                    <xdr:colOff>1272540</xdr:colOff>
                    <xdr:row>1547</xdr:row>
                    <xdr:rowOff>0</xdr:rowOff>
                  </to>
                </anchor>
              </controlPr>
            </control>
          </mc:Choice>
        </mc:AlternateContent>
        <mc:AlternateContent xmlns:mc="http://schemas.openxmlformats.org/markup-compatibility/2006">
          <mc:Choice Requires="x14">
            <control shapeId="5108" r:id="rId605" name="Drop Down 4084">
              <controlPr defaultSize="0" autoLine="0" autoPict="0">
                <anchor moveWithCells="1">
                  <from>
                    <xdr:col>6</xdr:col>
                    <xdr:colOff>1272540</xdr:colOff>
                    <xdr:row>1546</xdr:row>
                    <xdr:rowOff>15240</xdr:rowOff>
                  </from>
                  <to>
                    <xdr:col>6</xdr:col>
                    <xdr:colOff>1805940</xdr:colOff>
                    <xdr:row>1546</xdr:row>
                    <xdr:rowOff>320040</xdr:rowOff>
                  </to>
                </anchor>
              </controlPr>
            </control>
          </mc:Choice>
        </mc:AlternateContent>
        <mc:AlternateContent xmlns:mc="http://schemas.openxmlformats.org/markup-compatibility/2006">
          <mc:Choice Requires="x14">
            <control shapeId="5109" r:id="rId606" name="Drop Down 4085">
              <controlPr defaultSize="0" autoLine="0" autoPict="0">
                <anchor moveWithCells="1">
                  <from>
                    <xdr:col>6</xdr:col>
                    <xdr:colOff>0</xdr:colOff>
                    <xdr:row>1547</xdr:row>
                    <xdr:rowOff>0</xdr:rowOff>
                  </from>
                  <to>
                    <xdr:col>6</xdr:col>
                    <xdr:colOff>624840</xdr:colOff>
                    <xdr:row>1548</xdr:row>
                    <xdr:rowOff>0</xdr:rowOff>
                  </to>
                </anchor>
              </controlPr>
            </control>
          </mc:Choice>
        </mc:AlternateContent>
        <mc:AlternateContent xmlns:mc="http://schemas.openxmlformats.org/markup-compatibility/2006">
          <mc:Choice Requires="x14">
            <control shapeId="5110" r:id="rId607" name="Drop Down 4086">
              <controlPr defaultSize="0" autoLine="0" autoPict="0">
                <anchor moveWithCells="1">
                  <from>
                    <xdr:col>6</xdr:col>
                    <xdr:colOff>601980</xdr:colOff>
                    <xdr:row>1547</xdr:row>
                    <xdr:rowOff>15240</xdr:rowOff>
                  </from>
                  <to>
                    <xdr:col>6</xdr:col>
                    <xdr:colOff>1272540</xdr:colOff>
                    <xdr:row>1548</xdr:row>
                    <xdr:rowOff>0</xdr:rowOff>
                  </to>
                </anchor>
              </controlPr>
            </control>
          </mc:Choice>
        </mc:AlternateContent>
        <mc:AlternateContent xmlns:mc="http://schemas.openxmlformats.org/markup-compatibility/2006">
          <mc:Choice Requires="x14">
            <control shapeId="5111" r:id="rId608" name="Drop Down 4087">
              <controlPr defaultSize="0" autoLine="0" autoPict="0">
                <anchor moveWithCells="1">
                  <from>
                    <xdr:col>6</xdr:col>
                    <xdr:colOff>1272540</xdr:colOff>
                    <xdr:row>1547</xdr:row>
                    <xdr:rowOff>15240</xdr:rowOff>
                  </from>
                  <to>
                    <xdr:col>6</xdr:col>
                    <xdr:colOff>1805940</xdr:colOff>
                    <xdr:row>1547</xdr:row>
                    <xdr:rowOff>320040</xdr:rowOff>
                  </to>
                </anchor>
              </controlPr>
            </control>
          </mc:Choice>
        </mc:AlternateContent>
        <mc:AlternateContent xmlns:mc="http://schemas.openxmlformats.org/markup-compatibility/2006">
          <mc:Choice Requires="x14">
            <control shapeId="5112" r:id="rId609" name="Drop Down 4088">
              <controlPr defaultSize="0" autoLine="0" autoPict="0">
                <anchor moveWithCells="1">
                  <from>
                    <xdr:col>6</xdr:col>
                    <xdr:colOff>0</xdr:colOff>
                    <xdr:row>1548</xdr:row>
                    <xdr:rowOff>0</xdr:rowOff>
                  </from>
                  <to>
                    <xdr:col>6</xdr:col>
                    <xdr:colOff>624840</xdr:colOff>
                    <xdr:row>1549</xdr:row>
                    <xdr:rowOff>0</xdr:rowOff>
                  </to>
                </anchor>
              </controlPr>
            </control>
          </mc:Choice>
        </mc:AlternateContent>
        <mc:AlternateContent xmlns:mc="http://schemas.openxmlformats.org/markup-compatibility/2006">
          <mc:Choice Requires="x14">
            <control shapeId="5113" r:id="rId610" name="Drop Down 4089">
              <controlPr defaultSize="0" autoLine="0" autoPict="0">
                <anchor moveWithCells="1">
                  <from>
                    <xdr:col>6</xdr:col>
                    <xdr:colOff>601980</xdr:colOff>
                    <xdr:row>1548</xdr:row>
                    <xdr:rowOff>15240</xdr:rowOff>
                  </from>
                  <to>
                    <xdr:col>6</xdr:col>
                    <xdr:colOff>1272540</xdr:colOff>
                    <xdr:row>1549</xdr:row>
                    <xdr:rowOff>0</xdr:rowOff>
                  </to>
                </anchor>
              </controlPr>
            </control>
          </mc:Choice>
        </mc:AlternateContent>
        <mc:AlternateContent xmlns:mc="http://schemas.openxmlformats.org/markup-compatibility/2006">
          <mc:Choice Requires="x14">
            <control shapeId="5114" r:id="rId611" name="Drop Down 4090">
              <controlPr defaultSize="0" autoLine="0" autoPict="0">
                <anchor moveWithCells="1">
                  <from>
                    <xdr:col>6</xdr:col>
                    <xdr:colOff>1272540</xdr:colOff>
                    <xdr:row>1548</xdr:row>
                    <xdr:rowOff>15240</xdr:rowOff>
                  </from>
                  <to>
                    <xdr:col>6</xdr:col>
                    <xdr:colOff>1805940</xdr:colOff>
                    <xdr:row>1548</xdr:row>
                    <xdr:rowOff>320040</xdr:rowOff>
                  </to>
                </anchor>
              </controlPr>
            </control>
          </mc:Choice>
        </mc:AlternateContent>
        <mc:AlternateContent xmlns:mc="http://schemas.openxmlformats.org/markup-compatibility/2006">
          <mc:Choice Requires="x14">
            <control shapeId="5136" r:id="rId612" name="Drop Down 4112">
              <controlPr defaultSize="0" autoLine="0" autoPict="0">
                <anchor moveWithCells="1">
                  <from>
                    <xdr:col>6</xdr:col>
                    <xdr:colOff>0</xdr:colOff>
                    <xdr:row>146</xdr:row>
                    <xdr:rowOff>0</xdr:rowOff>
                  </from>
                  <to>
                    <xdr:col>6</xdr:col>
                    <xdr:colOff>624840</xdr:colOff>
                    <xdr:row>147</xdr:row>
                    <xdr:rowOff>0</xdr:rowOff>
                  </to>
                </anchor>
              </controlPr>
            </control>
          </mc:Choice>
        </mc:AlternateContent>
        <mc:AlternateContent xmlns:mc="http://schemas.openxmlformats.org/markup-compatibility/2006">
          <mc:Choice Requires="x14">
            <control shapeId="5137" r:id="rId613" name="Drop Down 4113">
              <controlPr defaultSize="0" autoLine="0" autoPict="0">
                <anchor moveWithCells="1">
                  <from>
                    <xdr:col>6</xdr:col>
                    <xdr:colOff>601980</xdr:colOff>
                    <xdr:row>146</xdr:row>
                    <xdr:rowOff>15240</xdr:rowOff>
                  </from>
                  <to>
                    <xdr:col>6</xdr:col>
                    <xdr:colOff>1272540</xdr:colOff>
                    <xdr:row>147</xdr:row>
                    <xdr:rowOff>0</xdr:rowOff>
                  </to>
                </anchor>
              </controlPr>
            </control>
          </mc:Choice>
        </mc:AlternateContent>
        <mc:AlternateContent xmlns:mc="http://schemas.openxmlformats.org/markup-compatibility/2006">
          <mc:Choice Requires="x14">
            <control shapeId="5138" r:id="rId614" name="Drop Down 4114">
              <controlPr defaultSize="0" autoLine="0" autoPict="0">
                <anchor moveWithCells="1">
                  <from>
                    <xdr:col>6</xdr:col>
                    <xdr:colOff>1272540</xdr:colOff>
                    <xdr:row>146</xdr:row>
                    <xdr:rowOff>15240</xdr:rowOff>
                  </from>
                  <to>
                    <xdr:col>6</xdr:col>
                    <xdr:colOff>1805940</xdr:colOff>
                    <xdr:row>146</xdr:row>
                    <xdr:rowOff>320040</xdr:rowOff>
                  </to>
                </anchor>
              </controlPr>
            </control>
          </mc:Choice>
        </mc:AlternateContent>
        <mc:AlternateContent xmlns:mc="http://schemas.openxmlformats.org/markup-compatibility/2006">
          <mc:Choice Requires="x14">
            <control shapeId="5139" r:id="rId615" name="Drop Down 4115">
              <controlPr defaultSize="0" autoLine="0" autoPict="0">
                <anchor moveWithCells="1">
                  <from>
                    <xdr:col>6</xdr:col>
                    <xdr:colOff>0</xdr:colOff>
                    <xdr:row>147</xdr:row>
                    <xdr:rowOff>0</xdr:rowOff>
                  </from>
                  <to>
                    <xdr:col>6</xdr:col>
                    <xdr:colOff>624840</xdr:colOff>
                    <xdr:row>148</xdr:row>
                    <xdr:rowOff>0</xdr:rowOff>
                  </to>
                </anchor>
              </controlPr>
            </control>
          </mc:Choice>
        </mc:AlternateContent>
        <mc:AlternateContent xmlns:mc="http://schemas.openxmlformats.org/markup-compatibility/2006">
          <mc:Choice Requires="x14">
            <control shapeId="5140" r:id="rId616" name="Drop Down 4116">
              <controlPr defaultSize="0" autoLine="0" autoPict="0">
                <anchor moveWithCells="1">
                  <from>
                    <xdr:col>6</xdr:col>
                    <xdr:colOff>601980</xdr:colOff>
                    <xdr:row>147</xdr:row>
                    <xdr:rowOff>15240</xdr:rowOff>
                  </from>
                  <to>
                    <xdr:col>6</xdr:col>
                    <xdr:colOff>1272540</xdr:colOff>
                    <xdr:row>148</xdr:row>
                    <xdr:rowOff>0</xdr:rowOff>
                  </to>
                </anchor>
              </controlPr>
            </control>
          </mc:Choice>
        </mc:AlternateContent>
        <mc:AlternateContent xmlns:mc="http://schemas.openxmlformats.org/markup-compatibility/2006">
          <mc:Choice Requires="x14">
            <control shapeId="5141" r:id="rId617" name="Drop Down 4117">
              <controlPr defaultSize="0" autoLine="0" autoPict="0">
                <anchor moveWithCells="1">
                  <from>
                    <xdr:col>6</xdr:col>
                    <xdr:colOff>1272540</xdr:colOff>
                    <xdr:row>147</xdr:row>
                    <xdr:rowOff>15240</xdr:rowOff>
                  </from>
                  <to>
                    <xdr:col>6</xdr:col>
                    <xdr:colOff>1805940</xdr:colOff>
                    <xdr:row>147</xdr:row>
                    <xdr:rowOff>320040</xdr:rowOff>
                  </to>
                </anchor>
              </controlPr>
            </control>
          </mc:Choice>
        </mc:AlternateContent>
        <mc:AlternateContent xmlns:mc="http://schemas.openxmlformats.org/markup-compatibility/2006">
          <mc:Choice Requires="x14">
            <control shapeId="5142" r:id="rId618" name="Drop Down 4118">
              <controlPr defaultSize="0" autoLine="0" autoPict="0">
                <anchor moveWithCells="1">
                  <from>
                    <xdr:col>6</xdr:col>
                    <xdr:colOff>0</xdr:colOff>
                    <xdr:row>148</xdr:row>
                    <xdr:rowOff>0</xdr:rowOff>
                  </from>
                  <to>
                    <xdr:col>6</xdr:col>
                    <xdr:colOff>624840</xdr:colOff>
                    <xdr:row>149</xdr:row>
                    <xdr:rowOff>0</xdr:rowOff>
                  </to>
                </anchor>
              </controlPr>
            </control>
          </mc:Choice>
        </mc:AlternateContent>
        <mc:AlternateContent xmlns:mc="http://schemas.openxmlformats.org/markup-compatibility/2006">
          <mc:Choice Requires="x14">
            <control shapeId="5143" r:id="rId619" name="Drop Down 4119">
              <controlPr defaultSize="0" autoLine="0" autoPict="0">
                <anchor moveWithCells="1">
                  <from>
                    <xdr:col>6</xdr:col>
                    <xdr:colOff>601980</xdr:colOff>
                    <xdr:row>148</xdr:row>
                    <xdr:rowOff>15240</xdr:rowOff>
                  </from>
                  <to>
                    <xdr:col>6</xdr:col>
                    <xdr:colOff>1272540</xdr:colOff>
                    <xdr:row>149</xdr:row>
                    <xdr:rowOff>0</xdr:rowOff>
                  </to>
                </anchor>
              </controlPr>
            </control>
          </mc:Choice>
        </mc:AlternateContent>
        <mc:AlternateContent xmlns:mc="http://schemas.openxmlformats.org/markup-compatibility/2006">
          <mc:Choice Requires="x14">
            <control shapeId="5144" r:id="rId620" name="Drop Down 4120">
              <controlPr defaultSize="0" autoLine="0" autoPict="0">
                <anchor moveWithCells="1">
                  <from>
                    <xdr:col>6</xdr:col>
                    <xdr:colOff>1272540</xdr:colOff>
                    <xdr:row>148</xdr:row>
                    <xdr:rowOff>15240</xdr:rowOff>
                  </from>
                  <to>
                    <xdr:col>6</xdr:col>
                    <xdr:colOff>1805940</xdr:colOff>
                    <xdr:row>148</xdr:row>
                    <xdr:rowOff>320040</xdr:rowOff>
                  </to>
                </anchor>
              </controlPr>
            </control>
          </mc:Choice>
        </mc:AlternateContent>
        <mc:AlternateContent xmlns:mc="http://schemas.openxmlformats.org/markup-compatibility/2006">
          <mc:Choice Requires="x14">
            <control shapeId="5151" r:id="rId621" name="Drop Down 4127">
              <controlPr defaultSize="0" autoLine="0" autoPict="0">
                <anchor moveWithCells="1">
                  <from>
                    <xdr:col>6</xdr:col>
                    <xdr:colOff>0</xdr:colOff>
                    <xdr:row>246</xdr:row>
                    <xdr:rowOff>0</xdr:rowOff>
                  </from>
                  <to>
                    <xdr:col>6</xdr:col>
                    <xdr:colOff>624840</xdr:colOff>
                    <xdr:row>247</xdr:row>
                    <xdr:rowOff>0</xdr:rowOff>
                  </to>
                </anchor>
              </controlPr>
            </control>
          </mc:Choice>
        </mc:AlternateContent>
        <mc:AlternateContent xmlns:mc="http://schemas.openxmlformats.org/markup-compatibility/2006">
          <mc:Choice Requires="x14">
            <control shapeId="5152" r:id="rId622" name="Drop Down 4128">
              <controlPr defaultSize="0" autoLine="0" autoPict="0">
                <anchor moveWithCells="1">
                  <from>
                    <xdr:col>6</xdr:col>
                    <xdr:colOff>601980</xdr:colOff>
                    <xdr:row>246</xdr:row>
                    <xdr:rowOff>15240</xdr:rowOff>
                  </from>
                  <to>
                    <xdr:col>6</xdr:col>
                    <xdr:colOff>1272540</xdr:colOff>
                    <xdr:row>247</xdr:row>
                    <xdr:rowOff>0</xdr:rowOff>
                  </to>
                </anchor>
              </controlPr>
            </control>
          </mc:Choice>
        </mc:AlternateContent>
        <mc:AlternateContent xmlns:mc="http://schemas.openxmlformats.org/markup-compatibility/2006">
          <mc:Choice Requires="x14">
            <control shapeId="5153" r:id="rId623" name="Drop Down 4129">
              <controlPr defaultSize="0" autoLine="0" autoPict="0">
                <anchor moveWithCells="1">
                  <from>
                    <xdr:col>6</xdr:col>
                    <xdr:colOff>1272540</xdr:colOff>
                    <xdr:row>246</xdr:row>
                    <xdr:rowOff>15240</xdr:rowOff>
                  </from>
                  <to>
                    <xdr:col>6</xdr:col>
                    <xdr:colOff>1805940</xdr:colOff>
                    <xdr:row>246</xdr:row>
                    <xdr:rowOff>320040</xdr:rowOff>
                  </to>
                </anchor>
              </controlPr>
            </control>
          </mc:Choice>
        </mc:AlternateContent>
        <mc:AlternateContent xmlns:mc="http://schemas.openxmlformats.org/markup-compatibility/2006">
          <mc:Choice Requires="x14">
            <control shapeId="5154" r:id="rId624" name="Drop Down 4130">
              <controlPr defaultSize="0" autoLine="0" autoPict="0">
                <anchor moveWithCells="1">
                  <from>
                    <xdr:col>6</xdr:col>
                    <xdr:colOff>0</xdr:colOff>
                    <xdr:row>247</xdr:row>
                    <xdr:rowOff>0</xdr:rowOff>
                  </from>
                  <to>
                    <xdr:col>6</xdr:col>
                    <xdr:colOff>624840</xdr:colOff>
                    <xdr:row>248</xdr:row>
                    <xdr:rowOff>0</xdr:rowOff>
                  </to>
                </anchor>
              </controlPr>
            </control>
          </mc:Choice>
        </mc:AlternateContent>
        <mc:AlternateContent xmlns:mc="http://schemas.openxmlformats.org/markup-compatibility/2006">
          <mc:Choice Requires="x14">
            <control shapeId="5155" r:id="rId625" name="Drop Down 4131">
              <controlPr defaultSize="0" autoLine="0" autoPict="0">
                <anchor moveWithCells="1">
                  <from>
                    <xdr:col>6</xdr:col>
                    <xdr:colOff>601980</xdr:colOff>
                    <xdr:row>247</xdr:row>
                    <xdr:rowOff>15240</xdr:rowOff>
                  </from>
                  <to>
                    <xdr:col>6</xdr:col>
                    <xdr:colOff>1272540</xdr:colOff>
                    <xdr:row>248</xdr:row>
                    <xdr:rowOff>0</xdr:rowOff>
                  </to>
                </anchor>
              </controlPr>
            </control>
          </mc:Choice>
        </mc:AlternateContent>
        <mc:AlternateContent xmlns:mc="http://schemas.openxmlformats.org/markup-compatibility/2006">
          <mc:Choice Requires="x14">
            <control shapeId="5156" r:id="rId626" name="Drop Down 4132">
              <controlPr defaultSize="0" autoLine="0" autoPict="0">
                <anchor moveWithCells="1">
                  <from>
                    <xdr:col>6</xdr:col>
                    <xdr:colOff>1272540</xdr:colOff>
                    <xdr:row>247</xdr:row>
                    <xdr:rowOff>15240</xdr:rowOff>
                  </from>
                  <to>
                    <xdr:col>6</xdr:col>
                    <xdr:colOff>1805940</xdr:colOff>
                    <xdr:row>247</xdr:row>
                    <xdr:rowOff>320040</xdr:rowOff>
                  </to>
                </anchor>
              </controlPr>
            </control>
          </mc:Choice>
        </mc:AlternateContent>
        <mc:AlternateContent xmlns:mc="http://schemas.openxmlformats.org/markup-compatibility/2006">
          <mc:Choice Requires="x14">
            <control shapeId="5157" r:id="rId627" name="Drop Down 4133">
              <controlPr defaultSize="0" autoLine="0" autoPict="0">
                <anchor moveWithCells="1">
                  <from>
                    <xdr:col>6</xdr:col>
                    <xdr:colOff>0</xdr:colOff>
                    <xdr:row>248</xdr:row>
                    <xdr:rowOff>0</xdr:rowOff>
                  </from>
                  <to>
                    <xdr:col>6</xdr:col>
                    <xdr:colOff>624840</xdr:colOff>
                    <xdr:row>249</xdr:row>
                    <xdr:rowOff>0</xdr:rowOff>
                  </to>
                </anchor>
              </controlPr>
            </control>
          </mc:Choice>
        </mc:AlternateContent>
        <mc:AlternateContent xmlns:mc="http://schemas.openxmlformats.org/markup-compatibility/2006">
          <mc:Choice Requires="x14">
            <control shapeId="5158" r:id="rId628" name="Drop Down 4134">
              <controlPr defaultSize="0" autoLine="0" autoPict="0">
                <anchor moveWithCells="1">
                  <from>
                    <xdr:col>6</xdr:col>
                    <xdr:colOff>601980</xdr:colOff>
                    <xdr:row>248</xdr:row>
                    <xdr:rowOff>15240</xdr:rowOff>
                  </from>
                  <to>
                    <xdr:col>6</xdr:col>
                    <xdr:colOff>1272540</xdr:colOff>
                    <xdr:row>249</xdr:row>
                    <xdr:rowOff>0</xdr:rowOff>
                  </to>
                </anchor>
              </controlPr>
            </control>
          </mc:Choice>
        </mc:AlternateContent>
        <mc:AlternateContent xmlns:mc="http://schemas.openxmlformats.org/markup-compatibility/2006">
          <mc:Choice Requires="x14">
            <control shapeId="5159" r:id="rId629" name="Drop Down 4135">
              <controlPr defaultSize="0" autoLine="0" autoPict="0">
                <anchor moveWithCells="1">
                  <from>
                    <xdr:col>6</xdr:col>
                    <xdr:colOff>1272540</xdr:colOff>
                    <xdr:row>248</xdr:row>
                    <xdr:rowOff>15240</xdr:rowOff>
                  </from>
                  <to>
                    <xdr:col>6</xdr:col>
                    <xdr:colOff>1805940</xdr:colOff>
                    <xdr:row>248</xdr:row>
                    <xdr:rowOff>320040</xdr:rowOff>
                  </to>
                </anchor>
              </controlPr>
            </control>
          </mc:Choice>
        </mc:AlternateContent>
        <mc:AlternateContent xmlns:mc="http://schemas.openxmlformats.org/markup-compatibility/2006">
          <mc:Choice Requires="x14">
            <control shapeId="5181" r:id="rId630" name="Drop Down 4157">
              <controlPr defaultSize="0" autoLine="0" autoPict="0">
                <anchor moveWithCells="1">
                  <from>
                    <xdr:col>6</xdr:col>
                    <xdr:colOff>0</xdr:colOff>
                    <xdr:row>446</xdr:row>
                    <xdr:rowOff>0</xdr:rowOff>
                  </from>
                  <to>
                    <xdr:col>6</xdr:col>
                    <xdr:colOff>624840</xdr:colOff>
                    <xdr:row>447</xdr:row>
                    <xdr:rowOff>0</xdr:rowOff>
                  </to>
                </anchor>
              </controlPr>
            </control>
          </mc:Choice>
        </mc:AlternateContent>
        <mc:AlternateContent xmlns:mc="http://schemas.openxmlformats.org/markup-compatibility/2006">
          <mc:Choice Requires="x14">
            <control shapeId="5182" r:id="rId631" name="Drop Down 4158">
              <controlPr defaultSize="0" autoLine="0" autoPict="0">
                <anchor moveWithCells="1">
                  <from>
                    <xdr:col>6</xdr:col>
                    <xdr:colOff>601980</xdr:colOff>
                    <xdr:row>446</xdr:row>
                    <xdr:rowOff>15240</xdr:rowOff>
                  </from>
                  <to>
                    <xdr:col>6</xdr:col>
                    <xdr:colOff>1272540</xdr:colOff>
                    <xdr:row>447</xdr:row>
                    <xdr:rowOff>0</xdr:rowOff>
                  </to>
                </anchor>
              </controlPr>
            </control>
          </mc:Choice>
        </mc:AlternateContent>
        <mc:AlternateContent xmlns:mc="http://schemas.openxmlformats.org/markup-compatibility/2006">
          <mc:Choice Requires="x14">
            <control shapeId="5183" r:id="rId632" name="Drop Down 4159">
              <controlPr defaultSize="0" autoLine="0" autoPict="0">
                <anchor moveWithCells="1">
                  <from>
                    <xdr:col>6</xdr:col>
                    <xdr:colOff>1272540</xdr:colOff>
                    <xdr:row>446</xdr:row>
                    <xdr:rowOff>15240</xdr:rowOff>
                  </from>
                  <to>
                    <xdr:col>6</xdr:col>
                    <xdr:colOff>1805940</xdr:colOff>
                    <xdr:row>446</xdr:row>
                    <xdr:rowOff>320040</xdr:rowOff>
                  </to>
                </anchor>
              </controlPr>
            </control>
          </mc:Choice>
        </mc:AlternateContent>
        <mc:AlternateContent xmlns:mc="http://schemas.openxmlformats.org/markup-compatibility/2006">
          <mc:Choice Requires="x14">
            <control shapeId="5184" r:id="rId633" name="Drop Down 4160">
              <controlPr defaultSize="0" autoLine="0" autoPict="0">
                <anchor moveWithCells="1">
                  <from>
                    <xdr:col>6</xdr:col>
                    <xdr:colOff>0</xdr:colOff>
                    <xdr:row>447</xdr:row>
                    <xdr:rowOff>0</xdr:rowOff>
                  </from>
                  <to>
                    <xdr:col>6</xdr:col>
                    <xdr:colOff>624840</xdr:colOff>
                    <xdr:row>448</xdr:row>
                    <xdr:rowOff>0</xdr:rowOff>
                  </to>
                </anchor>
              </controlPr>
            </control>
          </mc:Choice>
        </mc:AlternateContent>
        <mc:AlternateContent xmlns:mc="http://schemas.openxmlformats.org/markup-compatibility/2006">
          <mc:Choice Requires="x14">
            <control shapeId="5185" r:id="rId634" name="Drop Down 4161">
              <controlPr defaultSize="0" autoLine="0" autoPict="0">
                <anchor moveWithCells="1">
                  <from>
                    <xdr:col>6</xdr:col>
                    <xdr:colOff>601980</xdr:colOff>
                    <xdr:row>447</xdr:row>
                    <xdr:rowOff>15240</xdr:rowOff>
                  </from>
                  <to>
                    <xdr:col>6</xdr:col>
                    <xdr:colOff>1272540</xdr:colOff>
                    <xdr:row>448</xdr:row>
                    <xdr:rowOff>0</xdr:rowOff>
                  </to>
                </anchor>
              </controlPr>
            </control>
          </mc:Choice>
        </mc:AlternateContent>
        <mc:AlternateContent xmlns:mc="http://schemas.openxmlformats.org/markup-compatibility/2006">
          <mc:Choice Requires="x14">
            <control shapeId="5186" r:id="rId635" name="Drop Down 4162">
              <controlPr defaultSize="0" autoLine="0" autoPict="0">
                <anchor moveWithCells="1">
                  <from>
                    <xdr:col>6</xdr:col>
                    <xdr:colOff>1272540</xdr:colOff>
                    <xdr:row>447</xdr:row>
                    <xdr:rowOff>15240</xdr:rowOff>
                  </from>
                  <to>
                    <xdr:col>6</xdr:col>
                    <xdr:colOff>1805940</xdr:colOff>
                    <xdr:row>447</xdr:row>
                    <xdr:rowOff>320040</xdr:rowOff>
                  </to>
                </anchor>
              </controlPr>
            </control>
          </mc:Choice>
        </mc:AlternateContent>
        <mc:AlternateContent xmlns:mc="http://schemas.openxmlformats.org/markup-compatibility/2006">
          <mc:Choice Requires="x14">
            <control shapeId="5187" r:id="rId636" name="Drop Down 4163">
              <controlPr defaultSize="0" autoLine="0" autoPict="0">
                <anchor moveWithCells="1">
                  <from>
                    <xdr:col>6</xdr:col>
                    <xdr:colOff>0</xdr:colOff>
                    <xdr:row>448</xdr:row>
                    <xdr:rowOff>0</xdr:rowOff>
                  </from>
                  <to>
                    <xdr:col>6</xdr:col>
                    <xdr:colOff>624840</xdr:colOff>
                    <xdr:row>449</xdr:row>
                    <xdr:rowOff>0</xdr:rowOff>
                  </to>
                </anchor>
              </controlPr>
            </control>
          </mc:Choice>
        </mc:AlternateContent>
        <mc:AlternateContent xmlns:mc="http://schemas.openxmlformats.org/markup-compatibility/2006">
          <mc:Choice Requires="x14">
            <control shapeId="5188" r:id="rId637" name="Drop Down 4164">
              <controlPr defaultSize="0" autoLine="0" autoPict="0">
                <anchor moveWithCells="1">
                  <from>
                    <xdr:col>6</xdr:col>
                    <xdr:colOff>601980</xdr:colOff>
                    <xdr:row>448</xdr:row>
                    <xdr:rowOff>15240</xdr:rowOff>
                  </from>
                  <to>
                    <xdr:col>6</xdr:col>
                    <xdr:colOff>1272540</xdr:colOff>
                    <xdr:row>449</xdr:row>
                    <xdr:rowOff>0</xdr:rowOff>
                  </to>
                </anchor>
              </controlPr>
            </control>
          </mc:Choice>
        </mc:AlternateContent>
        <mc:AlternateContent xmlns:mc="http://schemas.openxmlformats.org/markup-compatibility/2006">
          <mc:Choice Requires="x14">
            <control shapeId="5189" r:id="rId638" name="Drop Down 4165">
              <controlPr defaultSize="0" autoLine="0" autoPict="0">
                <anchor moveWithCells="1">
                  <from>
                    <xdr:col>6</xdr:col>
                    <xdr:colOff>1272540</xdr:colOff>
                    <xdr:row>448</xdr:row>
                    <xdr:rowOff>15240</xdr:rowOff>
                  </from>
                  <to>
                    <xdr:col>6</xdr:col>
                    <xdr:colOff>1805940</xdr:colOff>
                    <xdr:row>448</xdr:row>
                    <xdr:rowOff>320040</xdr:rowOff>
                  </to>
                </anchor>
              </controlPr>
            </control>
          </mc:Choice>
        </mc:AlternateContent>
        <mc:AlternateContent xmlns:mc="http://schemas.openxmlformats.org/markup-compatibility/2006">
          <mc:Choice Requires="x14">
            <control shapeId="5196" r:id="rId639" name="Drop Down 4172">
              <controlPr defaultSize="0" autoLine="0" autoPict="0">
                <anchor moveWithCells="1">
                  <from>
                    <xdr:col>6</xdr:col>
                    <xdr:colOff>0</xdr:colOff>
                    <xdr:row>546</xdr:row>
                    <xdr:rowOff>0</xdr:rowOff>
                  </from>
                  <to>
                    <xdr:col>6</xdr:col>
                    <xdr:colOff>624840</xdr:colOff>
                    <xdr:row>547</xdr:row>
                    <xdr:rowOff>0</xdr:rowOff>
                  </to>
                </anchor>
              </controlPr>
            </control>
          </mc:Choice>
        </mc:AlternateContent>
        <mc:AlternateContent xmlns:mc="http://schemas.openxmlformats.org/markup-compatibility/2006">
          <mc:Choice Requires="x14">
            <control shapeId="5197" r:id="rId640" name="Drop Down 4173">
              <controlPr defaultSize="0" autoLine="0" autoPict="0">
                <anchor moveWithCells="1">
                  <from>
                    <xdr:col>6</xdr:col>
                    <xdr:colOff>601980</xdr:colOff>
                    <xdr:row>546</xdr:row>
                    <xdr:rowOff>15240</xdr:rowOff>
                  </from>
                  <to>
                    <xdr:col>6</xdr:col>
                    <xdr:colOff>1272540</xdr:colOff>
                    <xdr:row>547</xdr:row>
                    <xdr:rowOff>0</xdr:rowOff>
                  </to>
                </anchor>
              </controlPr>
            </control>
          </mc:Choice>
        </mc:AlternateContent>
        <mc:AlternateContent xmlns:mc="http://schemas.openxmlformats.org/markup-compatibility/2006">
          <mc:Choice Requires="x14">
            <control shapeId="5198" r:id="rId641" name="Drop Down 4174">
              <controlPr defaultSize="0" autoLine="0" autoPict="0">
                <anchor moveWithCells="1">
                  <from>
                    <xdr:col>6</xdr:col>
                    <xdr:colOff>1272540</xdr:colOff>
                    <xdr:row>546</xdr:row>
                    <xdr:rowOff>15240</xdr:rowOff>
                  </from>
                  <to>
                    <xdr:col>6</xdr:col>
                    <xdr:colOff>1805940</xdr:colOff>
                    <xdr:row>546</xdr:row>
                    <xdr:rowOff>320040</xdr:rowOff>
                  </to>
                </anchor>
              </controlPr>
            </control>
          </mc:Choice>
        </mc:AlternateContent>
        <mc:AlternateContent xmlns:mc="http://schemas.openxmlformats.org/markup-compatibility/2006">
          <mc:Choice Requires="x14">
            <control shapeId="5199" r:id="rId642" name="Drop Down 4175">
              <controlPr defaultSize="0" autoLine="0" autoPict="0">
                <anchor moveWithCells="1">
                  <from>
                    <xdr:col>4</xdr:col>
                    <xdr:colOff>30480</xdr:colOff>
                    <xdr:row>547</xdr:row>
                    <xdr:rowOff>0</xdr:rowOff>
                  </from>
                  <to>
                    <xdr:col>6</xdr:col>
                    <xdr:colOff>15240</xdr:colOff>
                    <xdr:row>548</xdr:row>
                    <xdr:rowOff>15240</xdr:rowOff>
                  </to>
                </anchor>
              </controlPr>
            </control>
          </mc:Choice>
        </mc:AlternateContent>
        <mc:AlternateContent xmlns:mc="http://schemas.openxmlformats.org/markup-compatibility/2006">
          <mc:Choice Requires="x14">
            <control shapeId="5200" r:id="rId643" name="Drop Down 4176">
              <controlPr defaultSize="0" autoLine="0" autoPict="0">
                <anchor moveWithCells="1">
                  <from>
                    <xdr:col>6</xdr:col>
                    <xdr:colOff>0</xdr:colOff>
                    <xdr:row>547</xdr:row>
                    <xdr:rowOff>0</xdr:rowOff>
                  </from>
                  <to>
                    <xdr:col>6</xdr:col>
                    <xdr:colOff>624840</xdr:colOff>
                    <xdr:row>548</xdr:row>
                    <xdr:rowOff>0</xdr:rowOff>
                  </to>
                </anchor>
              </controlPr>
            </control>
          </mc:Choice>
        </mc:AlternateContent>
        <mc:AlternateContent xmlns:mc="http://schemas.openxmlformats.org/markup-compatibility/2006">
          <mc:Choice Requires="x14">
            <control shapeId="5201" r:id="rId644" name="Drop Down 4177">
              <controlPr defaultSize="0" autoLine="0" autoPict="0">
                <anchor moveWithCells="1">
                  <from>
                    <xdr:col>6</xdr:col>
                    <xdr:colOff>601980</xdr:colOff>
                    <xdr:row>547</xdr:row>
                    <xdr:rowOff>15240</xdr:rowOff>
                  </from>
                  <to>
                    <xdr:col>6</xdr:col>
                    <xdr:colOff>1272540</xdr:colOff>
                    <xdr:row>548</xdr:row>
                    <xdr:rowOff>0</xdr:rowOff>
                  </to>
                </anchor>
              </controlPr>
            </control>
          </mc:Choice>
        </mc:AlternateContent>
        <mc:AlternateContent xmlns:mc="http://schemas.openxmlformats.org/markup-compatibility/2006">
          <mc:Choice Requires="x14">
            <control shapeId="5202" r:id="rId645" name="Drop Down 4178">
              <controlPr defaultSize="0" autoLine="0" autoPict="0">
                <anchor moveWithCells="1">
                  <from>
                    <xdr:col>6</xdr:col>
                    <xdr:colOff>1272540</xdr:colOff>
                    <xdr:row>547</xdr:row>
                    <xdr:rowOff>15240</xdr:rowOff>
                  </from>
                  <to>
                    <xdr:col>6</xdr:col>
                    <xdr:colOff>1805940</xdr:colOff>
                    <xdr:row>547</xdr:row>
                    <xdr:rowOff>320040</xdr:rowOff>
                  </to>
                </anchor>
              </controlPr>
            </control>
          </mc:Choice>
        </mc:AlternateContent>
        <mc:AlternateContent xmlns:mc="http://schemas.openxmlformats.org/markup-compatibility/2006">
          <mc:Choice Requires="x14">
            <control shapeId="5203" r:id="rId646" name="Drop Down 4179">
              <controlPr defaultSize="0" autoLine="0" autoPict="0">
                <anchor moveWithCells="1">
                  <from>
                    <xdr:col>4</xdr:col>
                    <xdr:colOff>15240</xdr:colOff>
                    <xdr:row>548</xdr:row>
                    <xdr:rowOff>0</xdr:rowOff>
                  </from>
                  <to>
                    <xdr:col>6</xdr:col>
                    <xdr:colOff>15240</xdr:colOff>
                    <xdr:row>549</xdr:row>
                    <xdr:rowOff>0</xdr:rowOff>
                  </to>
                </anchor>
              </controlPr>
            </control>
          </mc:Choice>
        </mc:AlternateContent>
        <mc:AlternateContent xmlns:mc="http://schemas.openxmlformats.org/markup-compatibility/2006">
          <mc:Choice Requires="x14">
            <control shapeId="5204" r:id="rId647" name="Drop Down 4180">
              <controlPr defaultSize="0" autoLine="0" autoPict="0">
                <anchor moveWithCells="1">
                  <from>
                    <xdr:col>6</xdr:col>
                    <xdr:colOff>0</xdr:colOff>
                    <xdr:row>548</xdr:row>
                    <xdr:rowOff>0</xdr:rowOff>
                  </from>
                  <to>
                    <xdr:col>6</xdr:col>
                    <xdr:colOff>624840</xdr:colOff>
                    <xdr:row>549</xdr:row>
                    <xdr:rowOff>0</xdr:rowOff>
                  </to>
                </anchor>
              </controlPr>
            </control>
          </mc:Choice>
        </mc:AlternateContent>
        <mc:AlternateContent xmlns:mc="http://schemas.openxmlformats.org/markup-compatibility/2006">
          <mc:Choice Requires="x14">
            <control shapeId="5205" r:id="rId648" name="Drop Down 4181">
              <controlPr defaultSize="0" autoLine="0" autoPict="0">
                <anchor moveWithCells="1">
                  <from>
                    <xdr:col>6</xdr:col>
                    <xdr:colOff>601980</xdr:colOff>
                    <xdr:row>548</xdr:row>
                    <xdr:rowOff>15240</xdr:rowOff>
                  </from>
                  <to>
                    <xdr:col>6</xdr:col>
                    <xdr:colOff>1272540</xdr:colOff>
                    <xdr:row>549</xdr:row>
                    <xdr:rowOff>0</xdr:rowOff>
                  </to>
                </anchor>
              </controlPr>
            </control>
          </mc:Choice>
        </mc:AlternateContent>
        <mc:AlternateContent xmlns:mc="http://schemas.openxmlformats.org/markup-compatibility/2006">
          <mc:Choice Requires="x14">
            <control shapeId="5206" r:id="rId649" name="Drop Down 4182">
              <controlPr defaultSize="0" autoLine="0" autoPict="0">
                <anchor moveWithCells="1">
                  <from>
                    <xdr:col>6</xdr:col>
                    <xdr:colOff>1272540</xdr:colOff>
                    <xdr:row>548</xdr:row>
                    <xdr:rowOff>15240</xdr:rowOff>
                  </from>
                  <to>
                    <xdr:col>6</xdr:col>
                    <xdr:colOff>1805940</xdr:colOff>
                    <xdr:row>548</xdr:row>
                    <xdr:rowOff>320040</xdr:rowOff>
                  </to>
                </anchor>
              </controlPr>
            </control>
          </mc:Choice>
        </mc:AlternateContent>
        <mc:AlternateContent xmlns:mc="http://schemas.openxmlformats.org/markup-compatibility/2006">
          <mc:Choice Requires="x14">
            <control shapeId="5215" r:id="rId650" name="Drop Down 4191">
              <controlPr defaultSize="0" autoLine="0" autoPict="0">
                <anchor moveWithCells="1">
                  <from>
                    <xdr:col>6</xdr:col>
                    <xdr:colOff>0</xdr:colOff>
                    <xdr:row>1646</xdr:row>
                    <xdr:rowOff>0</xdr:rowOff>
                  </from>
                  <to>
                    <xdr:col>6</xdr:col>
                    <xdr:colOff>624840</xdr:colOff>
                    <xdr:row>1647</xdr:row>
                    <xdr:rowOff>0</xdr:rowOff>
                  </to>
                </anchor>
              </controlPr>
            </control>
          </mc:Choice>
        </mc:AlternateContent>
        <mc:AlternateContent xmlns:mc="http://schemas.openxmlformats.org/markup-compatibility/2006">
          <mc:Choice Requires="x14">
            <control shapeId="5216" r:id="rId651" name="Drop Down 4192">
              <controlPr defaultSize="0" autoLine="0" autoPict="0">
                <anchor moveWithCells="1">
                  <from>
                    <xdr:col>6</xdr:col>
                    <xdr:colOff>601980</xdr:colOff>
                    <xdr:row>1646</xdr:row>
                    <xdr:rowOff>15240</xdr:rowOff>
                  </from>
                  <to>
                    <xdr:col>6</xdr:col>
                    <xdr:colOff>1272540</xdr:colOff>
                    <xdr:row>1647</xdr:row>
                    <xdr:rowOff>0</xdr:rowOff>
                  </to>
                </anchor>
              </controlPr>
            </control>
          </mc:Choice>
        </mc:AlternateContent>
        <mc:AlternateContent xmlns:mc="http://schemas.openxmlformats.org/markup-compatibility/2006">
          <mc:Choice Requires="x14">
            <control shapeId="5217" r:id="rId652" name="Drop Down 4193">
              <controlPr defaultSize="0" autoLine="0" autoPict="0">
                <anchor moveWithCells="1">
                  <from>
                    <xdr:col>6</xdr:col>
                    <xdr:colOff>1272540</xdr:colOff>
                    <xdr:row>1646</xdr:row>
                    <xdr:rowOff>15240</xdr:rowOff>
                  </from>
                  <to>
                    <xdr:col>6</xdr:col>
                    <xdr:colOff>1805940</xdr:colOff>
                    <xdr:row>1646</xdr:row>
                    <xdr:rowOff>320040</xdr:rowOff>
                  </to>
                </anchor>
              </controlPr>
            </control>
          </mc:Choice>
        </mc:AlternateContent>
        <mc:AlternateContent xmlns:mc="http://schemas.openxmlformats.org/markup-compatibility/2006">
          <mc:Choice Requires="x14">
            <control shapeId="5218" r:id="rId653" name="Drop Down 4194">
              <controlPr defaultSize="0" autoLine="0" autoPict="0">
                <anchor moveWithCells="1">
                  <from>
                    <xdr:col>6</xdr:col>
                    <xdr:colOff>0</xdr:colOff>
                    <xdr:row>1647</xdr:row>
                    <xdr:rowOff>0</xdr:rowOff>
                  </from>
                  <to>
                    <xdr:col>6</xdr:col>
                    <xdr:colOff>624840</xdr:colOff>
                    <xdr:row>1648</xdr:row>
                    <xdr:rowOff>0</xdr:rowOff>
                  </to>
                </anchor>
              </controlPr>
            </control>
          </mc:Choice>
        </mc:AlternateContent>
        <mc:AlternateContent xmlns:mc="http://schemas.openxmlformats.org/markup-compatibility/2006">
          <mc:Choice Requires="x14">
            <control shapeId="5219" r:id="rId654" name="Drop Down 4195">
              <controlPr defaultSize="0" autoLine="0" autoPict="0">
                <anchor moveWithCells="1">
                  <from>
                    <xdr:col>6</xdr:col>
                    <xdr:colOff>601980</xdr:colOff>
                    <xdr:row>1647</xdr:row>
                    <xdr:rowOff>15240</xdr:rowOff>
                  </from>
                  <to>
                    <xdr:col>6</xdr:col>
                    <xdr:colOff>1272540</xdr:colOff>
                    <xdr:row>1648</xdr:row>
                    <xdr:rowOff>0</xdr:rowOff>
                  </to>
                </anchor>
              </controlPr>
            </control>
          </mc:Choice>
        </mc:AlternateContent>
        <mc:AlternateContent xmlns:mc="http://schemas.openxmlformats.org/markup-compatibility/2006">
          <mc:Choice Requires="x14">
            <control shapeId="5220" r:id="rId655" name="Drop Down 4196">
              <controlPr defaultSize="0" autoLine="0" autoPict="0">
                <anchor moveWithCells="1">
                  <from>
                    <xdr:col>6</xdr:col>
                    <xdr:colOff>1272540</xdr:colOff>
                    <xdr:row>1647</xdr:row>
                    <xdr:rowOff>15240</xdr:rowOff>
                  </from>
                  <to>
                    <xdr:col>6</xdr:col>
                    <xdr:colOff>1805940</xdr:colOff>
                    <xdr:row>1647</xdr:row>
                    <xdr:rowOff>320040</xdr:rowOff>
                  </to>
                </anchor>
              </controlPr>
            </control>
          </mc:Choice>
        </mc:AlternateContent>
        <mc:AlternateContent xmlns:mc="http://schemas.openxmlformats.org/markup-compatibility/2006">
          <mc:Choice Requires="x14">
            <control shapeId="5221" r:id="rId656" name="Drop Down 4197">
              <controlPr defaultSize="0" autoLine="0" autoPict="0">
                <anchor moveWithCells="1">
                  <from>
                    <xdr:col>6</xdr:col>
                    <xdr:colOff>0</xdr:colOff>
                    <xdr:row>1648</xdr:row>
                    <xdr:rowOff>0</xdr:rowOff>
                  </from>
                  <to>
                    <xdr:col>6</xdr:col>
                    <xdr:colOff>624840</xdr:colOff>
                    <xdr:row>1649</xdr:row>
                    <xdr:rowOff>0</xdr:rowOff>
                  </to>
                </anchor>
              </controlPr>
            </control>
          </mc:Choice>
        </mc:AlternateContent>
        <mc:AlternateContent xmlns:mc="http://schemas.openxmlformats.org/markup-compatibility/2006">
          <mc:Choice Requires="x14">
            <control shapeId="5222" r:id="rId657" name="Drop Down 4198">
              <controlPr defaultSize="0" autoLine="0" autoPict="0">
                <anchor moveWithCells="1">
                  <from>
                    <xdr:col>6</xdr:col>
                    <xdr:colOff>601980</xdr:colOff>
                    <xdr:row>1648</xdr:row>
                    <xdr:rowOff>15240</xdr:rowOff>
                  </from>
                  <to>
                    <xdr:col>6</xdr:col>
                    <xdr:colOff>1272540</xdr:colOff>
                    <xdr:row>1649</xdr:row>
                    <xdr:rowOff>0</xdr:rowOff>
                  </to>
                </anchor>
              </controlPr>
            </control>
          </mc:Choice>
        </mc:AlternateContent>
        <mc:AlternateContent xmlns:mc="http://schemas.openxmlformats.org/markup-compatibility/2006">
          <mc:Choice Requires="x14">
            <control shapeId="5223" r:id="rId658" name="Drop Down 4199">
              <controlPr defaultSize="0" autoLine="0" autoPict="0">
                <anchor moveWithCells="1">
                  <from>
                    <xdr:col>6</xdr:col>
                    <xdr:colOff>1272540</xdr:colOff>
                    <xdr:row>1648</xdr:row>
                    <xdr:rowOff>15240</xdr:rowOff>
                  </from>
                  <to>
                    <xdr:col>6</xdr:col>
                    <xdr:colOff>1805940</xdr:colOff>
                    <xdr:row>1648</xdr:row>
                    <xdr:rowOff>320040</xdr:rowOff>
                  </to>
                </anchor>
              </controlPr>
            </control>
          </mc:Choice>
        </mc:AlternateContent>
        <mc:AlternateContent xmlns:mc="http://schemas.openxmlformats.org/markup-compatibility/2006">
          <mc:Choice Requires="x14">
            <control shapeId="5230" r:id="rId659" name="Drop Down 4206">
              <controlPr defaultSize="0" autoLine="0" autoPict="0">
                <anchor moveWithCells="1">
                  <from>
                    <xdr:col>6</xdr:col>
                    <xdr:colOff>0</xdr:colOff>
                    <xdr:row>1746</xdr:row>
                    <xdr:rowOff>0</xdr:rowOff>
                  </from>
                  <to>
                    <xdr:col>6</xdr:col>
                    <xdr:colOff>624840</xdr:colOff>
                    <xdr:row>1747</xdr:row>
                    <xdr:rowOff>0</xdr:rowOff>
                  </to>
                </anchor>
              </controlPr>
            </control>
          </mc:Choice>
        </mc:AlternateContent>
        <mc:AlternateContent xmlns:mc="http://schemas.openxmlformats.org/markup-compatibility/2006">
          <mc:Choice Requires="x14">
            <control shapeId="5231" r:id="rId660" name="Drop Down 4207">
              <controlPr defaultSize="0" autoLine="0" autoPict="0">
                <anchor moveWithCells="1">
                  <from>
                    <xdr:col>6</xdr:col>
                    <xdr:colOff>601980</xdr:colOff>
                    <xdr:row>1746</xdr:row>
                    <xdr:rowOff>15240</xdr:rowOff>
                  </from>
                  <to>
                    <xdr:col>6</xdr:col>
                    <xdr:colOff>1272540</xdr:colOff>
                    <xdr:row>1747</xdr:row>
                    <xdr:rowOff>0</xdr:rowOff>
                  </to>
                </anchor>
              </controlPr>
            </control>
          </mc:Choice>
        </mc:AlternateContent>
        <mc:AlternateContent xmlns:mc="http://schemas.openxmlformats.org/markup-compatibility/2006">
          <mc:Choice Requires="x14">
            <control shapeId="5232" r:id="rId661" name="Drop Down 4208">
              <controlPr defaultSize="0" autoLine="0" autoPict="0">
                <anchor moveWithCells="1">
                  <from>
                    <xdr:col>6</xdr:col>
                    <xdr:colOff>1272540</xdr:colOff>
                    <xdr:row>1746</xdr:row>
                    <xdr:rowOff>15240</xdr:rowOff>
                  </from>
                  <to>
                    <xdr:col>6</xdr:col>
                    <xdr:colOff>1805940</xdr:colOff>
                    <xdr:row>1746</xdr:row>
                    <xdr:rowOff>320040</xdr:rowOff>
                  </to>
                </anchor>
              </controlPr>
            </control>
          </mc:Choice>
        </mc:AlternateContent>
        <mc:AlternateContent xmlns:mc="http://schemas.openxmlformats.org/markup-compatibility/2006">
          <mc:Choice Requires="x14">
            <control shapeId="5233" r:id="rId662" name="Drop Down 4209">
              <controlPr defaultSize="0" autoLine="0" autoPict="0">
                <anchor moveWithCells="1">
                  <from>
                    <xdr:col>6</xdr:col>
                    <xdr:colOff>0</xdr:colOff>
                    <xdr:row>1747</xdr:row>
                    <xdr:rowOff>0</xdr:rowOff>
                  </from>
                  <to>
                    <xdr:col>6</xdr:col>
                    <xdr:colOff>624840</xdr:colOff>
                    <xdr:row>1748</xdr:row>
                    <xdr:rowOff>0</xdr:rowOff>
                  </to>
                </anchor>
              </controlPr>
            </control>
          </mc:Choice>
        </mc:AlternateContent>
        <mc:AlternateContent xmlns:mc="http://schemas.openxmlformats.org/markup-compatibility/2006">
          <mc:Choice Requires="x14">
            <control shapeId="5234" r:id="rId663" name="Drop Down 4210">
              <controlPr defaultSize="0" autoLine="0" autoPict="0">
                <anchor moveWithCells="1">
                  <from>
                    <xdr:col>6</xdr:col>
                    <xdr:colOff>601980</xdr:colOff>
                    <xdr:row>1747</xdr:row>
                    <xdr:rowOff>15240</xdr:rowOff>
                  </from>
                  <to>
                    <xdr:col>6</xdr:col>
                    <xdr:colOff>1272540</xdr:colOff>
                    <xdr:row>1748</xdr:row>
                    <xdr:rowOff>0</xdr:rowOff>
                  </to>
                </anchor>
              </controlPr>
            </control>
          </mc:Choice>
        </mc:AlternateContent>
        <mc:AlternateContent xmlns:mc="http://schemas.openxmlformats.org/markup-compatibility/2006">
          <mc:Choice Requires="x14">
            <control shapeId="5235" r:id="rId664" name="Drop Down 4211">
              <controlPr defaultSize="0" autoLine="0" autoPict="0">
                <anchor moveWithCells="1">
                  <from>
                    <xdr:col>6</xdr:col>
                    <xdr:colOff>1272540</xdr:colOff>
                    <xdr:row>1747</xdr:row>
                    <xdr:rowOff>15240</xdr:rowOff>
                  </from>
                  <to>
                    <xdr:col>6</xdr:col>
                    <xdr:colOff>1805940</xdr:colOff>
                    <xdr:row>1747</xdr:row>
                    <xdr:rowOff>320040</xdr:rowOff>
                  </to>
                </anchor>
              </controlPr>
            </control>
          </mc:Choice>
        </mc:AlternateContent>
        <mc:AlternateContent xmlns:mc="http://schemas.openxmlformats.org/markup-compatibility/2006">
          <mc:Choice Requires="x14">
            <control shapeId="5236" r:id="rId665" name="Drop Down 4212">
              <controlPr defaultSize="0" autoLine="0" autoPict="0">
                <anchor moveWithCells="1">
                  <from>
                    <xdr:col>6</xdr:col>
                    <xdr:colOff>0</xdr:colOff>
                    <xdr:row>1748</xdr:row>
                    <xdr:rowOff>0</xdr:rowOff>
                  </from>
                  <to>
                    <xdr:col>6</xdr:col>
                    <xdr:colOff>624840</xdr:colOff>
                    <xdr:row>1749</xdr:row>
                    <xdr:rowOff>0</xdr:rowOff>
                  </to>
                </anchor>
              </controlPr>
            </control>
          </mc:Choice>
        </mc:AlternateContent>
        <mc:AlternateContent xmlns:mc="http://schemas.openxmlformats.org/markup-compatibility/2006">
          <mc:Choice Requires="x14">
            <control shapeId="5237" r:id="rId666" name="Drop Down 4213">
              <controlPr defaultSize="0" autoLine="0" autoPict="0">
                <anchor moveWithCells="1">
                  <from>
                    <xdr:col>6</xdr:col>
                    <xdr:colOff>601980</xdr:colOff>
                    <xdr:row>1748</xdr:row>
                    <xdr:rowOff>15240</xdr:rowOff>
                  </from>
                  <to>
                    <xdr:col>6</xdr:col>
                    <xdr:colOff>1272540</xdr:colOff>
                    <xdr:row>1749</xdr:row>
                    <xdr:rowOff>0</xdr:rowOff>
                  </to>
                </anchor>
              </controlPr>
            </control>
          </mc:Choice>
        </mc:AlternateContent>
        <mc:AlternateContent xmlns:mc="http://schemas.openxmlformats.org/markup-compatibility/2006">
          <mc:Choice Requires="x14">
            <control shapeId="5238" r:id="rId667" name="Drop Down 4214">
              <controlPr defaultSize="0" autoLine="0" autoPict="0">
                <anchor moveWithCells="1">
                  <from>
                    <xdr:col>6</xdr:col>
                    <xdr:colOff>1272540</xdr:colOff>
                    <xdr:row>1748</xdr:row>
                    <xdr:rowOff>15240</xdr:rowOff>
                  </from>
                  <to>
                    <xdr:col>6</xdr:col>
                    <xdr:colOff>1805940</xdr:colOff>
                    <xdr:row>1748</xdr:row>
                    <xdr:rowOff>320040</xdr:rowOff>
                  </to>
                </anchor>
              </controlPr>
            </control>
          </mc:Choice>
        </mc:AlternateContent>
        <mc:AlternateContent xmlns:mc="http://schemas.openxmlformats.org/markup-compatibility/2006">
          <mc:Choice Requires="x14">
            <control shapeId="5246" r:id="rId668" name="Drop Down 4222">
              <controlPr defaultSize="0" autoLine="0" autoPict="0">
                <anchor moveWithCells="1">
                  <from>
                    <xdr:col>6</xdr:col>
                    <xdr:colOff>0</xdr:colOff>
                    <xdr:row>646</xdr:row>
                    <xdr:rowOff>0</xdr:rowOff>
                  </from>
                  <to>
                    <xdr:col>6</xdr:col>
                    <xdr:colOff>624840</xdr:colOff>
                    <xdr:row>647</xdr:row>
                    <xdr:rowOff>0</xdr:rowOff>
                  </to>
                </anchor>
              </controlPr>
            </control>
          </mc:Choice>
        </mc:AlternateContent>
        <mc:AlternateContent xmlns:mc="http://schemas.openxmlformats.org/markup-compatibility/2006">
          <mc:Choice Requires="x14">
            <control shapeId="5247" r:id="rId669" name="Drop Down 4223">
              <controlPr defaultSize="0" autoLine="0" autoPict="0">
                <anchor moveWithCells="1">
                  <from>
                    <xdr:col>6</xdr:col>
                    <xdr:colOff>601980</xdr:colOff>
                    <xdr:row>646</xdr:row>
                    <xdr:rowOff>15240</xdr:rowOff>
                  </from>
                  <to>
                    <xdr:col>6</xdr:col>
                    <xdr:colOff>1272540</xdr:colOff>
                    <xdr:row>647</xdr:row>
                    <xdr:rowOff>0</xdr:rowOff>
                  </to>
                </anchor>
              </controlPr>
            </control>
          </mc:Choice>
        </mc:AlternateContent>
        <mc:AlternateContent xmlns:mc="http://schemas.openxmlformats.org/markup-compatibility/2006">
          <mc:Choice Requires="x14">
            <control shapeId="5248" r:id="rId670" name="Drop Down 4224">
              <controlPr defaultSize="0" autoLine="0" autoPict="0">
                <anchor moveWithCells="1">
                  <from>
                    <xdr:col>6</xdr:col>
                    <xdr:colOff>1272540</xdr:colOff>
                    <xdr:row>646</xdr:row>
                    <xdr:rowOff>15240</xdr:rowOff>
                  </from>
                  <to>
                    <xdr:col>6</xdr:col>
                    <xdr:colOff>1805940</xdr:colOff>
                    <xdr:row>646</xdr:row>
                    <xdr:rowOff>320040</xdr:rowOff>
                  </to>
                </anchor>
              </controlPr>
            </control>
          </mc:Choice>
        </mc:AlternateContent>
        <mc:AlternateContent xmlns:mc="http://schemas.openxmlformats.org/markup-compatibility/2006">
          <mc:Choice Requires="x14">
            <control shapeId="5250" r:id="rId671" name="Drop Down 4226">
              <controlPr defaultSize="0" autoLine="0" autoPict="0">
                <anchor moveWithCells="1">
                  <from>
                    <xdr:col>6</xdr:col>
                    <xdr:colOff>0</xdr:colOff>
                    <xdr:row>647</xdr:row>
                    <xdr:rowOff>0</xdr:rowOff>
                  </from>
                  <to>
                    <xdr:col>6</xdr:col>
                    <xdr:colOff>624840</xdr:colOff>
                    <xdr:row>648</xdr:row>
                    <xdr:rowOff>0</xdr:rowOff>
                  </to>
                </anchor>
              </controlPr>
            </control>
          </mc:Choice>
        </mc:AlternateContent>
        <mc:AlternateContent xmlns:mc="http://schemas.openxmlformats.org/markup-compatibility/2006">
          <mc:Choice Requires="x14">
            <control shapeId="5251" r:id="rId672" name="Drop Down 4227">
              <controlPr defaultSize="0" autoLine="0" autoPict="0">
                <anchor moveWithCells="1">
                  <from>
                    <xdr:col>6</xdr:col>
                    <xdr:colOff>601980</xdr:colOff>
                    <xdr:row>647</xdr:row>
                    <xdr:rowOff>15240</xdr:rowOff>
                  </from>
                  <to>
                    <xdr:col>6</xdr:col>
                    <xdr:colOff>1272540</xdr:colOff>
                    <xdr:row>648</xdr:row>
                    <xdr:rowOff>0</xdr:rowOff>
                  </to>
                </anchor>
              </controlPr>
            </control>
          </mc:Choice>
        </mc:AlternateContent>
        <mc:AlternateContent xmlns:mc="http://schemas.openxmlformats.org/markup-compatibility/2006">
          <mc:Choice Requires="x14">
            <control shapeId="5252" r:id="rId673" name="Drop Down 4228">
              <controlPr defaultSize="0" autoLine="0" autoPict="0">
                <anchor moveWithCells="1">
                  <from>
                    <xdr:col>6</xdr:col>
                    <xdr:colOff>1272540</xdr:colOff>
                    <xdr:row>647</xdr:row>
                    <xdr:rowOff>15240</xdr:rowOff>
                  </from>
                  <to>
                    <xdr:col>6</xdr:col>
                    <xdr:colOff>1805940</xdr:colOff>
                    <xdr:row>647</xdr:row>
                    <xdr:rowOff>320040</xdr:rowOff>
                  </to>
                </anchor>
              </controlPr>
            </control>
          </mc:Choice>
        </mc:AlternateContent>
        <mc:AlternateContent xmlns:mc="http://schemas.openxmlformats.org/markup-compatibility/2006">
          <mc:Choice Requires="x14">
            <control shapeId="5254" r:id="rId674" name="Drop Down 4230">
              <controlPr defaultSize="0" autoLine="0" autoPict="0">
                <anchor moveWithCells="1">
                  <from>
                    <xdr:col>6</xdr:col>
                    <xdr:colOff>0</xdr:colOff>
                    <xdr:row>648</xdr:row>
                    <xdr:rowOff>0</xdr:rowOff>
                  </from>
                  <to>
                    <xdr:col>6</xdr:col>
                    <xdr:colOff>624840</xdr:colOff>
                    <xdr:row>649</xdr:row>
                    <xdr:rowOff>0</xdr:rowOff>
                  </to>
                </anchor>
              </controlPr>
            </control>
          </mc:Choice>
        </mc:AlternateContent>
        <mc:AlternateContent xmlns:mc="http://schemas.openxmlformats.org/markup-compatibility/2006">
          <mc:Choice Requires="x14">
            <control shapeId="5255" r:id="rId675" name="Drop Down 4231">
              <controlPr defaultSize="0" autoLine="0" autoPict="0">
                <anchor moveWithCells="1">
                  <from>
                    <xdr:col>6</xdr:col>
                    <xdr:colOff>601980</xdr:colOff>
                    <xdr:row>648</xdr:row>
                    <xdr:rowOff>15240</xdr:rowOff>
                  </from>
                  <to>
                    <xdr:col>6</xdr:col>
                    <xdr:colOff>1272540</xdr:colOff>
                    <xdr:row>649</xdr:row>
                    <xdr:rowOff>0</xdr:rowOff>
                  </to>
                </anchor>
              </controlPr>
            </control>
          </mc:Choice>
        </mc:AlternateContent>
        <mc:AlternateContent xmlns:mc="http://schemas.openxmlformats.org/markup-compatibility/2006">
          <mc:Choice Requires="x14">
            <control shapeId="5256" r:id="rId676" name="Drop Down 4232">
              <controlPr defaultSize="0" autoLine="0" autoPict="0">
                <anchor moveWithCells="1">
                  <from>
                    <xdr:col>6</xdr:col>
                    <xdr:colOff>1272540</xdr:colOff>
                    <xdr:row>648</xdr:row>
                    <xdr:rowOff>15240</xdr:rowOff>
                  </from>
                  <to>
                    <xdr:col>6</xdr:col>
                    <xdr:colOff>1805940</xdr:colOff>
                    <xdr:row>648</xdr:row>
                    <xdr:rowOff>320040</xdr:rowOff>
                  </to>
                </anchor>
              </controlPr>
            </control>
          </mc:Choice>
        </mc:AlternateContent>
        <mc:AlternateContent xmlns:mc="http://schemas.openxmlformats.org/markup-compatibility/2006">
          <mc:Choice Requires="x14">
            <control shapeId="5266" r:id="rId677" name="Drop Down 4242">
              <controlPr defaultSize="0" autoLine="0" autoPict="0">
                <anchor moveWithCells="1">
                  <from>
                    <xdr:col>6</xdr:col>
                    <xdr:colOff>0</xdr:colOff>
                    <xdr:row>746</xdr:row>
                    <xdr:rowOff>0</xdr:rowOff>
                  </from>
                  <to>
                    <xdr:col>6</xdr:col>
                    <xdr:colOff>624840</xdr:colOff>
                    <xdr:row>747</xdr:row>
                    <xdr:rowOff>0</xdr:rowOff>
                  </to>
                </anchor>
              </controlPr>
            </control>
          </mc:Choice>
        </mc:AlternateContent>
        <mc:AlternateContent xmlns:mc="http://schemas.openxmlformats.org/markup-compatibility/2006">
          <mc:Choice Requires="x14">
            <control shapeId="5267" r:id="rId678" name="Drop Down 4243">
              <controlPr defaultSize="0" autoLine="0" autoPict="0">
                <anchor moveWithCells="1">
                  <from>
                    <xdr:col>6</xdr:col>
                    <xdr:colOff>601980</xdr:colOff>
                    <xdr:row>746</xdr:row>
                    <xdr:rowOff>15240</xdr:rowOff>
                  </from>
                  <to>
                    <xdr:col>6</xdr:col>
                    <xdr:colOff>1272540</xdr:colOff>
                    <xdr:row>747</xdr:row>
                    <xdr:rowOff>0</xdr:rowOff>
                  </to>
                </anchor>
              </controlPr>
            </control>
          </mc:Choice>
        </mc:AlternateContent>
        <mc:AlternateContent xmlns:mc="http://schemas.openxmlformats.org/markup-compatibility/2006">
          <mc:Choice Requires="x14">
            <control shapeId="5268" r:id="rId679" name="Drop Down 4244">
              <controlPr defaultSize="0" autoLine="0" autoPict="0">
                <anchor moveWithCells="1">
                  <from>
                    <xdr:col>6</xdr:col>
                    <xdr:colOff>1272540</xdr:colOff>
                    <xdr:row>746</xdr:row>
                    <xdr:rowOff>15240</xdr:rowOff>
                  </from>
                  <to>
                    <xdr:col>6</xdr:col>
                    <xdr:colOff>1805940</xdr:colOff>
                    <xdr:row>746</xdr:row>
                    <xdr:rowOff>320040</xdr:rowOff>
                  </to>
                </anchor>
              </controlPr>
            </control>
          </mc:Choice>
        </mc:AlternateContent>
        <mc:AlternateContent xmlns:mc="http://schemas.openxmlformats.org/markup-compatibility/2006">
          <mc:Choice Requires="x14">
            <control shapeId="5270" r:id="rId680" name="Drop Down 4246">
              <controlPr defaultSize="0" autoLine="0" autoPict="0">
                <anchor moveWithCells="1">
                  <from>
                    <xdr:col>6</xdr:col>
                    <xdr:colOff>0</xdr:colOff>
                    <xdr:row>747</xdr:row>
                    <xdr:rowOff>0</xdr:rowOff>
                  </from>
                  <to>
                    <xdr:col>6</xdr:col>
                    <xdr:colOff>624840</xdr:colOff>
                    <xdr:row>748</xdr:row>
                    <xdr:rowOff>0</xdr:rowOff>
                  </to>
                </anchor>
              </controlPr>
            </control>
          </mc:Choice>
        </mc:AlternateContent>
        <mc:AlternateContent xmlns:mc="http://schemas.openxmlformats.org/markup-compatibility/2006">
          <mc:Choice Requires="x14">
            <control shapeId="5271" r:id="rId681" name="Drop Down 4247">
              <controlPr defaultSize="0" autoLine="0" autoPict="0">
                <anchor moveWithCells="1">
                  <from>
                    <xdr:col>6</xdr:col>
                    <xdr:colOff>601980</xdr:colOff>
                    <xdr:row>747</xdr:row>
                    <xdr:rowOff>15240</xdr:rowOff>
                  </from>
                  <to>
                    <xdr:col>6</xdr:col>
                    <xdr:colOff>1272540</xdr:colOff>
                    <xdr:row>748</xdr:row>
                    <xdr:rowOff>0</xdr:rowOff>
                  </to>
                </anchor>
              </controlPr>
            </control>
          </mc:Choice>
        </mc:AlternateContent>
        <mc:AlternateContent xmlns:mc="http://schemas.openxmlformats.org/markup-compatibility/2006">
          <mc:Choice Requires="x14">
            <control shapeId="5272" r:id="rId682" name="Drop Down 4248">
              <controlPr defaultSize="0" autoLine="0" autoPict="0">
                <anchor moveWithCells="1">
                  <from>
                    <xdr:col>6</xdr:col>
                    <xdr:colOff>1272540</xdr:colOff>
                    <xdr:row>747</xdr:row>
                    <xdr:rowOff>15240</xdr:rowOff>
                  </from>
                  <to>
                    <xdr:col>6</xdr:col>
                    <xdr:colOff>1805940</xdr:colOff>
                    <xdr:row>747</xdr:row>
                    <xdr:rowOff>320040</xdr:rowOff>
                  </to>
                </anchor>
              </controlPr>
            </control>
          </mc:Choice>
        </mc:AlternateContent>
        <mc:AlternateContent xmlns:mc="http://schemas.openxmlformats.org/markup-compatibility/2006">
          <mc:Choice Requires="x14">
            <control shapeId="5274" r:id="rId683" name="Drop Down 4250">
              <controlPr defaultSize="0" autoLine="0" autoPict="0">
                <anchor moveWithCells="1">
                  <from>
                    <xdr:col>6</xdr:col>
                    <xdr:colOff>0</xdr:colOff>
                    <xdr:row>748</xdr:row>
                    <xdr:rowOff>0</xdr:rowOff>
                  </from>
                  <to>
                    <xdr:col>6</xdr:col>
                    <xdr:colOff>624840</xdr:colOff>
                    <xdr:row>749</xdr:row>
                    <xdr:rowOff>0</xdr:rowOff>
                  </to>
                </anchor>
              </controlPr>
            </control>
          </mc:Choice>
        </mc:AlternateContent>
        <mc:AlternateContent xmlns:mc="http://schemas.openxmlformats.org/markup-compatibility/2006">
          <mc:Choice Requires="x14">
            <control shapeId="5275" r:id="rId684" name="Drop Down 4251">
              <controlPr defaultSize="0" autoLine="0" autoPict="0">
                <anchor moveWithCells="1">
                  <from>
                    <xdr:col>6</xdr:col>
                    <xdr:colOff>601980</xdr:colOff>
                    <xdr:row>748</xdr:row>
                    <xdr:rowOff>15240</xdr:rowOff>
                  </from>
                  <to>
                    <xdr:col>6</xdr:col>
                    <xdr:colOff>1272540</xdr:colOff>
                    <xdr:row>749</xdr:row>
                    <xdr:rowOff>0</xdr:rowOff>
                  </to>
                </anchor>
              </controlPr>
            </control>
          </mc:Choice>
        </mc:AlternateContent>
        <mc:AlternateContent xmlns:mc="http://schemas.openxmlformats.org/markup-compatibility/2006">
          <mc:Choice Requires="x14">
            <control shapeId="5276" r:id="rId685" name="Drop Down 4252">
              <controlPr defaultSize="0" autoLine="0" autoPict="0">
                <anchor moveWithCells="1">
                  <from>
                    <xdr:col>6</xdr:col>
                    <xdr:colOff>1272540</xdr:colOff>
                    <xdr:row>748</xdr:row>
                    <xdr:rowOff>15240</xdr:rowOff>
                  </from>
                  <to>
                    <xdr:col>6</xdr:col>
                    <xdr:colOff>1805940</xdr:colOff>
                    <xdr:row>748</xdr:row>
                    <xdr:rowOff>320040</xdr:rowOff>
                  </to>
                </anchor>
              </controlPr>
            </control>
          </mc:Choice>
        </mc:AlternateContent>
        <mc:AlternateContent xmlns:mc="http://schemas.openxmlformats.org/markup-compatibility/2006">
          <mc:Choice Requires="x14">
            <control shapeId="5286" r:id="rId686" name="Drop Down 4262">
              <controlPr defaultSize="0" autoLine="0" autoPict="0">
                <anchor moveWithCells="1">
                  <from>
                    <xdr:col>6</xdr:col>
                    <xdr:colOff>0</xdr:colOff>
                    <xdr:row>846</xdr:row>
                    <xdr:rowOff>0</xdr:rowOff>
                  </from>
                  <to>
                    <xdr:col>6</xdr:col>
                    <xdr:colOff>624840</xdr:colOff>
                    <xdr:row>847</xdr:row>
                    <xdr:rowOff>0</xdr:rowOff>
                  </to>
                </anchor>
              </controlPr>
            </control>
          </mc:Choice>
        </mc:AlternateContent>
        <mc:AlternateContent xmlns:mc="http://schemas.openxmlformats.org/markup-compatibility/2006">
          <mc:Choice Requires="x14">
            <control shapeId="5287" r:id="rId687" name="Drop Down 4263">
              <controlPr defaultSize="0" autoLine="0" autoPict="0">
                <anchor moveWithCells="1">
                  <from>
                    <xdr:col>6</xdr:col>
                    <xdr:colOff>601980</xdr:colOff>
                    <xdr:row>846</xdr:row>
                    <xdr:rowOff>15240</xdr:rowOff>
                  </from>
                  <to>
                    <xdr:col>6</xdr:col>
                    <xdr:colOff>1272540</xdr:colOff>
                    <xdr:row>847</xdr:row>
                    <xdr:rowOff>0</xdr:rowOff>
                  </to>
                </anchor>
              </controlPr>
            </control>
          </mc:Choice>
        </mc:AlternateContent>
        <mc:AlternateContent xmlns:mc="http://schemas.openxmlformats.org/markup-compatibility/2006">
          <mc:Choice Requires="x14">
            <control shapeId="5288" r:id="rId688" name="Drop Down 4264">
              <controlPr defaultSize="0" autoLine="0" autoPict="0">
                <anchor moveWithCells="1">
                  <from>
                    <xdr:col>6</xdr:col>
                    <xdr:colOff>1272540</xdr:colOff>
                    <xdr:row>846</xdr:row>
                    <xdr:rowOff>15240</xdr:rowOff>
                  </from>
                  <to>
                    <xdr:col>6</xdr:col>
                    <xdr:colOff>1805940</xdr:colOff>
                    <xdr:row>846</xdr:row>
                    <xdr:rowOff>320040</xdr:rowOff>
                  </to>
                </anchor>
              </controlPr>
            </control>
          </mc:Choice>
        </mc:AlternateContent>
        <mc:AlternateContent xmlns:mc="http://schemas.openxmlformats.org/markup-compatibility/2006">
          <mc:Choice Requires="x14">
            <control shapeId="5290" r:id="rId689" name="Drop Down 4266">
              <controlPr defaultSize="0" autoLine="0" autoPict="0">
                <anchor moveWithCells="1">
                  <from>
                    <xdr:col>6</xdr:col>
                    <xdr:colOff>0</xdr:colOff>
                    <xdr:row>847</xdr:row>
                    <xdr:rowOff>0</xdr:rowOff>
                  </from>
                  <to>
                    <xdr:col>6</xdr:col>
                    <xdr:colOff>624840</xdr:colOff>
                    <xdr:row>848</xdr:row>
                    <xdr:rowOff>0</xdr:rowOff>
                  </to>
                </anchor>
              </controlPr>
            </control>
          </mc:Choice>
        </mc:AlternateContent>
        <mc:AlternateContent xmlns:mc="http://schemas.openxmlformats.org/markup-compatibility/2006">
          <mc:Choice Requires="x14">
            <control shapeId="5291" r:id="rId690" name="Drop Down 4267">
              <controlPr defaultSize="0" autoLine="0" autoPict="0">
                <anchor moveWithCells="1">
                  <from>
                    <xdr:col>6</xdr:col>
                    <xdr:colOff>601980</xdr:colOff>
                    <xdr:row>847</xdr:row>
                    <xdr:rowOff>15240</xdr:rowOff>
                  </from>
                  <to>
                    <xdr:col>6</xdr:col>
                    <xdr:colOff>1272540</xdr:colOff>
                    <xdr:row>848</xdr:row>
                    <xdr:rowOff>0</xdr:rowOff>
                  </to>
                </anchor>
              </controlPr>
            </control>
          </mc:Choice>
        </mc:AlternateContent>
        <mc:AlternateContent xmlns:mc="http://schemas.openxmlformats.org/markup-compatibility/2006">
          <mc:Choice Requires="x14">
            <control shapeId="5292" r:id="rId691" name="Drop Down 4268">
              <controlPr defaultSize="0" autoLine="0" autoPict="0">
                <anchor moveWithCells="1">
                  <from>
                    <xdr:col>6</xdr:col>
                    <xdr:colOff>1272540</xdr:colOff>
                    <xdr:row>847</xdr:row>
                    <xdr:rowOff>15240</xdr:rowOff>
                  </from>
                  <to>
                    <xdr:col>6</xdr:col>
                    <xdr:colOff>1805940</xdr:colOff>
                    <xdr:row>847</xdr:row>
                    <xdr:rowOff>320040</xdr:rowOff>
                  </to>
                </anchor>
              </controlPr>
            </control>
          </mc:Choice>
        </mc:AlternateContent>
        <mc:AlternateContent xmlns:mc="http://schemas.openxmlformats.org/markup-compatibility/2006">
          <mc:Choice Requires="x14">
            <control shapeId="5294" r:id="rId692" name="Drop Down 4270">
              <controlPr defaultSize="0" autoLine="0" autoPict="0">
                <anchor moveWithCells="1">
                  <from>
                    <xdr:col>6</xdr:col>
                    <xdr:colOff>0</xdr:colOff>
                    <xdr:row>848</xdr:row>
                    <xdr:rowOff>0</xdr:rowOff>
                  </from>
                  <to>
                    <xdr:col>6</xdr:col>
                    <xdr:colOff>624840</xdr:colOff>
                    <xdr:row>849</xdr:row>
                    <xdr:rowOff>0</xdr:rowOff>
                  </to>
                </anchor>
              </controlPr>
            </control>
          </mc:Choice>
        </mc:AlternateContent>
        <mc:AlternateContent xmlns:mc="http://schemas.openxmlformats.org/markup-compatibility/2006">
          <mc:Choice Requires="x14">
            <control shapeId="5295" r:id="rId693" name="Drop Down 4271">
              <controlPr defaultSize="0" autoLine="0" autoPict="0">
                <anchor moveWithCells="1">
                  <from>
                    <xdr:col>6</xdr:col>
                    <xdr:colOff>601980</xdr:colOff>
                    <xdr:row>848</xdr:row>
                    <xdr:rowOff>15240</xdr:rowOff>
                  </from>
                  <to>
                    <xdr:col>6</xdr:col>
                    <xdr:colOff>1272540</xdr:colOff>
                    <xdr:row>849</xdr:row>
                    <xdr:rowOff>0</xdr:rowOff>
                  </to>
                </anchor>
              </controlPr>
            </control>
          </mc:Choice>
        </mc:AlternateContent>
        <mc:AlternateContent xmlns:mc="http://schemas.openxmlformats.org/markup-compatibility/2006">
          <mc:Choice Requires="x14">
            <control shapeId="5296" r:id="rId694" name="Drop Down 4272">
              <controlPr defaultSize="0" autoLine="0" autoPict="0">
                <anchor moveWithCells="1">
                  <from>
                    <xdr:col>6</xdr:col>
                    <xdr:colOff>1272540</xdr:colOff>
                    <xdr:row>848</xdr:row>
                    <xdr:rowOff>15240</xdr:rowOff>
                  </from>
                  <to>
                    <xdr:col>6</xdr:col>
                    <xdr:colOff>1805940</xdr:colOff>
                    <xdr:row>848</xdr:row>
                    <xdr:rowOff>320040</xdr:rowOff>
                  </to>
                </anchor>
              </controlPr>
            </control>
          </mc:Choice>
        </mc:AlternateContent>
        <mc:AlternateContent xmlns:mc="http://schemas.openxmlformats.org/markup-compatibility/2006">
          <mc:Choice Requires="x14">
            <control shapeId="5306" r:id="rId695" name="Drop Down 4282">
              <controlPr defaultSize="0" autoLine="0" autoPict="0">
                <anchor moveWithCells="1">
                  <from>
                    <xdr:col>6</xdr:col>
                    <xdr:colOff>0</xdr:colOff>
                    <xdr:row>946</xdr:row>
                    <xdr:rowOff>0</xdr:rowOff>
                  </from>
                  <to>
                    <xdr:col>6</xdr:col>
                    <xdr:colOff>624840</xdr:colOff>
                    <xdr:row>947</xdr:row>
                    <xdr:rowOff>0</xdr:rowOff>
                  </to>
                </anchor>
              </controlPr>
            </control>
          </mc:Choice>
        </mc:AlternateContent>
        <mc:AlternateContent xmlns:mc="http://schemas.openxmlformats.org/markup-compatibility/2006">
          <mc:Choice Requires="x14">
            <control shapeId="5307" r:id="rId696" name="Drop Down 4283">
              <controlPr defaultSize="0" autoLine="0" autoPict="0">
                <anchor moveWithCells="1">
                  <from>
                    <xdr:col>6</xdr:col>
                    <xdr:colOff>601980</xdr:colOff>
                    <xdr:row>946</xdr:row>
                    <xdr:rowOff>15240</xdr:rowOff>
                  </from>
                  <to>
                    <xdr:col>6</xdr:col>
                    <xdr:colOff>1272540</xdr:colOff>
                    <xdr:row>947</xdr:row>
                    <xdr:rowOff>0</xdr:rowOff>
                  </to>
                </anchor>
              </controlPr>
            </control>
          </mc:Choice>
        </mc:AlternateContent>
        <mc:AlternateContent xmlns:mc="http://schemas.openxmlformats.org/markup-compatibility/2006">
          <mc:Choice Requires="x14">
            <control shapeId="5308" r:id="rId697" name="Drop Down 4284">
              <controlPr defaultSize="0" autoLine="0" autoPict="0">
                <anchor moveWithCells="1">
                  <from>
                    <xdr:col>6</xdr:col>
                    <xdr:colOff>1272540</xdr:colOff>
                    <xdr:row>946</xdr:row>
                    <xdr:rowOff>15240</xdr:rowOff>
                  </from>
                  <to>
                    <xdr:col>6</xdr:col>
                    <xdr:colOff>1805940</xdr:colOff>
                    <xdr:row>946</xdr:row>
                    <xdr:rowOff>320040</xdr:rowOff>
                  </to>
                </anchor>
              </controlPr>
            </control>
          </mc:Choice>
        </mc:AlternateContent>
        <mc:AlternateContent xmlns:mc="http://schemas.openxmlformats.org/markup-compatibility/2006">
          <mc:Choice Requires="x14">
            <control shapeId="5310" r:id="rId698" name="Drop Down 4286">
              <controlPr defaultSize="0" autoLine="0" autoPict="0">
                <anchor moveWithCells="1">
                  <from>
                    <xdr:col>6</xdr:col>
                    <xdr:colOff>0</xdr:colOff>
                    <xdr:row>947</xdr:row>
                    <xdr:rowOff>0</xdr:rowOff>
                  </from>
                  <to>
                    <xdr:col>6</xdr:col>
                    <xdr:colOff>624840</xdr:colOff>
                    <xdr:row>948</xdr:row>
                    <xdr:rowOff>0</xdr:rowOff>
                  </to>
                </anchor>
              </controlPr>
            </control>
          </mc:Choice>
        </mc:AlternateContent>
        <mc:AlternateContent xmlns:mc="http://schemas.openxmlformats.org/markup-compatibility/2006">
          <mc:Choice Requires="x14">
            <control shapeId="5311" r:id="rId699" name="Drop Down 4287">
              <controlPr defaultSize="0" autoLine="0" autoPict="0">
                <anchor moveWithCells="1">
                  <from>
                    <xdr:col>6</xdr:col>
                    <xdr:colOff>601980</xdr:colOff>
                    <xdr:row>947</xdr:row>
                    <xdr:rowOff>15240</xdr:rowOff>
                  </from>
                  <to>
                    <xdr:col>6</xdr:col>
                    <xdr:colOff>1272540</xdr:colOff>
                    <xdr:row>948</xdr:row>
                    <xdr:rowOff>0</xdr:rowOff>
                  </to>
                </anchor>
              </controlPr>
            </control>
          </mc:Choice>
        </mc:AlternateContent>
        <mc:AlternateContent xmlns:mc="http://schemas.openxmlformats.org/markup-compatibility/2006">
          <mc:Choice Requires="x14">
            <control shapeId="5312" r:id="rId700" name="Drop Down 4288">
              <controlPr defaultSize="0" autoLine="0" autoPict="0">
                <anchor moveWithCells="1">
                  <from>
                    <xdr:col>6</xdr:col>
                    <xdr:colOff>1272540</xdr:colOff>
                    <xdr:row>947</xdr:row>
                    <xdr:rowOff>15240</xdr:rowOff>
                  </from>
                  <to>
                    <xdr:col>6</xdr:col>
                    <xdr:colOff>1805940</xdr:colOff>
                    <xdr:row>947</xdr:row>
                    <xdr:rowOff>320040</xdr:rowOff>
                  </to>
                </anchor>
              </controlPr>
            </control>
          </mc:Choice>
        </mc:AlternateContent>
        <mc:AlternateContent xmlns:mc="http://schemas.openxmlformats.org/markup-compatibility/2006">
          <mc:Choice Requires="x14">
            <control shapeId="5314" r:id="rId701" name="Drop Down 4290">
              <controlPr defaultSize="0" autoLine="0" autoPict="0">
                <anchor moveWithCells="1">
                  <from>
                    <xdr:col>6</xdr:col>
                    <xdr:colOff>0</xdr:colOff>
                    <xdr:row>948</xdr:row>
                    <xdr:rowOff>0</xdr:rowOff>
                  </from>
                  <to>
                    <xdr:col>6</xdr:col>
                    <xdr:colOff>624840</xdr:colOff>
                    <xdr:row>949</xdr:row>
                    <xdr:rowOff>0</xdr:rowOff>
                  </to>
                </anchor>
              </controlPr>
            </control>
          </mc:Choice>
        </mc:AlternateContent>
        <mc:AlternateContent xmlns:mc="http://schemas.openxmlformats.org/markup-compatibility/2006">
          <mc:Choice Requires="x14">
            <control shapeId="5315" r:id="rId702" name="Drop Down 4291">
              <controlPr defaultSize="0" autoLine="0" autoPict="0">
                <anchor moveWithCells="1">
                  <from>
                    <xdr:col>6</xdr:col>
                    <xdr:colOff>601980</xdr:colOff>
                    <xdr:row>948</xdr:row>
                    <xdr:rowOff>15240</xdr:rowOff>
                  </from>
                  <to>
                    <xdr:col>6</xdr:col>
                    <xdr:colOff>1272540</xdr:colOff>
                    <xdr:row>949</xdr:row>
                    <xdr:rowOff>0</xdr:rowOff>
                  </to>
                </anchor>
              </controlPr>
            </control>
          </mc:Choice>
        </mc:AlternateContent>
        <mc:AlternateContent xmlns:mc="http://schemas.openxmlformats.org/markup-compatibility/2006">
          <mc:Choice Requires="x14">
            <control shapeId="5316" r:id="rId703" name="Drop Down 4292">
              <controlPr defaultSize="0" autoLine="0" autoPict="0">
                <anchor moveWithCells="1">
                  <from>
                    <xdr:col>6</xdr:col>
                    <xdr:colOff>1272540</xdr:colOff>
                    <xdr:row>948</xdr:row>
                    <xdr:rowOff>15240</xdr:rowOff>
                  </from>
                  <to>
                    <xdr:col>6</xdr:col>
                    <xdr:colOff>1805940</xdr:colOff>
                    <xdr:row>948</xdr:row>
                    <xdr:rowOff>320040</xdr:rowOff>
                  </to>
                </anchor>
              </controlPr>
            </control>
          </mc:Choice>
        </mc:AlternateContent>
        <mc:AlternateContent xmlns:mc="http://schemas.openxmlformats.org/markup-compatibility/2006">
          <mc:Choice Requires="x14">
            <control shapeId="5326" r:id="rId704" name="Drop Down 4302">
              <controlPr defaultSize="0" autoLine="0" autoPict="0">
                <anchor moveWithCells="1">
                  <from>
                    <xdr:col>6</xdr:col>
                    <xdr:colOff>0</xdr:colOff>
                    <xdr:row>1046</xdr:row>
                    <xdr:rowOff>0</xdr:rowOff>
                  </from>
                  <to>
                    <xdr:col>6</xdr:col>
                    <xdr:colOff>624840</xdr:colOff>
                    <xdr:row>1047</xdr:row>
                    <xdr:rowOff>0</xdr:rowOff>
                  </to>
                </anchor>
              </controlPr>
            </control>
          </mc:Choice>
        </mc:AlternateContent>
        <mc:AlternateContent xmlns:mc="http://schemas.openxmlformats.org/markup-compatibility/2006">
          <mc:Choice Requires="x14">
            <control shapeId="5327" r:id="rId705" name="Drop Down 4303">
              <controlPr defaultSize="0" autoLine="0" autoPict="0">
                <anchor moveWithCells="1">
                  <from>
                    <xdr:col>6</xdr:col>
                    <xdr:colOff>601980</xdr:colOff>
                    <xdr:row>1046</xdr:row>
                    <xdr:rowOff>15240</xdr:rowOff>
                  </from>
                  <to>
                    <xdr:col>6</xdr:col>
                    <xdr:colOff>1272540</xdr:colOff>
                    <xdr:row>1047</xdr:row>
                    <xdr:rowOff>0</xdr:rowOff>
                  </to>
                </anchor>
              </controlPr>
            </control>
          </mc:Choice>
        </mc:AlternateContent>
        <mc:AlternateContent xmlns:mc="http://schemas.openxmlformats.org/markup-compatibility/2006">
          <mc:Choice Requires="x14">
            <control shapeId="5328" r:id="rId706" name="Drop Down 4304">
              <controlPr defaultSize="0" autoLine="0" autoPict="0">
                <anchor moveWithCells="1">
                  <from>
                    <xdr:col>6</xdr:col>
                    <xdr:colOff>1272540</xdr:colOff>
                    <xdr:row>1046</xdr:row>
                    <xdr:rowOff>15240</xdr:rowOff>
                  </from>
                  <to>
                    <xdr:col>6</xdr:col>
                    <xdr:colOff>1805940</xdr:colOff>
                    <xdr:row>1046</xdr:row>
                    <xdr:rowOff>320040</xdr:rowOff>
                  </to>
                </anchor>
              </controlPr>
            </control>
          </mc:Choice>
        </mc:AlternateContent>
        <mc:AlternateContent xmlns:mc="http://schemas.openxmlformats.org/markup-compatibility/2006">
          <mc:Choice Requires="x14">
            <control shapeId="5330" r:id="rId707" name="Drop Down 4306">
              <controlPr defaultSize="0" autoLine="0" autoPict="0">
                <anchor moveWithCells="1">
                  <from>
                    <xdr:col>6</xdr:col>
                    <xdr:colOff>0</xdr:colOff>
                    <xdr:row>1047</xdr:row>
                    <xdr:rowOff>0</xdr:rowOff>
                  </from>
                  <to>
                    <xdr:col>6</xdr:col>
                    <xdr:colOff>624840</xdr:colOff>
                    <xdr:row>1048</xdr:row>
                    <xdr:rowOff>0</xdr:rowOff>
                  </to>
                </anchor>
              </controlPr>
            </control>
          </mc:Choice>
        </mc:AlternateContent>
        <mc:AlternateContent xmlns:mc="http://schemas.openxmlformats.org/markup-compatibility/2006">
          <mc:Choice Requires="x14">
            <control shapeId="5331" r:id="rId708" name="Drop Down 4307">
              <controlPr defaultSize="0" autoLine="0" autoPict="0">
                <anchor moveWithCells="1">
                  <from>
                    <xdr:col>6</xdr:col>
                    <xdr:colOff>601980</xdr:colOff>
                    <xdr:row>1047</xdr:row>
                    <xdr:rowOff>15240</xdr:rowOff>
                  </from>
                  <to>
                    <xdr:col>6</xdr:col>
                    <xdr:colOff>1272540</xdr:colOff>
                    <xdr:row>1048</xdr:row>
                    <xdr:rowOff>0</xdr:rowOff>
                  </to>
                </anchor>
              </controlPr>
            </control>
          </mc:Choice>
        </mc:AlternateContent>
        <mc:AlternateContent xmlns:mc="http://schemas.openxmlformats.org/markup-compatibility/2006">
          <mc:Choice Requires="x14">
            <control shapeId="5332" r:id="rId709" name="Drop Down 4308">
              <controlPr defaultSize="0" autoLine="0" autoPict="0">
                <anchor moveWithCells="1">
                  <from>
                    <xdr:col>6</xdr:col>
                    <xdr:colOff>1272540</xdr:colOff>
                    <xdr:row>1047</xdr:row>
                    <xdr:rowOff>15240</xdr:rowOff>
                  </from>
                  <to>
                    <xdr:col>6</xdr:col>
                    <xdr:colOff>1805940</xdr:colOff>
                    <xdr:row>1047</xdr:row>
                    <xdr:rowOff>320040</xdr:rowOff>
                  </to>
                </anchor>
              </controlPr>
            </control>
          </mc:Choice>
        </mc:AlternateContent>
        <mc:AlternateContent xmlns:mc="http://schemas.openxmlformats.org/markup-compatibility/2006">
          <mc:Choice Requires="x14">
            <control shapeId="5334" r:id="rId710" name="Drop Down 4310">
              <controlPr defaultSize="0" autoLine="0" autoPict="0">
                <anchor moveWithCells="1">
                  <from>
                    <xdr:col>6</xdr:col>
                    <xdr:colOff>0</xdr:colOff>
                    <xdr:row>1048</xdr:row>
                    <xdr:rowOff>0</xdr:rowOff>
                  </from>
                  <to>
                    <xdr:col>6</xdr:col>
                    <xdr:colOff>624840</xdr:colOff>
                    <xdr:row>1049</xdr:row>
                    <xdr:rowOff>0</xdr:rowOff>
                  </to>
                </anchor>
              </controlPr>
            </control>
          </mc:Choice>
        </mc:AlternateContent>
        <mc:AlternateContent xmlns:mc="http://schemas.openxmlformats.org/markup-compatibility/2006">
          <mc:Choice Requires="x14">
            <control shapeId="5335" r:id="rId711" name="Drop Down 4311">
              <controlPr defaultSize="0" autoLine="0" autoPict="0">
                <anchor moveWithCells="1">
                  <from>
                    <xdr:col>6</xdr:col>
                    <xdr:colOff>601980</xdr:colOff>
                    <xdr:row>1048</xdr:row>
                    <xdr:rowOff>15240</xdr:rowOff>
                  </from>
                  <to>
                    <xdr:col>6</xdr:col>
                    <xdr:colOff>1272540</xdr:colOff>
                    <xdr:row>1049</xdr:row>
                    <xdr:rowOff>0</xdr:rowOff>
                  </to>
                </anchor>
              </controlPr>
            </control>
          </mc:Choice>
        </mc:AlternateContent>
        <mc:AlternateContent xmlns:mc="http://schemas.openxmlformats.org/markup-compatibility/2006">
          <mc:Choice Requires="x14">
            <control shapeId="5336" r:id="rId712" name="Drop Down 4312">
              <controlPr defaultSize="0" autoLine="0" autoPict="0">
                <anchor moveWithCells="1">
                  <from>
                    <xdr:col>6</xdr:col>
                    <xdr:colOff>1272540</xdr:colOff>
                    <xdr:row>1048</xdr:row>
                    <xdr:rowOff>15240</xdr:rowOff>
                  </from>
                  <to>
                    <xdr:col>6</xdr:col>
                    <xdr:colOff>1805940</xdr:colOff>
                    <xdr:row>1048</xdr:row>
                    <xdr:rowOff>320040</xdr:rowOff>
                  </to>
                </anchor>
              </controlPr>
            </control>
          </mc:Choice>
        </mc:AlternateContent>
        <mc:AlternateContent xmlns:mc="http://schemas.openxmlformats.org/markup-compatibility/2006">
          <mc:Choice Requires="x14">
            <control shapeId="5346" r:id="rId713" name="Drop Down 4322">
              <controlPr defaultSize="0" autoLine="0" autoPict="0">
                <anchor moveWithCells="1">
                  <from>
                    <xdr:col>6</xdr:col>
                    <xdr:colOff>0</xdr:colOff>
                    <xdr:row>1146</xdr:row>
                    <xdr:rowOff>0</xdr:rowOff>
                  </from>
                  <to>
                    <xdr:col>6</xdr:col>
                    <xdr:colOff>624840</xdr:colOff>
                    <xdr:row>1147</xdr:row>
                    <xdr:rowOff>0</xdr:rowOff>
                  </to>
                </anchor>
              </controlPr>
            </control>
          </mc:Choice>
        </mc:AlternateContent>
        <mc:AlternateContent xmlns:mc="http://schemas.openxmlformats.org/markup-compatibility/2006">
          <mc:Choice Requires="x14">
            <control shapeId="5347" r:id="rId714" name="Drop Down 4323">
              <controlPr defaultSize="0" autoLine="0" autoPict="0">
                <anchor moveWithCells="1">
                  <from>
                    <xdr:col>6</xdr:col>
                    <xdr:colOff>601980</xdr:colOff>
                    <xdr:row>1146</xdr:row>
                    <xdr:rowOff>15240</xdr:rowOff>
                  </from>
                  <to>
                    <xdr:col>6</xdr:col>
                    <xdr:colOff>1272540</xdr:colOff>
                    <xdr:row>1147</xdr:row>
                    <xdr:rowOff>0</xdr:rowOff>
                  </to>
                </anchor>
              </controlPr>
            </control>
          </mc:Choice>
        </mc:AlternateContent>
        <mc:AlternateContent xmlns:mc="http://schemas.openxmlformats.org/markup-compatibility/2006">
          <mc:Choice Requires="x14">
            <control shapeId="5348" r:id="rId715" name="Drop Down 4324">
              <controlPr defaultSize="0" autoLine="0" autoPict="0">
                <anchor moveWithCells="1">
                  <from>
                    <xdr:col>6</xdr:col>
                    <xdr:colOff>1272540</xdr:colOff>
                    <xdr:row>1146</xdr:row>
                    <xdr:rowOff>15240</xdr:rowOff>
                  </from>
                  <to>
                    <xdr:col>6</xdr:col>
                    <xdr:colOff>1805940</xdr:colOff>
                    <xdr:row>1146</xdr:row>
                    <xdr:rowOff>320040</xdr:rowOff>
                  </to>
                </anchor>
              </controlPr>
            </control>
          </mc:Choice>
        </mc:AlternateContent>
        <mc:AlternateContent xmlns:mc="http://schemas.openxmlformats.org/markup-compatibility/2006">
          <mc:Choice Requires="x14">
            <control shapeId="5350" r:id="rId716" name="Drop Down 4326">
              <controlPr defaultSize="0" autoLine="0" autoPict="0">
                <anchor moveWithCells="1">
                  <from>
                    <xdr:col>6</xdr:col>
                    <xdr:colOff>0</xdr:colOff>
                    <xdr:row>1147</xdr:row>
                    <xdr:rowOff>0</xdr:rowOff>
                  </from>
                  <to>
                    <xdr:col>6</xdr:col>
                    <xdr:colOff>624840</xdr:colOff>
                    <xdr:row>1148</xdr:row>
                    <xdr:rowOff>0</xdr:rowOff>
                  </to>
                </anchor>
              </controlPr>
            </control>
          </mc:Choice>
        </mc:AlternateContent>
        <mc:AlternateContent xmlns:mc="http://schemas.openxmlformats.org/markup-compatibility/2006">
          <mc:Choice Requires="x14">
            <control shapeId="5351" r:id="rId717" name="Drop Down 4327">
              <controlPr defaultSize="0" autoLine="0" autoPict="0">
                <anchor moveWithCells="1">
                  <from>
                    <xdr:col>6</xdr:col>
                    <xdr:colOff>601980</xdr:colOff>
                    <xdr:row>1147</xdr:row>
                    <xdr:rowOff>15240</xdr:rowOff>
                  </from>
                  <to>
                    <xdr:col>6</xdr:col>
                    <xdr:colOff>1272540</xdr:colOff>
                    <xdr:row>1148</xdr:row>
                    <xdr:rowOff>0</xdr:rowOff>
                  </to>
                </anchor>
              </controlPr>
            </control>
          </mc:Choice>
        </mc:AlternateContent>
        <mc:AlternateContent xmlns:mc="http://schemas.openxmlformats.org/markup-compatibility/2006">
          <mc:Choice Requires="x14">
            <control shapeId="5352" r:id="rId718" name="Drop Down 4328">
              <controlPr defaultSize="0" autoLine="0" autoPict="0">
                <anchor moveWithCells="1">
                  <from>
                    <xdr:col>6</xdr:col>
                    <xdr:colOff>1272540</xdr:colOff>
                    <xdr:row>1147</xdr:row>
                    <xdr:rowOff>15240</xdr:rowOff>
                  </from>
                  <to>
                    <xdr:col>6</xdr:col>
                    <xdr:colOff>1805940</xdr:colOff>
                    <xdr:row>1147</xdr:row>
                    <xdr:rowOff>320040</xdr:rowOff>
                  </to>
                </anchor>
              </controlPr>
            </control>
          </mc:Choice>
        </mc:AlternateContent>
        <mc:AlternateContent xmlns:mc="http://schemas.openxmlformats.org/markup-compatibility/2006">
          <mc:Choice Requires="x14">
            <control shapeId="5354" r:id="rId719" name="Drop Down 4330">
              <controlPr defaultSize="0" autoLine="0" autoPict="0">
                <anchor moveWithCells="1">
                  <from>
                    <xdr:col>6</xdr:col>
                    <xdr:colOff>0</xdr:colOff>
                    <xdr:row>1148</xdr:row>
                    <xdr:rowOff>0</xdr:rowOff>
                  </from>
                  <to>
                    <xdr:col>6</xdr:col>
                    <xdr:colOff>624840</xdr:colOff>
                    <xdr:row>1149</xdr:row>
                    <xdr:rowOff>0</xdr:rowOff>
                  </to>
                </anchor>
              </controlPr>
            </control>
          </mc:Choice>
        </mc:AlternateContent>
        <mc:AlternateContent xmlns:mc="http://schemas.openxmlformats.org/markup-compatibility/2006">
          <mc:Choice Requires="x14">
            <control shapeId="5355" r:id="rId720" name="Drop Down 4331">
              <controlPr defaultSize="0" autoLine="0" autoPict="0">
                <anchor moveWithCells="1">
                  <from>
                    <xdr:col>6</xdr:col>
                    <xdr:colOff>601980</xdr:colOff>
                    <xdr:row>1148</xdr:row>
                    <xdr:rowOff>15240</xdr:rowOff>
                  </from>
                  <to>
                    <xdr:col>6</xdr:col>
                    <xdr:colOff>1272540</xdr:colOff>
                    <xdr:row>1149</xdr:row>
                    <xdr:rowOff>0</xdr:rowOff>
                  </to>
                </anchor>
              </controlPr>
            </control>
          </mc:Choice>
        </mc:AlternateContent>
        <mc:AlternateContent xmlns:mc="http://schemas.openxmlformats.org/markup-compatibility/2006">
          <mc:Choice Requires="x14">
            <control shapeId="5356" r:id="rId721" name="Drop Down 4332">
              <controlPr defaultSize="0" autoLine="0" autoPict="0">
                <anchor moveWithCells="1">
                  <from>
                    <xdr:col>6</xdr:col>
                    <xdr:colOff>1272540</xdr:colOff>
                    <xdr:row>1148</xdr:row>
                    <xdr:rowOff>15240</xdr:rowOff>
                  </from>
                  <to>
                    <xdr:col>6</xdr:col>
                    <xdr:colOff>1805940</xdr:colOff>
                    <xdr:row>1148</xdr:row>
                    <xdr:rowOff>320040</xdr:rowOff>
                  </to>
                </anchor>
              </controlPr>
            </control>
          </mc:Choice>
        </mc:AlternateContent>
        <mc:AlternateContent xmlns:mc="http://schemas.openxmlformats.org/markup-compatibility/2006">
          <mc:Choice Requires="x14">
            <control shapeId="5366" r:id="rId722" name="Drop Down 4342">
              <controlPr defaultSize="0" autoLine="0" autoPict="0">
                <anchor moveWithCells="1">
                  <from>
                    <xdr:col>6</xdr:col>
                    <xdr:colOff>0</xdr:colOff>
                    <xdr:row>1246</xdr:row>
                    <xdr:rowOff>0</xdr:rowOff>
                  </from>
                  <to>
                    <xdr:col>6</xdr:col>
                    <xdr:colOff>624840</xdr:colOff>
                    <xdr:row>1247</xdr:row>
                    <xdr:rowOff>0</xdr:rowOff>
                  </to>
                </anchor>
              </controlPr>
            </control>
          </mc:Choice>
        </mc:AlternateContent>
        <mc:AlternateContent xmlns:mc="http://schemas.openxmlformats.org/markup-compatibility/2006">
          <mc:Choice Requires="x14">
            <control shapeId="5367" r:id="rId723" name="Drop Down 4343">
              <controlPr defaultSize="0" autoLine="0" autoPict="0">
                <anchor moveWithCells="1">
                  <from>
                    <xdr:col>6</xdr:col>
                    <xdr:colOff>601980</xdr:colOff>
                    <xdr:row>1246</xdr:row>
                    <xdr:rowOff>15240</xdr:rowOff>
                  </from>
                  <to>
                    <xdr:col>6</xdr:col>
                    <xdr:colOff>1272540</xdr:colOff>
                    <xdr:row>1247</xdr:row>
                    <xdr:rowOff>0</xdr:rowOff>
                  </to>
                </anchor>
              </controlPr>
            </control>
          </mc:Choice>
        </mc:AlternateContent>
        <mc:AlternateContent xmlns:mc="http://schemas.openxmlformats.org/markup-compatibility/2006">
          <mc:Choice Requires="x14">
            <control shapeId="5368" r:id="rId724" name="Drop Down 4344">
              <controlPr defaultSize="0" autoLine="0" autoPict="0">
                <anchor moveWithCells="1">
                  <from>
                    <xdr:col>6</xdr:col>
                    <xdr:colOff>1272540</xdr:colOff>
                    <xdr:row>1246</xdr:row>
                    <xdr:rowOff>15240</xdr:rowOff>
                  </from>
                  <to>
                    <xdr:col>6</xdr:col>
                    <xdr:colOff>1805940</xdr:colOff>
                    <xdr:row>1246</xdr:row>
                    <xdr:rowOff>320040</xdr:rowOff>
                  </to>
                </anchor>
              </controlPr>
            </control>
          </mc:Choice>
        </mc:AlternateContent>
        <mc:AlternateContent xmlns:mc="http://schemas.openxmlformats.org/markup-compatibility/2006">
          <mc:Choice Requires="x14">
            <control shapeId="5370" r:id="rId725" name="Drop Down 4346">
              <controlPr defaultSize="0" autoLine="0" autoPict="0">
                <anchor moveWithCells="1">
                  <from>
                    <xdr:col>6</xdr:col>
                    <xdr:colOff>0</xdr:colOff>
                    <xdr:row>1247</xdr:row>
                    <xdr:rowOff>0</xdr:rowOff>
                  </from>
                  <to>
                    <xdr:col>6</xdr:col>
                    <xdr:colOff>624840</xdr:colOff>
                    <xdr:row>1248</xdr:row>
                    <xdr:rowOff>0</xdr:rowOff>
                  </to>
                </anchor>
              </controlPr>
            </control>
          </mc:Choice>
        </mc:AlternateContent>
        <mc:AlternateContent xmlns:mc="http://schemas.openxmlformats.org/markup-compatibility/2006">
          <mc:Choice Requires="x14">
            <control shapeId="5371" r:id="rId726" name="Drop Down 4347">
              <controlPr defaultSize="0" autoLine="0" autoPict="0">
                <anchor moveWithCells="1">
                  <from>
                    <xdr:col>6</xdr:col>
                    <xdr:colOff>601980</xdr:colOff>
                    <xdr:row>1247</xdr:row>
                    <xdr:rowOff>15240</xdr:rowOff>
                  </from>
                  <to>
                    <xdr:col>6</xdr:col>
                    <xdr:colOff>1272540</xdr:colOff>
                    <xdr:row>1248</xdr:row>
                    <xdr:rowOff>0</xdr:rowOff>
                  </to>
                </anchor>
              </controlPr>
            </control>
          </mc:Choice>
        </mc:AlternateContent>
        <mc:AlternateContent xmlns:mc="http://schemas.openxmlformats.org/markup-compatibility/2006">
          <mc:Choice Requires="x14">
            <control shapeId="5372" r:id="rId727" name="Drop Down 4348">
              <controlPr defaultSize="0" autoLine="0" autoPict="0">
                <anchor moveWithCells="1">
                  <from>
                    <xdr:col>6</xdr:col>
                    <xdr:colOff>1272540</xdr:colOff>
                    <xdr:row>1247</xdr:row>
                    <xdr:rowOff>15240</xdr:rowOff>
                  </from>
                  <to>
                    <xdr:col>6</xdr:col>
                    <xdr:colOff>1805940</xdr:colOff>
                    <xdr:row>1247</xdr:row>
                    <xdr:rowOff>320040</xdr:rowOff>
                  </to>
                </anchor>
              </controlPr>
            </control>
          </mc:Choice>
        </mc:AlternateContent>
        <mc:AlternateContent xmlns:mc="http://schemas.openxmlformats.org/markup-compatibility/2006">
          <mc:Choice Requires="x14">
            <control shapeId="5374" r:id="rId728" name="Drop Down 4350">
              <controlPr defaultSize="0" autoLine="0" autoPict="0">
                <anchor moveWithCells="1">
                  <from>
                    <xdr:col>6</xdr:col>
                    <xdr:colOff>0</xdr:colOff>
                    <xdr:row>1248</xdr:row>
                    <xdr:rowOff>0</xdr:rowOff>
                  </from>
                  <to>
                    <xdr:col>6</xdr:col>
                    <xdr:colOff>624840</xdr:colOff>
                    <xdr:row>1249</xdr:row>
                    <xdr:rowOff>0</xdr:rowOff>
                  </to>
                </anchor>
              </controlPr>
            </control>
          </mc:Choice>
        </mc:AlternateContent>
        <mc:AlternateContent xmlns:mc="http://schemas.openxmlformats.org/markup-compatibility/2006">
          <mc:Choice Requires="x14">
            <control shapeId="5375" r:id="rId729" name="Drop Down 4351">
              <controlPr defaultSize="0" autoLine="0" autoPict="0">
                <anchor moveWithCells="1">
                  <from>
                    <xdr:col>6</xdr:col>
                    <xdr:colOff>601980</xdr:colOff>
                    <xdr:row>1248</xdr:row>
                    <xdr:rowOff>15240</xdr:rowOff>
                  </from>
                  <to>
                    <xdr:col>6</xdr:col>
                    <xdr:colOff>1272540</xdr:colOff>
                    <xdr:row>1249</xdr:row>
                    <xdr:rowOff>0</xdr:rowOff>
                  </to>
                </anchor>
              </controlPr>
            </control>
          </mc:Choice>
        </mc:AlternateContent>
        <mc:AlternateContent xmlns:mc="http://schemas.openxmlformats.org/markup-compatibility/2006">
          <mc:Choice Requires="x14">
            <control shapeId="5376" r:id="rId730" name="Drop Down 4352">
              <controlPr defaultSize="0" autoLine="0" autoPict="0">
                <anchor moveWithCells="1">
                  <from>
                    <xdr:col>6</xdr:col>
                    <xdr:colOff>1272540</xdr:colOff>
                    <xdr:row>1248</xdr:row>
                    <xdr:rowOff>15240</xdr:rowOff>
                  </from>
                  <to>
                    <xdr:col>6</xdr:col>
                    <xdr:colOff>1805940</xdr:colOff>
                    <xdr:row>1248</xdr:row>
                    <xdr:rowOff>320040</xdr:rowOff>
                  </to>
                </anchor>
              </controlPr>
            </control>
          </mc:Choice>
        </mc:AlternateContent>
        <mc:AlternateContent xmlns:mc="http://schemas.openxmlformats.org/markup-compatibility/2006">
          <mc:Choice Requires="x14">
            <control shapeId="5386" r:id="rId731" name="Drop Down 4362">
              <controlPr defaultSize="0" autoLine="0" autoPict="0">
                <anchor moveWithCells="1">
                  <from>
                    <xdr:col>6</xdr:col>
                    <xdr:colOff>0</xdr:colOff>
                    <xdr:row>1346</xdr:row>
                    <xdr:rowOff>0</xdr:rowOff>
                  </from>
                  <to>
                    <xdr:col>6</xdr:col>
                    <xdr:colOff>624840</xdr:colOff>
                    <xdr:row>1347</xdr:row>
                    <xdr:rowOff>0</xdr:rowOff>
                  </to>
                </anchor>
              </controlPr>
            </control>
          </mc:Choice>
        </mc:AlternateContent>
        <mc:AlternateContent xmlns:mc="http://schemas.openxmlformats.org/markup-compatibility/2006">
          <mc:Choice Requires="x14">
            <control shapeId="5387" r:id="rId732" name="Drop Down 4363">
              <controlPr defaultSize="0" autoLine="0" autoPict="0">
                <anchor moveWithCells="1">
                  <from>
                    <xdr:col>6</xdr:col>
                    <xdr:colOff>601980</xdr:colOff>
                    <xdr:row>1346</xdr:row>
                    <xdr:rowOff>15240</xdr:rowOff>
                  </from>
                  <to>
                    <xdr:col>6</xdr:col>
                    <xdr:colOff>1272540</xdr:colOff>
                    <xdr:row>1347</xdr:row>
                    <xdr:rowOff>0</xdr:rowOff>
                  </to>
                </anchor>
              </controlPr>
            </control>
          </mc:Choice>
        </mc:AlternateContent>
        <mc:AlternateContent xmlns:mc="http://schemas.openxmlformats.org/markup-compatibility/2006">
          <mc:Choice Requires="x14">
            <control shapeId="5388" r:id="rId733" name="Drop Down 4364">
              <controlPr defaultSize="0" autoLine="0" autoPict="0">
                <anchor moveWithCells="1">
                  <from>
                    <xdr:col>6</xdr:col>
                    <xdr:colOff>1272540</xdr:colOff>
                    <xdr:row>1346</xdr:row>
                    <xdr:rowOff>15240</xdr:rowOff>
                  </from>
                  <to>
                    <xdr:col>6</xdr:col>
                    <xdr:colOff>1805940</xdr:colOff>
                    <xdr:row>1346</xdr:row>
                    <xdr:rowOff>320040</xdr:rowOff>
                  </to>
                </anchor>
              </controlPr>
            </control>
          </mc:Choice>
        </mc:AlternateContent>
        <mc:AlternateContent xmlns:mc="http://schemas.openxmlformats.org/markup-compatibility/2006">
          <mc:Choice Requires="x14">
            <control shapeId="5390" r:id="rId734" name="Drop Down 4366">
              <controlPr defaultSize="0" autoLine="0" autoPict="0">
                <anchor moveWithCells="1">
                  <from>
                    <xdr:col>6</xdr:col>
                    <xdr:colOff>0</xdr:colOff>
                    <xdr:row>1347</xdr:row>
                    <xdr:rowOff>0</xdr:rowOff>
                  </from>
                  <to>
                    <xdr:col>6</xdr:col>
                    <xdr:colOff>624840</xdr:colOff>
                    <xdr:row>1348</xdr:row>
                    <xdr:rowOff>0</xdr:rowOff>
                  </to>
                </anchor>
              </controlPr>
            </control>
          </mc:Choice>
        </mc:AlternateContent>
        <mc:AlternateContent xmlns:mc="http://schemas.openxmlformats.org/markup-compatibility/2006">
          <mc:Choice Requires="x14">
            <control shapeId="5391" r:id="rId735" name="Drop Down 4367">
              <controlPr defaultSize="0" autoLine="0" autoPict="0">
                <anchor moveWithCells="1">
                  <from>
                    <xdr:col>6</xdr:col>
                    <xdr:colOff>601980</xdr:colOff>
                    <xdr:row>1347</xdr:row>
                    <xdr:rowOff>15240</xdr:rowOff>
                  </from>
                  <to>
                    <xdr:col>6</xdr:col>
                    <xdr:colOff>1272540</xdr:colOff>
                    <xdr:row>1348</xdr:row>
                    <xdr:rowOff>0</xdr:rowOff>
                  </to>
                </anchor>
              </controlPr>
            </control>
          </mc:Choice>
        </mc:AlternateContent>
        <mc:AlternateContent xmlns:mc="http://schemas.openxmlformats.org/markup-compatibility/2006">
          <mc:Choice Requires="x14">
            <control shapeId="5392" r:id="rId736" name="Drop Down 4368">
              <controlPr defaultSize="0" autoLine="0" autoPict="0">
                <anchor moveWithCells="1">
                  <from>
                    <xdr:col>6</xdr:col>
                    <xdr:colOff>1272540</xdr:colOff>
                    <xdr:row>1347</xdr:row>
                    <xdr:rowOff>15240</xdr:rowOff>
                  </from>
                  <to>
                    <xdr:col>6</xdr:col>
                    <xdr:colOff>1805940</xdr:colOff>
                    <xdr:row>1347</xdr:row>
                    <xdr:rowOff>320040</xdr:rowOff>
                  </to>
                </anchor>
              </controlPr>
            </control>
          </mc:Choice>
        </mc:AlternateContent>
        <mc:AlternateContent xmlns:mc="http://schemas.openxmlformats.org/markup-compatibility/2006">
          <mc:Choice Requires="x14">
            <control shapeId="5394" r:id="rId737" name="Drop Down 4370">
              <controlPr defaultSize="0" autoLine="0" autoPict="0">
                <anchor moveWithCells="1">
                  <from>
                    <xdr:col>6</xdr:col>
                    <xdr:colOff>0</xdr:colOff>
                    <xdr:row>1348</xdr:row>
                    <xdr:rowOff>0</xdr:rowOff>
                  </from>
                  <to>
                    <xdr:col>6</xdr:col>
                    <xdr:colOff>624840</xdr:colOff>
                    <xdr:row>1349</xdr:row>
                    <xdr:rowOff>0</xdr:rowOff>
                  </to>
                </anchor>
              </controlPr>
            </control>
          </mc:Choice>
        </mc:AlternateContent>
        <mc:AlternateContent xmlns:mc="http://schemas.openxmlformats.org/markup-compatibility/2006">
          <mc:Choice Requires="x14">
            <control shapeId="5395" r:id="rId738" name="Drop Down 4371">
              <controlPr defaultSize="0" autoLine="0" autoPict="0">
                <anchor moveWithCells="1">
                  <from>
                    <xdr:col>6</xdr:col>
                    <xdr:colOff>601980</xdr:colOff>
                    <xdr:row>1348</xdr:row>
                    <xdr:rowOff>15240</xdr:rowOff>
                  </from>
                  <to>
                    <xdr:col>6</xdr:col>
                    <xdr:colOff>1272540</xdr:colOff>
                    <xdr:row>1349</xdr:row>
                    <xdr:rowOff>0</xdr:rowOff>
                  </to>
                </anchor>
              </controlPr>
            </control>
          </mc:Choice>
        </mc:AlternateContent>
        <mc:AlternateContent xmlns:mc="http://schemas.openxmlformats.org/markup-compatibility/2006">
          <mc:Choice Requires="x14">
            <control shapeId="5396" r:id="rId739" name="Drop Down 4372">
              <controlPr defaultSize="0" autoLine="0" autoPict="0">
                <anchor moveWithCells="1">
                  <from>
                    <xdr:col>6</xdr:col>
                    <xdr:colOff>1272540</xdr:colOff>
                    <xdr:row>1348</xdr:row>
                    <xdr:rowOff>15240</xdr:rowOff>
                  </from>
                  <to>
                    <xdr:col>6</xdr:col>
                    <xdr:colOff>1805940</xdr:colOff>
                    <xdr:row>1348</xdr:row>
                    <xdr:rowOff>320040</xdr:rowOff>
                  </to>
                </anchor>
              </controlPr>
            </control>
          </mc:Choice>
        </mc:AlternateContent>
        <mc:AlternateContent xmlns:mc="http://schemas.openxmlformats.org/markup-compatibility/2006">
          <mc:Choice Requires="x14">
            <control shapeId="5406" r:id="rId740" name="Drop Down 4382">
              <controlPr defaultSize="0" autoLine="0" autoPict="0">
                <anchor moveWithCells="1">
                  <from>
                    <xdr:col>6</xdr:col>
                    <xdr:colOff>0</xdr:colOff>
                    <xdr:row>1446</xdr:row>
                    <xdr:rowOff>0</xdr:rowOff>
                  </from>
                  <to>
                    <xdr:col>6</xdr:col>
                    <xdr:colOff>624840</xdr:colOff>
                    <xdr:row>1447</xdr:row>
                    <xdr:rowOff>0</xdr:rowOff>
                  </to>
                </anchor>
              </controlPr>
            </control>
          </mc:Choice>
        </mc:AlternateContent>
        <mc:AlternateContent xmlns:mc="http://schemas.openxmlformats.org/markup-compatibility/2006">
          <mc:Choice Requires="x14">
            <control shapeId="5407" r:id="rId741" name="Drop Down 4383">
              <controlPr defaultSize="0" autoLine="0" autoPict="0">
                <anchor moveWithCells="1">
                  <from>
                    <xdr:col>6</xdr:col>
                    <xdr:colOff>601980</xdr:colOff>
                    <xdr:row>1446</xdr:row>
                    <xdr:rowOff>15240</xdr:rowOff>
                  </from>
                  <to>
                    <xdr:col>6</xdr:col>
                    <xdr:colOff>1272540</xdr:colOff>
                    <xdr:row>1447</xdr:row>
                    <xdr:rowOff>0</xdr:rowOff>
                  </to>
                </anchor>
              </controlPr>
            </control>
          </mc:Choice>
        </mc:AlternateContent>
        <mc:AlternateContent xmlns:mc="http://schemas.openxmlformats.org/markup-compatibility/2006">
          <mc:Choice Requires="x14">
            <control shapeId="5408" r:id="rId742" name="Drop Down 4384">
              <controlPr defaultSize="0" autoLine="0" autoPict="0">
                <anchor moveWithCells="1">
                  <from>
                    <xdr:col>6</xdr:col>
                    <xdr:colOff>1272540</xdr:colOff>
                    <xdr:row>1446</xdr:row>
                    <xdr:rowOff>15240</xdr:rowOff>
                  </from>
                  <to>
                    <xdr:col>6</xdr:col>
                    <xdr:colOff>1805940</xdr:colOff>
                    <xdr:row>1446</xdr:row>
                    <xdr:rowOff>320040</xdr:rowOff>
                  </to>
                </anchor>
              </controlPr>
            </control>
          </mc:Choice>
        </mc:AlternateContent>
        <mc:AlternateContent xmlns:mc="http://schemas.openxmlformats.org/markup-compatibility/2006">
          <mc:Choice Requires="x14">
            <control shapeId="5410" r:id="rId743" name="Drop Down 4386">
              <controlPr defaultSize="0" autoLine="0" autoPict="0">
                <anchor moveWithCells="1">
                  <from>
                    <xdr:col>6</xdr:col>
                    <xdr:colOff>0</xdr:colOff>
                    <xdr:row>1447</xdr:row>
                    <xdr:rowOff>0</xdr:rowOff>
                  </from>
                  <to>
                    <xdr:col>6</xdr:col>
                    <xdr:colOff>624840</xdr:colOff>
                    <xdr:row>1448</xdr:row>
                    <xdr:rowOff>0</xdr:rowOff>
                  </to>
                </anchor>
              </controlPr>
            </control>
          </mc:Choice>
        </mc:AlternateContent>
        <mc:AlternateContent xmlns:mc="http://schemas.openxmlformats.org/markup-compatibility/2006">
          <mc:Choice Requires="x14">
            <control shapeId="5411" r:id="rId744" name="Drop Down 4387">
              <controlPr defaultSize="0" autoLine="0" autoPict="0">
                <anchor moveWithCells="1">
                  <from>
                    <xdr:col>6</xdr:col>
                    <xdr:colOff>601980</xdr:colOff>
                    <xdr:row>1447</xdr:row>
                    <xdr:rowOff>15240</xdr:rowOff>
                  </from>
                  <to>
                    <xdr:col>6</xdr:col>
                    <xdr:colOff>1272540</xdr:colOff>
                    <xdr:row>1448</xdr:row>
                    <xdr:rowOff>0</xdr:rowOff>
                  </to>
                </anchor>
              </controlPr>
            </control>
          </mc:Choice>
        </mc:AlternateContent>
        <mc:AlternateContent xmlns:mc="http://schemas.openxmlformats.org/markup-compatibility/2006">
          <mc:Choice Requires="x14">
            <control shapeId="5412" r:id="rId745" name="Drop Down 4388">
              <controlPr defaultSize="0" autoLine="0" autoPict="0">
                <anchor moveWithCells="1">
                  <from>
                    <xdr:col>6</xdr:col>
                    <xdr:colOff>1272540</xdr:colOff>
                    <xdr:row>1447</xdr:row>
                    <xdr:rowOff>15240</xdr:rowOff>
                  </from>
                  <to>
                    <xdr:col>6</xdr:col>
                    <xdr:colOff>1805940</xdr:colOff>
                    <xdr:row>1447</xdr:row>
                    <xdr:rowOff>320040</xdr:rowOff>
                  </to>
                </anchor>
              </controlPr>
            </control>
          </mc:Choice>
        </mc:AlternateContent>
        <mc:AlternateContent xmlns:mc="http://schemas.openxmlformats.org/markup-compatibility/2006">
          <mc:Choice Requires="x14">
            <control shapeId="5414" r:id="rId746" name="Drop Down 4390">
              <controlPr defaultSize="0" autoLine="0" autoPict="0">
                <anchor moveWithCells="1">
                  <from>
                    <xdr:col>6</xdr:col>
                    <xdr:colOff>0</xdr:colOff>
                    <xdr:row>1448</xdr:row>
                    <xdr:rowOff>0</xdr:rowOff>
                  </from>
                  <to>
                    <xdr:col>6</xdr:col>
                    <xdr:colOff>624840</xdr:colOff>
                    <xdr:row>1449</xdr:row>
                    <xdr:rowOff>0</xdr:rowOff>
                  </to>
                </anchor>
              </controlPr>
            </control>
          </mc:Choice>
        </mc:AlternateContent>
        <mc:AlternateContent xmlns:mc="http://schemas.openxmlformats.org/markup-compatibility/2006">
          <mc:Choice Requires="x14">
            <control shapeId="5415" r:id="rId747" name="Drop Down 4391">
              <controlPr defaultSize="0" autoLine="0" autoPict="0">
                <anchor moveWithCells="1">
                  <from>
                    <xdr:col>6</xdr:col>
                    <xdr:colOff>601980</xdr:colOff>
                    <xdr:row>1448</xdr:row>
                    <xdr:rowOff>15240</xdr:rowOff>
                  </from>
                  <to>
                    <xdr:col>6</xdr:col>
                    <xdr:colOff>1272540</xdr:colOff>
                    <xdr:row>1449</xdr:row>
                    <xdr:rowOff>0</xdr:rowOff>
                  </to>
                </anchor>
              </controlPr>
            </control>
          </mc:Choice>
        </mc:AlternateContent>
        <mc:AlternateContent xmlns:mc="http://schemas.openxmlformats.org/markup-compatibility/2006">
          <mc:Choice Requires="x14">
            <control shapeId="5416" r:id="rId748" name="Drop Down 4392">
              <controlPr defaultSize="0" autoLine="0" autoPict="0">
                <anchor moveWithCells="1">
                  <from>
                    <xdr:col>6</xdr:col>
                    <xdr:colOff>1272540</xdr:colOff>
                    <xdr:row>1448</xdr:row>
                    <xdr:rowOff>15240</xdr:rowOff>
                  </from>
                  <to>
                    <xdr:col>6</xdr:col>
                    <xdr:colOff>1805940</xdr:colOff>
                    <xdr:row>1448</xdr:row>
                    <xdr:rowOff>320040</xdr:rowOff>
                  </to>
                </anchor>
              </controlPr>
            </control>
          </mc:Choice>
        </mc:AlternateContent>
        <mc:AlternateContent xmlns:mc="http://schemas.openxmlformats.org/markup-compatibility/2006">
          <mc:Choice Requires="x14">
            <control shapeId="5427" r:id="rId749" name="Drop Down 4403">
              <controlPr defaultSize="0" autoLine="0" autoPict="0">
                <anchor moveWithCells="1">
                  <from>
                    <xdr:col>7</xdr:col>
                    <xdr:colOff>15240</xdr:colOff>
                    <xdr:row>74</xdr:row>
                    <xdr:rowOff>220980</xdr:rowOff>
                  </from>
                  <to>
                    <xdr:col>9</xdr:col>
                    <xdr:colOff>0</xdr:colOff>
                    <xdr:row>75</xdr:row>
                    <xdr:rowOff>220980</xdr:rowOff>
                  </to>
                </anchor>
              </controlPr>
            </control>
          </mc:Choice>
        </mc:AlternateContent>
        <mc:AlternateContent xmlns:mc="http://schemas.openxmlformats.org/markup-compatibility/2006">
          <mc:Choice Requires="x14">
            <control shapeId="5428" r:id="rId750" name="Drop Down 4404">
              <controlPr defaultSize="0" autoLine="0" autoPict="0">
                <anchor moveWithCells="1">
                  <from>
                    <xdr:col>7</xdr:col>
                    <xdr:colOff>15240</xdr:colOff>
                    <xdr:row>77</xdr:row>
                    <xdr:rowOff>0</xdr:rowOff>
                  </from>
                  <to>
                    <xdr:col>9</xdr:col>
                    <xdr:colOff>0</xdr:colOff>
                    <xdr:row>78</xdr:row>
                    <xdr:rowOff>0</xdr:rowOff>
                  </to>
                </anchor>
              </controlPr>
            </control>
          </mc:Choice>
        </mc:AlternateContent>
        <mc:AlternateContent xmlns:mc="http://schemas.openxmlformats.org/markup-compatibility/2006">
          <mc:Choice Requires="x14">
            <control shapeId="5429" r:id="rId751" name="Drop Down 4405">
              <controlPr defaultSize="0" autoLine="0" autoPict="0">
                <anchor moveWithCells="1">
                  <from>
                    <xdr:col>7</xdr:col>
                    <xdr:colOff>15240</xdr:colOff>
                    <xdr:row>174</xdr:row>
                    <xdr:rowOff>220980</xdr:rowOff>
                  </from>
                  <to>
                    <xdr:col>9</xdr:col>
                    <xdr:colOff>0</xdr:colOff>
                    <xdr:row>175</xdr:row>
                    <xdr:rowOff>220980</xdr:rowOff>
                  </to>
                </anchor>
              </controlPr>
            </control>
          </mc:Choice>
        </mc:AlternateContent>
        <mc:AlternateContent xmlns:mc="http://schemas.openxmlformats.org/markup-compatibility/2006">
          <mc:Choice Requires="x14">
            <control shapeId="5430" r:id="rId752" name="Drop Down 4406">
              <controlPr defaultSize="0" autoLine="0" autoPict="0">
                <anchor moveWithCells="1">
                  <from>
                    <xdr:col>7</xdr:col>
                    <xdr:colOff>15240</xdr:colOff>
                    <xdr:row>177</xdr:row>
                    <xdr:rowOff>0</xdr:rowOff>
                  </from>
                  <to>
                    <xdr:col>9</xdr:col>
                    <xdr:colOff>0</xdr:colOff>
                    <xdr:row>178</xdr:row>
                    <xdr:rowOff>0</xdr:rowOff>
                  </to>
                </anchor>
              </controlPr>
            </control>
          </mc:Choice>
        </mc:AlternateContent>
        <mc:AlternateContent xmlns:mc="http://schemas.openxmlformats.org/markup-compatibility/2006">
          <mc:Choice Requires="x14">
            <control shapeId="5431" r:id="rId753" name="Drop Down 4407">
              <controlPr defaultSize="0" autoLine="0" autoPict="0">
                <anchor moveWithCells="1">
                  <from>
                    <xdr:col>7</xdr:col>
                    <xdr:colOff>15240</xdr:colOff>
                    <xdr:row>274</xdr:row>
                    <xdr:rowOff>220980</xdr:rowOff>
                  </from>
                  <to>
                    <xdr:col>9</xdr:col>
                    <xdr:colOff>0</xdr:colOff>
                    <xdr:row>275</xdr:row>
                    <xdr:rowOff>220980</xdr:rowOff>
                  </to>
                </anchor>
              </controlPr>
            </control>
          </mc:Choice>
        </mc:AlternateContent>
        <mc:AlternateContent xmlns:mc="http://schemas.openxmlformats.org/markup-compatibility/2006">
          <mc:Choice Requires="x14">
            <control shapeId="5432" r:id="rId754" name="Drop Down 4408">
              <controlPr defaultSize="0" autoLine="0" autoPict="0">
                <anchor moveWithCells="1">
                  <from>
                    <xdr:col>7</xdr:col>
                    <xdr:colOff>15240</xdr:colOff>
                    <xdr:row>277</xdr:row>
                    <xdr:rowOff>0</xdr:rowOff>
                  </from>
                  <to>
                    <xdr:col>9</xdr:col>
                    <xdr:colOff>0</xdr:colOff>
                    <xdr:row>278</xdr:row>
                    <xdr:rowOff>0</xdr:rowOff>
                  </to>
                </anchor>
              </controlPr>
            </control>
          </mc:Choice>
        </mc:AlternateContent>
        <mc:AlternateContent xmlns:mc="http://schemas.openxmlformats.org/markup-compatibility/2006">
          <mc:Choice Requires="x14">
            <control shapeId="5435" r:id="rId755" name="Drop Down 4411">
              <controlPr defaultSize="0" autoLine="0" autoPict="0">
                <anchor moveWithCells="1">
                  <from>
                    <xdr:col>7</xdr:col>
                    <xdr:colOff>15240</xdr:colOff>
                    <xdr:row>474</xdr:row>
                    <xdr:rowOff>220980</xdr:rowOff>
                  </from>
                  <to>
                    <xdr:col>9</xdr:col>
                    <xdr:colOff>0</xdr:colOff>
                    <xdr:row>475</xdr:row>
                    <xdr:rowOff>220980</xdr:rowOff>
                  </to>
                </anchor>
              </controlPr>
            </control>
          </mc:Choice>
        </mc:AlternateContent>
        <mc:AlternateContent xmlns:mc="http://schemas.openxmlformats.org/markup-compatibility/2006">
          <mc:Choice Requires="x14">
            <control shapeId="5436" r:id="rId756" name="Drop Down 4412">
              <controlPr defaultSize="0" autoLine="0" autoPict="0">
                <anchor moveWithCells="1">
                  <from>
                    <xdr:col>7</xdr:col>
                    <xdr:colOff>15240</xdr:colOff>
                    <xdr:row>477</xdr:row>
                    <xdr:rowOff>0</xdr:rowOff>
                  </from>
                  <to>
                    <xdr:col>9</xdr:col>
                    <xdr:colOff>0</xdr:colOff>
                    <xdr:row>478</xdr:row>
                    <xdr:rowOff>0</xdr:rowOff>
                  </to>
                </anchor>
              </controlPr>
            </control>
          </mc:Choice>
        </mc:AlternateContent>
        <mc:AlternateContent xmlns:mc="http://schemas.openxmlformats.org/markup-compatibility/2006">
          <mc:Choice Requires="x14">
            <control shapeId="5437" r:id="rId757" name="Drop Down 4413">
              <controlPr defaultSize="0" autoLine="0" autoPict="0">
                <anchor moveWithCells="1">
                  <from>
                    <xdr:col>7</xdr:col>
                    <xdr:colOff>15240</xdr:colOff>
                    <xdr:row>574</xdr:row>
                    <xdr:rowOff>220980</xdr:rowOff>
                  </from>
                  <to>
                    <xdr:col>9</xdr:col>
                    <xdr:colOff>0</xdr:colOff>
                    <xdr:row>575</xdr:row>
                    <xdr:rowOff>220980</xdr:rowOff>
                  </to>
                </anchor>
              </controlPr>
            </control>
          </mc:Choice>
        </mc:AlternateContent>
        <mc:AlternateContent xmlns:mc="http://schemas.openxmlformats.org/markup-compatibility/2006">
          <mc:Choice Requires="x14">
            <control shapeId="5438" r:id="rId758" name="Drop Down 4414">
              <controlPr defaultSize="0" autoLine="0" autoPict="0">
                <anchor moveWithCells="1">
                  <from>
                    <xdr:col>7</xdr:col>
                    <xdr:colOff>15240</xdr:colOff>
                    <xdr:row>577</xdr:row>
                    <xdr:rowOff>0</xdr:rowOff>
                  </from>
                  <to>
                    <xdr:col>9</xdr:col>
                    <xdr:colOff>0</xdr:colOff>
                    <xdr:row>578</xdr:row>
                    <xdr:rowOff>0</xdr:rowOff>
                  </to>
                </anchor>
              </controlPr>
            </control>
          </mc:Choice>
        </mc:AlternateContent>
        <mc:AlternateContent xmlns:mc="http://schemas.openxmlformats.org/markup-compatibility/2006">
          <mc:Choice Requires="x14">
            <control shapeId="5439" r:id="rId759" name="Drop Down 4415">
              <controlPr defaultSize="0" autoLine="0" autoPict="0">
                <anchor moveWithCells="1">
                  <from>
                    <xdr:col>7</xdr:col>
                    <xdr:colOff>15240</xdr:colOff>
                    <xdr:row>674</xdr:row>
                    <xdr:rowOff>220980</xdr:rowOff>
                  </from>
                  <to>
                    <xdr:col>9</xdr:col>
                    <xdr:colOff>0</xdr:colOff>
                    <xdr:row>675</xdr:row>
                    <xdr:rowOff>220980</xdr:rowOff>
                  </to>
                </anchor>
              </controlPr>
            </control>
          </mc:Choice>
        </mc:AlternateContent>
        <mc:AlternateContent xmlns:mc="http://schemas.openxmlformats.org/markup-compatibility/2006">
          <mc:Choice Requires="x14">
            <control shapeId="5440" r:id="rId760" name="Drop Down 4416">
              <controlPr defaultSize="0" autoLine="0" autoPict="0">
                <anchor moveWithCells="1">
                  <from>
                    <xdr:col>7</xdr:col>
                    <xdr:colOff>15240</xdr:colOff>
                    <xdr:row>677</xdr:row>
                    <xdr:rowOff>0</xdr:rowOff>
                  </from>
                  <to>
                    <xdr:col>9</xdr:col>
                    <xdr:colOff>0</xdr:colOff>
                    <xdr:row>678</xdr:row>
                    <xdr:rowOff>0</xdr:rowOff>
                  </to>
                </anchor>
              </controlPr>
            </control>
          </mc:Choice>
        </mc:AlternateContent>
        <mc:AlternateContent xmlns:mc="http://schemas.openxmlformats.org/markup-compatibility/2006">
          <mc:Choice Requires="x14">
            <control shapeId="5441" r:id="rId761" name="Drop Down 4417">
              <controlPr defaultSize="0" autoLine="0" autoPict="0">
                <anchor moveWithCells="1">
                  <from>
                    <xdr:col>7</xdr:col>
                    <xdr:colOff>15240</xdr:colOff>
                    <xdr:row>774</xdr:row>
                    <xdr:rowOff>220980</xdr:rowOff>
                  </from>
                  <to>
                    <xdr:col>9</xdr:col>
                    <xdr:colOff>0</xdr:colOff>
                    <xdr:row>775</xdr:row>
                    <xdr:rowOff>220980</xdr:rowOff>
                  </to>
                </anchor>
              </controlPr>
            </control>
          </mc:Choice>
        </mc:AlternateContent>
        <mc:AlternateContent xmlns:mc="http://schemas.openxmlformats.org/markup-compatibility/2006">
          <mc:Choice Requires="x14">
            <control shapeId="5442" r:id="rId762" name="Drop Down 4418">
              <controlPr defaultSize="0" autoLine="0" autoPict="0">
                <anchor moveWithCells="1">
                  <from>
                    <xdr:col>7</xdr:col>
                    <xdr:colOff>15240</xdr:colOff>
                    <xdr:row>777</xdr:row>
                    <xdr:rowOff>0</xdr:rowOff>
                  </from>
                  <to>
                    <xdr:col>9</xdr:col>
                    <xdr:colOff>0</xdr:colOff>
                    <xdr:row>778</xdr:row>
                    <xdr:rowOff>0</xdr:rowOff>
                  </to>
                </anchor>
              </controlPr>
            </control>
          </mc:Choice>
        </mc:AlternateContent>
        <mc:AlternateContent xmlns:mc="http://schemas.openxmlformats.org/markup-compatibility/2006">
          <mc:Choice Requires="x14">
            <control shapeId="5443" r:id="rId763" name="Drop Down 4419">
              <controlPr defaultSize="0" autoLine="0" autoPict="0">
                <anchor moveWithCells="1">
                  <from>
                    <xdr:col>7</xdr:col>
                    <xdr:colOff>15240</xdr:colOff>
                    <xdr:row>874</xdr:row>
                    <xdr:rowOff>220980</xdr:rowOff>
                  </from>
                  <to>
                    <xdr:col>9</xdr:col>
                    <xdr:colOff>0</xdr:colOff>
                    <xdr:row>875</xdr:row>
                    <xdr:rowOff>220980</xdr:rowOff>
                  </to>
                </anchor>
              </controlPr>
            </control>
          </mc:Choice>
        </mc:AlternateContent>
        <mc:AlternateContent xmlns:mc="http://schemas.openxmlformats.org/markup-compatibility/2006">
          <mc:Choice Requires="x14">
            <control shapeId="5444" r:id="rId764" name="Drop Down 4420">
              <controlPr defaultSize="0" autoLine="0" autoPict="0">
                <anchor moveWithCells="1">
                  <from>
                    <xdr:col>7</xdr:col>
                    <xdr:colOff>15240</xdr:colOff>
                    <xdr:row>877</xdr:row>
                    <xdr:rowOff>0</xdr:rowOff>
                  </from>
                  <to>
                    <xdr:col>9</xdr:col>
                    <xdr:colOff>0</xdr:colOff>
                    <xdr:row>878</xdr:row>
                    <xdr:rowOff>0</xdr:rowOff>
                  </to>
                </anchor>
              </controlPr>
            </control>
          </mc:Choice>
        </mc:AlternateContent>
        <mc:AlternateContent xmlns:mc="http://schemas.openxmlformats.org/markup-compatibility/2006">
          <mc:Choice Requires="x14">
            <control shapeId="5445" r:id="rId765" name="Drop Down 4421">
              <controlPr defaultSize="0" autoLine="0" autoPict="0">
                <anchor moveWithCells="1">
                  <from>
                    <xdr:col>7</xdr:col>
                    <xdr:colOff>15240</xdr:colOff>
                    <xdr:row>974</xdr:row>
                    <xdr:rowOff>220980</xdr:rowOff>
                  </from>
                  <to>
                    <xdr:col>9</xdr:col>
                    <xdr:colOff>0</xdr:colOff>
                    <xdr:row>975</xdr:row>
                    <xdr:rowOff>220980</xdr:rowOff>
                  </to>
                </anchor>
              </controlPr>
            </control>
          </mc:Choice>
        </mc:AlternateContent>
        <mc:AlternateContent xmlns:mc="http://schemas.openxmlformats.org/markup-compatibility/2006">
          <mc:Choice Requires="x14">
            <control shapeId="5446" r:id="rId766" name="Drop Down 4422">
              <controlPr defaultSize="0" autoLine="0" autoPict="0">
                <anchor moveWithCells="1">
                  <from>
                    <xdr:col>7</xdr:col>
                    <xdr:colOff>15240</xdr:colOff>
                    <xdr:row>977</xdr:row>
                    <xdr:rowOff>0</xdr:rowOff>
                  </from>
                  <to>
                    <xdr:col>9</xdr:col>
                    <xdr:colOff>0</xdr:colOff>
                    <xdr:row>978</xdr:row>
                    <xdr:rowOff>0</xdr:rowOff>
                  </to>
                </anchor>
              </controlPr>
            </control>
          </mc:Choice>
        </mc:AlternateContent>
        <mc:AlternateContent xmlns:mc="http://schemas.openxmlformats.org/markup-compatibility/2006">
          <mc:Choice Requires="x14">
            <control shapeId="5447" r:id="rId767" name="Drop Down 4423">
              <controlPr defaultSize="0" autoLine="0" autoPict="0">
                <anchor moveWithCells="1">
                  <from>
                    <xdr:col>7</xdr:col>
                    <xdr:colOff>15240</xdr:colOff>
                    <xdr:row>1074</xdr:row>
                    <xdr:rowOff>220980</xdr:rowOff>
                  </from>
                  <to>
                    <xdr:col>9</xdr:col>
                    <xdr:colOff>0</xdr:colOff>
                    <xdr:row>1075</xdr:row>
                    <xdr:rowOff>220980</xdr:rowOff>
                  </to>
                </anchor>
              </controlPr>
            </control>
          </mc:Choice>
        </mc:AlternateContent>
        <mc:AlternateContent xmlns:mc="http://schemas.openxmlformats.org/markup-compatibility/2006">
          <mc:Choice Requires="x14">
            <control shapeId="5448" r:id="rId768" name="Drop Down 4424">
              <controlPr defaultSize="0" autoLine="0" autoPict="0">
                <anchor moveWithCells="1">
                  <from>
                    <xdr:col>7</xdr:col>
                    <xdr:colOff>15240</xdr:colOff>
                    <xdr:row>1077</xdr:row>
                    <xdr:rowOff>0</xdr:rowOff>
                  </from>
                  <to>
                    <xdr:col>9</xdr:col>
                    <xdr:colOff>0</xdr:colOff>
                    <xdr:row>1078</xdr:row>
                    <xdr:rowOff>0</xdr:rowOff>
                  </to>
                </anchor>
              </controlPr>
            </control>
          </mc:Choice>
        </mc:AlternateContent>
        <mc:AlternateContent xmlns:mc="http://schemas.openxmlformats.org/markup-compatibility/2006">
          <mc:Choice Requires="x14">
            <control shapeId="5449" r:id="rId769" name="Drop Down 4425">
              <controlPr defaultSize="0" autoLine="0" autoPict="0">
                <anchor moveWithCells="1">
                  <from>
                    <xdr:col>7</xdr:col>
                    <xdr:colOff>15240</xdr:colOff>
                    <xdr:row>1174</xdr:row>
                    <xdr:rowOff>220980</xdr:rowOff>
                  </from>
                  <to>
                    <xdr:col>9</xdr:col>
                    <xdr:colOff>0</xdr:colOff>
                    <xdr:row>1175</xdr:row>
                    <xdr:rowOff>220980</xdr:rowOff>
                  </to>
                </anchor>
              </controlPr>
            </control>
          </mc:Choice>
        </mc:AlternateContent>
        <mc:AlternateContent xmlns:mc="http://schemas.openxmlformats.org/markup-compatibility/2006">
          <mc:Choice Requires="x14">
            <control shapeId="5450" r:id="rId770" name="Drop Down 4426">
              <controlPr defaultSize="0" autoLine="0" autoPict="0">
                <anchor moveWithCells="1">
                  <from>
                    <xdr:col>7</xdr:col>
                    <xdr:colOff>15240</xdr:colOff>
                    <xdr:row>1177</xdr:row>
                    <xdr:rowOff>0</xdr:rowOff>
                  </from>
                  <to>
                    <xdr:col>9</xdr:col>
                    <xdr:colOff>0</xdr:colOff>
                    <xdr:row>1178</xdr:row>
                    <xdr:rowOff>0</xdr:rowOff>
                  </to>
                </anchor>
              </controlPr>
            </control>
          </mc:Choice>
        </mc:AlternateContent>
        <mc:AlternateContent xmlns:mc="http://schemas.openxmlformats.org/markup-compatibility/2006">
          <mc:Choice Requires="x14">
            <control shapeId="5451" r:id="rId771" name="Drop Down 4427">
              <controlPr defaultSize="0" autoLine="0" autoPict="0">
                <anchor moveWithCells="1">
                  <from>
                    <xdr:col>7</xdr:col>
                    <xdr:colOff>15240</xdr:colOff>
                    <xdr:row>1274</xdr:row>
                    <xdr:rowOff>220980</xdr:rowOff>
                  </from>
                  <to>
                    <xdr:col>9</xdr:col>
                    <xdr:colOff>0</xdr:colOff>
                    <xdr:row>1275</xdr:row>
                    <xdr:rowOff>220980</xdr:rowOff>
                  </to>
                </anchor>
              </controlPr>
            </control>
          </mc:Choice>
        </mc:AlternateContent>
        <mc:AlternateContent xmlns:mc="http://schemas.openxmlformats.org/markup-compatibility/2006">
          <mc:Choice Requires="x14">
            <control shapeId="5452" r:id="rId772" name="Drop Down 4428">
              <controlPr defaultSize="0" autoLine="0" autoPict="0">
                <anchor moveWithCells="1">
                  <from>
                    <xdr:col>7</xdr:col>
                    <xdr:colOff>15240</xdr:colOff>
                    <xdr:row>1277</xdr:row>
                    <xdr:rowOff>0</xdr:rowOff>
                  </from>
                  <to>
                    <xdr:col>9</xdr:col>
                    <xdr:colOff>0</xdr:colOff>
                    <xdr:row>1278</xdr:row>
                    <xdr:rowOff>0</xdr:rowOff>
                  </to>
                </anchor>
              </controlPr>
            </control>
          </mc:Choice>
        </mc:AlternateContent>
        <mc:AlternateContent xmlns:mc="http://schemas.openxmlformats.org/markup-compatibility/2006">
          <mc:Choice Requires="x14">
            <control shapeId="5453" r:id="rId773" name="Drop Down 4429">
              <controlPr defaultSize="0" autoLine="0" autoPict="0">
                <anchor moveWithCells="1">
                  <from>
                    <xdr:col>7</xdr:col>
                    <xdr:colOff>15240</xdr:colOff>
                    <xdr:row>1374</xdr:row>
                    <xdr:rowOff>220980</xdr:rowOff>
                  </from>
                  <to>
                    <xdr:col>9</xdr:col>
                    <xdr:colOff>0</xdr:colOff>
                    <xdr:row>1375</xdr:row>
                    <xdr:rowOff>220980</xdr:rowOff>
                  </to>
                </anchor>
              </controlPr>
            </control>
          </mc:Choice>
        </mc:AlternateContent>
        <mc:AlternateContent xmlns:mc="http://schemas.openxmlformats.org/markup-compatibility/2006">
          <mc:Choice Requires="x14">
            <control shapeId="5454" r:id="rId774" name="Drop Down 4430">
              <controlPr defaultSize="0" autoLine="0" autoPict="0">
                <anchor moveWithCells="1">
                  <from>
                    <xdr:col>7</xdr:col>
                    <xdr:colOff>15240</xdr:colOff>
                    <xdr:row>1377</xdr:row>
                    <xdr:rowOff>0</xdr:rowOff>
                  </from>
                  <to>
                    <xdr:col>9</xdr:col>
                    <xdr:colOff>0</xdr:colOff>
                    <xdr:row>1378</xdr:row>
                    <xdr:rowOff>0</xdr:rowOff>
                  </to>
                </anchor>
              </controlPr>
            </control>
          </mc:Choice>
        </mc:AlternateContent>
        <mc:AlternateContent xmlns:mc="http://schemas.openxmlformats.org/markup-compatibility/2006">
          <mc:Choice Requires="x14">
            <control shapeId="5455" r:id="rId775" name="Drop Down 4431">
              <controlPr defaultSize="0" autoLine="0" autoPict="0">
                <anchor moveWithCells="1">
                  <from>
                    <xdr:col>7</xdr:col>
                    <xdr:colOff>15240</xdr:colOff>
                    <xdr:row>1474</xdr:row>
                    <xdr:rowOff>220980</xdr:rowOff>
                  </from>
                  <to>
                    <xdr:col>9</xdr:col>
                    <xdr:colOff>0</xdr:colOff>
                    <xdr:row>1475</xdr:row>
                    <xdr:rowOff>220980</xdr:rowOff>
                  </to>
                </anchor>
              </controlPr>
            </control>
          </mc:Choice>
        </mc:AlternateContent>
        <mc:AlternateContent xmlns:mc="http://schemas.openxmlformats.org/markup-compatibility/2006">
          <mc:Choice Requires="x14">
            <control shapeId="5456" r:id="rId776" name="Drop Down 4432">
              <controlPr defaultSize="0" autoLine="0" autoPict="0">
                <anchor moveWithCells="1">
                  <from>
                    <xdr:col>7</xdr:col>
                    <xdr:colOff>15240</xdr:colOff>
                    <xdr:row>1477</xdr:row>
                    <xdr:rowOff>0</xdr:rowOff>
                  </from>
                  <to>
                    <xdr:col>9</xdr:col>
                    <xdr:colOff>0</xdr:colOff>
                    <xdr:row>1478</xdr:row>
                    <xdr:rowOff>0</xdr:rowOff>
                  </to>
                </anchor>
              </controlPr>
            </control>
          </mc:Choice>
        </mc:AlternateContent>
        <mc:AlternateContent xmlns:mc="http://schemas.openxmlformats.org/markup-compatibility/2006">
          <mc:Choice Requires="x14">
            <control shapeId="5457" r:id="rId777" name="Drop Down 4433">
              <controlPr defaultSize="0" autoLine="0" autoPict="0">
                <anchor moveWithCells="1">
                  <from>
                    <xdr:col>7</xdr:col>
                    <xdr:colOff>15240</xdr:colOff>
                    <xdr:row>1574</xdr:row>
                    <xdr:rowOff>220980</xdr:rowOff>
                  </from>
                  <to>
                    <xdr:col>9</xdr:col>
                    <xdr:colOff>0</xdr:colOff>
                    <xdr:row>1575</xdr:row>
                    <xdr:rowOff>220980</xdr:rowOff>
                  </to>
                </anchor>
              </controlPr>
            </control>
          </mc:Choice>
        </mc:AlternateContent>
        <mc:AlternateContent xmlns:mc="http://schemas.openxmlformats.org/markup-compatibility/2006">
          <mc:Choice Requires="x14">
            <control shapeId="5458" r:id="rId778" name="Drop Down 4434">
              <controlPr defaultSize="0" autoLine="0" autoPict="0">
                <anchor moveWithCells="1">
                  <from>
                    <xdr:col>7</xdr:col>
                    <xdr:colOff>15240</xdr:colOff>
                    <xdr:row>1577</xdr:row>
                    <xdr:rowOff>0</xdr:rowOff>
                  </from>
                  <to>
                    <xdr:col>9</xdr:col>
                    <xdr:colOff>0</xdr:colOff>
                    <xdr:row>1578</xdr:row>
                    <xdr:rowOff>0</xdr:rowOff>
                  </to>
                </anchor>
              </controlPr>
            </control>
          </mc:Choice>
        </mc:AlternateContent>
        <mc:AlternateContent xmlns:mc="http://schemas.openxmlformats.org/markup-compatibility/2006">
          <mc:Choice Requires="x14">
            <control shapeId="5459" r:id="rId779" name="Drop Down 4435">
              <controlPr defaultSize="0" autoLine="0" autoPict="0">
                <anchor moveWithCells="1">
                  <from>
                    <xdr:col>7</xdr:col>
                    <xdr:colOff>15240</xdr:colOff>
                    <xdr:row>1674</xdr:row>
                    <xdr:rowOff>220980</xdr:rowOff>
                  </from>
                  <to>
                    <xdr:col>9</xdr:col>
                    <xdr:colOff>0</xdr:colOff>
                    <xdr:row>1675</xdr:row>
                    <xdr:rowOff>220980</xdr:rowOff>
                  </to>
                </anchor>
              </controlPr>
            </control>
          </mc:Choice>
        </mc:AlternateContent>
        <mc:AlternateContent xmlns:mc="http://schemas.openxmlformats.org/markup-compatibility/2006">
          <mc:Choice Requires="x14">
            <control shapeId="5460" r:id="rId780" name="Drop Down 4436">
              <controlPr defaultSize="0" autoLine="0" autoPict="0">
                <anchor moveWithCells="1">
                  <from>
                    <xdr:col>7</xdr:col>
                    <xdr:colOff>15240</xdr:colOff>
                    <xdr:row>1677</xdr:row>
                    <xdr:rowOff>0</xdr:rowOff>
                  </from>
                  <to>
                    <xdr:col>9</xdr:col>
                    <xdr:colOff>0</xdr:colOff>
                    <xdr:row>1678</xdr:row>
                    <xdr:rowOff>0</xdr:rowOff>
                  </to>
                </anchor>
              </controlPr>
            </control>
          </mc:Choice>
        </mc:AlternateContent>
        <mc:AlternateContent xmlns:mc="http://schemas.openxmlformats.org/markup-compatibility/2006">
          <mc:Choice Requires="x14">
            <control shapeId="5461" r:id="rId781" name="Drop Down 4437">
              <controlPr defaultSize="0" autoLine="0" autoPict="0">
                <anchor moveWithCells="1">
                  <from>
                    <xdr:col>7</xdr:col>
                    <xdr:colOff>15240</xdr:colOff>
                    <xdr:row>1774</xdr:row>
                    <xdr:rowOff>220980</xdr:rowOff>
                  </from>
                  <to>
                    <xdr:col>9</xdr:col>
                    <xdr:colOff>0</xdr:colOff>
                    <xdr:row>1775</xdr:row>
                    <xdr:rowOff>220980</xdr:rowOff>
                  </to>
                </anchor>
              </controlPr>
            </control>
          </mc:Choice>
        </mc:AlternateContent>
        <mc:AlternateContent xmlns:mc="http://schemas.openxmlformats.org/markup-compatibility/2006">
          <mc:Choice Requires="x14">
            <control shapeId="5462" r:id="rId782" name="Drop Down 4438">
              <controlPr defaultSize="0" autoLine="0" autoPict="0">
                <anchor moveWithCells="1">
                  <from>
                    <xdr:col>7</xdr:col>
                    <xdr:colOff>15240</xdr:colOff>
                    <xdr:row>1777</xdr:row>
                    <xdr:rowOff>0</xdr:rowOff>
                  </from>
                  <to>
                    <xdr:col>9</xdr:col>
                    <xdr:colOff>0</xdr:colOff>
                    <xdr:row>1778</xdr:row>
                    <xdr:rowOff>0</xdr:rowOff>
                  </to>
                </anchor>
              </controlPr>
            </control>
          </mc:Choice>
        </mc:AlternateContent>
        <mc:AlternateContent xmlns:mc="http://schemas.openxmlformats.org/markup-compatibility/2006">
          <mc:Choice Requires="x14">
            <control shapeId="5463" r:id="rId783" name="Drop Down 4439">
              <controlPr defaultSize="0" autoLine="0" autoPict="0">
                <anchor moveWithCells="1">
                  <from>
                    <xdr:col>7</xdr:col>
                    <xdr:colOff>15240</xdr:colOff>
                    <xdr:row>1874</xdr:row>
                    <xdr:rowOff>220980</xdr:rowOff>
                  </from>
                  <to>
                    <xdr:col>9</xdr:col>
                    <xdr:colOff>0</xdr:colOff>
                    <xdr:row>1875</xdr:row>
                    <xdr:rowOff>220980</xdr:rowOff>
                  </to>
                </anchor>
              </controlPr>
            </control>
          </mc:Choice>
        </mc:AlternateContent>
        <mc:AlternateContent xmlns:mc="http://schemas.openxmlformats.org/markup-compatibility/2006">
          <mc:Choice Requires="x14">
            <control shapeId="5464" r:id="rId784" name="Drop Down 4440">
              <controlPr defaultSize="0" autoLine="0" autoPict="0">
                <anchor moveWithCells="1">
                  <from>
                    <xdr:col>7</xdr:col>
                    <xdr:colOff>15240</xdr:colOff>
                    <xdr:row>1877</xdr:row>
                    <xdr:rowOff>0</xdr:rowOff>
                  </from>
                  <to>
                    <xdr:col>9</xdr:col>
                    <xdr:colOff>0</xdr:colOff>
                    <xdr:row>1878</xdr:row>
                    <xdr:rowOff>0</xdr:rowOff>
                  </to>
                </anchor>
              </controlPr>
            </control>
          </mc:Choice>
        </mc:AlternateContent>
        <mc:AlternateContent xmlns:mc="http://schemas.openxmlformats.org/markup-compatibility/2006">
          <mc:Choice Requires="x14">
            <control shapeId="5465" r:id="rId785" name="Drop Down 4441">
              <controlPr defaultSize="0" autoLine="0" autoPict="0">
                <anchor moveWithCells="1">
                  <from>
                    <xdr:col>7</xdr:col>
                    <xdr:colOff>15240</xdr:colOff>
                    <xdr:row>1974</xdr:row>
                    <xdr:rowOff>220980</xdr:rowOff>
                  </from>
                  <to>
                    <xdr:col>9</xdr:col>
                    <xdr:colOff>0</xdr:colOff>
                    <xdr:row>1975</xdr:row>
                    <xdr:rowOff>220980</xdr:rowOff>
                  </to>
                </anchor>
              </controlPr>
            </control>
          </mc:Choice>
        </mc:AlternateContent>
        <mc:AlternateContent xmlns:mc="http://schemas.openxmlformats.org/markup-compatibility/2006">
          <mc:Choice Requires="x14">
            <control shapeId="5466" r:id="rId786" name="Drop Down 4442">
              <controlPr defaultSize="0" autoLine="0" autoPict="0">
                <anchor moveWithCells="1">
                  <from>
                    <xdr:col>7</xdr:col>
                    <xdr:colOff>15240</xdr:colOff>
                    <xdr:row>1977</xdr:row>
                    <xdr:rowOff>0</xdr:rowOff>
                  </from>
                  <to>
                    <xdr:col>9</xdr:col>
                    <xdr:colOff>0</xdr:colOff>
                    <xdr:row>1978</xdr:row>
                    <xdr:rowOff>0</xdr:rowOff>
                  </to>
                </anchor>
              </controlPr>
            </control>
          </mc:Choice>
        </mc:AlternateContent>
        <mc:AlternateContent xmlns:mc="http://schemas.openxmlformats.org/markup-compatibility/2006">
          <mc:Choice Requires="x14">
            <control shapeId="5493" r:id="rId787" name="Button 4469">
              <controlPr locked="0" defaultSize="0" print="0" autoFill="0" autoPict="0" macro="[0]!printposition2">
                <anchor moveWithCells="1" sizeWithCells="1">
                  <from>
                    <xdr:col>3</xdr:col>
                    <xdr:colOff>30480</xdr:colOff>
                    <xdr:row>11</xdr:row>
                    <xdr:rowOff>144780</xdr:rowOff>
                  </from>
                  <to>
                    <xdr:col>4</xdr:col>
                    <xdr:colOff>0</xdr:colOff>
                    <xdr:row>12</xdr:row>
                    <xdr:rowOff>152400</xdr:rowOff>
                  </to>
                </anchor>
              </controlPr>
            </control>
          </mc:Choice>
        </mc:AlternateContent>
        <mc:AlternateContent xmlns:mc="http://schemas.openxmlformats.org/markup-compatibility/2006">
          <mc:Choice Requires="x14">
            <control shapeId="5512" r:id="rId788" name="Drop Down 4488">
              <controlPr defaultSize="0" autoLine="0" autoPict="0">
                <anchor moveWithCells="1">
                  <from>
                    <xdr:col>5</xdr:col>
                    <xdr:colOff>815340</xdr:colOff>
                    <xdr:row>71</xdr:row>
                    <xdr:rowOff>0</xdr:rowOff>
                  </from>
                  <to>
                    <xdr:col>8</xdr:col>
                    <xdr:colOff>22860</xdr:colOff>
                    <xdr:row>72</xdr:row>
                    <xdr:rowOff>15240</xdr:rowOff>
                  </to>
                </anchor>
              </controlPr>
            </control>
          </mc:Choice>
        </mc:AlternateContent>
        <mc:AlternateContent xmlns:mc="http://schemas.openxmlformats.org/markup-compatibility/2006">
          <mc:Choice Requires="x14">
            <control shapeId="5513" r:id="rId789" name="Drop Down 4489">
              <controlPr defaultSize="0" autoLine="0" autoPict="0">
                <anchor moveWithCells="1">
                  <from>
                    <xdr:col>6</xdr:col>
                    <xdr:colOff>0</xdr:colOff>
                    <xdr:row>171</xdr:row>
                    <xdr:rowOff>0</xdr:rowOff>
                  </from>
                  <to>
                    <xdr:col>8</xdr:col>
                    <xdr:colOff>38100</xdr:colOff>
                    <xdr:row>172</xdr:row>
                    <xdr:rowOff>15240</xdr:rowOff>
                  </to>
                </anchor>
              </controlPr>
            </control>
          </mc:Choice>
        </mc:AlternateContent>
        <mc:AlternateContent xmlns:mc="http://schemas.openxmlformats.org/markup-compatibility/2006">
          <mc:Choice Requires="x14">
            <control shapeId="5514" r:id="rId790" name="Drop Down 4490">
              <controlPr defaultSize="0" autoLine="0" autoPict="0">
                <anchor moveWithCells="1">
                  <from>
                    <xdr:col>6</xdr:col>
                    <xdr:colOff>0</xdr:colOff>
                    <xdr:row>271</xdr:row>
                    <xdr:rowOff>0</xdr:rowOff>
                  </from>
                  <to>
                    <xdr:col>8</xdr:col>
                    <xdr:colOff>38100</xdr:colOff>
                    <xdr:row>272</xdr:row>
                    <xdr:rowOff>15240</xdr:rowOff>
                  </to>
                </anchor>
              </controlPr>
            </control>
          </mc:Choice>
        </mc:AlternateContent>
        <mc:AlternateContent xmlns:mc="http://schemas.openxmlformats.org/markup-compatibility/2006">
          <mc:Choice Requires="x14">
            <control shapeId="5516" r:id="rId791" name="Drop Down 4492">
              <controlPr defaultSize="0" autoLine="0" autoPict="0">
                <anchor moveWithCells="1">
                  <from>
                    <xdr:col>5</xdr:col>
                    <xdr:colOff>822960</xdr:colOff>
                    <xdr:row>471</xdr:row>
                    <xdr:rowOff>0</xdr:rowOff>
                  </from>
                  <to>
                    <xdr:col>8</xdr:col>
                    <xdr:colOff>30480</xdr:colOff>
                    <xdr:row>472</xdr:row>
                    <xdr:rowOff>30480</xdr:rowOff>
                  </to>
                </anchor>
              </controlPr>
            </control>
          </mc:Choice>
        </mc:AlternateContent>
        <mc:AlternateContent xmlns:mc="http://schemas.openxmlformats.org/markup-compatibility/2006">
          <mc:Choice Requires="x14">
            <control shapeId="5517" r:id="rId792" name="Drop Down 4493">
              <controlPr defaultSize="0" autoLine="0" autoPict="0">
                <anchor moveWithCells="1">
                  <from>
                    <xdr:col>5</xdr:col>
                    <xdr:colOff>822960</xdr:colOff>
                    <xdr:row>571</xdr:row>
                    <xdr:rowOff>0</xdr:rowOff>
                  </from>
                  <to>
                    <xdr:col>8</xdr:col>
                    <xdr:colOff>30480</xdr:colOff>
                    <xdr:row>572</xdr:row>
                    <xdr:rowOff>15240</xdr:rowOff>
                  </to>
                </anchor>
              </controlPr>
            </control>
          </mc:Choice>
        </mc:AlternateContent>
        <mc:AlternateContent xmlns:mc="http://schemas.openxmlformats.org/markup-compatibility/2006">
          <mc:Choice Requires="x14">
            <control shapeId="5518" r:id="rId793" name="Drop Down 4494">
              <controlPr defaultSize="0" autoLine="0" autoPict="0">
                <anchor moveWithCells="1">
                  <from>
                    <xdr:col>5</xdr:col>
                    <xdr:colOff>822960</xdr:colOff>
                    <xdr:row>671</xdr:row>
                    <xdr:rowOff>0</xdr:rowOff>
                  </from>
                  <to>
                    <xdr:col>8</xdr:col>
                    <xdr:colOff>30480</xdr:colOff>
                    <xdr:row>672</xdr:row>
                    <xdr:rowOff>15240</xdr:rowOff>
                  </to>
                </anchor>
              </controlPr>
            </control>
          </mc:Choice>
        </mc:AlternateContent>
        <mc:AlternateContent xmlns:mc="http://schemas.openxmlformats.org/markup-compatibility/2006">
          <mc:Choice Requires="x14">
            <control shapeId="5519" r:id="rId794" name="Drop Down 4495">
              <controlPr defaultSize="0" autoLine="0" autoPict="0">
                <anchor moveWithCells="1">
                  <from>
                    <xdr:col>5</xdr:col>
                    <xdr:colOff>822960</xdr:colOff>
                    <xdr:row>771</xdr:row>
                    <xdr:rowOff>0</xdr:rowOff>
                  </from>
                  <to>
                    <xdr:col>8</xdr:col>
                    <xdr:colOff>30480</xdr:colOff>
                    <xdr:row>772</xdr:row>
                    <xdr:rowOff>15240</xdr:rowOff>
                  </to>
                </anchor>
              </controlPr>
            </control>
          </mc:Choice>
        </mc:AlternateContent>
        <mc:AlternateContent xmlns:mc="http://schemas.openxmlformats.org/markup-compatibility/2006">
          <mc:Choice Requires="x14">
            <control shapeId="5520" r:id="rId795" name="Drop Down 4496">
              <controlPr defaultSize="0" autoLine="0" autoPict="0">
                <anchor moveWithCells="1">
                  <from>
                    <xdr:col>5</xdr:col>
                    <xdr:colOff>822960</xdr:colOff>
                    <xdr:row>871</xdr:row>
                    <xdr:rowOff>0</xdr:rowOff>
                  </from>
                  <to>
                    <xdr:col>8</xdr:col>
                    <xdr:colOff>30480</xdr:colOff>
                    <xdr:row>872</xdr:row>
                    <xdr:rowOff>15240</xdr:rowOff>
                  </to>
                </anchor>
              </controlPr>
            </control>
          </mc:Choice>
        </mc:AlternateContent>
        <mc:AlternateContent xmlns:mc="http://schemas.openxmlformats.org/markup-compatibility/2006">
          <mc:Choice Requires="x14">
            <control shapeId="5521" r:id="rId796" name="Drop Down 4497">
              <controlPr defaultSize="0" autoLine="0" autoPict="0">
                <anchor moveWithCells="1">
                  <from>
                    <xdr:col>5</xdr:col>
                    <xdr:colOff>822960</xdr:colOff>
                    <xdr:row>971</xdr:row>
                    <xdr:rowOff>0</xdr:rowOff>
                  </from>
                  <to>
                    <xdr:col>8</xdr:col>
                    <xdr:colOff>30480</xdr:colOff>
                    <xdr:row>972</xdr:row>
                    <xdr:rowOff>15240</xdr:rowOff>
                  </to>
                </anchor>
              </controlPr>
            </control>
          </mc:Choice>
        </mc:AlternateContent>
        <mc:AlternateContent xmlns:mc="http://schemas.openxmlformats.org/markup-compatibility/2006">
          <mc:Choice Requires="x14">
            <control shapeId="5522" r:id="rId797" name="Drop Down 4498">
              <controlPr defaultSize="0" autoLine="0" autoPict="0">
                <anchor moveWithCells="1">
                  <from>
                    <xdr:col>5</xdr:col>
                    <xdr:colOff>822960</xdr:colOff>
                    <xdr:row>1071</xdr:row>
                    <xdr:rowOff>0</xdr:rowOff>
                  </from>
                  <to>
                    <xdr:col>8</xdr:col>
                    <xdr:colOff>30480</xdr:colOff>
                    <xdr:row>1072</xdr:row>
                    <xdr:rowOff>15240</xdr:rowOff>
                  </to>
                </anchor>
              </controlPr>
            </control>
          </mc:Choice>
        </mc:AlternateContent>
        <mc:AlternateContent xmlns:mc="http://schemas.openxmlformats.org/markup-compatibility/2006">
          <mc:Choice Requires="x14">
            <control shapeId="5523" r:id="rId798" name="Drop Down 4499">
              <controlPr defaultSize="0" autoLine="0" autoPict="0">
                <anchor moveWithCells="1">
                  <from>
                    <xdr:col>5</xdr:col>
                    <xdr:colOff>822960</xdr:colOff>
                    <xdr:row>1171</xdr:row>
                    <xdr:rowOff>0</xdr:rowOff>
                  </from>
                  <to>
                    <xdr:col>8</xdr:col>
                    <xdr:colOff>30480</xdr:colOff>
                    <xdr:row>1172</xdr:row>
                    <xdr:rowOff>15240</xdr:rowOff>
                  </to>
                </anchor>
              </controlPr>
            </control>
          </mc:Choice>
        </mc:AlternateContent>
        <mc:AlternateContent xmlns:mc="http://schemas.openxmlformats.org/markup-compatibility/2006">
          <mc:Choice Requires="x14">
            <control shapeId="5524" r:id="rId799" name="Drop Down 4500">
              <controlPr defaultSize="0" autoLine="0" autoPict="0">
                <anchor moveWithCells="1">
                  <from>
                    <xdr:col>5</xdr:col>
                    <xdr:colOff>822960</xdr:colOff>
                    <xdr:row>1271</xdr:row>
                    <xdr:rowOff>0</xdr:rowOff>
                  </from>
                  <to>
                    <xdr:col>8</xdr:col>
                    <xdr:colOff>30480</xdr:colOff>
                    <xdr:row>1272</xdr:row>
                    <xdr:rowOff>15240</xdr:rowOff>
                  </to>
                </anchor>
              </controlPr>
            </control>
          </mc:Choice>
        </mc:AlternateContent>
        <mc:AlternateContent xmlns:mc="http://schemas.openxmlformats.org/markup-compatibility/2006">
          <mc:Choice Requires="x14">
            <control shapeId="5525" r:id="rId800" name="Drop Down 4501">
              <controlPr defaultSize="0" autoLine="0" autoPict="0">
                <anchor moveWithCells="1">
                  <from>
                    <xdr:col>5</xdr:col>
                    <xdr:colOff>822960</xdr:colOff>
                    <xdr:row>1371</xdr:row>
                    <xdr:rowOff>0</xdr:rowOff>
                  </from>
                  <to>
                    <xdr:col>8</xdr:col>
                    <xdr:colOff>30480</xdr:colOff>
                    <xdr:row>1372</xdr:row>
                    <xdr:rowOff>15240</xdr:rowOff>
                  </to>
                </anchor>
              </controlPr>
            </control>
          </mc:Choice>
        </mc:AlternateContent>
        <mc:AlternateContent xmlns:mc="http://schemas.openxmlformats.org/markup-compatibility/2006">
          <mc:Choice Requires="x14">
            <control shapeId="5526" r:id="rId801" name="Drop Down 4502">
              <controlPr defaultSize="0" autoLine="0" autoPict="0">
                <anchor moveWithCells="1">
                  <from>
                    <xdr:col>5</xdr:col>
                    <xdr:colOff>822960</xdr:colOff>
                    <xdr:row>1471</xdr:row>
                    <xdr:rowOff>0</xdr:rowOff>
                  </from>
                  <to>
                    <xdr:col>8</xdr:col>
                    <xdr:colOff>30480</xdr:colOff>
                    <xdr:row>1472</xdr:row>
                    <xdr:rowOff>15240</xdr:rowOff>
                  </to>
                </anchor>
              </controlPr>
            </control>
          </mc:Choice>
        </mc:AlternateContent>
        <mc:AlternateContent xmlns:mc="http://schemas.openxmlformats.org/markup-compatibility/2006">
          <mc:Choice Requires="x14">
            <control shapeId="5527" r:id="rId802" name="Drop Down 4503">
              <controlPr defaultSize="0" autoLine="0" autoPict="0">
                <anchor moveWithCells="1">
                  <from>
                    <xdr:col>5</xdr:col>
                    <xdr:colOff>822960</xdr:colOff>
                    <xdr:row>1571</xdr:row>
                    <xdr:rowOff>0</xdr:rowOff>
                  </from>
                  <to>
                    <xdr:col>8</xdr:col>
                    <xdr:colOff>30480</xdr:colOff>
                    <xdr:row>1572</xdr:row>
                    <xdr:rowOff>15240</xdr:rowOff>
                  </to>
                </anchor>
              </controlPr>
            </control>
          </mc:Choice>
        </mc:AlternateContent>
        <mc:AlternateContent xmlns:mc="http://schemas.openxmlformats.org/markup-compatibility/2006">
          <mc:Choice Requires="x14">
            <control shapeId="5528" r:id="rId803" name="Drop Down 4504">
              <controlPr defaultSize="0" autoLine="0" autoPict="0">
                <anchor moveWithCells="1">
                  <from>
                    <xdr:col>5</xdr:col>
                    <xdr:colOff>822960</xdr:colOff>
                    <xdr:row>1671</xdr:row>
                    <xdr:rowOff>0</xdr:rowOff>
                  </from>
                  <to>
                    <xdr:col>8</xdr:col>
                    <xdr:colOff>30480</xdr:colOff>
                    <xdr:row>1672</xdr:row>
                    <xdr:rowOff>15240</xdr:rowOff>
                  </to>
                </anchor>
              </controlPr>
            </control>
          </mc:Choice>
        </mc:AlternateContent>
        <mc:AlternateContent xmlns:mc="http://schemas.openxmlformats.org/markup-compatibility/2006">
          <mc:Choice Requires="x14">
            <control shapeId="5529" r:id="rId804" name="Drop Down 4505">
              <controlPr defaultSize="0" autoLine="0" autoPict="0">
                <anchor moveWithCells="1">
                  <from>
                    <xdr:col>5</xdr:col>
                    <xdr:colOff>822960</xdr:colOff>
                    <xdr:row>1771</xdr:row>
                    <xdr:rowOff>0</xdr:rowOff>
                  </from>
                  <to>
                    <xdr:col>8</xdr:col>
                    <xdr:colOff>30480</xdr:colOff>
                    <xdr:row>1772</xdr:row>
                    <xdr:rowOff>15240</xdr:rowOff>
                  </to>
                </anchor>
              </controlPr>
            </control>
          </mc:Choice>
        </mc:AlternateContent>
        <mc:AlternateContent xmlns:mc="http://schemas.openxmlformats.org/markup-compatibility/2006">
          <mc:Choice Requires="x14">
            <control shapeId="5530" r:id="rId805" name="Drop Down 4506">
              <controlPr defaultSize="0" autoLine="0" autoPict="0">
                <anchor moveWithCells="1">
                  <from>
                    <xdr:col>5</xdr:col>
                    <xdr:colOff>822960</xdr:colOff>
                    <xdr:row>1871</xdr:row>
                    <xdr:rowOff>0</xdr:rowOff>
                  </from>
                  <to>
                    <xdr:col>8</xdr:col>
                    <xdr:colOff>30480</xdr:colOff>
                    <xdr:row>1872</xdr:row>
                    <xdr:rowOff>15240</xdr:rowOff>
                  </to>
                </anchor>
              </controlPr>
            </control>
          </mc:Choice>
        </mc:AlternateContent>
        <mc:AlternateContent xmlns:mc="http://schemas.openxmlformats.org/markup-compatibility/2006">
          <mc:Choice Requires="x14">
            <control shapeId="5531" r:id="rId806" name="Drop Down 4507">
              <controlPr defaultSize="0" autoLine="0" autoPict="0">
                <anchor moveWithCells="1">
                  <from>
                    <xdr:col>5</xdr:col>
                    <xdr:colOff>822960</xdr:colOff>
                    <xdr:row>1971</xdr:row>
                    <xdr:rowOff>0</xdr:rowOff>
                  </from>
                  <to>
                    <xdr:col>8</xdr:col>
                    <xdr:colOff>30480</xdr:colOff>
                    <xdr:row>1972</xdr:row>
                    <xdr:rowOff>15240</xdr:rowOff>
                  </to>
                </anchor>
              </controlPr>
            </control>
          </mc:Choice>
        </mc:AlternateContent>
        <mc:AlternateContent xmlns:mc="http://schemas.openxmlformats.org/markup-compatibility/2006">
          <mc:Choice Requires="x14">
            <control shapeId="1025" r:id="rId807" name="Drop Down 1">
              <controlPr defaultSize="0" autoLine="0" autoPict="0">
                <anchor moveWithCells="1">
                  <from>
                    <xdr:col>4</xdr:col>
                    <xdr:colOff>30480</xdr:colOff>
                    <xdr:row>46</xdr:row>
                    <xdr:rowOff>0</xdr:rowOff>
                  </from>
                  <to>
                    <xdr:col>5</xdr:col>
                    <xdr:colOff>815340</xdr:colOff>
                    <xdr:row>46</xdr:row>
                    <xdr:rowOff>320040</xdr:rowOff>
                  </to>
                </anchor>
              </controlPr>
            </control>
          </mc:Choice>
        </mc:AlternateContent>
        <mc:AlternateContent xmlns:mc="http://schemas.openxmlformats.org/markup-compatibility/2006">
          <mc:Choice Requires="x14">
            <control shapeId="1026" r:id="rId808" name="Drop Down 2">
              <controlPr defaultSize="0" autoLine="0" autoPict="0">
                <anchor moveWithCells="1">
                  <from>
                    <xdr:col>4</xdr:col>
                    <xdr:colOff>30480</xdr:colOff>
                    <xdr:row>47</xdr:row>
                    <xdr:rowOff>0</xdr:rowOff>
                  </from>
                  <to>
                    <xdr:col>5</xdr:col>
                    <xdr:colOff>815340</xdr:colOff>
                    <xdr:row>48</xdr:row>
                    <xdr:rowOff>0</xdr:rowOff>
                  </to>
                </anchor>
              </controlPr>
            </control>
          </mc:Choice>
        </mc:AlternateContent>
        <mc:AlternateContent xmlns:mc="http://schemas.openxmlformats.org/markup-compatibility/2006">
          <mc:Choice Requires="x14">
            <control shapeId="1027" r:id="rId809" name="Drop Down 3">
              <controlPr defaultSize="0" autoLine="0" autoPict="0">
                <anchor moveWithCells="1">
                  <from>
                    <xdr:col>4</xdr:col>
                    <xdr:colOff>15240</xdr:colOff>
                    <xdr:row>48</xdr:row>
                    <xdr:rowOff>0</xdr:rowOff>
                  </from>
                  <to>
                    <xdr:col>5</xdr:col>
                    <xdr:colOff>815340</xdr:colOff>
                    <xdr:row>48</xdr:row>
                    <xdr:rowOff>320040</xdr:rowOff>
                  </to>
                </anchor>
              </controlPr>
            </control>
          </mc:Choice>
        </mc:AlternateContent>
        <mc:AlternateContent xmlns:mc="http://schemas.openxmlformats.org/markup-compatibility/2006">
          <mc:Choice Requires="x14">
            <control shapeId="1030" r:id="rId810" name="Drop Down 6">
              <controlPr defaultSize="0" autoLine="0" autoPict="0">
                <anchor moveWithCells="1">
                  <from>
                    <xdr:col>10</xdr:col>
                    <xdr:colOff>15240</xdr:colOff>
                    <xdr:row>47</xdr:row>
                    <xdr:rowOff>0</xdr:rowOff>
                  </from>
                  <to>
                    <xdr:col>10</xdr:col>
                    <xdr:colOff>1821180</xdr:colOff>
                    <xdr:row>47</xdr:row>
                    <xdr:rowOff>320040</xdr:rowOff>
                  </to>
                </anchor>
              </controlPr>
            </control>
          </mc:Choice>
        </mc:AlternateContent>
        <mc:AlternateContent xmlns:mc="http://schemas.openxmlformats.org/markup-compatibility/2006">
          <mc:Choice Requires="x14">
            <control shapeId="1031" r:id="rId811" name="Drop Down 7">
              <controlPr defaultSize="0" autoLine="0" autoPict="0">
                <anchor moveWithCells="1">
                  <from>
                    <xdr:col>10</xdr:col>
                    <xdr:colOff>15240</xdr:colOff>
                    <xdr:row>48</xdr:row>
                    <xdr:rowOff>0</xdr:rowOff>
                  </from>
                  <to>
                    <xdr:col>10</xdr:col>
                    <xdr:colOff>1821180</xdr:colOff>
                    <xdr:row>48</xdr:row>
                    <xdr:rowOff>320040</xdr:rowOff>
                  </to>
                </anchor>
              </controlPr>
            </control>
          </mc:Choice>
        </mc:AlternateContent>
        <mc:AlternateContent xmlns:mc="http://schemas.openxmlformats.org/markup-compatibility/2006">
          <mc:Choice Requires="x14">
            <control shapeId="1034" r:id="rId812" name="Drop Down 10">
              <controlPr defaultSize="0" autoLine="0" autoPict="0">
                <anchor moveWithCells="1">
                  <from>
                    <xdr:col>10</xdr:col>
                    <xdr:colOff>15240</xdr:colOff>
                    <xdr:row>46</xdr:row>
                    <xdr:rowOff>0</xdr:rowOff>
                  </from>
                  <to>
                    <xdr:col>10</xdr:col>
                    <xdr:colOff>1821180</xdr:colOff>
                    <xdr:row>46</xdr:row>
                    <xdr:rowOff>320040</xdr:rowOff>
                  </to>
                </anchor>
              </controlPr>
            </control>
          </mc:Choice>
        </mc:AlternateContent>
        <mc:AlternateContent xmlns:mc="http://schemas.openxmlformats.org/markup-compatibility/2006">
          <mc:Choice Requires="x14">
            <control shapeId="1035" r:id="rId813" name="Drop Down 11">
              <controlPr defaultSize="0" autoLine="0" autoPict="0">
                <anchor moveWithCells="1">
                  <from>
                    <xdr:col>2</xdr:col>
                    <xdr:colOff>15240</xdr:colOff>
                    <xdr:row>46</xdr:row>
                    <xdr:rowOff>0</xdr:rowOff>
                  </from>
                  <to>
                    <xdr:col>3</xdr:col>
                    <xdr:colOff>853440</xdr:colOff>
                    <xdr:row>46</xdr:row>
                    <xdr:rowOff>297180</xdr:rowOff>
                  </to>
                </anchor>
              </controlPr>
            </control>
          </mc:Choice>
        </mc:AlternateContent>
        <mc:AlternateContent xmlns:mc="http://schemas.openxmlformats.org/markup-compatibility/2006">
          <mc:Choice Requires="x14">
            <control shapeId="1036" r:id="rId814" name="Drop Down 12">
              <controlPr defaultSize="0" autoLine="0" autoPict="0">
                <anchor moveWithCells="1">
                  <from>
                    <xdr:col>2</xdr:col>
                    <xdr:colOff>15240</xdr:colOff>
                    <xdr:row>47</xdr:row>
                    <xdr:rowOff>0</xdr:rowOff>
                  </from>
                  <to>
                    <xdr:col>3</xdr:col>
                    <xdr:colOff>830580</xdr:colOff>
                    <xdr:row>47</xdr:row>
                    <xdr:rowOff>297180</xdr:rowOff>
                  </to>
                </anchor>
              </controlPr>
            </control>
          </mc:Choice>
        </mc:AlternateContent>
        <mc:AlternateContent xmlns:mc="http://schemas.openxmlformats.org/markup-compatibility/2006">
          <mc:Choice Requires="x14">
            <control shapeId="1037" r:id="rId815" name="Drop Down 13">
              <controlPr defaultSize="0" autoLine="0" autoPict="0">
                <anchor moveWithCells="1">
                  <from>
                    <xdr:col>2</xdr:col>
                    <xdr:colOff>15240</xdr:colOff>
                    <xdr:row>48</xdr:row>
                    <xdr:rowOff>0</xdr:rowOff>
                  </from>
                  <to>
                    <xdr:col>3</xdr:col>
                    <xdr:colOff>853440</xdr:colOff>
                    <xdr:row>49</xdr:row>
                    <xdr:rowOff>0</xdr:rowOff>
                  </to>
                </anchor>
              </controlPr>
            </control>
          </mc:Choice>
        </mc:AlternateContent>
        <mc:AlternateContent xmlns:mc="http://schemas.openxmlformats.org/markup-compatibility/2006">
          <mc:Choice Requires="x14">
            <control shapeId="3243" r:id="rId816" name="Drop Down 2219">
              <controlPr defaultSize="0" autoLine="0" autoPict="0">
                <anchor moveWithCells="1">
                  <from>
                    <xdr:col>7</xdr:col>
                    <xdr:colOff>0</xdr:colOff>
                    <xdr:row>46</xdr:row>
                    <xdr:rowOff>0</xdr:rowOff>
                  </from>
                  <to>
                    <xdr:col>7</xdr:col>
                    <xdr:colOff>624840</xdr:colOff>
                    <xdr:row>47</xdr:row>
                    <xdr:rowOff>0</xdr:rowOff>
                  </to>
                </anchor>
              </controlPr>
            </control>
          </mc:Choice>
        </mc:AlternateContent>
        <mc:AlternateContent xmlns:mc="http://schemas.openxmlformats.org/markup-compatibility/2006">
          <mc:Choice Requires="x14">
            <control shapeId="3244" r:id="rId817" name="Drop Down 2220">
              <controlPr defaultSize="0" autoLine="0" autoPict="0">
                <anchor moveWithCells="1">
                  <from>
                    <xdr:col>7</xdr:col>
                    <xdr:colOff>601980</xdr:colOff>
                    <xdr:row>46</xdr:row>
                    <xdr:rowOff>15240</xdr:rowOff>
                  </from>
                  <to>
                    <xdr:col>7</xdr:col>
                    <xdr:colOff>1272540</xdr:colOff>
                    <xdr:row>47</xdr:row>
                    <xdr:rowOff>0</xdr:rowOff>
                  </to>
                </anchor>
              </controlPr>
            </control>
          </mc:Choice>
        </mc:AlternateContent>
        <mc:AlternateContent xmlns:mc="http://schemas.openxmlformats.org/markup-compatibility/2006">
          <mc:Choice Requires="x14">
            <control shapeId="3245" r:id="rId818" name="Drop Down 2221">
              <controlPr defaultSize="0" autoLine="0" autoPict="0">
                <anchor moveWithCells="1">
                  <from>
                    <xdr:col>7</xdr:col>
                    <xdr:colOff>1272540</xdr:colOff>
                    <xdr:row>46</xdr:row>
                    <xdr:rowOff>15240</xdr:rowOff>
                  </from>
                  <to>
                    <xdr:col>7</xdr:col>
                    <xdr:colOff>1805940</xdr:colOff>
                    <xdr:row>46</xdr:row>
                    <xdr:rowOff>320040</xdr:rowOff>
                  </to>
                </anchor>
              </controlPr>
            </control>
          </mc:Choice>
        </mc:AlternateContent>
        <mc:AlternateContent xmlns:mc="http://schemas.openxmlformats.org/markup-compatibility/2006">
          <mc:Choice Requires="x14">
            <control shapeId="3246" r:id="rId819" name="Drop Down 2222">
              <controlPr defaultSize="0" autoLine="0" autoPict="0">
                <anchor moveWithCells="1">
                  <from>
                    <xdr:col>7</xdr:col>
                    <xdr:colOff>0</xdr:colOff>
                    <xdr:row>47</xdr:row>
                    <xdr:rowOff>0</xdr:rowOff>
                  </from>
                  <to>
                    <xdr:col>7</xdr:col>
                    <xdr:colOff>624840</xdr:colOff>
                    <xdr:row>48</xdr:row>
                    <xdr:rowOff>0</xdr:rowOff>
                  </to>
                </anchor>
              </controlPr>
            </control>
          </mc:Choice>
        </mc:AlternateContent>
        <mc:AlternateContent xmlns:mc="http://schemas.openxmlformats.org/markup-compatibility/2006">
          <mc:Choice Requires="x14">
            <control shapeId="3247" r:id="rId820" name="Drop Down 2223">
              <controlPr defaultSize="0" autoLine="0" autoPict="0">
                <anchor moveWithCells="1">
                  <from>
                    <xdr:col>7</xdr:col>
                    <xdr:colOff>601980</xdr:colOff>
                    <xdr:row>47</xdr:row>
                    <xdr:rowOff>15240</xdr:rowOff>
                  </from>
                  <to>
                    <xdr:col>7</xdr:col>
                    <xdr:colOff>1272540</xdr:colOff>
                    <xdr:row>48</xdr:row>
                    <xdr:rowOff>0</xdr:rowOff>
                  </to>
                </anchor>
              </controlPr>
            </control>
          </mc:Choice>
        </mc:AlternateContent>
        <mc:AlternateContent xmlns:mc="http://schemas.openxmlformats.org/markup-compatibility/2006">
          <mc:Choice Requires="x14">
            <control shapeId="3248" r:id="rId821" name="Drop Down 2224">
              <controlPr defaultSize="0" autoLine="0" autoPict="0">
                <anchor moveWithCells="1">
                  <from>
                    <xdr:col>7</xdr:col>
                    <xdr:colOff>1272540</xdr:colOff>
                    <xdr:row>47</xdr:row>
                    <xdr:rowOff>15240</xdr:rowOff>
                  </from>
                  <to>
                    <xdr:col>7</xdr:col>
                    <xdr:colOff>1805940</xdr:colOff>
                    <xdr:row>47</xdr:row>
                    <xdr:rowOff>320040</xdr:rowOff>
                  </to>
                </anchor>
              </controlPr>
            </control>
          </mc:Choice>
        </mc:AlternateContent>
        <mc:AlternateContent xmlns:mc="http://schemas.openxmlformats.org/markup-compatibility/2006">
          <mc:Choice Requires="x14">
            <control shapeId="3249" r:id="rId822" name="Drop Down 2225">
              <controlPr defaultSize="0" autoLine="0" autoPict="0">
                <anchor moveWithCells="1">
                  <from>
                    <xdr:col>7</xdr:col>
                    <xdr:colOff>0</xdr:colOff>
                    <xdr:row>48</xdr:row>
                    <xdr:rowOff>0</xdr:rowOff>
                  </from>
                  <to>
                    <xdr:col>7</xdr:col>
                    <xdr:colOff>624840</xdr:colOff>
                    <xdr:row>49</xdr:row>
                    <xdr:rowOff>0</xdr:rowOff>
                  </to>
                </anchor>
              </controlPr>
            </control>
          </mc:Choice>
        </mc:AlternateContent>
        <mc:AlternateContent xmlns:mc="http://schemas.openxmlformats.org/markup-compatibility/2006">
          <mc:Choice Requires="x14">
            <control shapeId="3250" r:id="rId823" name="Drop Down 2226">
              <controlPr defaultSize="0" autoLine="0" autoPict="0">
                <anchor moveWithCells="1">
                  <from>
                    <xdr:col>7</xdr:col>
                    <xdr:colOff>601980</xdr:colOff>
                    <xdr:row>48</xdr:row>
                    <xdr:rowOff>15240</xdr:rowOff>
                  </from>
                  <to>
                    <xdr:col>7</xdr:col>
                    <xdr:colOff>1272540</xdr:colOff>
                    <xdr:row>49</xdr:row>
                    <xdr:rowOff>0</xdr:rowOff>
                  </to>
                </anchor>
              </controlPr>
            </control>
          </mc:Choice>
        </mc:AlternateContent>
        <mc:AlternateContent xmlns:mc="http://schemas.openxmlformats.org/markup-compatibility/2006">
          <mc:Choice Requires="x14">
            <control shapeId="3251" r:id="rId824" name="Drop Down 2227">
              <controlPr defaultSize="0" autoLine="0" autoPict="0">
                <anchor moveWithCells="1">
                  <from>
                    <xdr:col>7</xdr:col>
                    <xdr:colOff>1272540</xdr:colOff>
                    <xdr:row>48</xdr:row>
                    <xdr:rowOff>15240</xdr:rowOff>
                  </from>
                  <to>
                    <xdr:col>7</xdr:col>
                    <xdr:colOff>1805940</xdr:colOff>
                    <xdr:row>48</xdr:row>
                    <xdr:rowOff>320040</xdr:rowOff>
                  </to>
                </anchor>
              </controlPr>
            </control>
          </mc:Choice>
        </mc:AlternateContent>
        <mc:AlternateContent xmlns:mc="http://schemas.openxmlformats.org/markup-compatibility/2006">
          <mc:Choice Requires="x14">
            <control shapeId="5121" r:id="rId825" name="Drop Down 4097">
              <controlPr defaultSize="0" autoLine="0" autoPict="0">
                <anchor moveWithCells="1">
                  <from>
                    <xdr:col>6</xdr:col>
                    <xdr:colOff>0</xdr:colOff>
                    <xdr:row>46</xdr:row>
                    <xdr:rowOff>0</xdr:rowOff>
                  </from>
                  <to>
                    <xdr:col>6</xdr:col>
                    <xdr:colOff>624840</xdr:colOff>
                    <xdr:row>47</xdr:row>
                    <xdr:rowOff>0</xdr:rowOff>
                  </to>
                </anchor>
              </controlPr>
            </control>
          </mc:Choice>
        </mc:AlternateContent>
        <mc:AlternateContent xmlns:mc="http://schemas.openxmlformats.org/markup-compatibility/2006">
          <mc:Choice Requires="x14">
            <control shapeId="5122" r:id="rId826" name="Drop Down 4098">
              <controlPr defaultSize="0" autoLine="0" autoPict="0">
                <anchor moveWithCells="1">
                  <from>
                    <xdr:col>6</xdr:col>
                    <xdr:colOff>601980</xdr:colOff>
                    <xdr:row>46</xdr:row>
                    <xdr:rowOff>15240</xdr:rowOff>
                  </from>
                  <to>
                    <xdr:col>6</xdr:col>
                    <xdr:colOff>1272540</xdr:colOff>
                    <xdr:row>47</xdr:row>
                    <xdr:rowOff>0</xdr:rowOff>
                  </to>
                </anchor>
              </controlPr>
            </control>
          </mc:Choice>
        </mc:AlternateContent>
        <mc:AlternateContent xmlns:mc="http://schemas.openxmlformats.org/markup-compatibility/2006">
          <mc:Choice Requires="x14">
            <control shapeId="5123" r:id="rId827" name="Drop Down 4099">
              <controlPr defaultSize="0" autoLine="0" autoPict="0">
                <anchor moveWithCells="1">
                  <from>
                    <xdr:col>6</xdr:col>
                    <xdr:colOff>1272540</xdr:colOff>
                    <xdr:row>46</xdr:row>
                    <xdr:rowOff>15240</xdr:rowOff>
                  </from>
                  <to>
                    <xdr:col>6</xdr:col>
                    <xdr:colOff>1805940</xdr:colOff>
                    <xdr:row>46</xdr:row>
                    <xdr:rowOff>320040</xdr:rowOff>
                  </to>
                </anchor>
              </controlPr>
            </control>
          </mc:Choice>
        </mc:AlternateContent>
        <mc:AlternateContent xmlns:mc="http://schemas.openxmlformats.org/markup-compatibility/2006">
          <mc:Choice Requires="x14">
            <control shapeId="5124" r:id="rId828" name="Drop Down 4100">
              <controlPr defaultSize="0" autoLine="0" autoPict="0">
                <anchor moveWithCells="1">
                  <from>
                    <xdr:col>6</xdr:col>
                    <xdr:colOff>0</xdr:colOff>
                    <xdr:row>47</xdr:row>
                    <xdr:rowOff>0</xdr:rowOff>
                  </from>
                  <to>
                    <xdr:col>6</xdr:col>
                    <xdr:colOff>624840</xdr:colOff>
                    <xdr:row>48</xdr:row>
                    <xdr:rowOff>0</xdr:rowOff>
                  </to>
                </anchor>
              </controlPr>
            </control>
          </mc:Choice>
        </mc:AlternateContent>
        <mc:AlternateContent xmlns:mc="http://schemas.openxmlformats.org/markup-compatibility/2006">
          <mc:Choice Requires="x14">
            <control shapeId="5125" r:id="rId829" name="Drop Down 4101">
              <controlPr defaultSize="0" autoLine="0" autoPict="0">
                <anchor moveWithCells="1">
                  <from>
                    <xdr:col>6</xdr:col>
                    <xdr:colOff>601980</xdr:colOff>
                    <xdr:row>47</xdr:row>
                    <xdr:rowOff>15240</xdr:rowOff>
                  </from>
                  <to>
                    <xdr:col>6</xdr:col>
                    <xdr:colOff>1272540</xdr:colOff>
                    <xdr:row>48</xdr:row>
                    <xdr:rowOff>0</xdr:rowOff>
                  </to>
                </anchor>
              </controlPr>
            </control>
          </mc:Choice>
        </mc:AlternateContent>
        <mc:AlternateContent xmlns:mc="http://schemas.openxmlformats.org/markup-compatibility/2006">
          <mc:Choice Requires="x14">
            <control shapeId="5126" r:id="rId830" name="Drop Down 4102">
              <controlPr defaultSize="0" autoLine="0" autoPict="0">
                <anchor moveWithCells="1">
                  <from>
                    <xdr:col>6</xdr:col>
                    <xdr:colOff>1272540</xdr:colOff>
                    <xdr:row>47</xdr:row>
                    <xdr:rowOff>15240</xdr:rowOff>
                  </from>
                  <to>
                    <xdr:col>6</xdr:col>
                    <xdr:colOff>1805940</xdr:colOff>
                    <xdr:row>47</xdr:row>
                    <xdr:rowOff>320040</xdr:rowOff>
                  </to>
                </anchor>
              </controlPr>
            </control>
          </mc:Choice>
        </mc:AlternateContent>
        <mc:AlternateContent xmlns:mc="http://schemas.openxmlformats.org/markup-compatibility/2006">
          <mc:Choice Requires="x14">
            <control shapeId="5127" r:id="rId831" name="Drop Down 4103">
              <controlPr defaultSize="0" autoLine="0" autoPict="0">
                <anchor moveWithCells="1">
                  <from>
                    <xdr:col>6</xdr:col>
                    <xdr:colOff>0</xdr:colOff>
                    <xdr:row>48</xdr:row>
                    <xdr:rowOff>0</xdr:rowOff>
                  </from>
                  <to>
                    <xdr:col>6</xdr:col>
                    <xdr:colOff>624840</xdr:colOff>
                    <xdr:row>49</xdr:row>
                    <xdr:rowOff>0</xdr:rowOff>
                  </to>
                </anchor>
              </controlPr>
            </control>
          </mc:Choice>
        </mc:AlternateContent>
        <mc:AlternateContent xmlns:mc="http://schemas.openxmlformats.org/markup-compatibility/2006">
          <mc:Choice Requires="x14">
            <control shapeId="5128" r:id="rId832" name="Drop Down 4104">
              <controlPr defaultSize="0" autoLine="0" autoPict="0">
                <anchor moveWithCells="1">
                  <from>
                    <xdr:col>6</xdr:col>
                    <xdr:colOff>601980</xdr:colOff>
                    <xdr:row>48</xdr:row>
                    <xdr:rowOff>15240</xdr:rowOff>
                  </from>
                  <to>
                    <xdr:col>6</xdr:col>
                    <xdr:colOff>1272540</xdr:colOff>
                    <xdr:row>49</xdr:row>
                    <xdr:rowOff>0</xdr:rowOff>
                  </to>
                </anchor>
              </controlPr>
            </control>
          </mc:Choice>
        </mc:AlternateContent>
        <mc:AlternateContent xmlns:mc="http://schemas.openxmlformats.org/markup-compatibility/2006">
          <mc:Choice Requires="x14">
            <control shapeId="5129" r:id="rId833" name="Drop Down 4105">
              <controlPr defaultSize="0" autoLine="0" autoPict="0">
                <anchor moveWithCells="1">
                  <from>
                    <xdr:col>6</xdr:col>
                    <xdr:colOff>1272540</xdr:colOff>
                    <xdr:row>48</xdr:row>
                    <xdr:rowOff>15240</xdr:rowOff>
                  </from>
                  <to>
                    <xdr:col>6</xdr:col>
                    <xdr:colOff>1805940</xdr:colOff>
                    <xdr:row>48</xdr:row>
                    <xdr:rowOff>320040</xdr:rowOff>
                  </to>
                </anchor>
              </controlPr>
            </control>
          </mc:Choice>
        </mc:AlternateContent>
        <mc:AlternateContent xmlns:mc="http://schemas.openxmlformats.org/markup-compatibility/2006">
          <mc:Choice Requires="x14">
            <control shapeId="5532" r:id="rId834" name="Drop Down 4508">
              <controlPr defaultSize="0" autoLine="0" autoPict="0">
                <anchor moveWithCells="1">
                  <from>
                    <xdr:col>4</xdr:col>
                    <xdr:colOff>0</xdr:colOff>
                    <xdr:row>346</xdr:row>
                    <xdr:rowOff>0</xdr:rowOff>
                  </from>
                  <to>
                    <xdr:col>5</xdr:col>
                    <xdr:colOff>815340</xdr:colOff>
                    <xdr:row>347</xdr:row>
                    <xdr:rowOff>15240</xdr:rowOff>
                  </to>
                </anchor>
              </controlPr>
            </control>
          </mc:Choice>
        </mc:AlternateContent>
        <mc:AlternateContent xmlns:mc="http://schemas.openxmlformats.org/markup-compatibility/2006">
          <mc:Choice Requires="x14">
            <control shapeId="5533" r:id="rId835" name="Drop Down 4509">
              <controlPr defaultSize="0" autoLine="0" autoPict="0">
                <anchor moveWithCells="1">
                  <from>
                    <xdr:col>4</xdr:col>
                    <xdr:colOff>30480</xdr:colOff>
                    <xdr:row>347</xdr:row>
                    <xdr:rowOff>0</xdr:rowOff>
                  </from>
                  <to>
                    <xdr:col>5</xdr:col>
                    <xdr:colOff>815340</xdr:colOff>
                    <xdr:row>347</xdr:row>
                    <xdr:rowOff>320040</xdr:rowOff>
                  </to>
                </anchor>
              </controlPr>
            </control>
          </mc:Choice>
        </mc:AlternateContent>
        <mc:AlternateContent xmlns:mc="http://schemas.openxmlformats.org/markup-compatibility/2006">
          <mc:Choice Requires="x14">
            <control shapeId="5534" r:id="rId836" name="Drop Down 4510">
              <controlPr defaultSize="0" autoLine="0" autoPict="0">
                <anchor moveWithCells="1">
                  <from>
                    <xdr:col>4</xdr:col>
                    <xdr:colOff>15240</xdr:colOff>
                    <xdr:row>348</xdr:row>
                    <xdr:rowOff>0</xdr:rowOff>
                  </from>
                  <to>
                    <xdr:col>5</xdr:col>
                    <xdr:colOff>815340</xdr:colOff>
                    <xdr:row>349</xdr:row>
                    <xdr:rowOff>0</xdr:rowOff>
                  </to>
                </anchor>
              </controlPr>
            </control>
          </mc:Choice>
        </mc:AlternateContent>
        <mc:AlternateContent xmlns:mc="http://schemas.openxmlformats.org/markup-compatibility/2006">
          <mc:Choice Requires="x14">
            <control shapeId="5535" r:id="rId837" name="Drop Down 4511">
              <controlPr defaultSize="0" autoLine="0" autoPict="0">
                <anchor moveWithCells="1">
                  <from>
                    <xdr:col>10</xdr:col>
                    <xdr:colOff>15240</xdr:colOff>
                    <xdr:row>347</xdr:row>
                    <xdr:rowOff>0</xdr:rowOff>
                  </from>
                  <to>
                    <xdr:col>10</xdr:col>
                    <xdr:colOff>1821180</xdr:colOff>
                    <xdr:row>347</xdr:row>
                    <xdr:rowOff>320040</xdr:rowOff>
                  </to>
                </anchor>
              </controlPr>
            </control>
          </mc:Choice>
        </mc:AlternateContent>
        <mc:AlternateContent xmlns:mc="http://schemas.openxmlformats.org/markup-compatibility/2006">
          <mc:Choice Requires="x14">
            <control shapeId="5536" r:id="rId838" name="Drop Down 4512">
              <controlPr defaultSize="0" autoLine="0" autoPict="0">
                <anchor moveWithCells="1">
                  <from>
                    <xdr:col>10</xdr:col>
                    <xdr:colOff>15240</xdr:colOff>
                    <xdr:row>348</xdr:row>
                    <xdr:rowOff>0</xdr:rowOff>
                  </from>
                  <to>
                    <xdr:col>10</xdr:col>
                    <xdr:colOff>1821180</xdr:colOff>
                    <xdr:row>348</xdr:row>
                    <xdr:rowOff>320040</xdr:rowOff>
                  </to>
                </anchor>
              </controlPr>
            </control>
          </mc:Choice>
        </mc:AlternateContent>
        <mc:AlternateContent xmlns:mc="http://schemas.openxmlformats.org/markup-compatibility/2006">
          <mc:Choice Requires="x14">
            <control shapeId="5537" r:id="rId839" name="Drop Down 4513">
              <controlPr defaultSize="0" autoLine="0" autoPict="0">
                <anchor moveWithCells="1">
                  <from>
                    <xdr:col>10</xdr:col>
                    <xdr:colOff>15240</xdr:colOff>
                    <xdr:row>346</xdr:row>
                    <xdr:rowOff>0</xdr:rowOff>
                  </from>
                  <to>
                    <xdr:col>10</xdr:col>
                    <xdr:colOff>1821180</xdr:colOff>
                    <xdr:row>346</xdr:row>
                    <xdr:rowOff>320040</xdr:rowOff>
                  </to>
                </anchor>
              </controlPr>
            </control>
          </mc:Choice>
        </mc:AlternateContent>
        <mc:AlternateContent xmlns:mc="http://schemas.openxmlformats.org/markup-compatibility/2006">
          <mc:Choice Requires="x14">
            <control shapeId="5538" r:id="rId840" name="Drop Down 4514">
              <controlPr defaultSize="0" autoLine="0" autoPict="0">
                <anchor moveWithCells="1">
                  <from>
                    <xdr:col>2</xdr:col>
                    <xdr:colOff>15240</xdr:colOff>
                    <xdr:row>346</xdr:row>
                    <xdr:rowOff>0</xdr:rowOff>
                  </from>
                  <to>
                    <xdr:col>3</xdr:col>
                    <xdr:colOff>853440</xdr:colOff>
                    <xdr:row>346</xdr:row>
                    <xdr:rowOff>320040</xdr:rowOff>
                  </to>
                </anchor>
              </controlPr>
            </control>
          </mc:Choice>
        </mc:AlternateContent>
        <mc:AlternateContent xmlns:mc="http://schemas.openxmlformats.org/markup-compatibility/2006">
          <mc:Choice Requires="x14">
            <control shapeId="5539" r:id="rId841" name="Drop Down 4515">
              <controlPr defaultSize="0" autoLine="0" autoPict="0">
                <anchor moveWithCells="1">
                  <from>
                    <xdr:col>2</xdr:col>
                    <xdr:colOff>15240</xdr:colOff>
                    <xdr:row>347</xdr:row>
                    <xdr:rowOff>0</xdr:rowOff>
                  </from>
                  <to>
                    <xdr:col>3</xdr:col>
                    <xdr:colOff>853440</xdr:colOff>
                    <xdr:row>347</xdr:row>
                    <xdr:rowOff>320040</xdr:rowOff>
                  </to>
                </anchor>
              </controlPr>
            </control>
          </mc:Choice>
        </mc:AlternateContent>
        <mc:AlternateContent xmlns:mc="http://schemas.openxmlformats.org/markup-compatibility/2006">
          <mc:Choice Requires="x14">
            <control shapeId="5540" r:id="rId842" name="Drop Down 4516">
              <controlPr defaultSize="0" autoLine="0" autoPict="0">
                <anchor moveWithCells="1">
                  <from>
                    <xdr:col>2</xdr:col>
                    <xdr:colOff>15240</xdr:colOff>
                    <xdr:row>348</xdr:row>
                    <xdr:rowOff>0</xdr:rowOff>
                  </from>
                  <to>
                    <xdr:col>3</xdr:col>
                    <xdr:colOff>853440</xdr:colOff>
                    <xdr:row>349</xdr:row>
                    <xdr:rowOff>0</xdr:rowOff>
                  </to>
                </anchor>
              </controlPr>
            </control>
          </mc:Choice>
        </mc:AlternateContent>
        <mc:AlternateContent xmlns:mc="http://schemas.openxmlformats.org/markup-compatibility/2006">
          <mc:Choice Requires="x14">
            <control shapeId="5541" r:id="rId843" name="Drop Down 4517">
              <controlPr defaultSize="0" autoLine="0" autoPict="0">
                <anchor moveWithCells="1">
                  <from>
                    <xdr:col>3</xdr:col>
                    <xdr:colOff>15240</xdr:colOff>
                    <xdr:row>375</xdr:row>
                    <xdr:rowOff>0</xdr:rowOff>
                  </from>
                  <to>
                    <xdr:col>5</xdr:col>
                    <xdr:colOff>0</xdr:colOff>
                    <xdr:row>375</xdr:row>
                    <xdr:rowOff>220980</xdr:rowOff>
                  </to>
                </anchor>
              </controlPr>
            </control>
          </mc:Choice>
        </mc:AlternateContent>
        <mc:AlternateContent xmlns:mc="http://schemas.openxmlformats.org/markup-compatibility/2006">
          <mc:Choice Requires="x14">
            <control shapeId="5542" r:id="rId844" name="Drop Down 4518">
              <controlPr defaultSize="0" autoLine="0" autoPict="0">
                <anchor moveWithCells="1">
                  <from>
                    <xdr:col>7</xdr:col>
                    <xdr:colOff>0</xdr:colOff>
                    <xdr:row>346</xdr:row>
                    <xdr:rowOff>0</xdr:rowOff>
                  </from>
                  <to>
                    <xdr:col>7</xdr:col>
                    <xdr:colOff>624840</xdr:colOff>
                    <xdr:row>347</xdr:row>
                    <xdr:rowOff>0</xdr:rowOff>
                  </to>
                </anchor>
              </controlPr>
            </control>
          </mc:Choice>
        </mc:AlternateContent>
        <mc:AlternateContent xmlns:mc="http://schemas.openxmlformats.org/markup-compatibility/2006">
          <mc:Choice Requires="x14">
            <control shapeId="5543" r:id="rId845" name="Drop Down 4519">
              <controlPr defaultSize="0" autoLine="0" autoPict="0">
                <anchor moveWithCells="1">
                  <from>
                    <xdr:col>7</xdr:col>
                    <xdr:colOff>601980</xdr:colOff>
                    <xdr:row>346</xdr:row>
                    <xdr:rowOff>15240</xdr:rowOff>
                  </from>
                  <to>
                    <xdr:col>7</xdr:col>
                    <xdr:colOff>1272540</xdr:colOff>
                    <xdr:row>347</xdr:row>
                    <xdr:rowOff>0</xdr:rowOff>
                  </to>
                </anchor>
              </controlPr>
            </control>
          </mc:Choice>
        </mc:AlternateContent>
        <mc:AlternateContent xmlns:mc="http://schemas.openxmlformats.org/markup-compatibility/2006">
          <mc:Choice Requires="x14">
            <control shapeId="5544" r:id="rId846" name="Drop Down 4520">
              <controlPr defaultSize="0" autoLine="0" autoPict="0">
                <anchor moveWithCells="1">
                  <from>
                    <xdr:col>7</xdr:col>
                    <xdr:colOff>1272540</xdr:colOff>
                    <xdr:row>346</xdr:row>
                    <xdr:rowOff>15240</xdr:rowOff>
                  </from>
                  <to>
                    <xdr:col>7</xdr:col>
                    <xdr:colOff>1805940</xdr:colOff>
                    <xdr:row>346</xdr:row>
                    <xdr:rowOff>320040</xdr:rowOff>
                  </to>
                </anchor>
              </controlPr>
            </control>
          </mc:Choice>
        </mc:AlternateContent>
        <mc:AlternateContent xmlns:mc="http://schemas.openxmlformats.org/markup-compatibility/2006">
          <mc:Choice Requires="x14">
            <control shapeId="5545" r:id="rId847" name="Drop Down 4521">
              <controlPr defaultSize="0" autoLine="0" autoPict="0">
                <anchor moveWithCells="1">
                  <from>
                    <xdr:col>7</xdr:col>
                    <xdr:colOff>0</xdr:colOff>
                    <xdr:row>347</xdr:row>
                    <xdr:rowOff>0</xdr:rowOff>
                  </from>
                  <to>
                    <xdr:col>7</xdr:col>
                    <xdr:colOff>624840</xdr:colOff>
                    <xdr:row>348</xdr:row>
                    <xdr:rowOff>0</xdr:rowOff>
                  </to>
                </anchor>
              </controlPr>
            </control>
          </mc:Choice>
        </mc:AlternateContent>
        <mc:AlternateContent xmlns:mc="http://schemas.openxmlformats.org/markup-compatibility/2006">
          <mc:Choice Requires="x14">
            <control shapeId="5546" r:id="rId848" name="Drop Down 4522">
              <controlPr defaultSize="0" autoLine="0" autoPict="0">
                <anchor moveWithCells="1">
                  <from>
                    <xdr:col>7</xdr:col>
                    <xdr:colOff>601980</xdr:colOff>
                    <xdr:row>347</xdr:row>
                    <xdr:rowOff>15240</xdr:rowOff>
                  </from>
                  <to>
                    <xdr:col>7</xdr:col>
                    <xdr:colOff>1272540</xdr:colOff>
                    <xdr:row>348</xdr:row>
                    <xdr:rowOff>0</xdr:rowOff>
                  </to>
                </anchor>
              </controlPr>
            </control>
          </mc:Choice>
        </mc:AlternateContent>
        <mc:AlternateContent xmlns:mc="http://schemas.openxmlformats.org/markup-compatibility/2006">
          <mc:Choice Requires="x14">
            <control shapeId="5547" r:id="rId849" name="Drop Down 4523">
              <controlPr defaultSize="0" autoLine="0" autoPict="0">
                <anchor moveWithCells="1">
                  <from>
                    <xdr:col>7</xdr:col>
                    <xdr:colOff>1272540</xdr:colOff>
                    <xdr:row>347</xdr:row>
                    <xdr:rowOff>15240</xdr:rowOff>
                  </from>
                  <to>
                    <xdr:col>7</xdr:col>
                    <xdr:colOff>1805940</xdr:colOff>
                    <xdr:row>347</xdr:row>
                    <xdr:rowOff>320040</xdr:rowOff>
                  </to>
                </anchor>
              </controlPr>
            </control>
          </mc:Choice>
        </mc:AlternateContent>
        <mc:AlternateContent xmlns:mc="http://schemas.openxmlformats.org/markup-compatibility/2006">
          <mc:Choice Requires="x14">
            <control shapeId="5548" r:id="rId850" name="Drop Down 4524">
              <controlPr defaultSize="0" autoLine="0" autoPict="0">
                <anchor moveWithCells="1">
                  <from>
                    <xdr:col>7</xdr:col>
                    <xdr:colOff>0</xdr:colOff>
                    <xdr:row>348</xdr:row>
                    <xdr:rowOff>0</xdr:rowOff>
                  </from>
                  <to>
                    <xdr:col>7</xdr:col>
                    <xdr:colOff>624840</xdr:colOff>
                    <xdr:row>349</xdr:row>
                    <xdr:rowOff>0</xdr:rowOff>
                  </to>
                </anchor>
              </controlPr>
            </control>
          </mc:Choice>
        </mc:AlternateContent>
        <mc:AlternateContent xmlns:mc="http://schemas.openxmlformats.org/markup-compatibility/2006">
          <mc:Choice Requires="x14">
            <control shapeId="5549" r:id="rId851" name="Drop Down 4525">
              <controlPr defaultSize="0" autoLine="0" autoPict="0">
                <anchor moveWithCells="1">
                  <from>
                    <xdr:col>7</xdr:col>
                    <xdr:colOff>601980</xdr:colOff>
                    <xdr:row>348</xdr:row>
                    <xdr:rowOff>15240</xdr:rowOff>
                  </from>
                  <to>
                    <xdr:col>7</xdr:col>
                    <xdr:colOff>1272540</xdr:colOff>
                    <xdr:row>349</xdr:row>
                    <xdr:rowOff>0</xdr:rowOff>
                  </to>
                </anchor>
              </controlPr>
            </control>
          </mc:Choice>
        </mc:AlternateContent>
        <mc:AlternateContent xmlns:mc="http://schemas.openxmlformats.org/markup-compatibility/2006">
          <mc:Choice Requires="x14">
            <control shapeId="5550" r:id="rId852" name="Drop Down 4526">
              <controlPr defaultSize="0" autoLine="0" autoPict="0">
                <anchor moveWithCells="1">
                  <from>
                    <xdr:col>7</xdr:col>
                    <xdr:colOff>1272540</xdr:colOff>
                    <xdr:row>348</xdr:row>
                    <xdr:rowOff>15240</xdr:rowOff>
                  </from>
                  <to>
                    <xdr:col>7</xdr:col>
                    <xdr:colOff>1805940</xdr:colOff>
                    <xdr:row>348</xdr:row>
                    <xdr:rowOff>320040</xdr:rowOff>
                  </to>
                </anchor>
              </controlPr>
            </control>
          </mc:Choice>
        </mc:AlternateContent>
        <mc:AlternateContent xmlns:mc="http://schemas.openxmlformats.org/markup-compatibility/2006">
          <mc:Choice Requires="x14">
            <control shapeId="5551" r:id="rId853" name="Drop Down 4527">
              <controlPr defaultSize="0" autoLine="0" autoPict="0">
                <anchor moveWithCells="1">
                  <from>
                    <xdr:col>3</xdr:col>
                    <xdr:colOff>0</xdr:colOff>
                    <xdr:row>377</xdr:row>
                    <xdr:rowOff>15240</xdr:rowOff>
                  </from>
                  <to>
                    <xdr:col>4</xdr:col>
                    <xdr:colOff>205740</xdr:colOff>
                    <xdr:row>377</xdr:row>
                    <xdr:rowOff>220980</xdr:rowOff>
                  </to>
                </anchor>
              </controlPr>
            </control>
          </mc:Choice>
        </mc:AlternateContent>
        <mc:AlternateContent xmlns:mc="http://schemas.openxmlformats.org/markup-compatibility/2006">
          <mc:Choice Requires="x14">
            <control shapeId="5552" r:id="rId854" name="Drop Down 4528">
              <controlPr defaultSize="0" autoLine="0" autoPict="0">
                <anchor moveWithCells="1">
                  <from>
                    <xdr:col>4</xdr:col>
                    <xdr:colOff>220980</xdr:colOff>
                    <xdr:row>377</xdr:row>
                    <xdr:rowOff>15240</xdr:rowOff>
                  </from>
                  <to>
                    <xdr:col>4</xdr:col>
                    <xdr:colOff>1021080</xdr:colOff>
                    <xdr:row>377</xdr:row>
                    <xdr:rowOff>220980</xdr:rowOff>
                  </to>
                </anchor>
              </controlPr>
            </control>
          </mc:Choice>
        </mc:AlternateContent>
        <mc:AlternateContent xmlns:mc="http://schemas.openxmlformats.org/markup-compatibility/2006">
          <mc:Choice Requires="x14">
            <control shapeId="5553" r:id="rId855" name="Drop Down 4529">
              <controlPr defaultSize="0" autoLine="0" autoPict="0">
                <anchor moveWithCells="1">
                  <from>
                    <xdr:col>4</xdr:col>
                    <xdr:colOff>1021080</xdr:colOff>
                    <xdr:row>377</xdr:row>
                    <xdr:rowOff>0</xdr:rowOff>
                  </from>
                  <to>
                    <xdr:col>4</xdr:col>
                    <xdr:colOff>1706880</xdr:colOff>
                    <xdr:row>377</xdr:row>
                    <xdr:rowOff>220980</xdr:rowOff>
                  </to>
                </anchor>
              </controlPr>
            </control>
          </mc:Choice>
        </mc:AlternateContent>
        <mc:AlternateContent xmlns:mc="http://schemas.openxmlformats.org/markup-compatibility/2006">
          <mc:Choice Requires="x14">
            <control shapeId="5554" r:id="rId856" name="Drop Down 4530">
              <controlPr defaultSize="0" autoLine="0" autoPict="0">
                <anchor moveWithCells="1">
                  <from>
                    <xdr:col>5</xdr:col>
                    <xdr:colOff>0</xdr:colOff>
                    <xdr:row>377</xdr:row>
                    <xdr:rowOff>15240</xdr:rowOff>
                  </from>
                  <to>
                    <xdr:col>6</xdr:col>
                    <xdr:colOff>259080</xdr:colOff>
                    <xdr:row>377</xdr:row>
                    <xdr:rowOff>220980</xdr:rowOff>
                  </to>
                </anchor>
              </controlPr>
            </control>
          </mc:Choice>
        </mc:AlternateContent>
        <mc:AlternateContent xmlns:mc="http://schemas.openxmlformats.org/markup-compatibility/2006">
          <mc:Choice Requires="x14">
            <control shapeId="5555" r:id="rId857" name="Drop Down 4531">
              <controlPr defaultSize="0" autoLine="0" autoPict="0">
                <anchor moveWithCells="1">
                  <from>
                    <xdr:col>6</xdr:col>
                    <xdr:colOff>266700</xdr:colOff>
                    <xdr:row>377</xdr:row>
                    <xdr:rowOff>15240</xdr:rowOff>
                  </from>
                  <to>
                    <xdr:col>6</xdr:col>
                    <xdr:colOff>1120140</xdr:colOff>
                    <xdr:row>377</xdr:row>
                    <xdr:rowOff>220980</xdr:rowOff>
                  </to>
                </anchor>
              </controlPr>
            </control>
          </mc:Choice>
        </mc:AlternateContent>
        <mc:AlternateContent xmlns:mc="http://schemas.openxmlformats.org/markup-compatibility/2006">
          <mc:Choice Requires="x14">
            <control shapeId="5556" r:id="rId858" name="Drop Down 4532">
              <controlPr defaultSize="0" autoLine="0" autoPict="0">
                <anchor moveWithCells="1">
                  <from>
                    <xdr:col>6</xdr:col>
                    <xdr:colOff>1135380</xdr:colOff>
                    <xdr:row>377</xdr:row>
                    <xdr:rowOff>0</xdr:rowOff>
                  </from>
                  <to>
                    <xdr:col>6</xdr:col>
                    <xdr:colOff>1805940</xdr:colOff>
                    <xdr:row>377</xdr:row>
                    <xdr:rowOff>220980</xdr:rowOff>
                  </to>
                </anchor>
              </controlPr>
            </control>
          </mc:Choice>
        </mc:AlternateContent>
        <mc:AlternateContent xmlns:mc="http://schemas.openxmlformats.org/markup-compatibility/2006">
          <mc:Choice Requires="x14">
            <control shapeId="5557" r:id="rId859" name="Drop Down 4533">
              <controlPr defaultSize="0" autoLine="0" autoPict="0">
                <anchor moveWithCells="1">
                  <from>
                    <xdr:col>12</xdr:col>
                    <xdr:colOff>0</xdr:colOff>
                    <xdr:row>375</xdr:row>
                    <xdr:rowOff>0</xdr:rowOff>
                  </from>
                  <to>
                    <xdr:col>12</xdr:col>
                    <xdr:colOff>716280</xdr:colOff>
                    <xdr:row>375</xdr:row>
                    <xdr:rowOff>220980</xdr:rowOff>
                  </to>
                </anchor>
              </controlPr>
            </control>
          </mc:Choice>
        </mc:AlternateContent>
        <mc:AlternateContent xmlns:mc="http://schemas.openxmlformats.org/markup-compatibility/2006">
          <mc:Choice Requires="x14">
            <control shapeId="5558" r:id="rId860" name="Drop Down 4534">
              <controlPr defaultSize="0" autoLine="0" autoPict="0">
                <anchor moveWithCells="1">
                  <from>
                    <xdr:col>12</xdr:col>
                    <xdr:colOff>716280</xdr:colOff>
                    <xdr:row>375</xdr:row>
                    <xdr:rowOff>15240</xdr:rowOff>
                  </from>
                  <to>
                    <xdr:col>12</xdr:col>
                    <xdr:colOff>1325880</xdr:colOff>
                    <xdr:row>375</xdr:row>
                    <xdr:rowOff>220980</xdr:rowOff>
                  </to>
                </anchor>
              </controlPr>
            </control>
          </mc:Choice>
        </mc:AlternateContent>
        <mc:AlternateContent xmlns:mc="http://schemas.openxmlformats.org/markup-compatibility/2006">
          <mc:Choice Requires="x14">
            <control shapeId="5559" r:id="rId861" name="Drop Down 4535">
              <controlPr defaultSize="0" autoLine="0" autoPict="0">
                <anchor moveWithCells="1">
                  <from>
                    <xdr:col>12</xdr:col>
                    <xdr:colOff>1325880</xdr:colOff>
                    <xdr:row>375</xdr:row>
                    <xdr:rowOff>0</xdr:rowOff>
                  </from>
                  <to>
                    <xdr:col>13</xdr:col>
                    <xdr:colOff>0</xdr:colOff>
                    <xdr:row>375</xdr:row>
                    <xdr:rowOff>220980</xdr:rowOff>
                  </to>
                </anchor>
              </controlPr>
            </control>
          </mc:Choice>
        </mc:AlternateContent>
        <mc:AlternateContent xmlns:mc="http://schemas.openxmlformats.org/markup-compatibility/2006">
          <mc:Choice Requires="x14">
            <control shapeId="5560" r:id="rId862" name="Drop Down 4536">
              <controlPr defaultSize="0" autoLine="0" autoPict="0">
                <anchor moveWithCells="1">
                  <from>
                    <xdr:col>12</xdr:col>
                    <xdr:colOff>0</xdr:colOff>
                    <xdr:row>377</xdr:row>
                    <xdr:rowOff>0</xdr:rowOff>
                  </from>
                  <to>
                    <xdr:col>12</xdr:col>
                    <xdr:colOff>701040</xdr:colOff>
                    <xdr:row>377</xdr:row>
                    <xdr:rowOff>220980</xdr:rowOff>
                  </to>
                </anchor>
              </controlPr>
            </control>
          </mc:Choice>
        </mc:AlternateContent>
        <mc:AlternateContent xmlns:mc="http://schemas.openxmlformats.org/markup-compatibility/2006">
          <mc:Choice Requires="x14">
            <control shapeId="5561" r:id="rId863" name="Drop Down 4537">
              <controlPr defaultSize="0" autoLine="0" autoPict="0">
                <anchor moveWithCells="1">
                  <from>
                    <xdr:col>12</xdr:col>
                    <xdr:colOff>685800</xdr:colOff>
                    <xdr:row>377</xdr:row>
                    <xdr:rowOff>15240</xdr:rowOff>
                  </from>
                  <to>
                    <xdr:col>12</xdr:col>
                    <xdr:colOff>1310640</xdr:colOff>
                    <xdr:row>377</xdr:row>
                    <xdr:rowOff>220980</xdr:rowOff>
                  </to>
                </anchor>
              </controlPr>
            </control>
          </mc:Choice>
        </mc:AlternateContent>
        <mc:AlternateContent xmlns:mc="http://schemas.openxmlformats.org/markup-compatibility/2006">
          <mc:Choice Requires="x14">
            <control shapeId="5562" r:id="rId864" name="Drop Down 4538">
              <controlPr defaultSize="0" autoLine="0" autoPict="0">
                <anchor moveWithCells="1">
                  <from>
                    <xdr:col>12</xdr:col>
                    <xdr:colOff>1325880</xdr:colOff>
                    <xdr:row>376</xdr:row>
                    <xdr:rowOff>220980</xdr:rowOff>
                  </from>
                  <to>
                    <xdr:col>13</xdr:col>
                    <xdr:colOff>0</xdr:colOff>
                    <xdr:row>377</xdr:row>
                    <xdr:rowOff>220980</xdr:rowOff>
                  </to>
                </anchor>
              </controlPr>
            </control>
          </mc:Choice>
        </mc:AlternateContent>
        <mc:AlternateContent xmlns:mc="http://schemas.openxmlformats.org/markup-compatibility/2006">
          <mc:Choice Requires="x14">
            <control shapeId="5563" r:id="rId865" name="Drop Down 4539">
              <controlPr defaultSize="0" autoLine="0" autoPict="0">
                <anchor moveWithCells="1">
                  <from>
                    <xdr:col>6</xdr:col>
                    <xdr:colOff>0</xdr:colOff>
                    <xdr:row>346</xdr:row>
                    <xdr:rowOff>0</xdr:rowOff>
                  </from>
                  <to>
                    <xdr:col>6</xdr:col>
                    <xdr:colOff>624840</xdr:colOff>
                    <xdr:row>347</xdr:row>
                    <xdr:rowOff>0</xdr:rowOff>
                  </to>
                </anchor>
              </controlPr>
            </control>
          </mc:Choice>
        </mc:AlternateContent>
        <mc:AlternateContent xmlns:mc="http://schemas.openxmlformats.org/markup-compatibility/2006">
          <mc:Choice Requires="x14">
            <control shapeId="5564" r:id="rId866" name="Drop Down 4540">
              <controlPr defaultSize="0" autoLine="0" autoPict="0">
                <anchor moveWithCells="1">
                  <from>
                    <xdr:col>6</xdr:col>
                    <xdr:colOff>601980</xdr:colOff>
                    <xdr:row>346</xdr:row>
                    <xdr:rowOff>15240</xdr:rowOff>
                  </from>
                  <to>
                    <xdr:col>6</xdr:col>
                    <xdr:colOff>1272540</xdr:colOff>
                    <xdr:row>347</xdr:row>
                    <xdr:rowOff>0</xdr:rowOff>
                  </to>
                </anchor>
              </controlPr>
            </control>
          </mc:Choice>
        </mc:AlternateContent>
        <mc:AlternateContent xmlns:mc="http://schemas.openxmlformats.org/markup-compatibility/2006">
          <mc:Choice Requires="x14">
            <control shapeId="5565" r:id="rId867" name="Drop Down 4541">
              <controlPr defaultSize="0" autoLine="0" autoPict="0">
                <anchor moveWithCells="1">
                  <from>
                    <xdr:col>6</xdr:col>
                    <xdr:colOff>1272540</xdr:colOff>
                    <xdr:row>346</xdr:row>
                    <xdr:rowOff>15240</xdr:rowOff>
                  </from>
                  <to>
                    <xdr:col>6</xdr:col>
                    <xdr:colOff>1805940</xdr:colOff>
                    <xdr:row>346</xdr:row>
                    <xdr:rowOff>320040</xdr:rowOff>
                  </to>
                </anchor>
              </controlPr>
            </control>
          </mc:Choice>
        </mc:AlternateContent>
        <mc:AlternateContent xmlns:mc="http://schemas.openxmlformats.org/markup-compatibility/2006">
          <mc:Choice Requires="x14">
            <control shapeId="5566" r:id="rId868" name="Drop Down 4542">
              <controlPr defaultSize="0" autoLine="0" autoPict="0">
                <anchor moveWithCells="1">
                  <from>
                    <xdr:col>6</xdr:col>
                    <xdr:colOff>0</xdr:colOff>
                    <xdr:row>347</xdr:row>
                    <xdr:rowOff>0</xdr:rowOff>
                  </from>
                  <to>
                    <xdr:col>6</xdr:col>
                    <xdr:colOff>624840</xdr:colOff>
                    <xdr:row>348</xdr:row>
                    <xdr:rowOff>0</xdr:rowOff>
                  </to>
                </anchor>
              </controlPr>
            </control>
          </mc:Choice>
        </mc:AlternateContent>
        <mc:AlternateContent xmlns:mc="http://schemas.openxmlformats.org/markup-compatibility/2006">
          <mc:Choice Requires="x14">
            <control shapeId="5567" r:id="rId869" name="Drop Down 4543">
              <controlPr defaultSize="0" autoLine="0" autoPict="0">
                <anchor moveWithCells="1">
                  <from>
                    <xdr:col>6</xdr:col>
                    <xdr:colOff>601980</xdr:colOff>
                    <xdr:row>347</xdr:row>
                    <xdr:rowOff>15240</xdr:rowOff>
                  </from>
                  <to>
                    <xdr:col>6</xdr:col>
                    <xdr:colOff>1272540</xdr:colOff>
                    <xdr:row>348</xdr:row>
                    <xdr:rowOff>0</xdr:rowOff>
                  </to>
                </anchor>
              </controlPr>
            </control>
          </mc:Choice>
        </mc:AlternateContent>
        <mc:AlternateContent xmlns:mc="http://schemas.openxmlformats.org/markup-compatibility/2006">
          <mc:Choice Requires="x14">
            <control shapeId="5568" r:id="rId870" name="Drop Down 4544">
              <controlPr defaultSize="0" autoLine="0" autoPict="0">
                <anchor moveWithCells="1">
                  <from>
                    <xdr:col>6</xdr:col>
                    <xdr:colOff>1272540</xdr:colOff>
                    <xdr:row>347</xdr:row>
                    <xdr:rowOff>15240</xdr:rowOff>
                  </from>
                  <to>
                    <xdr:col>6</xdr:col>
                    <xdr:colOff>1805940</xdr:colOff>
                    <xdr:row>347</xdr:row>
                    <xdr:rowOff>320040</xdr:rowOff>
                  </to>
                </anchor>
              </controlPr>
            </control>
          </mc:Choice>
        </mc:AlternateContent>
        <mc:AlternateContent xmlns:mc="http://schemas.openxmlformats.org/markup-compatibility/2006">
          <mc:Choice Requires="x14">
            <control shapeId="5569" r:id="rId871" name="Drop Down 4545">
              <controlPr defaultSize="0" autoLine="0" autoPict="0">
                <anchor moveWithCells="1">
                  <from>
                    <xdr:col>6</xdr:col>
                    <xdr:colOff>0</xdr:colOff>
                    <xdr:row>348</xdr:row>
                    <xdr:rowOff>0</xdr:rowOff>
                  </from>
                  <to>
                    <xdr:col>6</xdr:col>
                    <xdr:colOff>624840</xdr:colOff>
                    <xdr:row>349</xdr:row>
                    <xdr:rowOff>0</xdr:rowOff>
                  </to>
                </anchor>
              </controlPr>
            </control>
          </mc:Choice>
        </mc:AlternateContent>
        <mc:AlternateContent xmlns:mc="http://schemas.openxmlformats.org/markup-compatibility/2006">
          <mc:Choice Requires="x14">
            <control shapeId="5570" r:id="rId872" name="Drop Down 4546">
              <controlPr defaultSize="0" autoLine="0" autoPict="0">
                <anchor moveWithCells="1">
                  <from>
                    <xdr:col>6</xdr:col>
                    <xdr:colOff>601980</xdr:colOff>
                    <xdr:row>348</xdr:row>
                    <xdr:rowOff>15240</xdr:rowOff>
                  </from>
                  <to>
                    <xdr:col>6</xdr:col>
                    <xdr:colOff>1272540</xdr:colOff>
                    <xdr:row>349</xdr:row>
                    <xdr:rowOff>0</xdr:rowOff>
                  </to>
                </anchor>
              </controlPr>
            </control>
          </mc:Choice>
        </mc:AlternateContent>
        <mc:AlternateContent xmlns:mc="http://schemas.openxmlformats.org/markup-compatibility/2006">
          <mc:Choice Requires="x14">
            <control shapeId="5571" r:id="rId873" name="Drop Down 4547">
              <controlPr defaultSize="0" autoLine="0" autoPict="0">
                <anchor moveWithCells="1">
                  <from>
                    <xdr:col>6</xdr:col>
                    <xdr:colOff>1272540</xdr:colOff>
                    <xdr:row>348</xdr:row>
                    <xdr:rowOff>15240</xdr:rowOff>
                  </from>
                  <to>
                    <xdr:col>6</xdr:col>
                    <xdr:colOff>1805940</xdr:colOff>
                    <xdr:row>348</xdr:row>
                    <xdr:rowOff>320040</xdr:rowOff>
                  </to>
                </anchor>
              </controlPr>
            </control>
          </mc:Choice>
        </mc:AlternateContent>
        <mc:AlternateContent xmlns:mc="http://schemas.openxmlformats.org/markup-compatibility/2006">
          <mc:Choice Requires="x14">
            <control shapeId="5572" r:id="rId874" name="Drop Down 4548">
              <controlPr defaultSize="0" autoLine="0" autoPict="0">
                <anchor moveWithCells="1">
                  <from>
                    <xdr:col>7</xdr:col>
                    <xdr:colOff>15240</xdr:colOff>
                    <xdr:row>374</xdr:row>
                    <xdr:rowOff>220980</xdr:rowOff>
                  </from>
                  <to>
                    <xdr:col>9</xdr:col>
                    <xdr:colOff>0</xdr:colOff>
                    <xdr:row>375</xdr:row>
                    <xdr:rowOff>220980</xdr:rowOff>
                  </to>
                </anchor>
              </controlPr>
            </control>
          </mc:Choice>
        </mc:AlternateContent>
        <mc:AlternateContent xmlns:mc="http://schemas.openxmlformats.org/markup-compatibility/2006">
          <mc:Choice Requires="x14">
            <control shapeId="5573" r:id="rId875" name="Drop Down 4549">
              <controlPr defaultSize="0" autoLine="0" autoPict="0">
                <anchor moveWithCells="1">
                  <from>
                    <xdr:col>7</xdr:col>
                    <xdr:colOff>15240</xdr:colOff>
                    <xdr:row>377</xdr:row>
                    <xdr:rowOff>0</xdr:rowOff>
                  </from>
                  <to>
                    <xdr:col>9</xdr:col>
                    <xdr:colOff>0</xdr:colOff>
                    <xdr:row>378</xdr:row>
                    <xdr:rowOff>0</xdr:rowOff>
                  </to>
                </anchor>
              </controlPr>
            </control>
          </mc:Choice>
        </mc:AlternateContent>
        <mc:AlternateContent xmlns:mc="http://schemas.openxmlformats.org/markup-compatibility/2006">
          <mc:Choice Requires="x14">
            <control shapeId="5574" r:id="rId876" name="Drop Down 4550">
              <controlPr defaultSize="0" autoLine="0" autoPict="0">
                <anchor moveWithCells="1">
                  <from>
                    <xdr:col>6</xdr:col>
                    <xdr:colOff>0</xdr:colOff>
                    <xdr:row>371</xdr:row>
                    <xdr:rowOff>0</xdr:rowOff>
                  </from>
                  <to>
                    <xdr:col>8</xdr:col>
                    <xdr:colOff>38100</xdr:colOff>
                    <xdr:row>372</xdr:row>
                    <xdr:rowOff>15240</xdr:rowOff>
                  </to>
                </anchor>
              </controlPr>
            </control>
          </mc:Choice>
        </mc:AlternateContent>
        <mc:AlternateContent xmlns:mc="http://schemas.openxmlformats.org/markup-compatibility/2006">
          <mc:Choice Requires="x14">
            <control shapeId="5575" r:id="rId877" name="Drop Down 4551">
              <controlPr defaultSize="0" autoLine="0" autoPict="0">
                <anchor moveWithCells="1">
                  <from>
                    <xdr:col>3</xdr:col>
                    <xdr:colOff>0</xdr:colOff>
                    <xdr:row>3903</xdr:row>
                    <xdr:rowOff>0</xdr:rowOff>
                  </from>
                  <to>
                    <xdr:col>4</xdr:col>
                    <xdr:colOff>952500</xdr:colOff>
                    <xdr:row>3903</xdr:row>
                    <xdr:rowOff>205740</xdr:rowOff>
                  </to>
                </anchor>
              </controlPr>
            </control>
          </mc:Choice>
        </mc:AlternateContent>
        <mc:AlternateContent xmlns:mc="http://schemas.openxmlformats.org/markup-compatibility/2006">
          <mc:Choice Requires="x14">
            <control shapeId="5576" r:id="rId878" name="Button 4552">
              <controlPr locked="0" defaultSize="0" print="0" autoFill="0" autoPict="0" macro="[0]!printb7">
                <anchor moveWithCells="1" sizeWithCells="1">
                  <from>
                    <xdr:col>12</xdr:col>
                    <xdr:colOff>0</xdr:colOff>
                    <xdr:row>26</xdr:row>
                    <xdr:rowOff>68580</xdr:rowOff>
                  </from>
                  <to>
                    <xdr:col>13</xdr:col>
                    <xdr:colOff>0</xdr:colOff>
                    <xdr:row>29</xdr:row>
                    <xdr:rowOff>99060</xdr:rowOff>
                  </to>
                </anchor>
              </controlPr>
            </control>
          </mc:Choice>
        </mc:AlternateContent>
        <mc:AlternateContent xmlns:mc="http://schemas.openxmlformats.org/markup-compatibility/2006">
          <mc:Choice Requires="x14">
            <control shapeId="5579" r:id="rId879" name="Button 4555">
              <controlPr locked="0" defaultSize="0" print="0" autoFill="0" autoPict="0" macro="[0]!printposition11">
                <anchor moveWithCells="1" sizeWithCells="1">
                  <from>
                    <xdr:col>6</xdr:col>
                    <xdr:colOff>38100</xdr:colOff>
                    <xdr:row>9</xdr:row>
                    <xdr:rowOff>144780</xdr:rowOff>
                  </from>
                  <to>
                    <xdr:col>6</xdr:col>
                    <xdr:colOff>1463040</xdr:colOff>
                    <xdr:row>11</xdr:row>
                    <xdr:rowOff>0</xdr:rowOff>
                  </to>
                </anchor>
              </controlPr>
            </control>
          </mc:Choice>
        </mc:AlternateContent>
        <mc:AlternateContent xmlns:mc="http://schemas.openxmlformats.org/markup-compatibility/2006">
          <mc:Choice Requires="x14">
            <control shapeId="5580" r:id="rId880" name="Button 4556">
              <controlPr locked="0" defaultSize="0" print="0" autoFill="0" autoPict="0" macro="[0]!printposition12">
                <anchor moveWithCells="1" sizeWithCells="1">
                  <from>
                    <xdr:col>6</xdr:col>
                    <xdr:colOff>30480</xdr:colOff>
                    <xdr:row>11</xdr:row>
                    <xdr:rowOff>152400</xdr:rowOff>
                  </from>
                  <to>
                    <xdr:col>6</xdr:col>
                    <xdr:colOff>1470660</xdr:colOff>
                    <xdr:row>13</xdr:row>
                    <xdr:rowOff>15240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20"/>
  <sheetViews>
    <sheetView zoomScaleNormal="100" workbookViewId="0"/>
  </sheetViews>
  <sheetFormatPr defaultColWidth="9.109375" defaultRowHeight="14.4" x14ac:dyDescent="0.3"/>
  <cols>
    <col min="1" max="3" width="9.109375" style="293"/>
    <col min="4" max="4" width="12.44140625" style="293" customWidth="1"/>
    <col min="5" max="5" width="16" style="293" customWidth="1"/>
    <col min="6" max="6" width="14.33203125" style="292" customWidth="1"/>
    <col min="7" max="7" width="18.6640625" style="292" customWidth="1"/>
    <col min="8" max="8" width="18" style="292" customWidth="1"/>
    <col min="9" max="9" width="20.6640625" style="292" customWidth="1"/>
    <col min="10" max="10" width="8.6640625" style="292" customWidth="1"/>
    <col min="11" max="11" width="9.44140625" style="292" customWidth="1"/>
    <col min="12" max="16384" width="9.109375" style="292"/>
  </cols>
  <sheetData>
    <row r="1" spans="1:9" ht="15" customHeight="1" x14ac:dyDescent="0.3">
      <c r="A1" s="302" t="s">
        <v>278</v>
      </c>
      <c r="E1" s="299" t="s">
        <v>279</v>
      </c>
      <c r="G1" s="304"/>
      <c r="I1" s="298" t="s">
        <v>280</v>
      </c>
    </row>
    <row r="2" spans="1:9" ht="15" customHeight="1" x14ac:dyDescent="0.3"/>
    <row r="3" spans="1:9" ht="15" customHeight="1" x14ac:dyDescent="0.3">
      <c r="C3" s="300">
        <f>'TEND 1X'!D1</f>
        <v>0</v>
      </c>
      <c r="H3" s="300" t="str">
        <f>'TEND 1X'!K3</f>
        <v>X.002-218-2024(NT)&amp;N.004-116-2024(T)</v>
      </c>
    </row>
    <row r="4" spans="1:9" ht="15" customHeight="1" x14ac:dyDescent="0.3">
      <c r="D4" s="297"/>
    </row>
    <row r="5" spans="1:9" ht="15" customHeight="1" x14ac:dyDescent="0.3"/>
    <row r="6" spans="1:9" ht="15" customHeight="1" x14ac:dyDescent="0.3">
      <c r="A6" s="512" t="s">
        <v>281</v>
      </c>
      <c r="B6" s="513"/>
      <c r="C6" s="407" t="s">
        <v>282</v>
      </c>
      <c r="D6" s="373" t="s">
        <v>283</v>
      </c>
      <c r="E6" s="373" t="s">
        <v>284</v>
      </c>
      <c r="F6" s="407" t="s">
        <v>285</v>
      </c>
      <c r="G6" s="353"/>
      <c r="H6" s="354"/>
    </row>
    <row r="7" spans="1:9" ht="15" customHeight="1" x14ac:dyDescent="0.3">
      <c r="A7" s="512"/>
      <c r="B7" s="513"/>
      <c r="C7" s="408" t="s">
        <v>286</v>
      </c>
      <c r="D7" s="408" t="s">
        <v>287</v>
      </c>
      <c r="E7" s="408" t="s">
        <v>288</v>
      </c>
      <c r="F7" s="408" t="s">
        <v>289</v>
      </c>
      <c r="G7" s="355"/>
      <c r="H7" s="293"/>
    </row>
    <row r="8" spans="1:9" ht="15" customHeight="1" x14ac:dyDescent="0.3">
      <c r="A8" s="352"/>
      <c r="B8" s="409" t="s">
        <v>290</v>
      </c>
      <c r="C8" s="294">
        <v>1</v>
      </c>
      <c r="D8" s="294">
        <v>3</v>
      </c>
      <c r="E8" s="294">
        <v>4</v>
      </c>
      <c r="F8" s="294">
        <v>5</v>
      </c>
      <c r="G8" s="356"/>
      <c r="H8" s="357"/>
    </row>
    <row r="9" spans="1:9" ht="15" customHeight="1" x14ac:dyDescent="0.3"/>
    <row r="10" spans="1:9" ht="15" customHeight="1" x14ac:dyDescent="0.3">
      <c r="B10" s="300"/>
    </row>
    <row r="11" spans="1:9" ht="15" customHeight="1" x14ac:dyDescent="0.3">
      <c r="B11" s="515" t="s">
        <v>291</v>
      </c>
      <c r="C11" s="516"/>
      <c r="D11" s="516"/>
      <c r="E11" s="516"/>
      <c r="F11" s="517"/>
      <c r="G11" s="408" t="s">
        <v>292</v>
      </c>
      <c r="H11" s="295" t="s">
        <v>293</v>
      </c>
      <c r="I11" s="295" t="s">
        <v>294</v>
      </c>
    </row>
    <row r="12" spans="1:9" ht="15" customHeight="1" x14ac:dyDescent="0.3">
      <c r="B12" s="518"/>
      <c r="C12" s="519"/>
      <c r="D12" s="519"/>
      <c r="E12" s="519"/>
      <c r="F12" s="520"/>
      <c r="G12" s="410"/>
      <c r="H12" s="351" t="str">
        <f>IF(I12="","",IF(I12="none",IF(G12&lt;&gt;"","Input Measure Type",""),IF(I12="Affidavit completed",3,IF(G12="","",IF(G12&lt;-0.1,$C$8,IF(G12&lt;0.9,$D$8,IF(G12&lt;1.8,$E$8,$F$8)))))))</f>
        <v/>
      </c>
      <c r="I12" s="358" t="s">
        <v>10</v>
      </c>
    </row>
    <row r="13" spans="1:9" ht="15" customHeight="1" x14ac:dyDescent="0.3">
      <c r="B13" s="518"/>
      <c r="C13" s="519"/>
      <c r="D13" s="519"/>
      <c r="E13" s="519"/>
      <c r="F13" s="520"/>
      <c r="G13" s="410"/>
      <c r="H13" s="351" t="str">
        <f t="shared" ref="H13:H14" si="0">IF(I13="","",IF(I13="none",IF(G13&lt;&gt;"","Input Measure Type",""),IF(I13="Affidavit completed",3,IF(G13="","",IF(G13&lt;-0.1,$C$8,IF(G13&lt;0.9,$D$8,IF(G13&lt;1.8,$E$8,$F$8)))))))</f>
        <v/>
      </c>
      <c r="I13" s="358" t="s">
        <v>10</v>
      </c>
    </row>
    <row r="14" spans="1:9" ht="15" customHeight="1" x14ac:dyDescent="0.3">
      <c r="B14" s="518"/>
      <c r="C14" s="519"/>
      <c r="D14" s="519"/>
      <c r="E14" s="519"/>
      <c r="F14" s="520"/>
      <c r="G14" s="410"/>
      <c r="H14" s="351" t="str">
        <f t="shared" si="0"/>
        <v/>
      </c>
      <c r="I14" s="358" t="s">
        <v>10</v>
      </c>
    </row>
    <row r="15" spans="1:9" ht="15" customHeight="1" thickBot="1" x14ac:dyDescent="0.35">
      <c r="H15" s="296">
        <f>SUM(H12:H14)</f>
        <v>0</v>
      </c>
    </row>
    <row r="16" spans="1:9" ht="15" thickTop="1" x14ac:dyDescent="0.3"/>
    <row r="17" spans="5:7" x14ac:dyDescent="0.3">
      <c r="E17" s="514" t="str">
        <f>IF(H12=3,"PLEASE ENSURE THAT YOUR AFFIDAVIT IS ATTACHED TO YOUR TENDER SUBMISSION TO ENURE PAST PERFORMANCE SCORE CAN BE ALLOCATED CORRECTLY",IF(H13=3,"PLEASE ENSURE THAT YOUR AFFIDAVIT IS ATTACHED TO YOUR TENDER SUBMISSION TO ENURE PAST PERFORMANCE SCORE CAN BE ALLOCATED CORRECTLY",IF(H14=3,"PLEASE ENSURE THAT YOUR AFFIDAVIT IS ATTACHED TO YOUR TENDER SUBMISSION TO ENURE PAST PERFORMANCE SCORE CAN BE ALLOCATED CORRECTLY","")))</f>
        <v/>
      </c>
      <c r="F17" s="514"/>
      <c r="G17" s="514"/>
    </row>
    <row r="18" spans="5:7" x14ac:dyDescent="0.3">
      <c r="E18" s="514"/>
      <c r="F18" s="514"/>
      <c r="G18" s="514"/>
    </row>
    <row r="19" spans="5:7" x14ac:dyDescent="0.3">
      <c r="E19" s="514"/>
      <c r="F19" s="514"/>
      <c r="G19" s="514"/>
    </row>
    <row r="20" spans="5:7" x14ac:dyDescent="0.3">
      <c r="E20" s="514"/>
      <c r="F20" s="514"/>
      <c r="G20" s="514"/>
    </row>
  </sheetData>
  <sheetProtection algorithmName="SHA-512" hashValue="wtG8IKolGMmdZykB8thpVMn/a9sLVeWKbsUQB6QDM7FAE+9aIjWSdPZEXz2TXEM/SOb6OHpLXbifAfvGwphpgQ==" saltValue="i9llyJSSQIwOSnXuFB4+CA==" spinCount="100000" sheet="1" objects="1" scenarios="1"/>
  <mergeCells count="6">
    <mergeCell ref="A6:B7"/>
    <mergeCell ref="E17:G20"/>
    <mergeCell ref="B11:F11"/>
    <mergeCell ref="B12:F12"/>
    <mergeCell ref="B13:F13"/>
    <mergeCell ref="B14:F14"/>
  </mergeCells>
  <hyperlinks>
    <hyperlink ref="I1" location="'TEND 1X'!A1" display="HOME" xr:uid="{00000000-0004-0000-0100-000000000000}"/>
  </hyperlinks>
  <pageMargins left="0.7" right="0.7" top="0.75" bottom="0.75" header="0.3" footer="0.3"/>
  <pageSetup paperSize="9" orientation="landscape" r:id="rId1"/>
  <headerFooter>
    <oddHeader>&amp;L&amp;"Calibri"&amp;10&amp;K000000Sensitivity - General&amp;1#</oddHeader>
  </headerFooter>
  <extLst>
    <ext xmlns:x14="http://schemas.microsoft.com/office/spreadsheetml/2009/9/main" uri="{CCE6A557-97BC-4b89-ADB6-D9C93CAAB3DF}">
      <x14:dataValidations xmlns:xm="http://schemas.microsoft.com/office/excel/2006/main" count="3">
        <x14:dataValidation type="list" allowBlank="1" showInputMessage="1" showErrorMessage="1" xr:uid="{5AE3DC54-7E19-4373-877F-745FFC086ADB}">
          <x14:formula1>
            <xm:f>'WORKINGS MATRIX'!J2:J4</xm:f>
          </x14:formula1>
          <xm:sqref>I12</xm:sqref>
        </x14:dataValidation>
        <x14:dataValidation type="list" allowBlank="1" showInputMessage="1" showErrorMessage="1" xr:uid="{50237F06-D3D2-436A-B9A1-044163E163A1}">
          <x14:formula1>
            <xm:f>'WORKINGS MATRIX'!J2:J4</xm:f>
          </x14:formula1>
          <xm:sqref>I14</xm:sqref>
        </x14:dataValidation>
        <x14:dataValidation type="list" allowBlank="1" showInputMessage="1" showErrorMessage="1" xr:uid="{63D9C593-5E25-441A-9D87-F748E6CC55D5}">
          <x14:formula1>
            <xm:f>'WORKINGS MATRIX'!J2:J4</xm:f>
          </x14:formula1>
          <xm:sqref>I13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P457"/>
  <sheetViews>
    <sheetView workbookViewId="0"/>
  </sheetViews>
  <sheetFormatPr defaultColWidth="9.109375" defaultRowHeight="13.2" x14ac:dyDescent="0.25"/>
  <cols>
    <col min="1" max="2" width="9.109375" style="158"/>
    <col min="3" max="3" width="9.5546875" style="158" customWidth="1"/>
    <col min="4" max="4" width="22.88671875" style="158" customWidth="1"/>
    <col min="5" max="5" width="12.88671875" style="158" customWidth="1"/>
    <col min="6" max="7" width="9.109375" style="158"/>
    <col min="8" max="8" width="10.109375" style="158" bestFit="1" customWidth="1"/>
    <col min="9" max="9" width="16.44140625" style="158" customWidth="1"/>
    <col min="10" max="10" width="23.88671875" style="158" customWidth="1"/>
    <col min="11" max="11" width="9.109375" style="158"/>
    <col min="12" max="12" width="9.33203125" style="158" bestFit="1" customWidth="1"/>
    <col min="13" max="27" width="9.109375" style="158"/>
    <col min="28" max="28" width="24.109375" style="158" customWidth="1"/>
    <col min="29" max="29" width="24.44140625" style="158" customWidth="1"/>
    <col min="30" max="30" width="17.5546875" style="158" customWidth="1"/>
    <col min="31" max="31" width="21" style="158" customWidth="1"/>
    <col min="32" max="32" width="21.109375" style="158" customWidth="1"/>
    <col min="33" max="165" width="9.109375" style="158"/>
    <col min="166" max="198" width="12.6640625" style="168" customWidth="1"/>
    <col min="199" max="16384" width="9.109375" style="158"/>
  </cols>
  <sheetData>
    <row r="1" spans="1:198" x14ac:dyDescent="0.25">
      <c r="A1" s="158" t="s">
        <v>295</v>
      </c>
      <c r="J1" s="158" t="s">
        <v>296</v>
      </c>
      <c r="DA1" s="158" t="s">
        <v>10</v>
      </c>
      <c r="DB1" s="158" t="s">
        <v>15</v>
      </c>
      <c r="DC1" s="158" t="s">
        <v>21</v>
      </c>
      <c r="DD1" s="158" t="s">
        <v>25</v>
      </c>
      <c r="DE1" s="158" t="s">
        <v>31</v>
      </c>
      <c r="DF1" s="158" t="s">
        <v>33</v>
      </c>
      <c r="DG1" s="158" t="s">
        <v>38</v>
      </c>
      <c r="DH1" s="158" t="s">
        <v>44</v>
      </c>
      <c r="DI1" s="158" t="s">
        <v>47</v>
      </c>
      <c r="DJ1" s="158" t="s">
        <v>49</v>
      </c>
      <c r="DK1" s="158" t="s">
        <v>53</v>
      </c>
      <c r="DL1" s="158" t="s">
        <v>57</v>
      </c>
      <c r="DM1" s="158" t="s">
        <v>61</v>
      </c>
      <c r="DN1" s="158" t="s">
        <v>64</v>
      </c>
      <c r="DO1" s="158" t="s">
        <v>67</v>
      </c>
      <c r="DP1" s="158" t="s">
        <v>70</v>
      </c>
      <c r="DQ1" s="158" t="s">
        <v>75</v>
      </c>
      <c r="DR1" s="158" t="s">
        <v>77</v>
      </c>
      <c r="DS1" s="158" t="s">
        <v>80</v>
      </c>
      <c r="DT1" s="158" t="s">
        <v>84</v>
      </c>
      <c r="DU1" s="158" t="s">
        <v>87</v>
      </c>
      <c r="DV1" s="158" t="s">
        <v>90</v>
      </c>
      <c r="DW1" s="158" t="s">
        <v>94</v>
      </c>
      <c r="DX1" s="158" t="s">
        <v>96</v>
      </c>
      <c r="DY1" s="158" t="s">
        <v>98</v>
      </c>
      <c r="DZ1" s="158" t="s">
        <v>103</v>
      </c>
      <c r="EA1" s="158" t="s">
        <v>105</v>
      </c>
      <c r="EB1" s="158" t="s">
        <v>108</v>
      </c>
      <c r="EC1" s="158" t="s">
        <v>112</v>
      </c>
      <c r="ED1" s="158" t="s">
        <v>114</v>
      </c>
      <c r="EE1" s="158" t="s">
        <v>34</v>
      </c>
      <c r="EF1" s="158" t="s">
        <v>115</v>
      </c>
      <c r="EG1" s="158" t="s">
        <v>126</v>
      </c>
      <c r="EH1" s="158" t="s">
        <v>130</v>
      </c>
      <c r="FJ1" s="168" t="s">
        <v>11</v>
      </c>
      <c r="FK1" s="168" t="s">
        <v>16</v>
      </c>
      <c r="FL1" s="168" t="s">
        <v>22</v>
      </c>
      <c r="FM1" s="168" t="s">
        <v>26</v>
      </c>
      <c r="FN1" s="168" t="s">
        <v>32</v>
      </c>
      <c r="FO1" s="168" t="s">
        <v>34</v>
      </c>
      <c r="FP1" s="168" t="s">
        <v>39</v>
      </c>
      <c r="FQ1" s="168" t="s">
        <v>45</v>
      </c>
      <c r="FR1" s="168" t="s">
        <v>48</v>
      </c>
      <c r="FS1" s="168" t="s">
        <v>50</v>
      </c>
      <c r="FT1" s="168" t="s">
        <v>54</v>
      </c>
      <c r="FU1" s="168" t="s">
        <v>58</v>
      </c>
      <c r="FV1" s="168" t="s">
        <v>62</v>
      </c>
      <c r="FW1" s="168" t="s">
        <v>65</v>
      </c>
      <c r="FX1" s="168" t="s">
        <v>68</v>
      </c>
      <c r="FY1" s="168" t="s">
        <v>71</v>
      </c>
      <c r="FZ1" s="168" t="s">
        <v>76</v>
      </c>
      <c r="GA1" s="168" t="s">
        <v>78</v>
      </c>
      <c r="GB1" s="168" t="s">
        <v>81</v>
      </c>
      <c r="GC1" s="168" t="s">
        <v>85</v>
      </c>
      <c r="GD1" s="168" t="s">
        <v>88</v>
      </c>
      <c r="GE1" s="168" t="s">
        <v>91</v>
      </c>
      <c r="GF1" s="168" t="s">
        <v>95</v>
      </c>
      <c r="GG1" s="168" t="s">
        <v>97</v>
      </c>
      <c r="GH1" s="168" t="s">
        <v>99</v>
      </c>
      <c r="GI1" s="168" t="s">
        <v>104</v>
      </c>
      <c r="GJ1" s="168" t="s">
        <v>106</v>
      </c>
      <c r="GK1" s="168" t="s">
        <v>109</v>
      </c>
      <c r="GL1" s="168" t="s">
        <v>113</v>
      </c>
      <c r="GM1" s="168" t="s">
        <v>115</v>
      </c>
      <c r="GN1" s="168" t="s">
        <v>120</v>
      </c>
      <c r="GO1" s="168" t="s">
        <v>125</v>
      </c>
      <c r="GP1" s="168" t="s">
        <v>126</v>
      </c>
    </row>
    <row r="2" spans="1:198" x14ac:dyDescent="0.25">
      <c r="A2" s="316" t="s">
        <v>297</v>
      </c>
      <c r="J2" s="158" t="s">
        <v>10</v>
      </c>
      <c r="O2" s="168" t="s">
        <v>298</v>
      </c>
      <c r="P2" s="168" t="s">
        <v>299</v>
      </c>
      <c r="Q2" s="168" t="s">
        <v>300</v>
      </c>
      <c r="R2" s="168" t="s">
        <v>301</v>
      </c>
      <c r="S2" s="168" t="s">
        <v>302</v>
      </c>
      <c r="T2" s="168" t="s">
        <v>303</v>
      </c>
      <c r="U2" s="168" t="s">
        <v>304</v>
      </c>
      <c r="V2" s="168" t="s">
        <v>305</v>
      </c>
      <c r="W2" s="168" t="s">
        <v>306</v>
      </c>
      <c r="EW2" s="317" t="s">
        <v>307</v>
      </c>
      <c r="EX2" s="158" t="s">
        <v>308</v>
      </c>
      <c r="FC2" s="158" t="s">
        <v>309</v>
      </c>
      <c r="FJ2" s="168" t="str">
        <f>IF(ISERROR(VLOOKUP(FJ1,$EX$3:$EX$22,1,FALSE)=FJ1)=FALSE,"REQUIRED", "NOT REQUIRED")</f>
        <v>REQUIRED</v>
      </c>
      <c r="FK2" s="168" t="str">
        <f t="shared" ref="FK2:FO2" si="0">IF(ISERROR(VLOOKUP(FK1,$EX$3:$EX$22,1,FALSE)=FK1)=FALSE,"REQUIRED", "NOT REQUIRED")</f>
        <v>NOT REQUIRED</v>
      </c>
      <c r="FL2" s="168" t="str">
        <f t="shared" si="0"/>
        <v>REQUIRED</v>
      </c>
      <c r="FM2" s="168" t="str">
        <f t="shared" si="0"/>
        <v>REQUIRED</v>
      </c>
      <c r="FN2" s="168" t="str">
        <f t="shared" si="0"/>
        <v>REQUIRED</v>
      </c>
      <c r="FO2" s="168" t="str">
        <f t="shared" si="0"/>
        <v>NOT REQUIRED</v>
      </c>
      <c r="FP2" s="168" t="str">
        <f t="shared" ref="FP2" si="1">IF(ISERROR(VLOOKUP(FP1,$EX$3:$EX$22,1,FALSE)=FP1)=FALSE,"REQUIRED", "NOT REQUIRED")</f>
        <v>REQUIRED</v>
      </c>
      <c r="FQ2" s="168" t="str">
        <f t="shared" ref="FQ2" si="2">IF(ISERROR(VLOOKUP(FQ1,$EX$3:$EX$22,1,FALSE)=FQ1)=FALSE,"REQUIRED", "NOT REQUIRED")</f>
        <v>NOT REQUIRED</v>
      </c>
      <c r="FR2" s="168" t="str">
        <f t="shared" ref="FR2" si="3">IF(ISERROR(VLOOKUP(FR1,$EX$3:$EX$22,1,FALSE)=FR1)=FALSE,"REQUIRED", "NOT REQUIRED")</f>
        <v>REQUIRED</v>
      </c>
      <c r="FS2" s="168" t="str">
        <f t="shared" ref="FS2" si="4">IF(ISERROR(VLOOKUP(FS1,$EX$3:$EX$22,1,FALSE)=FS1)=FALSE,"REQUIRED", "NOT REQUIRED")</f>
        <v>REQUIRED</v>
      </c>
      <c r="FT2" s="168" t="str">
        <f t="shared" ref="FT2" si="5">IF(ISERROR(VLOOKUP(FT1,$EX$3:$EX$22,1,FALSE)=FT1)=FALSE,"REQUIRED", "NOT REQUIRED")</f>
        <v>REQUIRED</v>
      </c>
      <c r="FU2" s="168" t="str">
        <f t="shared" ref="FU2" si="6">IF(ISERROR(VLOOKUP(FU1,$EX$3:$EX$22,1,FALSE)=FU1)=FALSE,"REQUIRED", "NOT REQUIRED")</f>
        <v>REQUIRED</v>
      </c>
      <c r="FV2" s="168" t="str">
        <f t="shared" ref="FV2" si="7">IF(ISERROR(VLOOKUP(FV1,$EX$3:$EX$22,1,FALSE)=FV1)=FALSE,"REQUIRED", "NOT REQUIRED")</f>
        <v>REQUIRED</v>
      </c>
      <c r="FW2" s="168" t="str">
        <f t="shared" ref="FW2" si="8">IF(ISERROR(VLOOKUP(FW1,$EX$3:$EX$22,1,FALSE)=FW1)=FALSE,"REQUIRED", "NOT REQUIRED")</f>
        <v>REQUIRED</v>
      </c>
      <c r="FX2" s="168" t="str">
        <f t="shared" ref="FX2" si="9">IF(ISERROR(VLOOKUP(FX1,$EX$3:$EX$22,1,FALSE)=FX1)=FALSE,"REQUIRED", "NOT REQUIRED")</f>
        <v>REQUIRED</v>
      </c>
      <c r="FY2" s="168" t="str">
        <f t="shared" ref="FY2" si="10">IF(ISERROR(VLOOKUP(FY1,$EX$3:$EX$22,1,FALSE)=FY1)=FALSE,"REQUIRED", "NOT REQUIRED")</f>
        <v>REQUIRED</v>
      </c>
      <c r="FZ2" s="168" t="str">
        <f t="shared" ref="FZ2" si="11">IF(ISERROR(VLOOKUP(FZ1,$EX$3:$EX$22,1,FALSE)=FZ1)=FALSE,"REQUIRED", "NOT REQUIRED")</f>
        <v>NOT REQUIRED</v>
      </c>
      <c r="GA2" s="168" t="str">
        <f t="shared" ref="GA2" si="12">IF(ISERROR(VLOOKUP(GA1,$EX$3:$EX$22,1,FALSE)=GA1)=FALSE,"REQUIRED", "NOT REQUIRED")</f>
        <v>NOT REQUIRED</v>
      </c>
      <c r="GB2" s="168" t="str">
        <f t="shared" ref="GB2" si="13">IF(ISERROR(VLOOKUP(GB1,$EX$3:$EX$22,1,FALSE)=GB1)=FALSE,"REQUIRED", "NOT REQUIRED")</f>
        <v>REQUIRED</v>
      </c>
      <c r="GC2" s="168" t="str">
        <f t="shared" ref="GC2" si="14">IF(ISERROR(VLOOKUP(GC1,$EX$3:$EX$22,1,FALSE)=GC1)=FALSE,"REQUIRED", "NOT REQUIRED")</f>
        <v>NOT REQUIRED</v>
      </c>
      <c r="GD2" s="168" t="str">
        <f t="shared" ref="GD2" si="15">IF(ISERROR(VLOOKUP(GD1,$EX$3:$EX$22,1,FALSE)=GD1)=FALSE,"REQUIRED", "NOT REQUIRED")</f>
        <v>NOT REQUIRED</v>
      </c>
      <c r="GE2" s="168" t="str">
        <f t="shared" ref="GE2" si="16">IF(ISERROR(VLOOKUP(GE1,$EX$3:$EX$22,1,FALSE)=GE1)=FALSE,"REQUIRED", "NOT REQUIRED")</f>
        <v>REQUIRED</v>
      </c>
      <c r="GF2" s="168" t="str">
        <f t="shared" ref="GF2" si="17">IF(ISERROR(VLOOKUP(GF1,$EX$3:$EX$22,1,FALSE)=GF1)=FALSE,"REQUIRED", "NOT REQUIRED")</f>
        <v>REQUIRED</v>
      </c>
      <c r="GG2" s="168" t="str">
        <f t="shared" ref="GG2" si="18">IF(ISERROR(VLOOKUP(GG1,$EX$3:$EX$22,1,FALSE)=GG1)=FALSE,"REQUIRED", "NOT REQUIRED")</f>
        <v>NOT REQUIRED</v>
      </c>
      <c r="GH2" s="168" t="str">
        <f t="shared" ref="GH2" si="19">IF(ISERROR(VLOOKUP(GH1,$EX$3:$EX$22,1,FALSE)=GH1)=FALSE,"REQUIRED", "NOT REQUIRED")</f>
        <v>REQUIRED</v>
      </c>
      <c r="GI2" s="168" t="str">
        <f t="shared" ref="GI2" si="20">IF(ISERROR(VLOOKUP(GI1,$EX$3:$EX$22,1,FALSE)=GI1)=FALSE,"REQUIRED", "NOT REQUIRED")</f>
        <v>REQUIRED</v>
      </c>
      <c r="GJ2" s="168" t="str">
        <f t="shared" ref="GJ2" si="21">IF(ISERROR(VLOOKUP(GJ1,$EX$3:$EX$22,1,FALSE)=GJ1)=FALSE,"REQUIRED", "NOT REQUIRED")</f>
        <v>REQUIRED</v>
      </c>
      <c r="GK2" s="168" t="str">
        <f t="shared" ref="GK2" si="22">IF(ISERROR(VLOOKUP(GK1,$EX$3:$EX$22,1,FALSE)=GK1)=FALSE,"REQUIRED", "NOT REQUIRED")</f>
        <v>NOT REQUIRED</v>
      </c>
      <c r="GL2" s="168" t="str">
        <f t="shared" ref="GL2" si="23">IF(ISERROR(VLOOKUP(GL1,$EX$3:$EX$22,1,FALSE)=GL1)=FALSE,"REQUIRED", "NOT REQUIRED")</f>
        <v>NOT REQUIRED</v>
      </c>
      <c r="GM2" s="168" t="str">
        <f t="shared" ref="GM2" si="24">IF(ISERROR(VLOOKUP(GM1,$EX$3:$EX$22,1,FALSE)=GM1)=FALSE,"REQUIRED", "NOT REQUIRED")</f>
        <v>NOT REQUIRED</v>
      </c>
      <c r="GN2" s="168" t="str">
        <f t="shared" ref="GN2" si="25">IF(ISERROR(VLOOKUP(GN1,$EX$3:$EX$22,1,FALSE)=GN1)=FALSE,"REQUIRED", "NOT REQUIRED")</f>
        <v>NOT REQUIRED</v>
      </c>
      <c r="GO2" s="168" t="str">
        <f t="shared" ref="GO2" si="26">IF(ISERROR(VLOOKUP(GO1,$EX$3:$EX$22,1,FALSE)=GO1)=FALSE,"REQUIRED", "NOT REQUIRED")</f>
        <v>NOT REQUIRED</v>
      </c>
      <c r="GP2" s="168" t="str">
        <f t="shared" ref="GP2" si="27">IF(ISERROR(VLOOKUP(GP1,$EX$3:$EX$22,1,FALSE)=GP1)=FALSE,"REQUIRED", "NOT REQUIRED")</f>
        <v>NOT REQUIRED</v>
      </c>
    </row>
    <row r="3" spans="1:198" x14ac:dyDescent="0.25">
      <c r="J3" s="158" t="s">
        <v>310</v>
      </c>
      <c r="O3" s="168">
        <v>30</v>
      </c>
      <c r="P3" s="318">
        <v>0</v>
      </c>
      <c r="Q3" s="319">
        <v>0</v>
      </c>
      <c r="R3" s="318">
        <v>0</v>
      </c>
      <c r="S3" s="318">
        <v>0</v>
      </c>
      <c r="T3" s="318">
        <v>0</v>
      </c>
      <c r="U3" s="318">
        <v>0</v>
      </c>
      <c r="V3" s="318">
        <v>0</v>
      </c>
      <c r="W3" s="320" t="s">
        <v>311</v>
      </c>
      <c r="EW3" s="158">
        <v>1</v>
      </c>
      <c r="EX3" s="158" t="s">
        <v>11</v>
      </c>
      <c r="EY3" s="158" t="s">
        <v>12</v>
      </c>
      <c r="FC3" s="158" t="s">
        <v>312</v>
      </c>
    </row>
    <row r="4" spans="1:198" x14ac:dyDescent="0.25">
      <c r="E4" s="521" t="s">
        <v>313</v>
      </c>
      <c r="F4" s="521"/>
      <c r="J4" s="158" t="s">
        <v>314</v>
      </c>
      <c r="O4" s="168">
        <v>29</v>
      </c>
      <c r="P4" s="318">
        <v>0</v>
      </c>
      <c r="Q4" s="319">
        <v>0</v>
      </c>
      <c r="R4" s="318">
        <v>0</v>
      </c>
      <c r="S4" s="318">
        <v>0</v>
      </c>
      <c r="T4" s="318">
        <v>0</v>
      </c>
      <c r="U4" s="318">
        <v>0</v>
      </c>
      <c r="V4" s="318">
        <v>0</v>
      </c>
      <c r="W4" s="320" t="str">
        <f t="shared" ref="W4:W32" si="28">W3</f>
        <v/>
      </c>
      <c r="EW4" s="158">
        <v>2</v>
      </c>
      <c r="EX4" s="158" t="s">
        <v>22</v>
      </c>
      <c r="EY4" s="158" t="s">
        <v>23</v>
      </c>
      <c r="FC4" s="158" t="s">
        <v>312</v>
      </c>
    </row>
    <row r="5" spans="1:198" x14ac:dyDescent="0.25">
      <c r="E5" s="158">
        <v>1</v>
      </c>
      <c r="F5" s="158" t="s">
        <v>315</v>
      </c>
      <c r="O5" s="168">
        <v>28</v>
      </c>
      <c r="P5" s="318">
        <v>0</v>
      </c>
      <c r="Q5" s="319">
        <v>0</v>
      </c>
      <c r="R5" s="318">
        <v>0</v>
      </c>
      <c r="S5" s="318">
        <v>0</v>
      </c>
      <c r="T5" s="318">
        <v>0</v>
      </c>
      <c r="U5" s="318">
        <v>0</v>
      </c>
      <c r="V5" s="318">
        <v>0</v>
      </c>
      <c r="W5" s="320" t="str">
        <f t="shared" si="28"/>
        <v/>
      </c>
      <c r="EW5" s="158">
        <v>3</v>
      </c>
      <c r="EX5" s="158" t="s">
        <v>26</v>
      </c>
      <c r="EY5" s="158" t="s">
        <v>27</v>
      </c>
      <c r="FC5" s="158" t="s">
        <v>316</v>
      </c>
    </row>
    <row r="6" spans="1:198" x14ac:dyDescent="0.25">
      <c r="B6" s="521" t="s">
        <v>317</v>
      </c>
      <c r="C6" s="521"/>
      <c r="E6" s="158">
        <v>2</v>
      </c>
      <c r="F6" s="158" t="s">
        <v>318</v>
      </c>
      <c r="H6" s="521" t="s">
        <v>319</v>
      </c>
      <c r="I6" s="521"/>
      <c r="K6" s="158">
        <v>1</v>
      </c>
      <c r="L6" s="321">
        <v>0.85</v>
      </c>
      <c r="O6" s="168">
        <v>27</v>
      </c>
      <c r="P6" s="318">
        <v>0</v>
      </c>
      <c r="Q6" s="319">
        <v>0</v>
      </c>
      <c r="R6" s="318">
        <v>0</v>
      </c>
      <c r="S6" s="318">
        <v>0</v>
      </c>
      <c r="T6" s="318">
        <v>0</v>
      </c>
      <c r="U6" s="318">
        <v>0</v>
      </c>
      <c r="V6" s="318">
        <v>0</v>
      </c>
      <c r="W6" s="320" t="str">
        <f t="shared" si="28"/>
        <v/>
      </c>
      <c r="EW6" s="158">
        <v>4</v>
      </c>
      <c r="EX6" s="158" t="s">
        <v>32</v>
      </c>
      <c r="EY6" s="158" t="s">
        <v>320</v>
      </c>
      <c r="FC6" s="158" t="s">
        <v>316</v>
      </c>
    </row>
    <row r="7" spans="1:198" x14ac:dyDescent="0.25">
      <c r="B7" s="158">
        <v>1</v>
      </c>
      <c r="C7" s="158" t="s">
        <v>321</v>
      </c>
      <c r="E7" s="158">
        <v>3</v>
      </c>
      <c r="F7" s="158" t="s">
        <v>322</v>
      </c>
      <c r="H7" s="158">
        <v>1</v>
      </c>
      <c r="I7" s="158" t="s">
        <v>323</v>
      </c>
      <c r="K7" s="158">
        <v>2</v>
      </c>
      <c r="L7" s="321">
        <v>0.84</v>
      </c>
      <c r="O7" s="168">
        <v>26</v>
      </c>
      <c r="P7" s="318">
        <v>0</v>
      </c>
      <c r="Q7" s="319">
        <v>0</v>
      </c>
      <c r="R7" s="318">
        <v>0</v>
      </c>
      <c r="S7" s="318">
        <v>0</v>
      </c>
      <c r="T7" s="318">
        <v>0</v>
      </c>
      <c r="U7" s="318">
        <v>0</v>
      </c>
      <c r="V7" s="318">
        <v>0</v>
      </c>
      <c r="W7" s="320" t="str">
        <f t="shared" si="28"/>
        <v/>
      </c>
      <c r="EW7" s="158">
        <v>5</v>
      </c>
      <c r="EX7" s="158" t="s">
        <v>324</v>
      </c>
      <c r="EY7" s="158" t="s">
        <v>325</v>
      </c>
      <c r="FC7" s="158" t="s">
        <v>316</v>
      </c>
    </row>
    <row r="8" spans="1:198" x14ac:dyDescent="0.25">
      <c r="B8" s="158">
        <v>2</v>
      </c>
      <c r="C8" s="158" t="s">
        <v>326</v>
      </c>
      <c r="E8" s="158">
        <v>4</v>
      </c>
      <c r="F8" s="158" t="s">
        <v>327</v>
      </c>
      <c r="H8" s="158">
        <v>2</v>
      </c>
      <c r="I8" s="158" t="s">
        <v>328</v>
      </c>
      <c r="K8" s="158">
        <v>3</v>
      </c>
      <c r="L8" s="321">
        <v>0.83</v>
      </c>
      <c r="O8" s="168">
        <v>25</v>
      </c>
      <c r="P8" s="318">
        <v>0</v>
      </c>
      <c r="Q8" s="319">
        <v>0</v>
      </c>
      <c r="R8" s="318">
        <v>0</v>
      </c>
      <c r="S8" s="318">
        <v>0</v>
      </c>
      <c r="T8" s="318">
        <v>0</v>
      </c>
      <c r="U8" s="318">
        <v>0</v>
      </c>
      <c r="V8" s="318">
        <v>0</v>
      </c>
      <c r="W8" s="320" t="str">
        <f t="shared" si="28"/>
        <v/>
      </c>
      <c r="EW8" s="158">
        <v>6</v>
      </c>
      <c r="EX8" s="158" t="s">
        <v>39</v>
      </c>
      <c r="EY8" s="158" t="s">
        <v>40</v>
      </c>
      <c r="FC8" s="158" t="s">
        <v>316</v>
      </c>
    </row>
    <row r="9" spans="1:198" x14ac:dyDescent="0.25">
      <c r="B9" s="158">
        <v>3</v>
      </c>
      <c r="C9" s="158" t="s">
        <v>329</v>
      </c>
      <c r="E9" s="158">
        <v>5</v>
      </c>
      <c r="F9" s="158" t="s">
        <v>330</v>
      </c>
      <c r="H9" s="158">
        <v>3</v>
      </c>
      <c r="I9" s="158" t="s">
        <v>331</v>
      </c>
      <c r="K9" s="158">
        <v>4</v>
      </c>
      <c r="L9" s="321">
        <v>0.82</v>
      </c>
      <c r="O9" s="168">
        <v>24</v>
      </c>
      <c r="P9" s="318">
        <v>0</v>
      </c>
      <c r="Q9" s="319">
        <v>0</v>
      </c>
      <c r="R9" s="318">
        <v>0</v>
      </c>
      <c r="S9" s="318">
        <v>0</v>
      </c>
      <c r="T9" s="318">
        <v>0</v>
      </c>
      <c r="U9" s="318">
        <v>0</v>
      </c>
      <c r="V9" s="318">
        <v>0</v>
      </c>
      <c r="W9" s="320" t="str">
        <f t="shared" si="28"/>
        <v/>
      </c>
      <c r="EW9" s="158">
        <v>7</v>
      </c>
      <c r="EX9" s="158" t="s">
        <v>48</v>
      </c>
      <c r="EY9" s="158" t="s">
        <v>332</v>
      </c>
      <c r="FC9" s="158" t="s">
        <v>316</v>
      </c>
    </row>
    <row r="10" spans="1:198" x14ac:dyDescent="0.25">
      <c r="B10" s="158">
        <v>4</v>
      </c>
      <c r="C10" s="158" t="s">
        <v>333</v>
      </c>
      <c r="E10" s="158">
        <v>6</v>
      </c>
      <c r="F10" s="158" t="s">
        <v>334</v>
      </c>
      <c r="H10" s="158">
        <v>4</v>
      </c>
      <c r="I10" s="158" t="s">
        <v>335</v>
      </c>
      <c r="K10" s="158">
        <v>5</v>
      </c>
      <c r="L10" s="321">
        <v>0.81</v>
      </c>
      <c r="O10" s="168">
        <v>23</v>
      </c>
      <c r="P10" s="318">
        <v>0</v>
      </c>
      <c r="Q10" s="319">
        <v>0</v>
      </c>
      <c r="R10" s="318">
        <v>0</v>
      </c>
      <c r="S10" s="318">
        <v>0</v>
      </c>
      <c r="T10" s="318">
        <v>0</v>
      </c>
      <c r="U10" s="318">
        <v>0</v>
      </c>
      <c r="V10" s="318">
        <v>0</v>
      </c>
      <c r="W10" s="320" t="str">
        <f t="shared" si="28"/>
        <v/>
      </c>
      <c r="EW10" s="158">
        <v>8</v>
      </c>
      <c r="EX10" s="158" t="s">
        <v>50</v>
      </c>
      <c r="EY10" s="158" t="s">
        <v>336</v>
      </c>
      <c r="FC10" s="158" t="s">
        <v>316</v>
      </c>
    </row>
    <row r="11" spans="1:198" x14ac:dyDescent="0.25">
      <c r="B11" s="158">
        <v>5</v>
      </c>
      <c r="C11" s="158" t="s">
        <v>337</v>
      </c>
      <c r="E11" s="158">
        <v>7</v>
      </c>
      <c r="F11" s="158" t="s">
        <v>338</v>
      </c>
      <c r="H11" s="158">
        <v>5</v>
      </c>
      <c r="I11" s="158" t="s">
        <v>339</v>
      </c>
      <c r="K11" s="158">
        <v>6</v>
      </c>
      <c r="L11" s="321">
        <v>0.8</v>
      </c>
      <c r="O11" s="168">
        <v>22</v>
      </c>
      <c r="P11" s="318">
        <v>0</v>
      </c>
      <c r="Q11" s="319">
        <v>0</v>
      </c>
      <c r="R11" s="318">
        <v>0</v>
      </c>
      <c r="S11" s="318">
        <v>0</v>
      </c>
      <c r="T11" s="318">
        <v>0</v>
      </c>
      <c r="U11" s="318">
        <v>0</v>
      </c>
      <c r="V11" s="318">
        <v>0</v>
      </c>
      <c r="W11" s="320" t="str">
        <f t="shared" si="28"/>
        <v/>
      </c>
      <c r="EW11" s="158">
        <v>9</v>
      </c>
      <c r="EX11" s="158" t="s">
        <v>54</v>
      </c>
      <c r="EY11" s="158" t="s">
        <v>340</v>
      </c>
      <c r="FC11" s="158" t="s">
        <v>316</v>
      </c>
    </row>
    <row r="12" spans="1:198" x14ac:dyDescent="0.25">
      <c r="E12" s="158">
        <v>8</v>
      </c>
      <c r="F12" s="158" t="s">
        <v>341</v>
      </c>
      <c r="H12" s="158">
        <v>6</v>
      </c>
      <c r="I12" s="158" t="s">
        <v>342</v>
      </c>
      <c r="K12" s="158">
        <v>7</v>
      </c>
      <c r="L12" s="321">
        <v>0.79</v>
      </c>
      <c r="O12" s="168">
        <v>21</v>
      </c>
      <c r="P12" s="318">
        <v>0</v>
      </c>
      <c r="Q12" s="319">
        <v>0</v>
      </c>
      <c r="R12" s="318">
        <v>0</v>
      </c>
      <c r="S12" s="318">
        <v>0</v>
      </c>
      <c r="T12" s="318">
        <v>0</v>
      </c>
      <c r="U12" s="318">
        <v>0</v>
      </c>
      <c r="V12" s="318">
        <v>0</v>
      </c>
      <c r="W12" s="320" t="str">
        <f t="shared" si="28"/>
        <v/>
      </c>
      <c r="EW12" s="158">
        <v>10</v>
      </c>
      <c r="EX12" s="158" t="s">
        <v>58</v>
      </c>
      <c r="EY12" s="158" t="s">
        <v>343</v>
      </c>
      <c r="FC12" s="158" t="s">
        <v>316</v>
      </c>
    </row>
    <row r="13" spans="1:198" ht="13.8" thickBot="1" x14ac:dyDescent="0.3">
      <c r="H13" s="158">
        <v>7</v>
      </c>
      <c r="I13" s="158" t="s">
        <v>344</v>
      </c>
      <c r="K13" s="158">
        <v>8</v>
      </c>
      <c r="L13" s="321">
        <v>0.78</v>
      </c>
      <c r="O13" s="168">
        <v>20</v>
      </c>
      <c r="P13" s="318">
        <v>0</v>
      </c>
      <c r="Q13" s="319">
        <v>0</v>
      </c>
      <c r="R13" s="318">
        <v>0</v>
      </c>
      <c r="S13" s="318">
        <v>0</v>
      </c>
      <c r="T13" s="318">
        <v>0</v>
      </c>
      <c r="U13" s="318">
        <v>0</v>
      </c>
      <c r="V13" s="318">
        <v>0</v>
      </c>
      <c r="W13" s="320" t="str">
        <f t="shared" si="28"/>
        <v/>
      </c>
      <c r="EW13" s="158">
        <v>11</v>
      </c>
      <c r="EX13" s="158" t="s">
        <v>62</v>
      </c>
      <c r="EY13" s="158" t="s">
        <v>345</v>
      </c>
      <c r="FC13" s="158" t="s">
        <v>316</v>
      </c>
    </row>
    <row r="14" spans="1:198" x14ac:dyDescent="0.25">
      <c r="B14" s="521"/>
      <c r="C14" s="521"/>
      <c r="H14" s="158">
        <v>8</v>
      </c>
      <c r="I14" s="158" t="s">
        <v>346</v>
      </c>
      <c r="K14" s="158">
        <v>9</v>
      </c>
      <c r="L14" s="321">
        <v>0.77</v>
      </c>
      <c r="O14" s="168">
        <v>19</v>
      </c>
      <c r="P14" s="318">
        <v>0</v>
      </c>
      <c r="Q14" s="319">
        <v>0</v>
      </c>
      <c r="R14" s="318">
        <v>0</v>
      </c>
      <c r="S14" s="318">
        <v>0</v>
      </c>
      <c r="T14" s="318">
        <v>0</v>
      </c>
      <c r="U14" s="318">
        <v>0</v>
      </c>
      <c r="V14" s="318">
        <v>0</v>
      </c>
      <c r="W14" s="320" t="str">
        <f t="shared" si="28"/>
        <v/>
      </c>
      <c r="AB14" s="322" t="s">
        <v>347</v>
      </c>
      <c r="AC14" s="323"/>
      <c r="AD14" s="324"/>
      <c r="AE14" s="324"/>
      <c r="EW14" s="158">
        <v>12</v>
      </c>
      <c r="EX14" s="158" t="s">
        <v>65</v>
      </c>
      <c r="EY14" s="158" t="s">
        <v>66</v>
      </c>
      <c r="FC14" s="158" t="s">
        <v>316</v>
      </c>
    </row>
    <row r="15" spans="1:198" x14ac:dyDescent="0.25">
      <c r="H15" s="158">
        <v>9</v>
      </c>
      <c r="I15" s="158" t="s">
        <v>348</v>
      </c>
      <c r="K15" s="158">
        <v>10</v>
      </c>
      <c r="L15" s="321">
        <v>0.76</v>
      </c>
      <c r="O15" s="168">
        <v>18</v>
      </c>
      <c r="P15" s="318">
        <v>0</v>
      </c>
      <c r="Q15" s="319">
        <v>0</v>
      </c>
      <c r="R15" s="318">
        <v>0</v>
      </c>
      <c r="S15" s="318">
        <v>0</v>
      </c>
      <c r="T15" s="318">
        <v>0</v>
      </c>
      <c r="U15" s="318">
        <v>0</v>
      </c>
      <c r="V15" s="318">
        <v>0</v>
      </c>
      <c r="W15" s="320" t="str">
        <f t="shared" si="28"/>
        <v/>
      </c>
      <c r="AB15" s="325" t="s">
        <v>349</v>
      </c>
      <c r="AC15" s="323"/>
      <c r="AD15" s="324"/>
      <c r="AE15" s="324"/>
      <c r="EW15" s="158">
        <v>13</v>
      </c>
      <c r="EX15" s="158" t="s">
        <v>68</v>
      </c>
      <c r="EY15" s="158" t="s">
        <v>69</v>
      </c>
      <c r="FC15" s="158" t="s">
        <v>316</v>
      </c>
    </row>
    <row r="16" spans="1:198" x14ac:dyDescent="0.25">
      <c r="B16" s="521" t="s">
        <v>350</v>
      </c>
      <c r="C16" s="521"/>
      <c r="E16" s="521" t="s">
        <v>351</v>
      </c>
      <c r="F16" s="521"/>
      <c r="H16" s="158">
        <v>10</v>
      </c>
      <c r="I16" s="158" t="s">
        <v>352</v>
      </c>
      <c r="K16" s="158">
        <v>11</v>
      </c>
      <c r="L16" s="321">
        <v>0.75</v>
      </c>
      <c r="O16" s="168">
        <v>17</v>
      </c>
      <c r="P16" s="318">
        <v>0</v>
      </c>
      <c r="Q16" s="319">
        <v>0</v>
      </c>
      <c r="R16" s="318">
        <v>0</v>
      </c>
      <c r="S16" s="318">
        <v>0</v>
      </c>
      <c r="T16" s="318">
        <v>0</v>
      </c>
      <c r="U16" s="318">
        <v>0</v>
      </c>
      <c r="V16" s="318">
        <v>0</v>
      </c>
      <c r="W16" s="320" t="str">
        <f t="shared" si="28"/>
        <v/>
      </c>
      <c r="AB16" s="325" t="s">
        <v>353</v>
      </c>
      <c r="AC16" s="323"/>
      <c r="AD16" s="324"/>
      <c r="AE16" s="324"/>
      <c r="EW16" s="158">
        <v>14</v>
      </c>
      <c r="EX16" s="158" t="s">
        <v>71</v>
      </c>
      <c r="EY16" s="158" t="s">
        <v>72</v>
      </c>
      <c r="FC16" s="158" t="s">
        <v>312</v>
      </c>
    </row>
    <row r="17" spans="2:159" ht="13.8" thickBot="1" x14ac:dyDescent="0.3">
      <c r="B17" s="158">
        <v>1</v>
      </c>
      <c r="C17" s="158" t="s">
        <v>243</v>
      </c>
      <c r="E17" s="158">
        <v>1</v>
      </c>
      <c r="F17" s="158" t="s">
        <v>354</v>
      </c>
      <c r="K17" s="158">
        <v>12</v>
      </c>
      <c r="L17" s="321">
        <v>0.74</v>
      </c>
      <c r="O17" s="168">
        <v>16</v>
      </c>
      <c r="P17" s="318">
        <v>0</v>
      </c>
      <c r="Q17" s="319">
        <v>0</v>
      </c>
      <c r="R17" s="318">
        <v>0</v>
      </c>
      <c r="S17" s="318">
        <v>0</v>
      </c>
      <c r="T17" s="318">
        <v>0</v>
      </c>
      <c r="U17" s="318">
        <v>0</v>
      </c>
      <c r="V17" s="318">
        <v>0</v>
      </c>
      <c r="W17" s="320" t="str">
        <f t="shared" si="28"/>
        <v/>
      </c>
      <c r="AB17" s="326"/>
      <c r="AC17" s="323"/>
      <c r="AD17" s="324"/>
      <c r="AE17" s="324"/>
      <c r="EW17" s="158">
        <v>15</v>
      </c>
      <c r="EX17" s="158" t="s">
        <v>81</v>
      </c>
      <c r="EY17" s="158" t="s">
        <v>82</v>
      </c>
      <c r="FC17" s="158" t="s">
        <v>312</v>
      </c>
    </row>
    <row r="18" spans="2:159" ht="13.8" thickBot="1" x14ac:dyDescent="0.3">
      <c r="B18" s="158">
        <v>2</v>
      </c>
      <c r="C18" s="158" t="s">
        <v>355</v>
      </c>
      <c r="E18" s="158">
        <v>2</v>
      </c>
      <c r="F18" s="158" t="s">
        <v>356</v>
      </c>
      <c r="K18" s="158">
        <v>13</v>
      </c>
      <c r="L18" s="321">
        <v>0.73</v>
      </c>
      <c r="O18" s="168">
        <v>15</v>
      </c>
      <c r="P18" s="318">
        <v>0</v>
      </c>
      <c r="Q18" s="319">
        <v>0</v>
      </c>
      <c r="R18" s="318">
        <v>0</v>
      </c>
      <c r="S18" s="318">
        <v>0</v>
      </c>
      <c r="T18" s="318">
        <v>0</v>
      </c>
      <c r="U18" s="318">
        <v>0</v>
      </c>
      <c r="V18" s="318">
        <v>0</v>
      </c>
      <c r="W18" s="320" t="str">
        <f t="shared" si="28"/>
        <v/>
      </c>
      <c r="AA18" s="158">
        <v>1</v>
      </c>
      <c r="AB18" s="327">
        <v>1</v>
      </c>
      <c r="AC18" s="328"/>
      <c r="AD18" s="329"/>
      <c r="AE18" s="329"/>
      <c r="AF18" s="330"/>
      <c r="EW18" s="158">
        <v>16</v>
      </c>
      <c r="EX18" s="158" t="s">
        <v>91</v>
      </c>
      <c r="EY18" s="158" t="s">
        <v>92</v>
      </c>
      <c r="FC18" s="158" t="s">
        <v>316</v>
      </c>
    </row>
    <row r="19" spans="2:159" ht="13.8" thickBot="1" x14ac:dyDescent="0.3">
      <c r="B19" s="158">
        <v>3</v>
      </c>
      <c r="C19" s="158" t="s">
        <v>357</v>
      </c>
      <c r="K19" s="158">
        <v>14</v>
      </c>
      <c r="L19" s="321">
        <v>0.72</v>
      </c>
      <c r="O19" s="168">
        <v>14</v>
      </c>
      <c r="P19" s="318">
        <v>0</v>
      </c>
      <c r="Q19" s="319">
        <v>0</v>
      </c>
      <c r="R19" s="318">
        <v>0</v>
      </c>
      <c r="S19" s="318">
        <v>0</v>
      </c>
      <c r="T19" s="318">
        <v>0</v>
      </c>
      <c r="U19" s="318">
        <v>0</v>
      </c>
      <c r="V19" s="318">
        <v>0</v>
      </c>
      <c r="W19" s="320" t="str">
        <f t="shared" si="28"/>
        <v/>
      </c>
      <c r="AA19" s="158">
        <v>2</v>
      </c>
      <c r="AB19" s="327">
        <v>2</v>
      </c>
      <c r="AC19" s="328"/>
      <c r="AD19" s="329"/>
      <c r="AE19" s="329"/>
      <c r="AF19" s="330"/>
      <c r="EW19" s="158">
        <v>17</v>
      </c>
      <c r="EX19" s="158" t="s">
        <v>95</v>
      </c>
      <c r="EY19" s="158" t="s">
        <v>358</v>
      </c>
      <c r="FC19" s="158" t="s">
        <v>316</v>
      </c>
    </row>
    <row r="20" spans="2:159" ht="13.8" thickBot="1" x14ac:dyDescent="0.3">
      <c r="B20" s="158">
        <v>4</v>
      </c>
      <c r="C20" s="158" t="s">
        <v>359</v>
      </c>
      <c r="E20" s="521" t="s">
        <v>350</v>
      </c>
      <c r="F20" s="521"/>
      <c r="H20" s="158" t="s">
        <v>360</v>
      </c>
      <c r="K20" s="158">
        <v>15</v>
      </c>
      <c r="L20" s="321">
        <v>0.71</v>
      </c>
      <c r="O20" s="168">
        <v>13</v>
      </c>
      <c r="P20" s="318">
        <v>0</v>
      </c>
      <c r="Q20" s="319">
        <v>0</v>
      </c>
      <c r="R20" s="318">
        <v>0</v>
      </c>
      <c r="S20" s="318">
        <v>0</v>
      </c>
      <c r="T20" s="318">
        <v>0</v>
      </c>
      <c r="U20" s="318">
        <v>0</v>
      </c>
      <c r="V20" s="318">
        <v>0</v>
      </c>
      <c r="W20" s="320" t="str">
        <f t="shared" si="28"/>
        <v/>
      </c>
      <c r="AA20" s="158">
        <v>3</v>
      </c>
      <c r="AB20" s="327">
        <v>3</v>
      </c>
      <c r="AC20" s="328"/>
      <c r="AD20" s="329"/>
      <c r="AE20" s="329"/>
      <c r="AF20" s="330"/>
      <c r="EW20" s="158">
        <v>18</v>
      </c>
      <c r="EX20" s="158" t="s">
        <v>99</v>
      </c>
      <c r="EY20" s="158" t="s">
        <v>100</v>
      </c>
      <c r="FC20" s="158" t="s">
        <v>316</v>
      </c>
    </row>
    <row r="21" spans="2:159" ht="13.8" thickBot="1" x14ac:dyDescent="0.3">
      <c r="B21" s="158">
        <v>5</v>
      </c>
      <c r="C21" s="158" t="s">
        <v>361</v>
      </c>
      <c r="E21" s="158">
        <v>1</v>
      </c>
      <c r="F21" s="158" t="s">
        <v>243</v>
      </c>
      <c r="H21" s="158">
        <v>1</v>
      </c>
      <c r="I21" s="158" t="s">
        <v>243</v>
      </c>
      <c r="K21" s="158">
        <v>16</v>
      </c>
      <c r="L21" s="321">
        <v>0.7</v>
      </c>
      <c r="O21" s="168">
        <v>12</v>
      </c>
      <c r="P21" s="318">
        <v>0</v>
      </c>
      <c r="Q21" s="319">
        <v>0</v>
      </c>
      <c r="R21" s="318">
        <v>0</v>
      </c>
      <c r="S21" s="318">
        <v>0</v>
      </c>
      <c r="T21" s="318">
        <v>0</v>
      </c>
      <c r="U21" s="318">
        <v>0</v>
      </c>
      <c r="V21" s="318">
        <v>0</v>
      </c>
      <c r="W21" s="320" t="str">
        <f t="shared" si="28"/>
        <v/>
      </c>
      <c r="AA21" s="158">
        <v>4</v>
      </c>
      <c r="AB21" s="327">
        <v>4</v>
      </c>
      <c r="AC21" s="328"/>
      <c r="AD21" s="329"/>
      <c r="AE21" s="329"/>
      <c r="AF21" s="330"/>
      <c r="EW21" s="158">
        <v>19</v>
      </c>
      <c r="EX21" s="158" t="s">
        <v>104</v>
      </c>
      <c r="EY21" s="158" t="s">
        <v>362</v>
      </c>
      <c r="FC21" s="158" t="s">
        <v>316</v>
      </c>
    </row>
    <row r="22" spans="2:159" ht="13.8" thickBot="1" x14ac:dyDescent="0.3">
      <c r="E22" s="158">
        <v>2</v>
      </c>
      <c r="F22" s="158" t="s">
        <v>355</v>
      </c>
      <c r="H22" s="158">
        <v>2</v>
      </c>
      <c r="I22" s="158" t="s">
        <v>363</v>
      </c>
      <c r="K22" s="158">
        <v>17</v>
      </c>
      <c r="L22" s="321">
        <v>0.69</v>
      </c>
      <c r="O22" s="168">
        <v>11</v>
      </c>
      <c r="P22" s="318">
        <v>0</v>
      </c>
      <c r="Q22" s="319">
        <v>0</v>
      </c>
      <c r="R22" s="318">
        <v>0</v>
      </c>
      <c r="S22" s="318">
        <v>0</v>
      </c>
      <c r="T22" s="318">
        <v>0</v>
      </c>
      <c r="U22" s="318">
        <v>0</v>
      </c>
      <c r="V22" s="318">
        <v>0</v>
      </c>
      <c r="W22" s="320" t="str">
        <f t="shared" si="28"/>
        <v/>
      </c>
      <c r="AA22" s="158">
        <v>5</v>
      </c>
      <c r="AB22" s="327">
        <v>5</v>
      </c>
      <c r="AC22" s="328"/>
      <c r="AD22" s="329"/>
      <c r="AE22" s="329"/>
      <c r="AF22" s="330"/>
      <c r="EW22" s="158">
        <v>20</v>
      </c>
      <c r="EX22" s="158" t="s">
        <v>106</v>
      </c>
      <c r="EY22" s="158" t="s">
        <v>364</v>
      </c>
      <c r="FC22" s="158" t="s">
        <v>316</v>
      </c>
    </row>
    <row r="23" spans="2:159" ht="13.8" thickBot="1" x14ac:dyDescent="0.3">
      <c r="E23" s="158">
        <v>3</v>
      </c>
      <c r="F23" s="158" t="s">
        <v>357</v>
      </c>
      <c r="K23" s="158">
        <v>18</v>
      </c>
      <c r="L23" s="321">
        <v>0.68</v>
      </c>
      <c r="O23" s="168">
        <v>10</v>
      </c>
      <c r="P23" s="318">
        <v>0</v>
      </c>
      <c r="Q23" s="319">
        <v>0</v>
      </c>
      <c r="R23" s="318">
        <v>0</v>
      </c>
      <c r="S23" s="318">
        <v>0</v>
      </c>
      <c r="T23" s="318">
        <v>0</v>
      </c>
      <c r="U23" s="318">
        <v>0</v>
      </c>
      <c r="V23" s="318">
        <v>0</v>
      </c>
      <c r="W23" s="320" t="str">
        <f t="shared" si="28"/>
        <v/>
      </c>
      <c r="AA23" s="158">
        <v>6</v>
      </c>
      <c r="AB23" s="327">
        <v>6</v>
      </c>
      <c r="AC23" s="328"/>
      <c r="AD23" s="329"/>
      <c r="AE23" s="329"/>
      <c r="AF23" s="330"/>
    </row>
    <row r="24" spans="2:159" ht="13.8" thickBot="1" x14ac:dyDescent="0.3">
      <c r="B24" s="521" t="s">
        <v>365</v>
      </c>
      <c r="C24" s="521"/>
      <c r="D24" s="521"/>
      <c r="E24" s="158" t="s">
        <v>366</v>
      </c>
      <c r="G24" s="158" t="s">
        <v>367</v>
      </c>
      <c r="H24" s="158" t="s">
        <v>368</v>
      </c>
      <c r="K24" s="158">
        <v>19</v>
      </c>
      <c r="L24" s="321">
        <v>0.67</v>
      </c>
      <c r="O24" s="168">
        <v>9</v>
      </c>
      <c r="P24" s="318">
        <v>0</v>
      </c>
      <c r="Q24" s="319">
        <v>0</v>
      </c>
      <c r="R24" s="318">
        <v>0</v>
      </c>
      <c r="S24" s="318">
        <v>0</v>
      </c>
      <c r="T24" s="318">
        <v>0</v>
      </c>
      <c r="U24" s="318">
        <v>0</v>
      </c>
      <c r="V24" s="318">
        <v>0</v>
      </c>
      <c r="W24" s="320" t="str">
        <f t="shared" si="28"/>
        <v/>
      </c>
      <c r="AA24" s="158">
        <v>7</v>
      </c>
      <c r="AB24" s="327">
        <v>7</v>
      </c>
      <c r="AC24" s="328"/>
      <c r="AD24" s="329"/>
      <c r="AE24" s="329"/>
      <c r="AF24" s="330"/>
    </row>
    <row r="25" spans="2:159" ht="13.8" thickBot="1" x14ac:dyDescent="0.3">
      <c r="B25" s="158">
        <v>1</v>
      </c>
      <c r="C25" s="522" t="s">
        <v>369</v>
      </c>
      <c r="D25" s="522"/>
      <c r="E25" s="321">
        <v>0.7</v>
      </c>
      <c r="G25" s="158">
        <v>90</v>
      </c>
      <c r="H25" s="158">
        <v>100</v>
      </c>
      <c r="K25" s="158">
        <v>20</v>
      </c>
      <c r="L25" s="321">
        <v>0.66</v>
      </c>
      <c r="O25" s="168">
        <v>8</v>
      </c>
      <c r="P25" s="318">
        <v>0</v>
      </c>
      <c r="Q25" s="319">
        <v>0</v>
      </c>
      <c r="R25" s="318">
        <v>0</v>
      </c>
      <c r="S25" s="318">
        <v>0</v>
      </c>
      <c r="T25" s="318">
        <v>0</v>
      </c>
      <c r="U25" s="318">
        <v>0</v>
      </c>
      <c r="V25" s="318">
        <v>0</v>
      </c>
      <c r="W25" s="320" t="str">
        <f t="shared" si="28"/>
        <v/>
      </c>
      <c r="AA25" s="158">
        <v>8</v>
      </c>
      <c r="AB25" s="327">
        <v>8</v>
      </c>
      <c r="AC25" s="328"/>
      <c r="AD25" s="329"/>
      <c r="AE25" s="329"/>
      <c r="AF25" s="330"/>
    </row>
    <row r="26" spans="2:159" ht="13.8" thickBot="1" x14ac:dyDescent="0.3">
      <c r="B26" s="158">
        <v>2</v>
      </c>
      <c r="C26" s="522" t="s">
        <v>370</v>
      </c>
      <c r="D26" s="522"/>
      <c r="E26" s="321">
        <v>0.8</v>
      </c>
      <c r="G26" s="158">
        <v>90</v>
      </c>
      <c r="H26" s="158">
        <v>100</v>
      </c>
      <c r="K26" s="158">
        <v>21</v>
      </c>
      <c r="L26" s="321">
        <v>0.65</v>
      </c>
      <c r="O26" s="168">
        <v>7</v>
      </c>
      <c r="P26" s="318">
        <v>0</v>
      </c>
      <c r="Q26" s="319">
        <v>0</v>
      </c>
      <c r="R26" s="318">
        <v>0</v>
      </c>
      <c r="S26" s="318">
        <v>0</v>
      </c>
      <c r="T26" s="318">
        <v>0</v>
      </c>
      <c r="U26" s="318">
        <v>0</v>
      </c>
      <c r="V26" s="318">
        <v>0</v>
      </c>
      <c r="W26" s="320" t="str">
        <f t="shared" si="28"/>
        <v/>
      </c>
      <c r="AA26" s="158">
        <v>9</v>
      </c>
      <c r="AB26" s="327" t="s">
        <v>371</v>
      </c>
      <c r="AC26" s="330"/>
      <c r="AD26" s="329"/>
      <c r="AE26" s="329"/>
      <c r="AF26" s="330"/>
    </row>
    <row r="27" spans="2:159" x14ac:dyDescent="0.25">
      <c r="B27" s="158">
        <v>3</v>
      </c>
      <c r="C27" s="522" t="s">
        <v>372</v>
      </c>
      <c r="D27" s="522"/>
      <c r="E27" s="321">
        <v>0.85</v>
      </c>
      <c r="G27" s="158">
        <v>90</v>
      </c>
      <c r="H27" s="158">
        <v>100</v>
      </c>
      <c r="L27" s="158" t="s">
        <v>373</v>
      </c>
      <c r="O27" s="168">
        <v>6</v>
      </c>
      <c r="P27" s="318">
        <v>0</v>
      </c>
      <c r="Q27" s="319">
        <v>0</v>
      </c>
      <c r="R27" s="318">
        <v>0</v>
      </c>
      <c r="S27" s="318">
        <v>0</v>
      </c>
      <c r="T27" s="318">
        <v>0</v>
      </c>
      <c r="U27" s="318">
        <v>0</v>
      </c>
      <c r="V27" s="318">
        <v>0</v>
      </c>
      <c r="W27" s="320" t="str">
        <f t="shared" si="28"/>
        <v/>
      </c>
    </row>
    <row r="28" spans="2:159" x14ac:dyDescent="0.25">
      <c r="K28" s="158">
        <v>1</v>
      </c>
      <c r="L28" s="158" t="s">
        <v>374</v>
      </c>
      <c r="O28" s="168">
        <v>5</v>
      </c>
      <c r="P28" s="318">
        <v>0</v>
      </c>
      <c r="Q28" s="319">
        <v>0</v>
      </c>
      <c r="R28" s="318">
        <v>0</v>
      </c>
      <c r="S28" s="318">
        <v>0</v>
      </c>
      <c r="T28" s="318">
        <v>0</v>
      </c>
      <c r="U28" s="318">
        <v>0</v>
      </c>
      <c r="V28" s="318">
        <v>0</v>
      </c>
      <c r="W28" s="320" t="str">
        <f t="shared" si="28"/>
        <v/>
      </c>
    </row>
    <row r="29" spans="2:159" x14ac:dyDescent="0.25">
      <c r="B29" s="522"/>
      <c r="C29" s="522"/>
      <c r="D29" s="173"/>
      <c r="K29" s="158">
        <v>2</v>
      </c>
      <c r="L29" s="158" t="s">
        <v>375</v>
      </c>
      <c r="O29" s="168">
        <v>4</v>
      </c>
      <c r="P29" s="318">
        <v>0</v>
      </c>
      <c r="Q29" s="319">
        <v>0</v>
      </c>
      <c r="R29" s="318">
        <v>0</v>
      </c>
      <c r="S29" s="318">
        <v>0</v>
      </c>
      <c r="T29" s="318">
        <v>0</v>
      </c>
      <c r="U29" s="318">
        <v>0</v>
      </c>
      <c r="V29" s="318">
        <v>0</v>
      </c>
      <c r="W29" s="320" t="str">
        <f t="shared" si="28"/>
        <v/>
      </c>
    </row>
    <row r="30" spans="2:159" x14ac:dyDescent="0.25">
      <c r="B30" s="168"/>
      <c r="C30" s="168"/>
      <c r="D30" s="173"/>
      <c r="E30" s="158" t="s">
        <v>376</v>
      </c>
      <c r="H30" s="158">
        <v>1</v>
      </c>
      <c r="I30" s="158" t="s">
        <v>377</v>
      </c>
      <c r="O30" s="168">
        <v>3</v>
      </c>
      <c r="P30" s="318">
        <v>0</v>
      </c>
      <c r="Q30" s="319">
        <v>0</v>
      </c>
      <c r="R30" s="318">
        <v>0</v>
      </c>
      <c r="S30" s="318">
        <v>0</v>
      </c>
      <c r="T30" s="318">
        <v>0</v>
      </c>
      <c r="U30" s="318">
        <v>0</v>
      </c>
      <c r="V30" s="318">
        <v>0</v>
      </c>
      <c r="W30" s="320" t="str">
        <f t="shared" si="28"/>
        <v/>
      </c>
    </row>
    <row r="31" spans="2:159" x14ac:dyDescent="0.25">
      <c r="B31" s="168"/>
      <c r="C31" s="168"/>
      <c r="D31" s="173"/>
      <c r="E31" s="158" t="s">
        <v>378</v>
      </c>
      <c r="H31" s="158">
        <v>2</v>
      </c>
      <c r="I31" s="158" t="s">
        <v>379</v>
      </c>
      <c r="K31" s="158">
        <v>1</v>
      </c>
      <c r="L31" s="158" t="s">
        <v>380</v>
      </c>
      <c r="O31" s="168">
        <v>2</v>
      </c>
      <c r="P31" s="318">
        <v>14.23</v>
      </c>
      <c r="Q31" s="319">
        <v>0.20329999999999998</v>
      </c>
      <c r="R31" s="318">
        <v>3.3333333333333335</v>
      </c>
      <c r="S31" s="318">
        <v>6</v>
      </c>
      <c r="T31" s="318">
        <v>0</v>
      </c>
      <c r="U31" s="318">
        <v>1</v>
      </c>
      <c r="V31" s="318">
        <v>10</v>
      </c>
      <c r="W31" s="320" t="str">
        <f t="shared" si="28"/>
        <v/>
      </c>
    </row>
    <row r="32" spans="2:159" x14ac:dyDescent="0.25">
      <c r="B32" s="168"/>
      <c r="C32" s="168"/>
      <c r="E32" s="158" t="s">
        <v>381</v>
      </c>
      <c r="H32" s="158">
        <v>3</v>
      </c>
      <c r="I32" s="158" t="s">
        <v>382</v>
      </c>
      <c r="K32" s="158">
        <v>2</v>
      </c>
      <c r="L32" s="158" t="s">
        <v>383</v>
      </c>
      <c r="O32" s="168">
        <v>1</v>
      </c>
      <c r="P32" s="318">
        <v>5.89</v>
      </c>
      <c r="Q32" s="319">
        <v>8.4199999999999997E-2</v>
      </c>
      <c r="R32" s="318">
        <v>1.6666666666666667</v>
      </c>
      <c r="S32" s="318">
        <v>6</v>
      </c>
      <c r="T32" s="318">
        <v>0.75</v>
      </c>
      <c r="U32" s="318">
        <v>0</v>
      </c>
      <c r="V32" s="318">
        <v>0</v>
      </c>
      <c r="W32" s="320" t="str">
        <f t="shared" si="28"/>
        <v/>
      </c>
    </row>
    <row r="33" spans="2:15" x14ac:dyDescent="0.25">
      <c r="B33" s="168"/>
      <c r="C33" s="168"/>
      <c r="H33" s="158">
        <v>4</v>
      </c>
      <c r="I33" s="158" t="s">
        <v>384</v>
      </c>
      <c r="K33" s="158">
        <v>3</v>
      </c>
      <c r="L33" s="158" t="s">
        <v>385</v>
      </c>
    </row>
    <row r="34" spans="2:15" x14ac:dyDescent="0.25">
      <c r="B34" s="168"/>
      <c r="C34" s="168"/>
      <c r="H34" s="158">
        <v>5</v>
      </c>
      <c r="I34" s="158" t="s">
        <v>386</v>
      </c>
    </row>
    <row r="35" spans="2:15" x14ac:dyDescent="0.25">
      <c r="B35" s="168"/>
      <c r="C35" s="168"/>
    </row>
    <row r="36" spans="2:15" x14ac:dyDescent="0.25">
      <c r="B36" s="168"/>
      <c r="C36" s="168"/>
    </row>
    <row r="38" spans="2:15" x14ac:dyDescent="0.25">
      <c r="B38" s="158" t="s">
        <v>387</v>
      </c>
      <c r="D38" s="158" t="s">
        <v>388</v>
      </c>
      <c r="E38" s="158" t="s">
        <v>389</v>
      </c>
    </row>
    <row r="39" spans="2:15" x14ac:dyDescent="0.25">
      <c r="B39" s="158">
        <v>1</v>
      </c>
      <c r="C39" s="158" t="s">
        <v>390</v>
      </c>
      <c r="D39" s="168">
        <v>80</v>
      </c>
      <c r="E39" s="168">
        <v>20</v>
      </c>
      <c r="I39" s="158">
        <v>1</v>
      </c>
      <c r="J39" s="331" t="s">
        <v>10</v>
      </c>
    </row>
    <row r="40" spans="2:15" x14ac:dyDescent="0.25">
      <c r="B40" s="158">
        <v>2</v>
      </c>
      <c r="C40" s="158" t="s">
        <v>391</v>
      </c>
      <c r="D40" s="168">
        <v>90</v>
      </c>
      <c r="E40" s="168">
        <v>10</v>
      </c>
      <c r="I40" s="158">
        <v>2</v>
      </c>
      <c r="J40" s="331" t="s">
        <v>15</v>
      </c>
    </row>
    <row r="41" spans="2:15" x14ac:dyDescent="0.25">
      <c r="B41" s="158">
        <v>1</v>
      </c>
      <c r="C41" s="158" t="s">
        <v>11</v>
      </c>
      <c r="D41" s="158" t="s">
        <v>12</v>
      </c>
      <c r="E41" s="158" t="s">
        <v>13</v>
      </c>
      <c r="F41" s="158" t="s">
        <v>14</v>
      </c>
      <c r="G41" s="158">
        <v>1</v>
      </c>
      <c r="I41" s="158">
        <v>3</v>
      </c>
      <c r="J41" s="331" t="s">
        <v>21</v>
      </c>
      <c r="N41" s="158">
        <v>1</v>
      </c>
      <c r="O41" s="332" t="s">
        <v>392</v>
      </c>
    </row>
    <row r="42" spans="2:15" x14ac:dyDescent="0.25">
      <c r="B42" s="158">
        <v>2</v>
      </c>
      <c r="C42" s="158" t="s">
        <v>16</v>
      </c>
      <c r="D42" s="158" t="s">
        <v>12</v>
      </c>
      <c r="E42" s="158" t="s">
        <v>13</v>
      </c>
      <c r="F42" s="158" t="s">
        <v>14</v>
      </c>
      <c r="G42" s="158">
        <v>0</v>
      </c>
      <c r="I42" s="158">
        <v>4</v>
      </c>
      <c r="J42" s="331" t="s">
        <v>25</v>
      </c>
      <c r="N42" s="158">
        <v>2</v>
      </c>
      <c r="O42" s="332" t="s">
        <v>393</v>
      </c>
    </row>
    <row r="43" spans="2:15" x14ac:dyDescent="0.25">
      <c r="B43" s="158">
        <v>3</v>
      </c>
      <c r="C43" s="158" t="s">
        <v>22</v>
      </c>
      <c r="D43" s="158" t="s">
        <v>23</v>
      </c>
      <c r="E43" s="158" t="s">
        <v>13</v>
      </c>
      <c r="F43" s="158" t="s">
        <v>22</v>
      </c>
      <c r="G43" s="158">
        <v>0</v>
      </c>
      <c r="I43" s="158">
        <v>5</v>
      </c>
      <c r="J43" s="331" t="s">
        <v>31</v>
      </c>
      <c r="N43" s="158">
        <v>3</v>
      </c>
      <c r="O43" s="332" t="s">
        <v>394</v>
      </c>
    </row>
    <row r="44" spans="2:15" x14ac:dyDescent="0.25">
      <c r="B44" s="158">
        <v>4</v>
      </c>
      <c r="C44" s="158" t="s">
        <v>26</v>
      </c>
      <c r="D44" s="158" t="s">
        <v>27</v>
      </c>
      <c r="E44" s="158" t="s">
        <v>28</v>
      </c>
      <c r="F44" s="158" t="s">
        <v>29</v>
      </c>
      <c r="G44" s="158">
        <v>0</v>
      </c>
      <c r="I44" s="158">
        <v>6</v>
      </c>
      <c r="J44" s="331" t="s">
        <v>33</v>
      </c>
      <c r="N44" s="158">
        <v>4</v>
      </c>
      <c r="O44" s="332" t="s">
        <v>395</v>
      </c>
    </row>
    <row r="45" spans="2:15" x14ac:dyDescent="0.25">
      <c r="B45" s="158">
        <v>5</v>
      </c>
      <c r="C45" s="158" t="s">
        <v>32</v>
      </c>
      <c r="D45" s="158" t="s">
        <v>27</v>
      </c>
      <c r="E45" s="158" t="s">
        <v>28</v>
      </c>
      <c r="F45" s="158" t="s">
        <v>29</v>
      </c>
      <c r="G45" s="158">
        <v>0</v>
      </c>
      <c r="I45" s="158">
        <v>7</v>
      </c>
      <c r="J45" s="331" t="s">
        <v>38</v>
      </c>
      <c r="N45" s="158">
        <v>5</v>
      </c>
      <c r="O45" s="332" t="s">
        <v>396</v>
      </c>
    </row>
    <row r="46" spans="2:15" x14ac:dyDescent="0.25">
      <c r="B46" s="158">
        <v>6</v>
      </c>
      <c r="C46" s="158" t="s">
        <v>34</v>
      </c>
      <c r="D46" s="158" t="s">
        <v>35</v>
      </c>
      <c r="E46" s="158" t="s">
        <v>28</v>
      </c>
      <c r="F46" s="158" t="s">
        <v>34</v>
      </c>
      <c r="G46" s="158">
        <v>0</v>
      </c>
      <c r="I46" s="158">
        <v>8</v>
      </c>
      <c r="J46" s="331" t="s">
        <v>44</v>
      </c>
      <c r="N46" s="158">
        <v>6</v>
      </c>
      <c r="O46" s="332" t="s">
        <v>397</v>
      </c>
    </row>
    <row r="47" spans="2:15" x14ac:dyDescent="0.25">
      <c r="B47" s="158">
        <v>7</v>
      </c>
      <c r="C47" s="158" t="s">
        <v>39</v>
      </c>
      <c r="D47" s="158" t="s">
        <v>40</v>
      </c>
      <c r="E47" s="158" t="s">
        <v>28</v>
      </c>
      <c r="F47" s="158" t="s">
        <v>41</v>
      </c>
      <c r="G47" s="158">
        <v>0</v>
      </c>
      <c r="I47" s="158">
        <v>9</v>
      </c>
      <c r="J47" s="331" t="s">
        <v>47</v>
      </c>
      <c r="N47" s="158">
        <v>7</v>
      </c>
      <c r="O47" s="332" t="s">
        <v>398</v>
      </c>
    </row>
    <row r="48" spans="2:15" x14ac:dyDescent="0.25">
      <c r="B48" s="158">
        <v>8</v>
      </c>
      <c r="C48" s="158" t="s">
        <v>45</v>
      </c>
      <c r="D48" s="158" t="s">
        <v>40</v>
      </c>
      <c r="E48" s="158" t="s">
        <v>28</v>
      </c>
      <c r="F48" s="158" t="s">
        <v>41</v>
      </c>
      <c r="G48" s="158">
        <v>0</v>
      </c>
      <c r="I48" s="158">
        <v>10</v>
      </c>
      <c r="J48" s="331" t="s">
        <v>49</v>
      </c>
      <c r="N48" s="158">
        <v>8</v>
      </c>
      <c r="O48" s="332" t="s">
        <v>399</v>
      </c>
    </row>
    <row r="49" spans="2:16" x14ac:dyDescent="0.25">
      <c r="B49" s="158">
        <v>9</v>
      </c>
      <c r="C49" s="158" t="s">
        <v>48</v>
      </c>
      <c r="D49" s="158" t="s">
        <v>40</v>
      </c>
      <c r="E49" s="158" t="s">
        <v>28</v>
      </c>
      <c r="F49" s="158" t="s">
        <v>41</v>
      </c>
      <c r="G49" s="158">
        <v>0</v>
      </c>
      <c r="I49" s="158">
        <v>11</v>
      </c>
      <c r="J49" s="331" t="s">
        <v>53</v>
      </c>
      <c r="N49" s="158">
        <v>9</v>
      </c>
      <c r="O49" s="158" t="s">
        <v>386</v>
      </c>
    </row>
    <row r="50" spans="2:16" x14ac:dyDescent="0.25">
      <c r="B50" s="158">
        <v>10</v>
      </c>
      <c r="C50" s="158" t="s">
        <v>50</v>
      </c>
      <c r="D50" s="158" t="s">
        <v>51</v>
      </c>
      <c r="E50" s="158" t="s">
        <v>28</v>
      </c>
      <c r="F50" s="158" t="s">
        <v>52</v>
      </c>
      <c r="G50" s="158">
        <v>0</v>
      </c>
      <c r="I50" s="158">
        <v>12</v>
      </c>
      <c r="J50" s="331" t="s">
        <v>57</v>
      </c>
      <c r="N50" s="158">
        <v>10</v>
      </c>
      <c r="O50" s="158" t="s">
        <v>377</v>
      </c>
    </row>
    <row r="51" spans="2:16" x14ac:dyDescent="0.25">
      <c r="B51" s="158">
        <v>11</v>
      </c>
      <c r="C51" s="158" t="s">
        <v>54</v>
      </c>
      <c r="D51" s="158" t="s">
        <v>55</v>
      </c>
      <c r="E51" s="158" t="s">
        <v>28</v>
      </c>
      <c r="F51" s="158" t="s">
        <v>52</v>
      </c>
      <c r="G51" s="158">
        <v>0</v>
      </c>
      <c r="I51" s="158">
        <v>13</v>
      </c>
      <c r="J51" s="331" t="s">
        <v>61</v>
      </c>
    </row>
    <row r="52" spans="2:16" x14ac:dyDescent="0.25">
      <c r="B52" s="158">
        <v>12</v>
      </c>
      <c r="C52" s="158" t="s">
        <v>58</v>
      </c>
      <c r="D52" s="158" t="s">
        <v>59</v>
      </c>
      <c r="E52" s="158" t="s">
        <v>28</v>
      </c>
      <c r="F52" s="158" t="s">
        <v>52</v>
      </c>
      <c r="G52" s="158">
        <v>0</v>
      </c>
      <c r="I52" s="158">
        <v>14</v>
      </c>
      <c r="J52" s="331" t="s">
        <v>64</v>
      </c>
    </row>
    <row r="53" spans="2:16" x14ac:dyDescent="0.25">
      <c r="B53" s="158">
        <v>13</v>
      </c>
      <c r="C53" s="158" t="s">
        <v>62</v>
      </c>
      <c r="D53" s="158" t="s">
        <v>63</v>
      </c>
      <c r="E53" s="158" t="s">
        <v>28</v>
      </c>
      <c r="F53" s="158" t="s">
        <v>52</v>
      </c>
      <c r="G53" s="158">
        <v>0</v>
      </c>
      <c r="I53" s="158">
        <v>15</v>
      </c>
      <c r="J53" s="331" t="s">
        <v>67</v>
      </c>
    </row>
    <row r="54" spans="2:16" x14ac:dyDescent="0.25">
      <c r="B54" s="158">
        <v>14</v>
      </c>
      <c r="C54" s="158" t="s">
        <v>65</v>
      </c>
      <c r="D54" s="158" t="s">
        <v>66</v>
      </c>
      <c r="E54" s="158" t="s">
        <v>28</v>
      </c>
      <c r="F54" s="158" t="s">
        <v>52</v>
      </c>
      <c r="G54" s="158">
        <v>0</v>
      </c>
      <c r="I54" s="158">
        <v>16</v>
      </c>
      <c r="J54" s="331" t="s">
        <v>70</v>
      </c>
    </row>
    <row r="55" spans="2:16" x14ac:dyDescent="0.25">
      <c r="B55" s="158">
        <v>15</v>
      </c>
      <c r="C55" s="158" t="s">
        <v>68</v>
      </c>
      <c r="D55" s="158" t="s">
        <v>69</v>
      </c>
      <c r="E55" s="158" t="s">
        <v>28</v>
      </c>
      <c r="F55" s="158" t="s">
        <v>68</v>
      </c>
      <c r="G55" s="158">
        <v>0</v>
      </c>
      <c r="I55" s="158">
        <v>17</v>
      </c>
      <c r="J55" s="331" t="s">
        <v>75</v>
      </c>
      <c r="N55" s="158" t="s">
        <v>4</v>
      </c>
      <c r="O55" s="158" t="s">
        <v>5</v>
      </c>
    </row>
    <row r="56" spans="2:16" x14ac:dyDescent="0.25">
      <c r="B56" s="158">
        <v>16</v>
      </c>
      <c r="C56" s="158" t="s">
        <v>71</v>
      </c>
      <c r="D56" s="158" t="s">
        <v>72</v>
      </c>
      <c r="E56" s="158" t="s">
        <v>13</v>
      </c>
      <c r="F56" s="158" t="s">
        <v>73</v>
      </c>
      <c r="G56" s="158">
        <v>0</v>
      </c>
      <c r="I56" s="158">
        <v>18</v>
      </c>
      <c r="J56" s="331" t="s">
        <v>77</v>
      </c>
    </row>
    <row r="57" spans="2:16" x14ac:dyDescent="0.25">
      <c r="B57" s="158">
        <v>17</v>
      </c>
      <c r="C57" s="158" t="s">
        <v>76</v>
      </c>
      <c r="D57" s="158" t="s">
        <v>72</v>
      </c>
      <c r="E57" s="158" t="s">
        <v>13</v>
      </c>
      <c r="F57" s="158" t="s">
        <v>73</v>
      </c>
      <c r="G57" s="158">
        <v>0</v>
      </c>
      <c r="I57" s="158">
        <v>19</v>
      </c>
      <c r="J57" s="331" t="s">
        <v>80</v>
      </c>
      <c r="N57" s="158">
        <v>3</v>
      </c>
      <c r="O57" s="158">
        <v>1</v>
      </c>
      <c r="P57" s="158">
        <f>IF('TEND 1X'!$C$33=3,IF('TEND 1X'!$F$3333=1,1,0),0)</f>
        <v>0</v>
      </c>
    </row>
    <row r="58" spans="2:16" x14ac:dyDescent="0.25">
      <c r="B58" s="158">
        <v>18</v>
      </c>
      <c r="C58" s="158" t="s">
        <v>78</v>
      </c>
      <c r="D58" s="158" t="s">
        <v>79</v>
      </c>
      <c r="E58" s="158" t="s">
        <v>13</v>
      </c>
      <c r="F58" s="158" t="s">
        <v>78</v>
      </c>
      <c r="G58" s="158">
        <v>0</v>
      </c>
      <c r="I58" s="158">
        <v>20</v>
      </c>
      <c r="J58" s="331" t="s">
        <v>84</v>
      </c>
      <c r="N58" s="158">
        <v>3</v>
      </c>
      <c r="O58" s="158">
        <v>2</v>
      </c>
      <c r="P58" s="158">
        <f>IF('TEND 1X'!$C$33=3,IF('TEND 1X'!$F$3333=2,1,0),0)</f>
        <v>0</v>
      </c>
    </row>
    <row r="59" spans="2:16" x14ac:dyDescent="0.25">
      <c r="B59" s="158">
        <v>19</v>
      </c>
      <c r="C59" s="158" t="s">
        <v>81</v>
      </c>
      <c r="D59" s="158" t="s">
        <v>82</v>
      </c>
      <c r="E59" s="158" t="s">
        <v>13</v>
      </c>
      <c r="F59" s="158" t="s">
        <v>83</v>
      </c>
      <c r="G59" s="158">
        <v>0</v>
      </c>
      <c r="I59" s="158">
        <v>21</v>
      </c>
      <c r="J59" s="331" t="s">
        <v>87</v>
      </c>
      <c r="N59" s="158">
        <v>3</v>
      </c>
      <c r="O59" s="158">
        <v>3</v>
      </c>
      <c r="P59" s="158">
        <f>IF('TEND 1X'!$C$33=3,IF('TEND 1X'!$F$3333=3,1,0),0)</f>
        <v>0</v>
      </c>
    </row>
    <row r="60" spans="2:16" x14ac:dyDescent="0.25">
      <c r="B60" s="158">
        <v>20</v>
      </c>
      <c r="C60" s="158" t="s">
        <v>85</v>
      </c>
      <c r="D60" s="158" t="s">
        <v>82</v>
      </c>
      <c r="E60" s="158" t="s">
        <v>13</v>
      </c>
      <c r="F60" s="158" t="s">
        <v>83</v>
      </c>
      <c r="G60" s="158">
        <v>0</v>
      </c>
      <c r="I60" s="158">
        <v>22</v>
      </c>
      <c r="J60" s="331" t="s">
        <v>90</v>
      </c>
    </row>
    <row r="61" spans="2:16" x14ac:dyDescent="0.25">
      <c r="B61" s="158">
        <v>21</v>
      </c>
      <c r="C61" s="158" t="s">
        <v>88</v>
      </c>
      <c r="D61" s="158" t="s">
        <v>89</v>
      </c>
      <c r="E61" s="158" t="s">
        <v>13</v>
      </c>
      <c r="F61" s="158" t="s">
        <v>88</v>
      </c>
      <c r="G61" s="158">
        <v>0</v>
      </c>
      <c r="I61" s="158">
        <v>23</v>
      </c>
      <c r="J61" s="331" t="s">
        <v>94</v>
      </c>
    </row>
    <row r="62" spans="2:16" x14ac:dyDescent="0.25">
      <c r="B62" s="158">
        <v>22</v>
      </c>
      <c r="C62" s="158" t="s">
        <v>91</v>
      </c>
      <c r="D62" s="158" t="s">
        <v>92</v>
      </c>
      <c r="E62" s="158" t="s">
        <v>28</v>
      </c>
      <c r="F62" s="158" t="s">
        <v>93</v>
      </c>
      <c r="G62" s="158">
        <v>0</v>
      </c>
      <c r="I62" s="158">
        <v>24</v>
      </c>
      <c r="J62" s="331" t="s">
        <v>96</v>
      </c>
    </row>
    <row r="63" spans="2:16" x14ac:dyDescent="0.25">
      <c r="B63" s="158">
        <v>23</v>
      </c>
      <c r="C63" s="158" t="s">
        <v>95</v>
      </c>
      <c r="D63" s="158" t="s">
        <v>92</v>
      </c>
      <c r="E63" s="158" t="s">
        <v>28</v>
      </c>
      <c r="F63" s="158" t="s">
        <v>93</v>
      </c>
      <c r="G63" s="158">
        <v>0</v>
      </c>
      <c r="I63" s="158">
        <v>25</v>
      </c>
      <c r="J63" s="331" t="s">
        <v>98</v>
      </c>
    </row>
    <row r="64" spans="2:16" x14ac:dyDescent="0.25">
      <c r="B64" s="158">
        <v>24</v>
      </c>
      <c r="C64" s="158" t="s">
        <v>97</v>
      </c>
      <c r="D64" s="158" t="s">
        <v>92</v>
      </c>
      <c r="E64" s="158" t="s">
        <v>28</v>
      </c>
      <c r="F64" s="158" t="s">
        <v>93</v>
      </c>
      <c r="G64" s="158">
        <v>0</v>
      </c>
      <c r="I64" s="158">
        <v>26</v>
      </c>
      <c r="J64" s="331" t="s">
        <v>103</v>
      </c>
    </row>
    <row r="65" spans="2:17" x14ac:dyDescent="0.25">
      <c r="B65" s="158">
        <v>25</v>
      </c>
      <c r="C65" s="158" t="s">
        <v>99</v>
      </c>
      <c r="D65" s="158" t="s">
        <v>100</v>
      </c>
      <c r="E65" s="158" t="s">
        <v>28</v>
      </c>
      <c r="F65" s="158" t="s">
        <v>101</v>
      </c>
      <c r="G65" s="158">
        <v>0</v>
      </c>
      <c r="I65" s="158">
        <v>27</v>
      </c>
      <c r="J65" s="331" t="s">
        <v>105</v>
      </c>
      <c r="N65" s="173" t="s">
        <v>400</v>
      </c>
      <c r="O65" s="165"/>
    </row>
    <row r="66" spans="2:17" ht="13.8" thickBot="1" x14ac:dyDescent="0.3">
      <c r="B66" s="158">
        <v>26</v>
      </c>
      <c r="C66" s="158" t="s">
        <v>104</v>
      </c>
      <c r="D66" s="158" t="s">
        <v>100</v>
      </c>
      <c r="E66" s="158" t="s">
        <v>28</v>
      </c>
      <c r="F66" s="158" t="s">
        <v>101</v>
      </c>
      <c r="G66" s="158">
        <v>0</v>
      </c>
      <c r="I66" s="158">
        <v>28</v>
      </c>
      <c r="J66" s="331" t="s">
        <v>108</v>
      </c>
      <c r="N66" s="173" t="s">
        <v>245</v>
      </c>
      <c r="O66" s="173" t="s">
        <v>401</v>
      </c>
      <c r="Q66" s="158" t="s">
        <v>402</v>
      </c>
    </row>
    <row r="67" spans="2:17" ht="15" thickBot="1" x14ac:dyDescent="0.35">
      <c r="B67" s="158">
        <v>27</v>
      </c>
      <c r="C67" s="158" t="s">
        <v>106</v>
      </c>
      <c r="D67" s="158" t="s">
        <v>107</v>
      </c>
      <c r="E67" s="158" t="s">
        <v>28</v>
      </c>
      <c r="F67" s="158" t="s">
        <v>106</v>
      </c>
      <c r="G67" s="158">
        <v>0</v>
      </c>
      <c r="I67" s="158">
        <v>29</v>
      </c>
      <c r="J67" s="331" t="s">
        <v>112</v>
      </c>
      <c r="N67" s="240">
        <v>1</v>
      </c>
      <c r="O67" s="165" t="s">
        <v>403</v>
      </c>
      <c r="P67" s="158" t="s">
        <v>404</v>
      </c>
      <c r="Q67" s="333" t="s">
        <v>405</v>
      </c>
    </row>
    <row r="68" spans="2:17" ht="15" thickBot="1" x14ac:dyDescent="0.35">
      <c r="B68" s="158">
        <v>28</v>
      </c>
      <c r="C68" s="158" t="s">
        <v>109</v>
      </c>
      <c r="D68" s="158" t="s">
        <v>110</v>
      </c>
      <c r="E68" s="158" t="s">
        <v>13</v>
      </c>
      <c r="F68" s="158" t="s">
        <v>111</v>
      </c>
      <c r="G68" s="158">
        <v>0</v>
      </c>
      <c r="I68" s="158">
        <v>30</v>
      </c>
      <c r="J68" s="331" t="s">
        <v>114</v>
      </c>
      <c r="N68" s="240">
        <v>2</v>
      </c>
      <c r="O68" s="165" t="s">
        <v>406</v>
      </c>
      <c r="P68" s="158" t="s">
        <v>407</v>
      </c>
      <c r="Q68" s="334" t="s">
        <v>408</v>
      </c>
    </row>
    <row r="69" spans="2:17" ht="15" thickBot="1" x14ac:dyDescent="0.35">
      <c r="B69" s="158">
        <v>29</v>
      </c>
      <c r="C69" s="158" t="s">
        <v>113</v>
      </c>
      <c r="D69" s="158" t="s">
        <v>110</v>
      </c>
      <c r="E69" s="158" t="s">
        <v>13</v>
      </c>
      <c r="F69" s="158" t="s">
        <v>111</v>
      </c>
      <c r="G69" s="158">
        <v>0</v>
      </c>
      <c r="I69" s="158">
        <v>31</v>
      </c>
      <c r="J69" s="331" t="s">
        <v>34</v>
      </c>
      <c r="N69" s="240">
        <v>3</v>
      </c>
      <c r="O69" s="165" t="s">
        <v>409</v>
      </c>
      <c r="P69" s="158" t="s">
        <v>410</v>
      </c>
      <c r="Q69" s="334" t="s">
        <v>411</v>
      </c>
    </row>
    <row r="70" spans="2:17" ht="27" thickBot="1" x14ac:dyDescent="0.35">
      <c r="B70" s="158">
        <v>30</v>
      </c>
      <c r="C70" s="158" t="s">
        <v>115</v>
      </c>
      <c r="D70" s="158" t="s">
        <v>116</v>
      </c>
      <c r="E70" s="158" t="s">
        <v>28</v>
      </c>
      <c r="F70" s="158" t="s">
        <v>115</v>
      </c>
      <c r="G70" s="158">
        <v>0</v>
      </c>
      <c r="I70" s="158">
        <v>32</v>
      </c>
      <c r="J70" s="331" t="s">
        <v>115</v>
      </c>
      <c r="N70" s="240">
        <v>4</v>
      </c>
      <c r="O70" s="165" t="s">
        <v>412</v>
      </c>
      <c r="P70" s="158" t="s">
        <v>413</v>
      </c>
      <c r="Q70" s="334" t="s">
        <v>414</v>
      </c>
    </row>
    <row r="71" spans="2:17" ht="27" thickBot="1" x14ac:dyDescent="0.35">
      <c r="B71" s="158">
        <v>31</v>
      </c>
      <c r="C71" s="158" t="s">
        <v>120</v>
      </c>
      <c r="D71" s="158" t="s">
        <v>121</v>
      </c>
      <c r="E71" s="158" t="s">
        <v>28</v>
      </c>
      <c r="F71" s="158" t="s">
        <v>122</v>
      </c>
      <c r="G71" s="158">
        <v>0</v>
      </c>
      <c r="I71" s="158">
        <v>33</v>
      </c>
      <c r="J71" s="331" t="s">
        <v>126</v>
      </c>
      <c r="N71" s="240">
        <v>5</v>
      </c>
      <c r="O71" s="165" t="s">
        <v>415</v>
      </c>
      <c r="P71" s="158" t="s">
        <v>416</v>
      </c>
      <c r="Q71" s="334" t="s">
        <v>417</v>
      </c>
    </row>
    <row r="72" spans="2:17" ht="27" thickBot="1" x14ac:dyDescent="0.35">
      <c r="B72" s="158">
        <v>32</v>
      </c>
      <c r="C72" s="158" t="s">
        <v>125</v>
      </c>
      <c r="D72" s="158" t="s">
        <v>121</v>
      </c>
      <c r="E72" s="158" t="s">
        <v>28</v>
      </c>
      <c r="F72" s="158" t="s">
        <v>122</v>
      </c>
      <c r="G72" s="158">
        <v>0</v>
      </c>
      <c r="I72" s="158">
        <v>34</v>
      </c>
      <c r="J72" s="331" t="s">
        <v>130</v>
      </c>
      <c r="N72" s="240">
        <v>6</v>
      </c>
      <c r="O72" s="165" t="s">
        <v>418</v>
      </c>
      <c r="P72" s="158" t="s">
        <v>419</v>
      </c>
      <c r="Q72" s="334" t="s">
        <v>420</v>
      </c>
    </row>
    <row r="73" spans="2:17" ht="15" thickBot="1" x14ac:dyDescent="0.35">
      <c r="B73" s="158">
        <v>33</v>
      </c>
      <c r="C73" s="158" t="s">
        <v>126</v>
      </c>
      <c r="D73" s="158" t="s">
        <v>127</v>
      </c>
      <c r="E73" s="158" t="s">
        <v>28</v>
      </c>
      <c r="F73" s="158" t="s">
        <v>126</v>
      </c>
      <c r="G73" s="158">
        <v>0</v>
      </c>
      <c r="I73" s="158">
        <v>35</v>
      </c>
      <c r="J73" s="331" t="s">
        <v>421</v>
      </c>
      <c r="N73" s="240">
        <v>7</v>
      </c>
      <c r="O73" s="165" t="s">
        <v>422</v>
      </c>
      <c r="P73" s="158" t="s">
        <v>409</v>
      </c>
      <c r="Q73" s="334" t="s">
        <v>423</v>
      </c>
    </row>
    <row r="74" spans="2:17" ht="27" thickBot="1" x14ac:dyDescent="0.35">
      <c r="I74" s="158">
        <v>36</v>
      </c>
      <c r="J74" s="331" t="s">
        <v>424</v>
      </c>
      <c r="N74" s="240">
        <v>8</v>
      </c>
      <c r="O74" s="165" t="s">
        <v>425</v>
      </c>
      <c r="P74" s="158" t="s">
        <v>418</v>
      </c>
      <c r="Q74" s="334" t="s">
        <v>426</v>
      </c>
    </row>
    <row r="75" spans="2:17" ht="15" thickBot="1" x14ac:dyDescent="0.35">
      <c r="I75" s="158">
        <v>37</v>
      </c>
      <c r="J75" s="331" t="s">
        <v>427</v>
      </c>
      <c r="N75" s="240">
        <v>9</v>
      </c>
      <c r="O75" s="165" t="s">
        <v>428</v>
      </c>
      <c r="P75" s="158" t="s">
        <v>422</v>
      </c>
      <c r="Q75" s="334" t="s">
        <v>429</v>
      </c>
    </row>
    <row r="76" spans="2:17" ht="15" thickBot="1" x14ac:dyDescent="0.35">
      <c r="B76" s="521" t="s">
        <v>430</v>
      </c>
      <c r="C76" s="521"/>
      <c r="I76" s="158">
        <v>38</v>
      </c>
      <c r="J76" s="331" t="s">
        <v>431</v>
      </c>
      <c r="N76" s="240">
        <v>10</v>
      </c>
      <c r="O76" s="165" t="s">
        <v>432</v>
      </c>
      <c r="P76" s="158" t="s">
        <v>428</v>
      </c>
      <c r="Q76" s="334" t="s">
        <v>433</v>
      </c>
    </row>
    <row r="77" spans="2:17" ht="14.4" x14ac:dyDescent="0.3">
      <c r="B77" s="168">
        <v>1</v>
      </c>
      <c r="C77" s="340" t="s">
        <v>434</v>
      </c>
      <c r="I77" s="158">
        <v>39</v>
      </c>
      <c r="J77" s="331" t="s">
        <v>435</v>
      </c>
      <c r="N77" s="240">
        <v>11</v>
      </c>
      <c r="O77" s="165"/>
      <c r="P77" s="158" t="s">
        <v>436</v>
      </c>
      <c r="Q77" s="335" t="s">
        <v>437</v>
      </c>
    </row>
    <row r="78" spans="2:17" ht="14.4" x14ac:dyDescent="0.3">
      <c r="B78" s="168">
        <v>2</v>
      </c>
      <c r="C78" s="340" t="s">
        <v>375</v>
      </c>
      <c r="I78" s="158">
        <v>40</v>
      </c>
      <c r="J78" s="331" t="s">
        <v>438</v>
      </c>
      <c r="N78" s="240">
        <v>12</v>
      </c>
      <c r="O78" s="165"/>
      <c r="P78" s="158" t="s">
        <v>439</v>
      </c>
      <c r="Q78" s="335" t="s">
        <v>439</v>
      </c>
    </row>
    <row r="79" spans="2:17" ht="14.4" x14ac:dyDescent="0.3">
      <c r="I79" s="158">
        <v>41</v>
      </c>
      <c r="J79" s="331" t="s">
        <v>440</v>
      </c>
      <c r="N79" s="240">
        <v>13</v>
      </c>
      <c r="O79" s="165"/>
      <c r="P79" s="158" t="s">
        <v>432</v>
      </c>
      <c r="Q79" s="335" t="s">
        <v>436</v>
      </c>
    </row>
    <row r="80" spans="2:17" ht="14.4" x14ac:dyDescent="0.3">
      <c r="B80" s="158">
        <v>1</v>
      </c>
      <c r="C80" s="158" t="s">
        <v>14</v>
      </c>
      <c r="D80" s="158" t="s">
        <v>12</v>
      </c>
      <c r="E80" s="158" t="s">
        <v>13</v>
      </c>
      <c r="F80" s="158">
        <v>1</v>
      </c>
      <c r="G80" s="158">
        <v>1</v>
      </c>
      <c r="Q80" s="335" t="s">
        <v>428</v>
      </c>
    </row>
    <row r="81" spans="2:17" ht="14.4" x14ac:dyDescent="0.3">
      <c r="B81" s="158">
        <v>2</v>
      </c>
      <c r="C81" s="158" t="s">
        <v>29</v>
      </c>
      <c r="D81" s="158" t="s">
        <v>27</v>
      </c>
      <c r="F81" s="158">
        <v>2</v>
      </c>
      <c r="G81" s="158">
        <v>1</v>
      </c>
      <c r="Q81" s="335" t="s">
        <v>422</v>
      </c>
    </row>
    <row r="82" spans="2:17" ht="14.4" x14ac:dyDescent="0.3">
      <c r="B82" s="158">
        <v>3</v>
      </c>
      <c r="C82" s="158" t="s">
        <v>52</v>
      </c>
      <c r="D82" s="158" t="s">
        <v>441</v>
      </c>
      <c r="F82" s="158">
        <v>3</v>
      </c>
      <c r="G82" s="158">
        <v>1</v>
      </c>
      <c r="Q82" s="335" t="s">
        <v>418</v>
      </c>
    </row>
    <row r="83" spans="2:17" ht="14.4" x14ac:dyDescent="0.3">
      <c r="B83" s="158">
        <v>4</v>
      </c>
      <c r="C83" s="158" t="s">
        <v>442</v>
      </c>
      <c r="D83" s="158" t="s">
        <v>443</v>
      </c>
      <c r="F83" s="158">
        <v>4</v>
      </c>
      <c r="G83" s="158">
        <v>0</v>
      </c>
      <c r="Q83" s="335" t="s">
        <v>409</v>
      </c>
    </row>
    <row r="84" spans="2:17" ht="14.4" x14ac:dyDescent="0.3">
      <c r="B84" s="158">
        <v>5</v>
      </c>
      <c r="C84" s="158" t="s">
        <v>73</v>
      </c>
      <c r="D84" s="158" t="s">
        <v>72</v>
      </c>
      <c r="E84" s="158" t="s">
        <v>13</v>
      </c>
      <c r="F84" s="158">
        <v>5</v>
      </c>
      <c r="G84" s="158">
        <v>1</v>
      </c>
      <c r="Q84" s="335" t="s">
        <v>444</v>
      </c>
    </row>
    <row r="85" spans="2:17" ht="14.4" x14ac:dyDescent="0.3">
      <c r="B85" s="158">
        <v>6</v>
      </c>
      <c r="C85" s="158" t="s">
        <v>41</v>
      </c>
      <c r="D85" s="158" t="s">
        <v>40</v>
      </c>
      <c r="F85" s="158">
        <v>6</v>
      </c>
      <c r="G85" s="158">
        <v>1</v>
      </c>
      <c r="Q85" s="335" t="s">
        <v>445</v>
      </c>
    </row>
    <row r="86" spans="2:17" ht="14.4" x14ac:dyDescent="0.3">
      <c r="B86" s="158">
        <v>7</v>
      </c>
      <c r="C86" s="158" t="s">
        <v>83</v>
      </c>
      <c r="D86" s="158" t="s">
        <v>82</v>
      </c>
      <c r="E86" s="158" t="s">
        <v>13</v>
      </c>
      <c r="F86" s="158">
        <v>7</v>
      </c>
      <c r="G86" s="158">
        <v>1</v>
      </c>
      <c r="Q86" s="335" t="s">
        <v>446</v>
      </c>
    </row>
    <row r="87" spans="2:17" x14ac:dyDescent="0.25">
      <c r="B87" s="158">
        <v>8</v>
      </c>
      <c r="C87" s="158" t="s">
        <v>93</v>
      </c>
      <c r="D87" s="158" t="s">
        <v>92</v>
      </c>
      <c r="F87" s="158">
        <v>8</v>
      </c>
      <c r="G87" s="158">
        <v>1</v>
      </c>
      <c r="K87" s="158">
        <v>1</v>
      </c>
      <c r="L87" s="158" t="s">
        <v>447</v>
      </c>
    </row>
    <row r="88" spans="2:17" x14ac:dyDescent="0.25">
      <c r="B88" s="158">
        <v>9</v>
      </c>
      <c r="C88" s="158" t="s">
        <v>111</v>
      </c>
      <c r="D88" s="158" t="s">
        <v>110</v>
      </c>
      <c r="E88" s="158" t="s">
        <v>13</v>
      </c>
      <c r="F88" s="158">
        <v>9</v>
      </c>
      <c r="G88" s="158">
        <v>1</v>
      </c>
      <c r="K88" s="158">
        <v>2</v>
      </c>
      <c r="L88" s="158" t="s">
        <v>448</v>
      </c>
    </row>
    <row r="89" spans="2:17" x14ac:dyDescent="0.25">
      <c r="B89" s="158">
        <v>10</v>
      </c>
      <c r="C89" s="158" t="s">
        <v>122</v>
      </c>
      <c r="D89" s="158" t="s">
        <v>449</v>
      </c>
      <c r="F89" s="158">
        <v>10</v>
      </c>
      <c r="G89" s="158">
        <v>1</v>
      </c>
      <c r="K89" s="158">
        <v>3</v>
      </c>
      <c r="L89" s="158" t="s">
        <v>450</v>
      </c>
    </row>
    <row r="90" spans="2:17" x14ac:dyDescent="0.25">
      <c r="B90" s="158">
        <v>11</v>
      </c>
      <c r="C90" s="158" t="s">
        <v>451</v>
      </c>
      <c r="D90" s="158" t="s">
        <v>100</v>
      </c>
      <c r="F90" s="158">
        <v>11</v>
      </c>
      <c r="G90" s="158">
        <v>1</v>
      </c>
    </row>
    <row r="91" spans="2:17" x14ac:dyDescent="0.25">
      <c r="B91" s="158">
        <v>12</v>
      </c>
      <c r="C91" s="158" t="s">
        <v>452</v>
      </c>
      <c r="D91" s="158" t="s">
        <v>453</v>
      </c>
      <c r="F91" s="158">
        <v>12</v>
      </c>
      <c r="G91" s="158">
        <v>0</v>
      </c>
    </row>
    <row r="92" spans="2:17" x14ac:dyDescent="0.25">
      <c r="B92" s="158">
        <v>13</v>
      </c>
      <c r="C92" s="158" t="s">
        <v>454</v>
      </c>
      <c r="D92" s="158" t="s">
        <v>455</v>
      </c>
      <c r="F92" s="158">
        <v>13</v>
      </c>
      <c r="G92" s="158">
        <v>0</v>
      </c>
    </row>
    <row r="93" spans="2:17" x14ac:dyDescent="0.25">
      <c r="B93" s="158">
        <v>14</v>
      </c>
      <c r="C93" s="158" t="s">
        <v>456</v>
      </c>
      <c r="D93" s="158" t="s">
        <v>457</v>
      </c>
      <c r="E93" s="158" t="s">
        <v>13</v>
      </c>
      <c r="F93" s="158">
        <v>14</v>
      </c>
      <c r="G93" s="158">
        <v>1</v>
      </c>
    </row>
    <row r="94" spans="2:17" x14ac:dyDescent="0.25">
      <c r="B94" s="158">
        <v>15</v>
      </c>
      <c r="C94" s="158" t="s">
        <v>458</v>
      </c>
      <c r="D94" s="158" t="s">
        <v>459</v>
      </c>
      <c r="F94" s="158">
        <v>15</v>
      </c>
      <c r="G94" s="158">
        <v>1</v>
      </c>
      <c r="J94" s="158" t="s">
        <v>460</v>
      </c>
      <c r="K94" s="158">
        <v>1</v>
      </c>
      <c r="L94" s="158" t="s">
        <v>377</v>
      </c>
    </row>
    <row r="95" spans="2:17" x14ac:dyDescent="0.25">
      <c r="B95" s="158">
        <v>16</v>
      </c>
      <c r="C95" s="158" t="s">
        <v>461</v>
      </c>
      <c r="D95" s="158" t="s">
        <v>462</v>
      </c>
      <c r="F95" s="158">
        <v>16</v>
      </c>
      <c r="G95" s="158">
        <v>1</v>
      </c>
      <c r="I95" s="158">
        <v>1</v>
      </c>
      <c r="J95" s="336" t="s">
        <v>463</v>
      </c>
      <c r="K95" s="158">
        <v>2</v>
      </c>
      <c r="L95" s="158" t="s">
        <v>464</v>
      </c>
    </row>
    <row r="96" spans="2:17" x14ac:dyDescent="0.25">
      <c r="B96" s="158">
        <v>17</v>
      </c>
      <c r="C96" s="158" t="s">
        <v>465</v>
      </c>
      <c r="D96" s="158" t="s">
        <v>79</v>
      </c>
      <c r="E96" s="158" t="s">
        <v>13</v>
      </c>
      <c r="F96" s="158">
        <v>17</v>
      </c>
      <c r="G96" s="158">
        <v>1</v>
      </c>
      <c r="I96" s="158">
        <v>2</v>
      </c>
      <c r="J96" s="336" t="s">
        <v>466</v>
      </c>
      <c r="K96" s="158">
        <v>3</v>
      </c>
      <c r="L96" s="158" t="s">
        <v>467</v>
      </c>
    </row>
    <row r="97" spans="2:16" x14ac:dyDescent="0.25">
      <c r="B97" s="158">
        <v>18</v>
      </c>
      <c r="C97" s="158" t="s">
        <v>468</v>
      </c>
      <c r="D97" s="158" t="s">
        <v>89</v>
      </c>
      <c r="E97" s="158" t="s">
        <v>13</v>
      </c>
      <c r="F97" s="158">
        <v>18</v>
      </c>
      <c r="G97" s="158">
        <v>1</v>
      </c>
      <c r="I97" s="158">
        <v>3</v>
      </c>
      <c r="J97" s="336" t="s">
        <v>469</v>
      </c>
    </row>
    <row r="98" spans="2:16" x14ac:dyDescent="0.25">
      <c r="B98" s="158">
        <v>19</v>
      </c>
      <c r="C98" s="158" t="s">
        <v>470</v>
      </c>
      <c r="D98" s="158" t="s">
        <v>364</v>
      </c>
      <c r="F98" s="158">
        <v>19</v>
      </c>
      <c r="G98" s="158">
        <v>1</v>
      </c>
    </row>
    <row r="99" spans="2:16" x14ac:dyDescent="0.25">
      <c r="B99" s="158">
        <v>20</v>
      </c>
      <c r="C99" s="158" t="s">
        <v>115</v>
      </c>
      <c r="D99" s="158" t="s">
        <v>116</v>
      </c>
      <c r="F99" s="158">
        <v>20</v>
      </c>
      <c r="G99" s="158">
        <v>1</v>
      </c>
      <c r="K99" s="158">
        <v>1</v>
      </c>
      <c r="L99" s="158" t="s">
        <v>471</v>
      </c>
    </row>
    <row r="100" spans="2:16" x14ac:dyDescent="0.25">
      <c r="B100" s="158">
        <v>21</v>
      </c>
      <c r="C100" s="158" t="s">
        <v>126</v>
      </c>
      <c r="D100" s="158" t="s">
        <v>127</v>
      </c>
      <c r="F100" s="158">
        <v>21</v>
      </c>
      <c r="G100" s="158">
        <v>1</v>
      </c>
      <c r="K100" s="158">
        <v>2</v>
      </c>
      <c r="L100" s="158" t="s">
        <v>472</v>
      </c>
      <c r="O100" s="158" t="s">
        <v>473</v>
      </c>
    </row>
    <row r="101" spans="2:16" x14ac:dyDescent="0.25">
      <c r="B101" s="158">
        <v>22</v>
      </c>
      <c r="C101" s="158" t="s">
        <v>474</v>
      </c>
      <c r="D101" s="158" t="s">
        <v>475</v>
      </c>
      <c r="F101" s="158">
        <v>22</v>
      </c>
      <c r="G101" s="158">
        <v>1</v>
      </c>
      <c r="H101" s="521" t="s">
        <v>476</v>
      </c>
      <c r="I101" s="521"/>
      <c r="J101" s="521"/>
      <c r="O101" s="158">
        <v>1</v>
      </c>
      <c r="P101" s="158" t="s">
        <v>243</v>
      </c>
    </row>
    <row r="102" spans="2:16" x14ac:dyDescent="0.25">
      <c r="B102" s="158">
        <v>23</v>
      </c>
      <c r="C102" s="158" t="s">
        <v>477</v>
      </c>
      <c r="F102" s="158">
        <v>23</v>
      </c>
      <c r="G102" s="158">
        <v>0</v>
      </c>
      <c r="H102" s="158">
        <v>1</v>
      </c>
      <c r="I102" s="158" t="s">
        <v>478</v>
      </c>
      <c r="J102" s="168">
        <v>5</v>
      </c>
      <c r="O102" s="158">
        <v>2</v>
      </c>
      <c r="P102" s="158" t="s">
        <v>479</v>
      </c>
    </row>
    <row r="103" spans="2:16" x14ac:dyDescent="0.25">
      <c r="H103" s="158">
        <v>2</v>
      </c>
      <c r="I103" s="158" t="s">
        <v>480</v>
      </c>
      <c r="J103" s="168">
        <v>4</v>
      </c>
      <c r="K103" s="158">
        <v>1</v>
      </c>
      <c r="L103" s="158" t="s">
        <v>481</v>
      </c>
      <c r="O103" s="158">
        <v>3</v>
      </c>
      <c r="P103" s="158" t="s">
        <v>482</v>
      </c>
    </row>
    <row r="104" spans="2:16" x14ac:dyDescent="0.25">
      <c r="H104" s="158">
        <v>3</v>
      </c>
      <c r="I104" s="158" t="s">
        <v>483</v>
      </c>
      <c r="J104" s="168">
        <v>3</v>
      </c>
      <c r="K104" s="158">
        <v>2</v>
      </c>
      <c r="L104" s="158" t="s">
        <v>484</v>
      </c>
    </row>
    <row r="105" spans="2:16" x14ac:dyDescent="0.25">
      <c r="H105" s="158">
        <v>4</v>
      </c>
      <c r="I105" s="158" t="s">
        <v>485</v>
      </c>
      <c r="J105" s="168">
        <v>2</v>
      </c>
      <c r="K105" s="158">
        <v>3</v>
      </c>
      <c r="L105" s="158" t="s">
        <v>486</v>
      </c>
      <c r="O105" s="168" t="s">
        <v>10</v>
      </c>
      <c r="P105" s="240"/>
    </row>
    <row r="106" spans="2:16" x14ac:dyDescent="0.25">
      <c r="H106" s="158">
        <v>5</v>
      </c>
      <c r="I106" s="158" t="s">
        <v>487</v>
      </c>
      <c r="J106" s="168">
        <v>1</v>
      </c>
      <c r="K106" s="158">
        <v>4</v>
      </c>
      <c r="L106" s="158" t="s">
        <v>488</v>
      </c>
      <c r="O106" s="168" t="s">
        <v>489</v>
      </c>
    </row>
    <row r="107" spans="2:16" x14ac:dyDescent="0.25">
      <c r="O107" s="168" t="s">
        <v>490</v>
      </c>
    </row>
    <row r="108" spans="2:16" x14ac:dyDescent="0.25">
      <c r="C108" s="521" t="s">
        <v>491</v>
      </c>
      <c r="D108" s="521"/>
      <c r="E108" s="521"/>
      <c r="K108" s="158">
        <v>1</v>
      </c>
      <c r="L108" s="158" t="s">
        <v>492</v>
      </c>
      <c r="M108" s="158">
        <v>1</v>
      </c>
    </row>
    <row r="109" spans="2:16" x14ac:dyDescent="0.25">
      <c r="B109" s="158">
        <v>20</v>
      </c>
      <c r="C109" s="158">
        <v>1</v>
      </c>
      <c r="D109" s="337" t="s">
        <v>493</v>
      </c>
      <c r="E109" s="168">
        <v>3</v>
      </c>
      <c r="F109" s="158" t="s">
        <v>494</v>
      </c>
      <c r="K109" s="158">
        <v>2</v>
      </c>
      <c r="L109" s="158" t="s">
        <v>495</v>
      </c>
      <c r="M109" s="158">
        <v>2</v>
      </c>
    </row>
    <row r="110" spans="2:16" x14ac:dyDescent="0.25">
      <c r="B110" s="158">
        <v>10</v>
      </c>
      <c r="C110" s="158">
        <v>2</v>
      </c>
      <c r="D110" s="158" t="s">
        <v>496</v>
      </c>
      <c r="E110" s="168">
        <v>2</v>
      </c>
      <c r="F110" s="158" t="s">
        <v>496</v>
      </c>
      <c r="K110" s="158">
        <v>3</v>
      </c>
      <c r="L110" s="158" t="s">
        <v>497</v>
      </c>
      <c r="M110" s="158">
        <v>3</v>
      </c>
    </row>
    <row r="111" spans="2:16" x14ac:dyDescent="0.25">
      <c r="B111" s="158">
        <v>0</v>
      </c>
      <c r="C111" s="158">
        <v>3</v>
      </c>
      <c r="D111" s="158" t="s">
        <v>494</v>
      </c>
      <c r="E111" s="168">
        <v>1</v>
      </c>
      <c r="F111" s="337" t="s">
        <v>493</v>
      </c>
      <c r="K111" s="158">
        <v>4</v>
      </c>
      <c r="L111" s="158" t="s">
        <v>498</v>
      </c>
      <c r="M111" s="158">
        <v>4</v>
      </c>
    </row>
    <row r="112" spans="2:16" x14ac:dyDescent="0.25">
      <c r="E112" s="168"/>
      <c r="K112" s="158">
        <v>5</v>
      </c>
      <c r="L112" s="158" t="s">
        <v>499</v>
      </c>
      <c r="M112" s="158">
        <v>6</v>
      </c>
    </row>
    <row r="113" spans="1:16" x14ac:dyDescent="0.25">
      <c r="C113" s="521" t="s">
        <v>500</v>
      </c>
      <c r="D113" s="521"/>
      <c r="E113" s="521"/>
      <c r="K113" s="158">
        <v>6</v>
      </c>
      <c r="L113" s="158" t="s">
        <v>501</v>
      </c>
      <c r="M113" s="158">
        <v>8</v>
      </c>
    </row>
    <row r="114" spans="1:16" x14ac:dyDescent="0.25">
      <c r="C114" s="158">
        <v>1</v>
      </c>
      <c r="D114" s="158" t="s">
        <v>502</v>
      </c>
      <c r="E114" s="168">
        <v>10</v>
      </c>
      <c r="F114" s="158">
        <v>4</v>
      </c>
      <c r="G114" s="158" t="s">
        <v>503</v>
      </c>
      <c r="K114" s="158">
        <v>7</v>
      </c>
      <c r="L114" s="158" t="s">
        <v>504</v>
      </c>
      <c r="M114" s="158">
        <v>10</v>
      </c>
    </row>
    <row r="115" spans="1:16" x14ac:dyDescent="0.25">
      <c r="C115" s="158">
        <v>2</v>
      </c>
      <c r="D115" s="158" t="s">
        <v>505</v>
      </c>
      <c r="E115" s="168">
        <v>6</v>
      </c>
      <c r="F115" s="158">
        <v>6</v>
      </c>
      <c r="G115" s="158" t="s">
        <v>506</v>
      </c>
    </row>
    <row r="116" spans="1:16" x14ac:dyDescent="0.25">
      <c r="C116" s="158">
        <v>3</v>
      </c>
      <c r="D116" s="158" t="s">
        <v>503</v>
      </c>
      <c r="E116" s="168">
        <v>4</v>
      </c>
      <c r="F116" s="158">
        <v>10</v>
      </c>
      <c r="G116" s="158" t="s">
        <v>507</v>
      </c>
    </row>
    <row r="118" spans="1:16" x14ac:dyDescent="0.25">
      <c r="C118" s="521" t="s">
        <v>508</v>
      </c>
      <c r="D118" s="521"/>
      <c r="E118" s="521"/>
    </row>
    <row r="119" spans="1:16" x14ac:dyDescent="0.25">
      <c r="C119" s="158">
        <v>1</v>
      </c>
      <c r="D119" s="158" t="s">
        <v>509</v>
      </c>
      <c r="E119" s="168">
        <v>1</v>
      </c>
    </row>
    <row r="120" spans="1:16" x14ac:dyDescent="0.25">
      <c r="C120" s="158">
        <v>2</v>
      </c>
      <c r="D120" s="158" t="s">
        <v>510</v>
      </c>
      <c r="E120" s="168">
        <v>2</v>
      </c>
    </row>
    <row r="122" spans="1:16" s="165" customFormat="1" x14ac:dyDescent="0.25">
      <c r="A122" s="240"/>
      <c r="B122" s="240"/>
      <c r="C122" s="240"/>
      <c r="D122" s="240"/>
      <c r="E122" s="240"/>
      <c r="F122" s="240"/>
      <c r="G122" s="240"/>
      <c r="H122" s="240"/>
      <c r="I122" s="240"/>
      <c r="J122" s="240"/>
      <c r="K122" s="240"/>
      <c r="N122" s="240"/>
      <c r="O122" s="240"/>
      <c r="P122" s="240"/>
    </row>
    <row r="123" spans="1:16" x14ac:dyDescent="0.25">
      <c r="A123" s="168"/>
      <c r="B123" s="158">
        <v>1</v>
      </c>
      <c r="C123" s="158" t="s">
        <v>11</v>
      </c>
      <c r="D123" s="158" t="s">
        <v>12</v>
      </c>
      <c r="E123" s="240" t="e">
        <f>VLOOKUP(C123,#REF!,3,FALSE)</f>
        <v>#REF!</v>
      </c>
      <c r="F123" s="240">
        <f>IFERROR(E123,0)</f>
        <v>0</v>
      </c>
      <c r="G123" s="338" t="str">
        <f>IF(F123=0,"",(F123/$F$156))</f>
        <v/>
      </c>
      <c r="H123" s="240"/>
      <c r="I123" s="240"/>
      <c r="J123" s="240"/>
    </row>
    <row r="124" spans="1:16" x14ac:dyDescent="0.25">
      <c r="A124" s="168"/>
      <c r="B124" s="158">
        <v>2</v>
      </c>
      <c r="C124" s="158" t="s">
        <v>16</v>
      </c>
      <c r="D124" s="158" t="s">
        <v>12</v>
      </c>
      <c r="E124" s="240" t="e">
        <f>VLOOKUP(C124,#REF!,3,FALSE)</f>
        <v>#REF!</v>
      </c>
      <c r="F124" s="240">
        <f t="shared" ref="F124:F155" si="29">IFERROR(E124,0)</f>
        <v>0</v>
      </c>
      <c r="G124" s="338" t="str">
        <f t="shared" ref="G124:G155" si="30">IF(F124=0,"",(F124/$F$156))</f>
        <v/>
      </c>
      <c r="H124" s="240"/>
      <c r="I124" s="240"/>
      <c r="J124" s="240"/>
    </row>
    <row r="125" spans="1:16" x14ac:dyDescent="0.25">
      <c r="A125" s="168"/>
      <c r="B125" s="158">
        <v>3</v>
      </c>
      <c r="C125" s="158" t="s">
        <v>22</v>
      </c>
      <c r="D125" s="158" t="s">
        <v>23</v>
      </c>
      <c r="E125" s="240" t="e">
        <f>VLOOKUP(C125,#REF!,3,FALSE)</f>
        <v>#REF!</v>
      </c>
      <c r="F125" s="240">
        <f t="shared" si="29"/>
        <v>0</v>
      </c>
      <c r="G125" s="338" t="str">
        <f t="shared" si="30"/>
        <v/>
      </c>
      <c r="H125" s="240"/>
      <c r="I125" s="240"/>
      <c r="J125" s="240"/>
    </row>
    <row r="126" spans="1:16" x14ac:dyDescent="0.25">
      <c r="A126" s="168"/>
      <c r="B126" s="158">
        <v>4</v>
      </c>
      <c r="C126" s="158" t="s">
        <v>26</v>
      </c>
      <c r="D126" s="158" t="s">
        <v>27</v>
      </c>
      <c r="E126" s="240" t="e">
        <f>VLOOKUP(C126,#REF!,3,FALSE)</f>
        <v>#REF!</v>
      </c>
      <c r="F126" s="240">
        <f t="shared" si="29"/>
        <v>0</v>
      </c>
      <c r="G126" s="338" t="str">
        <f t="shared" si="30"/>
        <v/>
      </c>
      <c r="H126" s="240"/>
      <c r="I126" s="240"/>
      <c r="J126" s="240"/>
    </row>
    <row r="127" spans="1:16" x14ac:dyDescent="0.25">
      <c r="A127" s="168"/>
      <c r="B127" s="158">
        <v>5</v>
      </c>
      <c r="C127" s="158" t="s">
        <v>32</v>
      </c>
      <c r="D127" s="158" t="s">
        <v>27</v>
      </c>
      <c r="E127" s="240" t="e">
        <f>VLOOKUP(C127,#REF!,3,FALSE)</f>
        <v>#REF!</v>
      </c>
      <c r="F127" s="240">
        <f t="shared" si="29"/>
        <v>0</v>
      </c>
      <c r="G127" s="338" t="str">
        <f t="shared" si="30"/>
        <v/>
      </c>
      <c r="H127" s="240"/>
      <c r="I127" s="240"/>
      <c r="J127" s="240"/>
    </row>
    <row r="128" spans="1:16" x14ac:dyDescent="0.25">
      <c r="A128" s="168"/>
      <c r="B128" s="158">
        <v>6</v>
      </c>
      <c r="C128" s="158" t="s">
        <v>34</v>
      </c>
      <c r="D128" s="158" t="s">
        <v>35</v>
      </c>
      <c r="E128" s="240" t="e">
        <f>VLOOKUP(C128,#REF!,3,FALSE)</f>
        <v>#REF!</v>
      </c>
      <c r="F128" s="240">
        <f t="shared" si="29"/>
        <v>0</v>
      </c>
      <c r="G128" s="338" t="str">
        <f t="shared" si="30"/>
        <v/>
      </c>
      <c r="H128" s="240"/>
      <c r="I128" s="240"/>
      <c r="J128" s="240"/>
    </row>
    <row r="129" spans="1:10" x14ac:dyDescent="0.25">
      <c r="A129" s="168"/>
      <c r="B129" s="158">
        <v>7</v>
      </c>
      <c r="C129" s="158" t="s">
        <v>39</v>
      </c>
      <c r="D129" s="158" t="s">
        <v>40</v>
      </c>
      <c r="E129" s="240" t="e">
        <f>VLOOKUP(C129,#REF!,3,FALSE)</f>
        <v>#REF!</v>
      </c>
      <c r="F129" s="240">
        <f t="shared" si="29"/>
        <v>0</v>
      </c>
      <c r="G129" s="338" t="str">
        <f t="shared" si="30"/>
        <v/>
      </c>
      <c r="H129" s="240"/>
      <c r="I129" s="240"/>
      <c r="J129" s="240"/>
    </row>
    <row r="130" spans="1:10" x14ac:dyDescent="0.25">
      <c r="A130" s="168"/>
      <c r="B130" s="158">
        <v>8</v>
      </c>
      <c r="C130" s="158" t="s">
        <v>45</v>
      </c>
      <c r="D130" s="158" t="s">
        <v>40</v>
      </c>
      <c r="E130" s="240" t="e">
        <f>VLOOKUP(C130,#REF!,3,FALSE)</f>
        <v>#REF!</v>
      </c>
      <c r="F130" s="240">
        <f t="shared" si="29"/>
        <v>0</v>
      </c>
      <c r="G130" s="338" t="str">
        <f t="shared" si="30"/>
        <v/>
      </c>
      <c r="J130" s="240"/>
    </row>
    <row r="131" spans="1:10" x14ac:dyDescent="0.25">
      <c r="A131" s="168"/>
      <c r="B131" s="158">
        <v>9</v>
      </c>
      <c r="C131" s="158" t="s">
        <v>48</v>
      </c>
      <c r="D131" s="158" t="s">
        <v>40</v>
      </c>
      <c r="E131" s="240" t="e">
        <f>VLOOKUP(C131,#REF!,3,FALSE)</f>
        <v>#REF!</v>
      </c>
      <c r="F131" s="240">
        <f t="shared" si="29"/>
        <v>0</v>
      </c>
      <c r="G131" s="338" t="str">
        <f t="shared" si="30"/>
        <v/>
      </c>
      <c r="J131" s="240"/>
    </row>
    <row r="132" spans="1:10" x14ac:dyDescent="0.25">
      <c r="A132" s="168"/>
      <c r="B132" s="158">
        <v>10</v>
      </c>
      <c r="C132" s="158" t="s">
        <v>50</v>
      </c>
      <c r="D132" s="158" t="s">
        <v>51</v>
      </c>
      <c r="E132" s="240" t="e">
        <f>VLOOKUP(C132,#REF!,3,FALSE)</f>
        <v>#REF!</v>
      </c>
      <c r="F132" s="240">
        <f t="shared" si="29"/>
        <v>0</v>
      </c>
      <c r="G132" s="338" t="str">
        <f t="shared" si="30"/>
        <v/>
      </c>
      <c r="J132" s="240"/>
    </row>
    <row r="133" spans="1:10" x14ac:dyDescent="0.25">
      <c r="A133" s="168"/>
      <c r="B133" s="158">
        <v>11</v>
      </c>
      <c r="C133" s="158" t="s">
        <v>54</v>
      </c>
      <c r="D133" s="158" t="s">
        <v>55</v>
      </c>
      <c r="E133" s="240" t="e">
        <f>VLOOKUP(C133,#REF!,3,FALSE)</f>
        <v>#REF!</v>
      </c>
      <c r="F133" s="240">
        <f t="shared" si="29"/>
        <v>0</v>
      </c>
      <c r="G133" s="338" t="str">
        <f t="shared" si="30"/>
        <v/>
      </c>
      <c r="J133" s="240"/>
    </row>
    <row r="134" spans="1:10" x14ac:dyDescent="0.25">
      <c r="A134" s="168"/>
      <c r="B134" s="158">
        <v>12</v>
      </c>
      <c r="C134" s="158" t="s">
        <v>58</v>
      </c>
      <c r="D134" s="158" t="s">
        <v>59</v>
      </c>
      <c r="E134" s="240" t="e">
        <f>VLOOKUP(C134,#REF!,3,FALSE)</f>
        <v>#REF!</v>
      </c>
      <c r="F134" s="240">
        <f t="shared" si="29"/>
        <v>0</v>
      </c>
      <c r="G134" s="338" t="str">
        <f t="shared" si="30"/>
        <v/>
      </c>
      <c r="J134" s="240"/>
    </row>
    <row r="135" spans="1:10" x14ac:dyDescent="0.25">
      <c r="A135" s="168"/>
      <c r="B135" s="158">
        <v>13</v>
      </c>
      <c r="C135" s="158" t="s">
        <v>62</v>
      </c>
      <c r="D135" s="158" t="s">
        <v>63</v>
      </c>
      <c r="E135" s="240" t="e">
        <f>VLOOKUP(C135,#REF!,3,FALSE)</f>
        <v>#REF!</v>
      </c>
      <c r="F135" s="240">
        <f t="shared" si="29"/>
        <v>0</v>
      </c>
      <c r="G135" s="338" t="str">
        <f t="shared" si="30"/>
        <v/>
      </c>
      <c r="J135" s="240"/>
    </row>
    <row r="136" spans="1:10" x14ac:dyDescent="0.25">
      <c r="A136" s="168"/>
      <c r="B136" s="158">
        <v>14</v>
      </c>
      <c r="C136" s="158" t="s">
        <v>65</v>
      </c>
      <c r="D136" s="158" t="s">
        <v>66</v>
      </c>
      <c r="E136" s="240" t="e">
        <f>VLOOKUP(C136,#REF!,3,FALSE)</f>
        <v>#REF!</v>
      </c>
      <c r="F136" s="240">
        <f t="shared" si="29"/>
        <v>0</v>
      </c>
      <c r="G136" s="338" t="str">
        <f t="shared" si="30"/>
        <v/>
      </c>
      <c r="J136" s="240"/>
    </row>
    <row r="137" spans="1:10" x14ac:dyDescent="0.25">
      <c r="A137" s="168"/>
      <c r="B137" s="158">
        <v>15</v>
      </c>
      <c r="C137" s="158" t="s">
        <v>68</v>
      </c>
      <c r="D137" s="158" t="s">
        <v>69</v>
      </c>
      <c r="E137" s="240" t="e">
        <f>VLOOKUP(C137,#REF!,3,FALSE)</f>
        <v>#REF!</v>
      </c>
      <c r="F137" s="240">
        <f t="shared" si="29"/>
        <v>0</v>
      </c>
      <c r="G137" s="338" t="str">
        <f t="shared" si="30"/>
        <v/>
      </c>
      <c r="J137" s="240"/>
    </row>
    <row r="138" spans="1:10" x14ac:dyDescent="0.25">
      <c r="A138" s="168"/>
      <c r="B138" s="158">
        <v>16</v>
      </c>
      <c r="C138" s="158" t="s">
        <v>71</v>
      </c>
      <c r="D138" s="158" t="s">
        <v>72</v>
      </c>
      <c r="E138" s="240" t="e">
        <f>VLOOKUP(C138,#REF!,3,FALSE)</f>
        <v>#REF!</v>
      </c>
      <c r="F138" s="240">
        <f t="shared" si="29"/>
        <v>0</v>
      </c>
      <c r="G138" s="338" t="str">
        <f t="shared" si="30"/>
        <v/>
      </c>
      <c r="J138" s="240"/>
    </row>
    <row r="139" spans="1:10" x14ac:dyDescent="0.25">
      <c r="A139" s="168"/>
      <c r="B139" s="158">
        <v>17</v>
      </c>
      <c r="C139" s="158" t="s">
        <v>76</v>
      </c>
      <c r="D139" s="158" t="s">
        <v>72</v>
      </c>
      <c r="E139" s="240" t="e">
        <f>VLOOKUP(C139,#REF!,3,FALSE)</f>
        <v>#REF!</v>
      </c>
      <c r="F139" s="240">
        <f t="shared" si="29"/>
        <v>0</v>
      </c>
      <c r="G139" s="338" t="str">
        <f t="shared" si="30"/>
        <v/>
      </c>
      <c r="J139" s="240"/>
    </row>
    <row r="140" spans="1:10" x14ac:dyDescent="0.25">
      <c r="A140" s="168"/>
      <c r="B140" s="158">
        <v>18</v>
      </c>
      <c r="C140" s="158" t="s">
        <v>78</v>
      </c>
      <c r="D140" s="158" t="s">
        <v>79</v>
      </c>
      <c r="E140" s="240" t="e">
        <f>VLOOKUP(C140,#REF!,3,FALSE)</f>
        <v>#REF!</v>
      </c>
      <c r="F140" s="240">
        <f t="shared" si="29"/>
        <v>0</v>
      </c>
      <c r="G140" s="338" t="str">
        <f t="shared" si="30"/>
        <v/>
      </c>
      <c r="J140" s="240"/>
    </row>
    <row r="141" spans="1:10" x14ac:dyDescent="0.25">
      <c r="A141" s="168"/>
      <c r="B141" s="158">
        <v>19</v>
      </c>
      <c r="C141" s="158" t="s">
        <v>81</v>
      </c>
      <c r="D141" s="158" t="s">
        <v>82</v>
      </c>
      <c r="E141" s="240" t="e">
        <f>VLOOKUP(C141,#REF!,3,FALSE)</f>
        <v>#REF!</v>
      </c>
      <c r="F141" s="240">
        <f t="shared" si="29"/>
        <v>0</v>
      </c>
      <c r="G141" s="338" t="str">
        <f t="shared" si="30"/>
        <v/>
      </c>
      <c r="J141" s="240"/>
    </row>
    <row r="142" spans="1:10" x14ac:dyDescent="0.25">
      <c r="A142" s="168"/>
      <c r="B142" s="158">
        <v>20</v>
      </c>
      <c r="C142" s="158" t="s">
        <v>85</v>
      </c>
      <c r="D142" s="158" t="s">
        <v>82</v>
      </c>
      <c r="E142" s="240" t="e">
        <f>VLOOKUP(C142,#REF!,3,FALSE)</f>
        <v>#REF!</v>
      </c>
      <c r="F142" s="240">
        <f t="shared" si="29"/>
        <v>0</v>
      </c>
      <c r="G142" s="338" t="str">
        <f t="shared" si="30"/>
        <v/>
      </c>
      <c r="J142" s="240"/>
    </row>
    <row r="143" spans="1:10" x14ac:dyDescent="0.25">
      <c r="A143" s="168"/>
      <c r="B143" s="158">
        <v>21</v>
      </c>
      <c r="C143" s="158" t="s">
        <v>88</v>
      </c>
      <c r="D143" s="158" t="s">
        <v>89</v>
      </c>
      <c r="E143" s="240" t="e">
        <f>VLOOKUP(C143,#REF!,3,FALSE)</f>
        <v>#REF!</v>
      </c>
      <c r="F143" s="240">
        <f t="shared" si="29"/>
        <v>0</v>
      </c>
      <c r="G143" s="338" t="str">
        <f t="shared" si="30"/>
        <v/>
      </c>
      <c r="J143" s="240"/>
    </row>
    <row r="144" spans="1:10" x14ac:dyDescent="0.25">
      <c r="A144" s="168"/>
      <c r="B144" s="158">
        <v>22</v>
      </c>
      <c r="C144" s="158" t="s">
        <v>91</v>
      </c>
      <c r="D144" s="158" t="s">
        <v>92</v>
      </c>
      <c r="E144" s="240" t="e">
        <f>VLOOKUP(C144,#REF!,3,FALSE)</f>
        <v>#REF!</v>
      </c>
      <c r="F144" s="240">
        <f t="shared" si="29"/>
        <v>0</v>
      </c>
      <c r="G144" s="338" t="str">
        <f t="shared" si="30"/>
        <v/>
      </c>
      <c r="J144" s="240"/>
    </row>
    <row r="145" spans="1:10" x14ac:dyDescent="0.25">
      <c r="A145" s="168"/>
      <c r="B145" s="158">
        <v>23</v>
      </c>
      <c r="C145" s="158" t="s">
        <v>95</v>
      </c>
      <c r="D145" s="158" t="s">
        <v>92</v>
      </c>
      <c r="E145" s="240" t="e">
        <f>VLOOKUP(C145,#REF!,3,FALSE)</f>
        <v>#REF!</v>
      </c>
      <c r="F145" s="240">
        <f t="shared" si="29"/>
        <v>0</v>
      </c>
      <c r="G145" s="338" t="str">
        <f t="shared" si="30"/>
        <v/>
      </c>
      <c r="J145" s="240"/>
    </row>
    <row r="146" spans="1:10" x14ac:dyDescent="0.25">
      <c r="A146" s="168"/>
      <c r="B146" s="158">
        <v>24</v>
      </c>
      <c r="C146" s="158" t="s">
        <v>97</v>
      </c>
      <c r="D146" s="158" t="s">
        <v>92</v>
      </c>
      <c r="E146" s="240" t="e">
        <f>VLOOKUP(C146,#REF!,3,FALSE)</f>
        <v>#REF!</v>
      </c>
      <c r="F146" s="240">
        <f t="shared" si="29"/>
        <v>0</v>
      </c>
      <c r="G146" s="338" t="str">
        <f t="shared" si="30"/>
        <v/>
      </c>
      <c r="J146" s="240"/>
    </row>
    <row r="147" spans="1:10" x14ac:dyDescent="0.25">
      <c r="A147" s="168"/>
      <c r="B147" s="158">
        <v>25</v>
      </c>
      <c r="C147" s="158" t="s">
        <v>99</v>
      </c>
      <c r="D147" s="158" t="s">
        <v>100</v>
      </c>
      <c r="E147" s="240" t="e">
        <f>VLOOKUP(C147,#REF!,3,FALSE)</f>
        <v>#REF!</v>
      </c>
      <c r="F147" s="240">
        <f t="shared" si="29"/>
        <v>0</v>
      </c>
      <c r="G147" s="338" t="str">
        <f t="shared" si="30"/>
        <v/>
      </c>
      <c r="J147" s="240"/>
    </row>
    <row r="148" spans="1:10" x14ac:dyDescent="0.25">
      <c r="A148" s="168"/>
      <c r="B148" s="158">
        <v>26</v>
      </c>
      <c r="C148" s="158" t="s">
        <v>104</v>
      </c>
      <c r="D148" s="158" t="s">
        <v>100</v>
      </c>
      <c r="E148" s="240" t="e">
        <f>VLOOKUP(C148,#REF!,3,FALSE)</f>
        <v>#REF!</v>
      </c>
      <c r="F148" s="240">
        <f t="shared" si="29"/>
        <v>0</v>
      </c>
      <c r="G148" s="338" t="str">
        <f t="shared" si="30"/>
        <v/>
      </c>
      <c r="J148" s="240"/>
    </row>
    <row r="149" spans="1:10" x14ac:dyDescent="0.25">
      <c r="A149" s="168"/>
      <c r="B149" s="158">
        <v>27</v>
      </c>
      <c r="C149" s="158" t="s">
        <v>106</v>
      </c>
      <c r="D149" s="158" t="s">
        <v>107</v>
      </c>
      <c r="E149" s="240" t="e">
        <f>VLOOKUP(C149,#REF!,3,FALSE)</f>
        <v>#REF!</v>
      </c>
      <c r="F149" s="240">
        <f t="shared" si="29"/>
        <v>0</v>
      </c>
      <c r="G149" s="338" t="str">
        <f t="shared" si="30"/>
        <v/>
      </c>
      <c r="J149" s="240"/>
    </row>
    <row r="150" spans="1:10" x14ac:dyDescent="0.25">
      <c r="A150" s="168"/>
      <c r="B150" s="158">
        <v>28</v>
      </c>
      <c r="C150" s="158" t="s">
        <v>109</v>
      </c>
      <c r="D150" s="158" t="s">
        <v>110</v>
      </c>
      <c r="E150" s="240" t="e">
        <f>VLOOKUP(C150,#REF!,3,FALSE)</f>
        <v>#REF!</v>
      </c>
      <c r="F150" s="240">
        <f t="shared" si="29"/>
        <v>0</v>
      </c>
      <c r="G150" s="338" t="str">
        <f t="shared" si="30"/>
        <v/>
      </c>
      <c r="J150" s="240"/>
    </row>
    <row r="151" spans="1:10" x14ac:dyDescent="0.25">
      <c r="A151" s="168"/>
      <c r="B151" s="158">
        <v>29</v>
      </c>
      <c r="C151" s="158" t="s">
        <v>113</v>
      </c>
      <c r="D151" s="158" t="s">
        <v>110</v>
      </c>
      <c r="E151" s="240" t="e">
        <f>VLOOKUP(C151,#REF!,3,FALSE)</f>
        <v>#REF!</v>
      </c>
      <c r="F151" s="240">
        <f t="shared" si="29"/>
        <v>0</v>
      </c>
      <c r="G151" s="338" t="str">
        <f t="shared" si="30"/>
        <v/>
      </c>
      <c r="J151" s="240"/>
    </row>
    <row r="152" spans="1:10" x14ac:dyDescent="0.25">
      <c r="A152" s="168"/>
      <c r="B152" s="158">
        <v>30</v>
      </c>
      <c r="C152" s="158" t="s">
        <v>511</v>
      </c>
      <c r="D152" s="158" t="s">
        <v>512</v>
      </c>
      <c r="E152" s="240" t="e">
        <f>VLOOKUP(C152,#REF!,3,FALSE)</f>
        <v>#REF!</v>
      </c>
      <c r="F152" s="240">
        <f t="shared" si="29"/>
        <v>0</v>
      </c>
      <c r="G152" s="338" t="str">
        <f t="shared" si="30"/>
        <v/>
      </c>
      <c r="J152" s="240"/>
    </row>
    <row r="153" spans="1:10" x14ac:dyDescent="0.25">
      <c r="A153" s="168"/>
      <c r="B153" s="158">
        <v>31</v>
      </c>
      <c r="C153" s="158" t="s">
        <v>120</v>
      </c>
      <c r="D153" s="158" t="s">
        <v>121</v>
      </c>
      <c r="E153" s="240" t="e">
        <f>VLOOKUP(C153,#REF!,3,FALSE)</f>
        <v>#REF!</v>
      </c>
      <c r="F153" s="240">
        <f t="shared" si="29"/>
        <v>0</v>
      </c>
      <c r="G153" s="338" t="str">
        <f t="shared" si="30"/>
        <v/>
      </c>
      <c r="J153" s="240"/>
    </row>
    <row r="154" spans="1:10" x14ac:dyDescent="0.25">
      <c r="A154" s="168"/>
      <c r="B154" s="158">
        <v>32</v>
      </c>
      <c r="C154" s="158" t="s">
        <v>125</v>
      </c>
      <c r="D154" s="158" t="s">
        <v>121</v>
      </c>
      <c r="E154" s="240" t="e">
        <f>VLOOKUP(C154,#REF!,3,FALSE)</f>
        <v>#REF!</v>
      </c>
      <c r="F154" s="240">
        <f t="shared" si="29"/>
        <v>0</v>
      </c>
      <c r="G154" s="338" t="str">
        <f t="shared" si="30"/>
        <v/>
      </c>
      <c r="J154" s="240"/>
    </row>
    <row r="155" spans="1:10" x14ac:dyDescent="0.25">
      <c r="A155" s="168"/>
      <c r="B155" s="158">
        <v>33</v>
      </c>
      <c r="C155" s="158" t="s">
        <v>513</v>
      </c>
      <c r="D155" s="158" t="s">
        <v>514</v>
      </c>
      <c r="E155" s="240" t="e">
        <f>VLOOKUP(C155,#REF!,3,FALSE)</f>
        <v>#REF!</v>
      </c>
      <c r="F155" s="240">
        <f t="shared" si="29"/>
        <v>0</v>
      </c>
      <c r="G155" s="338" t="str">
        <f t="shared" si="30"/>
        <v/>
      </c>
      <c r="J155" s="240"/>
    </row>
    <row r="156" spans="1:10" x14ac:dyDescent="0.25">
      <c r="B156" s="240"/>
      <c r="C156" s="240"/>
      <c r="D156" s="240"/>
      <c r="E156" s="240"/>
      <c r="F156" s="240">
        <f>SUM(F123:F155)</f>
        <v>0</v>
      </c>
      <c r="G156" s="339">
        <f>SUM(G123:G155)</f>
        <v>0</v>
      </c>
      <c r="J156" s="240"/>
    </row>
    <row r="157" spans="1:10" x14ac:dyDescent="0.25">
      <c r="B157" s="240"/>
      <c r="C157" s="240"/>
      <c r="D157" s="240"/>
      <c r="E157" s="240"/>
      <c r="J157" s="240"/>
    </row>
    <row r="158" spans="1:10" x14ac:dyDescent="0.25">
      <c r="B158" s="240"/>
      <c r="C158" s="240"/>
      <c r="D158" s="240"/>
      <c r="E158" s="240"/>
      <c r="J158" s="240"/>
    </row>
    <row r="159" spans="1:10" x14ac:dyDescent="0.25">
      <c r="B159" s="240"/>
      <c r="C159" s="240"/>
      <c r="D159" s="240"/>
      <c r="E159" s="240"/>
      <c r="J159" s="240"/>
    </row>
    <row r="160" spans="1:10" x14ac:dyDescent="0.25">
      <c r="B160" s="240"/>
      <c r="C160" s="240"/>
      <c r="D160" s="240"/>
      <c r="E160" s="240"/>
      <c r="J160" s="240"/>
    </row>
    <row r="161" spans="2:10" x14ac:dyDescent="0.25">
      <c r="B161" s="240"/>
      <c r="C161" s="240"/>
      <c r="D161" s="240"/>
      <c r="E161" s="240"/>
      <c r="J161" s="240"/>
    </row>
    <row r="162" spans="2:10" x14ac:dyDescent="0.25">
      <c r="B162" s="240"/>
      <c r="C162" s="240"/>
      <c r="D162" s="240"/>
      <c r="E162" s="240"/>
      <c r="J162" s="240"/>
    </row>
    <row r="163" spans="2:10" x14ac:dyDescent="0.25">
      <c r="B163" s="240"/>
      <c r="C163" s="240"/>
      <c r="D163" s="240"/>
      <c r="E163" s="240"/>
      <c r="J163" s="240"/>
    </row>
    <row r="164" spans="2:10" x14ac:dyDescent="0.25">
      <c r="B164" s="240"/>
      <c r="C164" s="240"/>
      <c r="D164" s="240"/>
      <c r="E164" s="240"/>
      <c r="J164" s="240"/>
    </row>
    <row r="165" spans="2:10" x14ac:dyDescent="0.25">
      <c r="B165" s="240"/>
      <c r="C165" s="240"/>
      <c r="D165" s="240"/>
      <c r="E165" s="240"/>
      <c r="J165" s="240"/>
    </row>
    <row r="166" spans="2:10" x14ac:dyDescent="0.25">
      <c r="B166" s="240"/>
      <c r="C166" s="240"/>
      <c r="D166" s="240"/>
      <c r="E166" s="240"/>
      <c r="J166" s="240"/>
    </row>
    <row r="167" spans="2:10" x14ac:dyDescent="0.25">
      <c r="B167" s="240"/>
      <c r="C167" s="240"/>
      <c r="D167" s="240"/>
      <c r="E167" s="240"/>
      <c r="J167" s="240"/>
    </row>
    <row r="168" spans="2:10" x14ac:dyDescent="0.25">
      <c r="B168" s="240"/>
      <c r="C168" s="240"/>
      <c r="D168" s="240"/>
      <c r="E168" s="240"/>
      <c r="J168" s="240"/>
    </row>
    <row r="169" spans="2:10" x14ac:dyDescent="0.25">
      <c r="B169" s="240"/>
      <c r="C169" s="240"/>
      <c r="D169" s="240"/>
      <c r="E169" s="240"/>
      <c r="J169" s="240"/>
    </row>
    <row r="170" spans="2:10" x14ac:dyDescent="0.25">
      <c r="B170" s="240"/>
      <c r="C170" s="240"/>
      <c r="D170" s="240"/>
      <c r="E170" s="240"/>
      <c r="J170" s="240"/>
    </row>
    <row r="171" spans="2:10" x14ac:dyDescent="0.25">
      <c r="B171" s="240"/>
      <c r="C171" s="240"/>
      <c r="D171" s="240"/>
      <c r="E171" s="240"/>
      <c r="J171" s="240"/>
    </row>
    <row r="172" spans="2:10" x14ac:dyDescent="0.25">
      <c r="B172" s="240"/>
      <c r="C172" s="240"/>
      <c r="D172" s="240"/>
      <c r="E172" s="240"/>
      <c r="J172" s="240"/>
    </row>
    <row r="199" spans="2:11" x14ac:dyDescent="0.25">
      <c r="B199" s="158">
        <v>0</v>
      </c>
    </row>
    <row r="200" spans="2:11" x14ac:dyDescent="0.25">
      <c r="B200" s="168">
        <v>1</v>
      </c>
      <c r="C200" s="168" t="s">
        <v>515</v>
      </c>
      <c r="D200" s="168" t="s">
        <v>516</v>
      </c>
      <c r="E200" s="168" t="s">
        <v>517</v>
      </c>
      <c r="H200" s="168">
        <v>1</v>
      </c>
      <c r="I200" s="168" t="s">
        <v>515</v>
      </c>
      <c r="J200" s="168" t="s">
        <v>516</v>
      </c>
      <c r="K200" s="168" t="s">
        <v>517</v>
      </c>
    </row>
    <row r="201" spans="2:11" x14ac:dyDescent="0.25">
      <c r="B201" s="168">
        <v>2</v>
      </c>
      <c r="C201" s="168">
        <v>1950</v>
      </c>
      <c r="D201" s="168" t="s">
        <v>518</v>
      </c>
      <c r="E201" s="168">
        <v>1</v>
      </c>
      <c r="H201" s="168">
        <v>2</v>
      </c>
      <c r="I201" s="168">
        <v>1900</v>
      </c>
      <c r="J201" s="168" t="s">
        <v>518</v>
      </c>
      <c r="K201" s="168">
        <v>1</v>
      </c>
    </row>
    <row r="202" spans="2:11" x14ac:dyDescent="0.25">
      <c r="B202" s="168">
        <v>3</v>
      </c>
      <c r="C202" s="168">
        <v>1951</v>
      </c>
      <c r="D202" s="168" t="s">
        <v>519</v>
      </c>
      <c r="E202" s="168">
        <v>2</v>
      </c>
      <c r="H202" s="168">
        <v>3</v>
      </c>
      <c r="I202" s="168">
        <v>1901</v>
      </c>
      <c r="J202" s="168" t="s">
        <v>519</v>
      </c>
      <c r="K202" s="168">
        <v>2</v>
      </c>
    </row>
    <row r="203" spans="2:11" x14ac:dyDescent="0.25">
      <c r="B203" s="168">
        <v>4</v>
      </c>
      <c r="C203" s="168">
        <v>1952</v>
      </c>
      <c r="D203" s="168" t="s">
        <v>520</v>
      </c>
      <c r="E203" s="168">
        <v>3</v>
      </c>
      <c r="H203" s="168">
        <v>4</v>
      </c>
      <c r="I203" s="168">
        <v>1902</v>
      </c>
      <c r="J203" s="168" t="s">
        <v>520</v>
      </c>
      <c r="K203" s="168">
        <v>3</v>
      </c>
    </row>
    <row r="204" spans="2:11" x14ac:dyDescent="0.25">
      <c r="B204" s="168">
        <v>5</v>
      </c>
      <c r="C204" s="168">
        <v>1953</v>
      </c>
      <c r="D204" s="168" t="s">
        <v>521</v>
      </c>
      <c r="E204" s="168">
        <v>4</v>
      </c>
      <c r="H204" s="168">
        <v>5</v>
      </c>
      <c r="I204" s="168">
        <v>1903</v>
      </c>
      <c r="J204" s="168" t="s">
        <v>521</v>
      </c>
      <c r="K204" s="168">
        <v>4</v>
      </c>
    </row>
    <row r="205" spans="2:11" x14ac:dyDescent="0.25">
      <c r="B205" s="168">
        <v>6</v>
      </c>
      <c r="C205" s="168">
        <v>1954</v>
      </c>
      <c r="D205" s="168" t="s">
        <v>522</v>
      </c>
      <c r="E205" s="168">
        <v>5</v>
      </c>
      <c r="H205" s="168">
        <v>6</v>
      </c>
      <c r="I205" s="168">
        <v>1904</v>
      </c>
      <c r="J205" s="168" t="s">
        <v>522</v>
      </c>
      <c r="K205" s="168">
        <v>5</v>
      </c>
    </row>
    <row r="206" spans="2:11" x14ac:dyDescent="0.25">
      <c r="B206" s="168">
        <v>7</v>
      </c>
      <c r="C206" s="168">
        <v>1955</v>
      </c>
      <c r="D206" s="168" t="s">
        <v>523</v>
      </c>
      <c r="E206" s="168">
        <v>6</v>
      </c>
      <c r="H206" s="168">
        <v>7</v>
      </c>
      <c r="I206" s="168">
        <v>1905</v>
      </c>
      <c r="J206" s="168" t="s">
        <v>523</v>
      </c>
      <c r="K206" s="168">
        <v>6</v>
      </c>
    </row>
    <row r="207" spans="2:11" x14ac:dyDescent="0.25">
      <c r="B207" s="168">
        <v>8</v>
      </c>
      <c r="C207" s="168">
        <v>1956</v>
      </c>
      <c r="D207" s="168" t="s">
        <v>524</v>
      </c>
      <c r="E207" s="168">
        <v>7</v>
      </c>
      <c r="H207" s="168">
        <v>8</v>
      </c>
      <c r="I207" s="168">
        <v>1906</v>
      </c>
      <c r="J207" s="168" t="s">
        <v>524</v>
      </c>
      <c r="K207" s="168">
        <v>7</v>
      </c>
    </row>
    <row r="208" spans="2:11" x14ac:dyDescent="0.25">
      <c r="B208" s="168">
        <v>9</v>
      </c>
      <c r="C208" s="168">
        <v>1957</v>
      </c>
      <c r="D208" s="168" t="s">
        <v>525</v>
      </c>
      <c r="E208" s="168">
        <v>8</v>
      </c>
      <c r="H208" s="168">
        <v>9</v>
      </c>
      <c r="I208" s="168">
        <v>1907</v>
      </c>
      <c r="J208" s="168" t="s">
        <v>525</v>
      </c>
      <c r="K208" s="168">
        <v>8</v>
      </c>
    </row>
    <row r="209" spans="2:11" x14ac:dyDescent="0.25">
      <c r="B209" s="168">
        <v>10</v>
      </c>
      <c r="C209" s="168">
        <v>1958</v>
      </c>
      <c r="D209" s="168" t="s">
        <v>526</v>
      </c>
      <c r="E209" s="168">
        <v>9</v>
      </c>
      <c r="H209" s="168">
        <v>10</v>
      </c>
      <c r="I209" s="168">
        <v>1908</v>
      </c>
      <c r="J209" s="168" t="s">
        <v>526</v>
      </c>
      <c r="K209" s="168">
        <v>9</v>
      </c>
    </row>
    <row r="210" spans="2:11" x14ac:dyDescent="0.25">
      <c r="B210" s="168">
        <v>11</v>
      </c>
      <c r="C210" s="168">
        <v>1959</v>
      </c>
      <c r="D210" s="168" t="s">
        <v>527</v>
      </c>
      <c r="E210" s="168">
        <v>10</v>
      </c>
      <c r="H210" s="168">
        <v>11</v>
      </c>
      <c r="I210" s="168">
        <v>1909</v>
      </c>
      <c r="J210" s="168" t="s">
        <v>527</v>
      </c>
      <c r="K210" s="168">
        <v>10</v>
      </c>
    </row>
    <row r="211" spans="2:11" x14ac:dyDescent="0.25">
      <c r="B211" s="168">
        <v>12</v>
      </c>
      <c r="C211" s="168">
        <v>1960</v>
      </c>
      <c r="D211" s="168" t="s">
        <v>528</v>
      </c>
      <c r="E211" s="168">
        <v>11</v>
      </c>
      <c r="H211" s="168">
        <v>12</v>
      </c>
      <c r="I211" s="168">
        <v>1910</v>
      </c>
      <c r="J211" s="168" t="s">
        <v>528</v>
      </c>
      <c r="K211" s="168">
        <v>11</v>
      </c>
    </row>
    <row r="212" spans="2:11" x14ac:dyDescent="0.25">
      <c r="B212" s="168">
        <v>13</v>
      </c>
      <c r="C212" s="168">
        <v>1961</v>
      </c>
      <c r="D212" s="168" t="s">
        <v>529</v>
      </c>
      <c r="E212" s="168">
        <v>12</v>
      </c>
      <c r="H212" s="168">
        <v>13</v>
      </c>
      <c r="I212" s="168">
        <v>1911</v>
      </c>
      <c r="J212" s="168" t="s">
        <v>529</v>
      </c>
      <c r="K212" s="168">
        <v>12</v>
      </c>
    </row>
    <row r="213" spans="2:11" x14ac:dyDescent="0.25">
      <c r="B213" s="168">
        <v>14</v>
      </c>
      <c r="C213" s="168">
        <v>1962</v>
      </c>
      <c r="D213" s="168"/>
      <c r="E213" s="168">
        <v>13</v>
      </c>
      <c r="H213" s="168">
        <v>14</v>
      </c>
      <c r="I213" s="168">
        <v>1912</v>
      </c>
      <c r="J213" s="168"/>
      <c r="K213" s="168">
        <v>13</v>
      </c>
    </row>
    <row r="214" spans="2:11" x14ac:dyDescent="0.25">
      <c r="B214" s="168">
        <v>15</v>
      </c>
      <c r="C214" s="168">
        <v>1963</v>
      </c>
      <c r="D214" s="168"/>
      <c r="E214" s="168">
        <v>14</v>
      </c>
      <c r="H214" s="168">
        <v>15</v>
      </c>
      <c r="I214" s="168">
        <v>1913</v>
      </c>
      <c r="J214" s="168"/>
      <c r="K214" s="168">
        <v>14</v>
      </c>
    </row>
    <row r="215" spans="2:11" x14ac:dyDescent="0.25">
      <c r="B215" s="168">
        <v>16</v>
      </c>
      <c r="C215" s="168">
        <v>1964</v>
      </c>
      <c r="D215" s="168"/>
      <c r="E215" s="168">
        <v>15</v>
      </c>
      <c r="H215" s="168">
        <v>16</v>
      </c>
      <c r="I215" s="168">
        <v>1914</v>
      </c>
      <c r="J215" s="168"/>
      <c r="K215" s="168">
        <v>15</v>
      </c>
    </row>
    <row r="216" spans="2:11" x14ac:dyDescent="0.25">
      <c r="B216" s="168">
        <v>17</v>
      </c>
      <c r="C216" s="168">
        <v>1965</v>
      </c>
      <c r="D216" s="168"/>
      <c r="E216" s="168">
        <v>16</v>
      </c>
      <c r="H216" s="168">
        <v>17</v>
      </c>
      <c r="I216" s="168">
        <v>1915</v>
      </c>
      <c r="J216" s="168"/>
      <c r="K216" s="168">
        <v>16</v>
      </c>
    </row>
    <row r="217" spans="2:11" x14ac:dyDescent="0.25">
      <c r="B217" s="168">
        <v>18</v>
      </c>
      <c r="C217" s="168">
        <v>1966</v>
      </c>
      <c r="D217" s="168"/>
      <c r="E217" s="168">
        <v>17</v>
      </c>
      <c r="H217" s="168">
        <v>18</v>
      </c>
      <c r="I217" s="168">
        <v>1916</v>
      </c>
      <c r="J217" s="168"/>
      <c r="K217" s="168">
        <v>17</v>
      </c>
    </row>
    <row r="218" spans="2:11" x14ac:dyDescent="0.25">
      <c r="B218" s="168">
        <v>19</v>
      </c>
      <c r="C218" s="168">
        <v>1967</v>
      </c>
      <c r="D218" s="168"/>
      <c r="E218" s="168">
        <v>18</v>
      </c>
      <c r="H218" s="168">
        <v>19</v>
      </c>
      <c r="I218" s="168">
        <v>1917</v>
      </c>
      <c r="J218" s="168"/>
      <c r="K218" s="168">
        <v>18</v>
      </c>
    </row>
    <row r="219" spans="2:11" x14ac:dyDescent="0.25">
      <c r="B219" s="168">
        <v>20</v>
      </c>
      <c r="C219" s="168">
        <v>1968</v>
      </c>
      <c r="D219" s="168"/>
      <c r="E219" s="168">
        <v>19</v>
      </c>
      <c r="H219" s="168">
        <v>20</v>
      </c>
      <c r="I219" s="168">
        <v>1918</v>
      </c>
      <c r="J219" s="168"/>
      <c r="K219" s="168">
        <v>19</v>
      </c>
    </row>
    <row r="220" spans="2:11" x14ac:dyDescent="0.25">
      <c r="B220" s="168">
        <v>21</v>
      </c>
      <c r="C220" s="168">
        <v>1969</v>
      </c>
      <c r="D220" s="168"/>
      <c r="E220" s="168">
        <v>20</v>
      </c>
      <c r="H220" s="168">
        <v>21</v>
      </c>
      <c r="I220" s="168">
        <v>1919</v>
      </c>
      <c r="J220" s="168"/>
      <c r="K220" s="168">
        <v>20</v>
      </c>
    </row>
    <row r="221" spans="2:11" x14ac:dyDescent="0.25">
      <c r="B221" s="168">
        <v>22</v>
      </c>
      <c r="C221" s="168">
        <v>1970</v>
      </c>
      <c r="D221" s="168"/>
      <c r="E221" s="168">
        <v>21</v>
      </c>
      <c r="H221" s="168">
        <v>22</v>
      </c>
      <c r="I221" s="168">
        <v>1920</v>
      </c>
      <c r="J221" s="168"/>
      <c r="K221" s="168">
        <v>21</v>
      </c>
    </row>
    <row r="222" spans="2:11" x14ac:dyDescent="0.25">
      <c r="B222" s="168">
        <v>23</v>
      </c>
      <c r="C222" s="168">
        <v>1971</v>
      </c>
      <c r="D222" s="168"/>
      <c r="E222" s="168">
        <v>22</v>
      </c>
      <c r="H222" s="168">
        <v>23</v>
      </c>
      <c r="I222" s="168">
        <v>1921</v>
      </c>
      <c r="J222" s="168"/>
      <c r="K222" s="168">
        <v>22</v>
      </c>
    </row>
    <row r="223" spans="2:11" x14ac:dyDescent="0.25">
      <c r="B223" s="168">
        <v>24</v>
      </c>
      <c r="C223" s="168">
        <v>1972</v>
      </c>
      <c r="D223" s="168"/>
      <c r="E223" s="168">
        <v>23</v>
      </c>
      <c r="H223" s="168">
        <v>24</v>
      </c>
      <c r="I223" s="168">
        <v>1922</v>
      </c>
      <c r="J223" s="168"/>
      <c r="K223" s="168">
        <v>23</v>
      </c>
    </row>
    <row r="224" spans="2:11" x14ac:dyDescent="0.25">
      <c r="B224" s="168">
        <v>25</v>
      </c>
      <c r="C224" s="168">
        <v>1973</v>
      </c>
      <c r="D224" s="168"/>
      <c r="E224" s="168">
        <v>24</v>
      </c>
      <c r="H224" s="168">
        <v>25</v>
      </c>
      <c r="I224" s="168">
        <v>1923</v>
      </c>
      <c r="J224" s="168"/>
      <c r="K224" s="168">
        <v>24</v>
      </c>
    </row>
    <row r="225" spans="2:11" x14ac:dyDescent="0.25">
      <c r="B225" s="168">
        <v>26</v>
      </c>
      <c r="C225" s="168">
        <v>1974</v>
      </c>
      <c r="D225" s="168"/>
      <c r="E225" s="168">
        <v>25</v>
      </c>
      <c r="H225" s="168">
        <v>26</v>
      </c>
      <c r="I225" s="168">
        <v>1924</v>
      </c>
      <c r="J225" s="168"/>
      <c r="K225" s="168">
        <v>25</v>
      </c>
    </row>
    <row r="226" spans="2:11" x14ac:dyDescent="0.25">
      <c r="B226" s="168">
        <v>27</v>
      </c>
      <c r="C226" s="168">
        <v>1975</v>
      </c>
      <c r="D226" s="168"/>
      <c r="E226" s="168">
        <v>26</v>
      </c>
      <c r="H226" s="168">
        <v>27</v>
      </c>
      <c r="I226" s="168">
        <v>1925</v>
      </c>
      <c r="J226" s="168"/>
      <c r="K226" s="168">
        <v>26</v>
      </c>
    </row>
    <row r="227" spans="2:11" x14ac:dyDescent="0.25">
      <c r="B227" s="168">
        <v>28</v>
      </c>
      <c r="C227" s="168">
        <v>1976</v>
      </c>
      <c r="D227" s="168"/>
      <c r="E227" s="168">
        <v>27</v>
      </c>
      <c r="H227" s="168">
        <v>28</v>
      </c>
      <c r="I227" s="168">
        <v>1926</v>
      </c>
      <c r="J227" s="168"/>
      <c r="K227" s="168">
        <v>27</v>
      </c>
    </row>
    <row r="228" spans="2:11" x14ac:dyDescent="0.25">
      <c r="B228" s="168">
        <v>29</v>
      </c>
      <c r="C228" s="168">
        <v>1977</v>
      </c>
      <c r="D228" s="168"/>
      <c r="E228" s="168">
        <v>28</v>
      </c>
      <c r="H228" s="168">
        <v>29</v>
      </c>
      <c r="I228" s="168">
        <v>1927</v>
      </c>
      <c r="J228" s="168"/>
      <c r="K228" s="168">
        <v>28</v>
      </c>
    </row>
    <row r="229" spans="2:11" x14ac:dyDescent="0.25">
      <c r="B229" s="168">
        <v>30</v>
      </c>
      <c r="C229" s="168">
        <v>1978</v>
      </c>
      <c r="D229" s="168"/>
      <c r="E229" s="168">
        <v>29</v>
      </c>
      <c r="H229" s="168">
        <v>30</v>
      </c>
      <c r="I229" s="168">
        <v>1928</v>
      </c>
      <c r="J229" s="168"/>
      <c r="K229" s="168">
        <v>29</v>
      </c>
    </row>
    <row r="230" spans="2:11" x14ac:dyDescent="0.25">
      <c r="B230" s="168">
        <v>31</v>
      </c>
      <c r="C230" s="168">
        <v>1979</v>
      </c>
      <c r="D230" s="168"/>
      <c r="E230" s="168">
        <v>30</v>
      </c>
      <c r="H230" s="168">
        <v>31</v>
      </c>
      <c r="I230" s="168">
        <v>1929</v>
      </c>
      <c r="J230" s="168"/>
      <c r="K230" s="168">
        <v>30</v>
      </c>
    </row>
    <row r="231" spans="2:11" x14ac:dyDescent="0.25">
      <c r="B231" s="168">
        <v>32</v>
      </c>
      <c r="C231" s="168">
        <v>1980</v>
      </c>
      <c r="D231" s="168"/>
      <c r="E231" s="168">
        <v>31</v>
      </c>
      <c r="H231" s="168">
        <v>32</v>
      </c>
      <c r="I231" s="168">
        <v>1930</v>
      </c>
      <c r="J231" s="168"/>
      <c r="K231" s="168">
        <v>31</v>
      </c>
    </row>
    <row r="232" spans="2:11" x14ac:dyDescent="0.25">
      <c r="B232" s="168">
        <v>33</v>
      </c>
      <c r="C232" s="168">
        <v>1981</v>
      </c>
      <c r="D232" s="240"/>
      <c r="E232" s="240"/>
      <c r="H232" s="168">
        <v>33</v>
      </c>
      <c r="I232" s="168">
        <v>1931</v>
      </c>
      <c r="J232" s="240"/>
      <c r="K232" s="240"/>
    </row>
    <row r="233" spans="2:11" x14ac:dyDescent="0.25">
      <c r="B233" s="168">
        <v>34</v>
      </c>
      <c r="C233" s="168">
        <v>1982</v>
      </c>
      <c r="D233" s="240"/>
      <c r="E233" s="240"/>
      <c r="H233" s="168">
        <v>34</v>
      </c>
      <c r="I233" s="168">
        <v>1932</v>
      </c>
      <c r="J233" s="240"/>
      <c r="K233" s="240"/>
    </row>
    <row r="234" spans="2:11" x14ac:dyDescent="0.25">
      <c r="B234" s="168">
        <v>35</v>
      </c>
      <c r="C234" s="168">
        <v>1983</v>
      </c>
      <c r="D234" s="240"/>
      <c r="E234" s="240"/>
      <c r="H234" s="168">
        <v>35</v>
      </c>
      <c r="I234" s="168">
        <v>1933</v>
      </c>
      <c r="J234" s="240"/>
      <c r="K234" s="240"/>
    </row>
    <row r="235" spans="2:11" x14ac:dyDescent="0.25">
      <c r="B235" s="168">
        <v>36</v>
      </c>
      <c r="C235" s="168">
        <v>1984</v>
      </c>
      <c r="D235" s="240"/>
      <c r="E235" s="240"/>
      <c r="H235" s="168">
        <v>36</v>
      </c>
      <c r="I235" s="168">
        <v>1934</v>
      </c>
      <c r="J235" s="240"/>
      <c r="K235" s="240"/>
    </row>
    <row r="236" spans="2:11" x14ac:dyDescent="0.25">
      <c r="B236" s="168">
        <v>37</v>
      </c>
      <c r="C236" s="168">
        <v>1985</v>
      </c>
      <c r="D236" s="240"/>
      <c r="E236" s="240"/>
      <c r="H236" s="168">
        <v>37</v>
      </c>
      <c r="I236" s="168">
        <v>1935</v>
      </c>
      <c r="J236" s="240"/>
      <c r="K236" s="240"/>
    </row>
    <row r="237" spans="2:11" x14ac:dyDescent="0.25">
      <c r="B237" s="168">
        <v>38</v>
      </c>
      <c r="C237" s="168">
        <v>1986</v>
      </c>
      <c r="D237" s="240"/>
      <c r="E237" s="240"/>
      <c r="H237" s="168">
        <v>38</v>
      </c>
      <c r="I237" s="168">
        <v>1936</v>
      </c>
      <c r="J237" s="240"/>
      <c r="K237" s="240"/>
    </row>
    <row r="238" spans="2:11" x14ac:dyDescent="0.25">
      <c r="B238" s="168">
        <v>39</v>
      </c>
      <c r="C238" s="168">
        <v>1987</v>
      </c>
      <c r="D238" s="240"/>
      <c r="E238" s="240"/>
      <c r="H238" s="168">
        <v>39</v>
      </c>
      <c r="I238" s="168">
        <v>1937</v>
      </c>
      <c r="J238" s="240"/>
      <c r="K238" s="240"/>
    </row>
    <row r="239" spans="2:11" x14ac:dyDescent="0.25">
      <c r="B239" s="168">
        <v>40</v>
      </c>
      <c r="C239" s="168">
        <v>1988</v>
      </c>
      <c r="D239" s="240"/>
      <c r="E239" s="240"/>
      <c r="H239" s="168">
        <v>40</v>
      </c>
      <c r="I239" s="168">
        <v>1938</v>
      </c>
      <c r="J239" s="240"/>
      <c r="K239" s="240"/>
    </row>
    <row r="240" spans="2:11" x14ac:dyDescent="0.25">
      <c r="B240" s="168">
        <v>41</v>
      </c>
      <c r="C240" s="168">
        <v>1989</v>
      </c>
      <c r="D240" s="240"/>
      <c r="E240" s="240"/>
      <c r="H240" s="168">
        <v>41</v>
      </c>
      <c r="I240" s="168">
        <v>1939</v>
      </c>
      <c r="J240" s="240"/>
      <c r="K240" s="240"/>
    </row>
    <row r="241" spans="2:11" x14ac:dyDescent="0.25">
      <c r="B241" s="168">
        <v>42</v>
      </c>
      <c r="C241" s="168">
        <v>1990</v>
      </c>
      <c r="D241" s="240"/>
      <c r="E241" s="240"/>
      <c r="H241" s="168">
        <v>42</v>
      </c>
      <c r="I241" s="168">
        <v>1940</v>
      </c>
      <c r="J241" s="240"/>
      <c r="K241" s="240"/>
    </row>
    <row r="242" spans="2:11" x14ac:dyDescent="0.25">
      <c r="B242" s="168">
        <v>43</v>
      </c>
      <c r="C242" s="168">
        <v>1991</v>
      </c>
      <c r="D242" s="240"/>
      <c r="E242" s="240"/>
      <c r="H242" s="168">
        <v>43</v>
      </c>
      <c r="I242" s="168">
        <v>1941</v>
      </c>
      <c r="J242" s="240"/>
      <c r="K242" s="240"/>
    </row>
    <row r="243" spans="2:11" x14ac:dyDescent="0.25">
      <c r="B243" s="168">
        <v>44</v>
      </c>
      <c r="C243" s="168">
        <v>1992</v>
      </c>
      <c r="H243" s="168">
        <v>44</v>
      </c>
      <c r="I243" s="168">
        <v>1942</v>
      </c>
    </row>
    <row r="244" spans="2:11" x14ac:dyDescent="0.25">
      <c r="B244" s="168">
        <v>45</v>
      </c>
      <c r="C244" s="168">
        <v>1993</v>
      </c>
      <c r="H244" s="168">
        <v>45</v>
      </c>
      <c r="I244" s="168">
        <v>1943</v>
      </c>
    </row>
    <row r="245" spans="2:11" x14ac:dyDescent="0.25">
      <c r="B245" s="168">
        <v>46</v>
      </c>
      <c r="C245" s="168">
        <v>1994</v>
      </c>
      <c r="H245" s="168">
        <v>46</v>
      </c>
      <c r="I245" s="168">
        <v>1944</v>
      </c>
    </row>
    <row r="246" spans="2:11" x14ac:dyDescent="0.25">
      <c r="B246" s="168">
        <v>47</v>
      </c>
      <c r="C246" s="168">
        <v>1995</v>
      </c>
      <c r="H246" s="168">
        <v>47</v>
      </c>
      <c r="I246" s="168">
        <v>1945</v>
      </c>
    </row>
    <row r="247" spans="2:11" x14ac:dyDescent="0.25">
      <c r="B247" s="168">
        <v>48</v>
      </c>
      <c r="C247" s="168">
        <v>1996</v>
      </c>
      <c r="H247" s="168">
        <v>48</v>
      </c>
      <c r="I247" s="168">
        <v>1946</v>
      </c>
    </row>
    <row r="248" spans="2:11" x14ac:dyDescent="0.25">
      <c r="B248" s="168">
        <v>49</v>
      </c>
      <c r="C248" s="168">
        <v>1997</v>
      </c>
      <c r="H248" s="168">
        <v>49</v>
      </c>
      <c r="I248" s="168">
        <v>1947</v>
      </c>
    </row>
    <row r="249" spans="2:11" x14ac:dyDescent="0.25">
      <c r="B249" s="168">
        <v>50</v>
      </c>
      <c r="C249" s="168">
        <v>1998</v>
      </c>
      <c r="H249" s="168">
        <v>50</v>
      </c>
      <c r="I249" s="168">
        <v>1948</v>
      </c>
    </row>
    <row r="250" spans="2:11" x14ac:dyDescent="0.25">
      <c r="B250" s="168">
        <v>51</v>
      </c>
      <c r="C250" s="168">
        <v>1999</v>
      </c>
      <c r="H250" s="168">
        <v>51</v>
      </c>
      <c r="I250" s="168">
        <v>1949</v>
      </c>
    </row>
    <row r="251" spans="2:11" x14ac:dyDescent="0.25">
      <c r="B251" s="168">
        <v>52</v>
      </c>
      <c r="C251" s="168">
        <v>2000</v>
      </c>
      <c r="H251" s="168">
        <v>52</v>
      </c>
      <c r="I251" s="168">
        <v>1950</v>
      </c>
    </row>
    <row r="252" spans="2:11" x14ac:dyDescent="0.25">
      <c r="B252" s="168">
        <v>53</v>
      </c>
      <c r="C252" s="168">
        <v>2001</v>
      </c>
      <c r="H252" s="168">
        <v>53</v>
      </c>
      <c r="I252" s="168">
        <v>1951</v>
      </c>
    </row>
    <row r="253" spans="2:11" x14ac:dyDescent="0.25">
      <c r="B253" s="168">
        <v>54</v>
      </c>
      <c r="C253" s="168">
        <v>2002</v>
      </c>
      <c r="H253" s="168">
        <v>54</v>
      </c>
      <c r="I253" s="168">
        <v>1952</v>
      </c>
    </row>
    <row r="254" spans="2:11" x14ac:dyDescent="0.25">
      <c r="B254" s="168">
        <v>55</v>
      </c>
      <c r="C254" s="168">
        <v>2003</v>
      </c>
      <c r="H254" s="168">
        <v>55</v>
      </c>
      <c r="I254" s="168">
        <v>1953</v>
      </c>
    </row>
    <row r="255" spans="2:11" x14ac:dyDescent="0.25">
      <c r="B255" s="168">
        <v>56</v>
      </c>
      <c r="C255" s="168">
        <v>2004</v>
      </c>
      <c r="H255" s="168">
        <v>56</v>
      </c>
      <c r="I255" s="168">
        <v>1954</v>
      </c>
    </row>
    <row r="256" spans="2:11" x14ac:dyDescent="0.25">
      <c r="B256" s="168">
        <v>57</v>
      </c>
      <c r="C256" s="168">
        <v>2005</v>
      </c>
      <c r="H256" s="168">
        <v>57</v>
      </c>
      <c r="I256" s="168">
        <v>1955</v>
      </c>
    </row>
    <row r="257" spans="2:9" x14ac:dyDescent="0.25">
      <c r="B257" s="168">
        <v>58</v>
      </c>
      <c r="C257" s="168">
        <v>2006</v>
      </c>
      <c r="H257" s="168">
        <v>58</v>
      </c>
      <c r="I257" s="168">
        <v>1956</v>
      </c>
    </row>
    <row r="258" spans="2:9" x14ac:dyDescent="0.25">
      <c r="B258" s="168">
        <v>59</v>
      </c>
      <c r="C258" s="168">
        <v>2007</v>
      </c>
      <c r="H258" s="168">
        <v>59</v>
      </c>
      <c r="I258" s="168">
        <v>1957</v>
      </c>
    </row>
    <row r="259" spans="2:9" x14ac:dyDescent="0.25">
      <c r="B259" s="168">
        <v>60</v>
      </c>
      <c r="C259" s="168">
        <v>2008</v>
      </c>
      <c r="H259" s="168">
        <v>60</v>
      </c>
      <c r="I259" s="168">
        <v>1958</v>
      </c>
    </row>
    <row r="260" spans="2:9" x14ac:dyDescent="0.25">
      <c r="B260" s="168">
        <v>61</v>
      </c>
      <c r="C260" s="168">
        <v>2009</v>
      </c>
      <c r="H260" s="168">
        <v>61</v>
      </c>
      <c r="I260" s="168">
        <v>1959</v>
      </c>
    </row>
    <row r="261" spans="2:9" x14ac:dyDescent="0.25">
      <c r="B261" s="168">
        <v>62</v>
      </c>
      <c r="C261" s="168">
        <v>2010</v>
      </c>
      <c r="H261" s="168">
        <v>62</v>
      </c>
      <c r="I261" s="168">
        <v>1960</v>
      </c>
    </row>
    <row r="262" spans="2:9" x14ac:dyDescent="0.25">
      <c r="B262" s="168">
        <v>63</v>
      </c>
      <c r="C262" s="168">
        <v>2011</v>
      </c>
      <c r="H262" s="168">
        <v>63</v>
      </c>
      <c r="I262" s="168">
        <v>1961</v>
      </c>
    </row>
    <row r="263" spans="2:9" x14ac:dyDescent="0.25">
      <c r="B263" s="168">
        <v>64</v>
      </c>
      <c r="C263" s="168">
        <v>2012</v>
      </c>
      <c r="H263" s="168">
        <v>64</v>
      </c>
      <c r="I263" s="168">
        <v>1962</v>
      </c>
    </row>
    <row r="264" spans="2:9" x14ac:dyDescent="0.25">
      <c r="B264" s="168">
        <v>65</v>
      </c>
      <c r="C264" s="168">
        <v>2013</v>
      </c>
      <c r="H264" s="168">
        <v>65</v>
      </c>
      <c r="I264" s="168">
        <v>1963</v>
      </c>
    </row>
    <row r="265" spans="2:9" x14ac:dyDescent="0.25">
      <c r="B265" s="168">
        <v>66</v>
      </c>
      <c r="C265" s="168">
        <v>2014</v>
      </c>
      <c r="H265" s="168">
        <v>66</v>
      </c>
      <c r="I265" s="168">
        <v>1964</v>
      </c>
    </row>
    <row r="266" spans="2:9" x14ac:dyDescent="0.25">
      <c r="B266" s="168">
        <v>67</v>
      </c>
      <c r="C266" s="168">
        <v>2015</v>
      </c>
      <c r="H266" s="168">
        <v>67</v>
      </c>
      <c r="I266" s="168">
        <v>1965</v>
      </c>
    </row>
    <row r="267" spans="2:9" x14ac:dyDescent="0.25">
      <c r="B267" s="168">
        <v>68</v>
      </c>
      <c r="C267" s="168">
        <v>2016</v>
      </c>
      <c r="H267" s="168">
        <v>68</v>
      </c>
      <c r="I267" s="168">
        <v>1966</v>
      </c>
    </row>
    <row r="268" spans="2:9" x14ac:dyDescent="0.25">
      <c r="B268" s="168">
        <v>69</v>
      </c>
      <c r="C268" s="168">
        <v>2017</v>
      </c>
      <c r="H268" s="168">
        <v>69</v>
      </c>
      <c r="I268" s="168">
        <v>1967</v>
      </c>
    </row>
    <row r="269" spans="2:9" x14ac:dyDescent="0.25">
      <c r="B269" s="168">
        <v>70</v>
      </c>
      <c r="C269" s="168">
        <v>2018</v>
      </c>
      <c r="H269" s="168">
        <v>70</v>
      </c>
      <c r="I269" s="168">
        <v>1968</v>
      </c>
    </row>
    <row r="270" spans="2:9" x14ac:dyDescent="0.25">
      <c r="B270" s="168">
        <v>71</v>
      </c>
      <c r="C270" s="168">
        <v>2019</v>
      </c>
      <c r="H270" s="168">
        <v>71</v>
      </c>
      <c r="I270" s="168">
        <v>1969</v>
      </c>
    </row>
    <row r="271" spans="2:9" x14ac:dyDescent="0.25">
      <c r="B271" s="168">
        <v>72</v>
      </c>
      <c r="C271" s="168">
        <v>2020</v>
      </c>
      <c r="H271" s="168">
        <v>72</v>
      </c>
      <c r="I271" s="168">
        <v>1970</v>
      </c>
    </row>
    <row r="272" spans="2:9" x14ac:dyDescent="0.25">
      <c r="B272" s="168">
        <v>73</v>
      </c>
      <c r="C272" s="168">
        <v>2021</v>
      </c>
      <c r="H272" s="168">
        <v>73</v>
      </c>
      <c r="I272" s="168">
        <v>1971</v>
      </c>
    </row>
    <row r="273" spans="2:9" x14ac:dyDescent="0.25">
      <c r="B273" s="168">
        <v>74</v>
      </c>
      <c r="C273" s="168">
        <v>2022</v>
      </c>
      <c r="H273" s="168">
        <v>74</v>
      </c>
      <c r="I273" s="168">
        <v>1972</v>
      </c>
    </row>
    <row r="274" spans="2:9" x14ac:dyDescent="0.25">
      <c r="B274" s="168">
        <v>75</v>
      </c>
      <c r="C274" s="168">
        <v>2023</v>
      </c>
      <c r="H274" s="168">
        <v>75</v>
      </c>
      <c r="I274" s="168">
        <v>1973</v>
      </c>
    </row>
    <row r="275" spans="2:9" x14ac:dyDescent="0.25">
      <c r="B275" s="168">
        <v>76</v>
      </c>
      <c r="C275" s="168">
        <v>2024</v>
      </c>
      <c r="H275" s="168">
        <v>76</v>
      </c>
      <c r="I275" s="168">
        <v>1974</v>
      </c>
    </row>
    <row r="276" spans="2:9" x14ac:dyDescent="0.25">
      <c r="B276" s="168">
        <v>77</v>
      </c>
      <c r="C276" s="168">
        <v>2025</v>
      </c>
      <c r="H276" s="168">
        <v>77</v>
      </c>
      <c r="I276" s="168">
        <v>1975</v>
      </c>
    </row>
    <row r="277" spans="2:9" x14ac:dyDescent="0.25">
      <c r="B277" s="168">
        <v>78</v>
      </c>
      <c r="C277" s="168">
        <v>2026</v>
      </c>
      <c r="H277" s="168">
        <v>78</v>
      </c>
      <c r="I277" s="168">
        <v>1976</v>
      </c>
    </row>
    <row r="278" spans="2:9" x14ac:dyDescent="0.25">
      <c r="B278" s="168">
        <v>79</v>
      </c>
      <c r="C278" s="168">
        <v>2027</v>
      </c>
      <c r="H278" s="168">
        <v>79</v>
      </c>
      <c r="I278" s="168">
        <v>1977</v>
      </c>
    </row>
    <row r="279" spans="2:9" x14ac:dyDescent="0.25">
      <c r="B279" s="168">
        <v>80</v>
      </c>
      <c r="C279" s="168">
        <v>2028</v>
      </c>
      <c r="H279" s="168">
        <v>80</v>
      </c>
      <c r="I279" s="168">
        <v>1978</v>
      </c>
    </row>
    <row r="280" spans="2:9" x14ac:dyDescent="0.25">
      <c r="B280" s="168">
        <v>81</v>
      </c>
      <c r="C280" s="168">
        <v>2029</v>
      </c>
      <c r="H280" s="168">
        <v>81</v>
      </c>
      <c r="I280" s="168">
        <v>1979</v>
      </c>
    </row>
    <row r="281" spans="2:9" x14ac:dyDescent="0.25">
      <c r="B281" s="168">
        <v>82</v>
      </c>
      <c r="C281" s="168">
        <v>2030</v>
      </c>
      <c r="H281" s="168">
        <v>82</v>
      </c>
      <c r="I281" s="168">
        <v>1980</v>
      </c>
    </row>
    <row r="282" spans="2:9" x14ac:dyDescent="0.25">
      <c r="B282" s="168">
        <v>83</v>
      </c>
      <c r="C282" s="168">
        <v>2031</v>
      </c>
      <c r="H282" s="168">
        <v>83</v>
      </c>
      <c r="I282" s="168">
        <v>1981</v>
      </c>
    </row>
    <row r="283" spans="2:9" x14ac:dyDescent="0.25">
      <c r="B283" s="168">
        <v>84</v>
      </c>
      <c r="C283" s="168">
        <v>2032</v>
      </c>
      <c r="H283" s="168">
        <v>84</v>
      </c>
      <c r="I283" s="168">
        <v>1982</v>
      </c>
    </row>
    <row r="284" spans="2:9" x14ac:dyDescent="0.25">
      <c r="B284" s="168">
        <v>85</v>
      </c>
      <c r="C284" s="168">
        <v>2033</v>
      </c>
      <c r="H284" s="168">
        <v>85</v>
      </c>
      <c r="I284" s="168">
        <v>1983</v>
      </c>
    </row>
    <row r="285" spans="2:9" x14ac:dyDescent="0.25">
      <c r="B285" s="168">
        <v>86</v>
      </c>
      <c r="C285" s="168">
        <v>2034</v>
      </c>
      <c r="H285" s="168">
        <v>86</v>
      </c>
      <c r="I285" s="168">
        <v>1984</v>
      </c>
    </row>
    <row r="286" spans="2:9" x14ac:dyDescent="0.25">
      <c r="B286" s="168">
        <v>87</v>
      </c>
      <c r="C286" s="168">
        <v>2035</v>
      </c>
      <c r="H286" s="168">
        <v>87</v>
      </c>
      <c r="I286" s="168">
        <v>1985</v>
      </c>
    </row>
    <row r="287" spans="2:9" x14ac:dyDescent="0.25">
      <c r="B287" s="168">
        <v>88</v>
      </c>
      <c r="C287" s="168">
        <v>2036</v>
      </c>
      <c r="H287" s="168">
        <v>88</v>
      </c>
      <c r="I287" s="168">
        <v>1986</v>
      </c>
    </row>
    <row r="288" spans="2:9" x14ac:dyDescent="0.25">
      <c r="B288" s="168">
        <v>89</v>
      </c>
      <c r="C288" s="168">
        <v>2037</v>
      </c>
      <c r="H288" s="168">
        <v>89</v>
      </c>
      <c r="I288" s="168">
        <v>1987</v>
      </c>
    </row>
    <row r="289" spans="2:9" x14ac:dyDescent="0.25">
      <c r="B289" s="168">
        <v>90</v>
      </c>
      <c r="C289" s="168">
        <v>2038</v>
      </c>
      <c r="H289" s="168">
        <v>90</v>
      </c>
      <c r="I289" s="168">
        <v>1988</v>
      </c>
    </row>
    <row r="290" spans="2:9" x14ac:dyDescent="0.25">
      <c r="B290" s="168">
        <v>91</v>
      </c>
      <c r="C290" s="168">
        <v>2039</v>
      </c>
      <c r="H290" s="168">
        <v>91</v>
      </c>
      <c r="I290" s="168">
        <v>1989</v>
      </c>
    </row>
    <row r="291" spans="2:9" x14ac:dyDescent="0.25">
      <c r="B291" s="168">
        <v>92</v>
      </c>
      <c r="C291" s="168">
        <v>2040</v>
      </c>
      <c r="H291" s="168">
        <v>92</v>
      </c>
      <c r="I291" s="168">
        <v>1990</v>
      </c>
    </row>
    <row r="292" spans="2:9" x14ac:dyDescent="0.25">
      <c r="B292" s="168">
        <v>93</v>
      </c>
      <c r="C292" s="168">
        <v>2041</v>
      </c>
      <c r="H292" s="168">
        <v>93</v>
      </c>
      <c r="I292" s="168">
        <v>1991</v>
      </c>
    </row>
    <row r="293" spans="2:9" x14ac:dyDescent="0.25">
      <c r="B293" s="168">
        <v>94</v>
      </c>
      <c r="C293" s="168">
        <v>2042</v>
      </c>
      <c r="H293" s="168">
        <v>94</v>
      </c>
      <c r="I293" s="168">
        <v>1992</v>
      </c>
    </row>
    <row r="294" spans="2:9" x14ac:dyDescent="0.25">
      <c r="B294" s="168">
        <v>95</v>
      </c>
      <c r="C294" s="168">
        <v>2043</v>
      </c>
      <c r="H294" s="168">
        <v>95</v>
      </c>
      <c r="I294" s="168">
        <v>1993</v>
      </c>
    </row>
    <row r="295" spans="2:9" x14ac:dyDescent="0.25">
      <c r="B295" s="168">
        <v>96</v>
      </c>
      <c r="C295" s="168">
        <v>2044</v>
      </c>
      <c r="H295" s="168">
        <v>96</v>
      </c>
      <c r="I295" s="168">
        <v>1994</v>
      </c>
    </row>
    <row r="296" spans="2:9" x14ac:dyDescent="0.25">
      <c r="B296" s="168">
        <v>97</v>
      </c>
      <c r="C296" s="168">
        <v>2045</v>
      </c>
      <c r="H296" s="168">
        <v>97</v>
      </c>
      <c r="I296" s="168">
        <v>1995</v>
      </c>
    </row>
    <row r="297" spans="2:9" x14ac:dyDescent="0.25">
      <c r="B297" s="168">
        <v>98</v>
      </c>
      <c r="C297" s="168">
        <v>2046</v>
      </c>
      <c r="H297" s="168">
        <v>98</v>
      </c>
      <c r="I297" s="168">
        <v>1996</v>
      </c>
    </row>
    <row r="298" spans="2:9" x14ac:dyDescent="0.25">
      <c r="B298" s="168">
        <v>99</v>
      </c>
      <c r="C298" s="168">
        <v>2047</v>
      </c>
      <c r="H298" s="168">
        <v>99</v>
      </c>
      <c r="I298" s="168">
        <v>1997</v>
      </c>
    </row>
    <row r="299" spans="2:9" x14ac:dyDescent="0.25">
      <c r="B299" s="168">
        <v>100</v>
      </c>
      <c r="C299" s="168">
        <v>2048</v>
      </c>
      <c r="H299" s="168">
        <v>100</v>
      </c>
      <c r="I299" s="168">
        <v>1998</v>
      </c>
    </row>
    <row r="300" spans="2:9" x14ac:dyDescent="0.25">
      <c r="B300" s="168">
        <v>101</v>
      </c>
      <c r="C300" s="168">
        <v>2049</v>
      </c>
      <c r="H300" s="168">
        <v>101</v>
      </c>
      <c r="I300" s="168">
        <v>1999</v>
      </c>
    </row>
    <row r="301" spans="2:9" x14ac:dyDescent="0.25">
      <c r="B301" s="168">
        <v>102</v>
      </c>
      <c r="C301" s="168">
        <v>2050</v>
      </c>
      <c r="H301" s="168">
        <v>102</v>
      </c>
      <c r="I301" s="168">
        <v>2000</v>
      </c>
    </row>
    <row r="302" spans="2:9" x14ac:dyDescent="0.25">
      <c r="B302" s="168"/>
      <c r="H302" s="168">
        <v>103</v>
      </c>
      <c r="I302" s="168">
        <v>2001</v>
      </c>
    </row>
    <row r="303" spans="2:9" x14ac:dyDescent="0.25">
      <c r="B303" s="168"/>
      <c r="H303" s="168">
        <v>104</v>
      </c>
      <c r="I303" s="168">
        <v>2002</v>
      </c>
    </row>
    <row r="304" spans="2:9" x14ac:dyDescent="0.25">
      <c r="B304" s="168"/>
      <c r="H304" s="168">
        <v>105</v>
      </c>
      <c r="I304" s="168">
        <v>2003</v>
      </c>
    </row>
    <row r="305" spans="2:9" x14ac:dyDescent="0.25">
      <c r="B305" s="168"/>
      <c r="H305" s="168">
        <v>106</v>
      </c>
      <c r="I305" s="168">
        <v>2004</v>
      </c>
    </row>
    <row r="306" spans="2:9" x14ac:dyDescent="0.25">
      <c r="B306" s="168"/>
      <c r="H306" s="168">
        <v>107</v>
      </c>
      <c r="I306" s="168">
        <v>2005</v>
      </c>
    </row>
    <row r="307" spans="2:9" x14ac:dyDescent="0.25">
      <c r="B307" s="168"/>
      <c r="H307" s="168">
        <v>108</v>
      </c>
      <c r="I307" s="168">
        <v>2006</v>
      </c>
    </row>
    <row r="308" spans="2:9" x14ac:dyDescent="0.25">
      <c r="B308" s="168"/>
      <c r="H308" s="168">
        <v>109</v>
      </c>
      <c r="I308" s="168">
        <v>2007</v>
      </c>
    </row>
    <row r="309" spans="2:9" x14ac:dyDescent="0.25">
      <c r="B309" s="168"/>
      <c r="H309" s="168">
        <v>110</v>
      </c>
      <c r="I309" s="168">
        <v>2008</v>
      </c>
    </row>
    <row r="310" spans="2:9" x14ac:dyDescent="0.25">
      <c r="B310" s="168"/>
      <c r="H310" s="168">
        <v>111</v>
      </c>
      <c r="I310" s="168">
        <v>2009</v>
      </c>
    </row>
    <row r="311" spans="2:9" x14ac:dyDescent="0.25">
      <c r="B311" s="168"/>
      <c r="H311" s="168">
        <v>112</v>
      </c>
      <c r="I311" s="168">
        <v>2010</v>
      </c>
    </row>
    <row r="312" spans="2:9" x14ac:dyDescent="0.25">
      <c r="B312" s="168"/>
      <c r="H312" s="168">
        <v>113</v>
      </c>
      <c r="I312" s="168">
        <v>2011</v>
      </c>
    </row>
    <row r="313" spans="2:9" x14ac:dyDescent="0.25">
      <c r="B313" s="168"/>
      <c r="H313" s="168">
        <v>114</v>
      </c>
      <c r="I313" s="168">
        <v>2012</v>
      </c>
    </row>
    <row r="314" spans="2:9" x14ac:dyDescent="0.25">
      <c r="B314" s="168"/>
      <c r="H314" s="168">
        <v>115</v>
      </c>
      <c r="I314" s="168">
        <v>2013</v>
      </c>
    </row>
    <row r="315" spans="2:9" x14ac:dyDescent="0.25">
      <c r="B315" s="168"/>
      <c r="H315" s="168">
        <v>116</v>
      </c>
      <c r="I315" s="168">
        <v>2014</v>
      </c>
    </row>
    <row r="316" spans="2:9" x14ac:dyDescent="0.25">
      <c r="B316" s="168"/>
      <c r="H316" s="168">
        <v>117</v>
      </c>
      <c r="I316" s="168">
        <v>2015</v>
      </c>
    </row>
    <row r="317" spans="2:9" x14ac:dyDescent="0.25">
      <c r="B317" s="168"/>
      <c r="H317" s="168">
        <v>118</v>
      </c>
      <c r="I317" s="168">
        <v>2016</v>
      </c>
    </row>
    <row r="318" spans="2:9" x14ac:dyDescent="0.25">
      <c r="B318" s="168"/>
      <c r="H318" s="168">
        <v>119</v>
      </c>
      <c r="I318" s="168">
        <v>2017</v>
      </c>
    </row>
    <row r="319" spans="2:9" x14ac:dyDescent="0.25">
      <c r="B319" s="168"/>
      <c r="H319" s="168">
        <v>120</v>
      </c>
      <c r="I319" s="168">
        <v>2018</v>
      </c>
    </row>
    <row r="320" spans="2:9" x14ac:dyDescent="0.25">
      <c r="B320" s="168"/>
      <c r="H320" s="168">
        <v>121</v>
      </c>
      <c r="I320" s="168">
        <v>2019</v>
      </c>
    </row>
    <row r="321" spans="2:9" x14ac:dyDescent="0.25">
      <c r="B321" s="168"/>
      <c r="H321" s="168">
        <v>122</v>
      </c>
      <c r="I321" s="168">
        <v>2020</v>
      </c>
    </row>
    <row r="322" spans="2:9" x14ac:dyDescent="0.25">
      <c r="B322" s="168"/>
      <c r="H322" s="168">
        <v>123</v>
      </c>
      <c r="I322" s="168">
        <v>2021</v>
      </c>
    </row>
    <row r="323" spans="2:9" x14ac:dyDescent="0.25">
      <c r="B323" s="168"/>
      <c r="H323" s="168">
        <v>124</v>
      </c>
      <c r="I323" s="168">
        <v>2022</v>
      </c>
    </row>
    <row r="324" spans="2:9" x14ac:dyDescent="0.25">
      <c r="B324" s="168"/>
      <c r="H324" s="168">
        <v>125</v>
      </c>
      <c r="I324" s="168">
        <v>2023</v>
      </c>
    </row>
    <row r="325" spans="2:9" x14ac:dyDescent="0.25">
      <c r="B325" s="168"/>
      <c r="H325" s="168">
        <v>126</v>
      </c>
      <c r="I325" s="168">
        <v>2024</v>
      </c>
    </row>
    <row r="326" spans="2:9" x14ac:dyDescent="0.25">
      <c r="B326" s="168"/>
      <c r="H326" s="168">
        <v>127</v>
      </c>
      <c r="I326" s="168">
        <v>2025</v>
      </c>
    </row>
    <row r="327" spans="2:9" x14ac:dyDescent="0.25">
      <c r="B327" s="168"/>
      <c r="H327" s="168">
        <v>128</v>
      </c>
      <c r="I327" s="168">
        <v>2026</v>
      </c>
    </row>
    <row r="328" spans="2:9" x14ac:dyDescent="0.25">
      <c r="B328" s="168"/>
      <c r="H328" s="168">
        <v>129</v>
      </c>
      <c r="I328" s="168">
        <v>2027</v>
      </c>
    </row>
    <row r="329" spans="2:9" x14ac:dyDescent="0.25">
      <c r="B329" s="168"/>
      <c r="H329" s="168">
        <v>130</v>
      </c>
      <c r="I329" s="168">
        <v>2028</v>
      </c>
    </row>
    <row r="330" spans="2:9" x14ac:dyDescent="0.25">
      <c r="B330" s="168"/>
      <c r="H330" s="168">
        <v>131</v>
      </c>
      <c r="I330" s="168">
        <v>2029</v>
      </c>
    </row>
    <row r="331" spans="2:9" x14ac:dyDescent="0.25">
      <c r="B331" s="168"/>
      <c r="H331" s="168">
        <v>132</v>
      </c>
      <c r="I331" s="168">
        <v>2030</v>
      </c>
    </row>
    <row r="332" spans="2:9" x14ac:dyDescent="0.25">
      <c r="B332" s="168"/>
      <c r="H332" s="168">
        <v>133</v>
      </c>
      <c r="I332" s="168">
        <v>2031</v>
      </c>
    </row>
    <row r="333" spans="2:9" x14ac:dyDescent="0.25">
      <c r="B333" s="168"/>
      <c r="H333" s="168">
        <v>134</v>
      </c>
      <c r="I333" s="168">
        <v>2032</v>
      </c>
    </row>
    <row r="334" spans="2:9" x14ac:dyDescent="0.25">
      <c r="B334" s="168"/>
      <c r="H334" s="168">
        <v>135</v>
      </c>
      <c r="I334" s="168">
        <v>2033</v>
      </c>
    </row>
    <row r="335" spans="2:9" x14ac:dyDescent="0.25">
      <c r="B335" s="168"/>
      <c r="H335" s="168">
        <v>136</v>
      </c>
      <c r="I335" s="168">
        <v>2034</v>
      </c>
    </row>
    <row r="336" spans="2:9" x14ac:dyDescent="0.25">
      <c r="B336" s="168"/>
      <c r="H336" s="168">
        <v>137</v>
      </c>
      <c r="I336" s="168">
        <v>2035</v>
      </c>
    </row>
    <row r="337" spans="2:9" x14ac:dyDescent="0.25">
      <c r="B337" s="168"/>
      <c r="H337" s="168">
        <v>138</v>
      </c>
      <c r="I337" s="168">
        <v>2036</v>
      </c>
    </row>
    <row r="338" spans="2:9" x14ac:dyDescent="0.25">
      <c r="B338" s="168"/>
      <c r="H338" s="168">
        <v>139</v>
      </c>
      <c r="I338" s="168">
        <v>2037</v>
      </c>
    </row>
    <row r="339" spans="2:9" x14ac:dyDescent="0.25">
      <c r="B339" s="168"/>
      <c r="H339" s="168">
        <v>140</v>
      </c>
      <c r="I339" s="168">
        <v>2038</v>
      </c>
    </row>
    <row r="340" spans="2:9" x14ac:dyDescent="0.25">
      <c r="B340" s="168"/>
      <c r="H340" s="168">
        <v>141</v>
      </c>
      <c r="I340" s="168">
        <v>2039</v>
      </c>
    </row>
    <row r="341" spans="2:9" x14ac:dyDescent="0.25">
      <c r="B341" s="168"/>
      <c r="H341" s="168">
        <v>142</v>
      </c>
      <c r="I341" s="168">
        <v>2040</v>
      </c>
    </row>
    <row r="342" spans="2:9" x14ac:dyDescent="0.25">
      <c r="B342" s="168"/>
      <c r="H342" s="168">
        <v>143</v>
      </c>
      <c r="I342" s="168">
        <v>2041</v>
      </c>
    </row>
    <row r="343" spans="2:9" x14ac:dyDescent="0.25">
      <c r="B343" s="168"/>
      <c r="H343" s="168">
        <v>144</v>
      </c>
      <c r="I343" s="168">
        <v>2042</v>
      </c>
    </row>
    <row r="344" spans="2:9" x14ac:dyDescent="0.25">
      <c r="B344" s="168"/>
      <c r="H344" s="168">
        <v>145</v>
      </c>
      <c r="I344" s="168">
        <v>2043</v>
      </c>
    </row>
    <row r="345" spans="2:9" x14ac:dyDescent="0.25">
      <c r="B345" s="168"/>
      <c r="H345" s="168">
        <v>146</v>
      </c>
      <c r="I345" s="168">
        <v>2044</v>
      </c>
    </row>
    <row r="346" spans="2:9" x14ac:dyDescent="0.25">
      <c r="B346" s="168"/>
      <c r="H346" s="168">
        <v>147</v>
      </c>
      <c r="I346" s="168">
        <v>2045</v>
      </c>
    </row>
    <row r="347" spans="2:9" x14ac:dyDescent="0.25">
      <c r="B347" s="168"/>
      <c r="H347" s="168">
        <v>148</v>
      </c>
      <c r="I347" s="168">
        <v>2046</v>
      </c>
    </row>
    <row r="348" spans="2:9" x14ac:dyDescent="0.25">
      <c r="B348" s="168"/>
      <c r="H348" s="168">
        <v>149</v>
      </c>
      <c r="I348" s="168">
        <v>2047</v>
      </c>
    </row>
    <row r="349" spans="2:9" x14ac:dyDescent="0.25">
      <c r="B349" s="168"/>
      <c r="H349" s="168">
        <v>150</v>
      </c>
      <c r="I349" s="168">
        <v>2048</v>
      </c>
    </row>
    <row r="350" spans="2:9" x14ac:dyDescent="0.25">
      <c r="B350" s="168"/>
      <c r="H350" s="168">
        <v>151</v>
      </c>
      <c r="I350" s="168">
        <v>2049</v>
      </c>
    </row>
    <row r="351" spans="2:9" x14ac:dyDescent="0.25">
      <c r="B351" s="168"/>
      <c r="H351" s="168">
        <v>152</v>
      </c>
      <c r="I351" s="168">
        <v>2050</v>
      </c>
    </row>
    <row r="450" spans="1:2" x14ac:dyDescent="0.25">
      <c r="A450" s="158" t="s">
        <v>530</v>
      </c>
    </row>
    <row r="451" spans="1:2" x14ac:dyDescent="0.25">
      <c r="A451" s="158">
        <v>1</v>
      </c>
      <c r="B451" s="158" t="s">
        <v>402</v>
      </c>
    </row>
    <row r="452" spans="1:2" x14ac:dyDescent="0.25">
      <c r="A452" s="158">
        <v>2</v>
      </c>
      <c r="B452" s="158" t="s">
        <v>531</v>
      </c>
    </row>
    <row r="453" spans="1:2" x14ac:dyDescent="0.25">
      <c r="A453" s="158">
        <v>3</v>
      </c>
      <c r="B453" s="158" t="s">
        <v>532</v>
      </c>
    </row>
    <row r="454" spans="1:2" x14ac:dyDescent="0.25">
      <c r="A454" s="158">
        <v>4</v>
      </c>
      <c r="B454" s="158" t="s">
        <v>533</v>
      </c>
    </row>
    <row r="455" spans="1:2" x14ac:dyDescent="0.25">
      <c r="A455" s="158">
        <v>5</v>
      </c>
      <c r="B455" s="158" t="s">
        <v>534</v>
      </c>
    </row>
    <row r="456" spans="1:2" x14ac:dyDescent="0.25">
      <c r="A456" s="158">
        <v>6</v>
      </c>
      <c r="B456" s="158" t="s">
        <v>535</v>
      </c>
    </row>
    <row r="457" spans="1:2" x14ac:dyDescent="0.25">
      <c r="A457" s="158">
        <v>7</v>
      </c>
      <c r="B457" s="158" t="s">
        <v>536</v>
      </c>
    </row>
  </sheetData>
  <sheetProtection algorithmName="SHA-512" hashValue="H3QlSOrqwAR2CrwLfWi84js3UCCAr2hUT44GmWmmKKlqpw4DS88Lb9YcZ9N2KuQ6glT3fsL0tzhpvgFZifz0hg==" saltValue="xYWzul/KiJz+Hx3WETQtqQ==" spinCount="100000" sheet="1" selectLockedCells="1" selectUnlockedCells="1"/>
  <mergeCells count="17">
    <mergeCell ref="E4:F4"/>
    <mergeCell ref="C118:E118"/>
    <mergeCell ref="E16:F16"/>
    <mergeCell ref="H6:I6"/>
    <mergeCell ref="H101:J101"/>
    <mergeCell ref="C108:E108"/>
    <mergeCell ref="C113:E113"/>
    <mergeCell ref="E20:F20"/>
    <mergeCell ref="B76:C76"/>
    <mergeCell ref="C26:D26"/>
    <mergeCell ref="C27:D27"/>
    <mergeCell ref="B29:C29"/>
    <mergeCell ref="B6:C6"/>
    <mergeCell ref="B14:C14"/>
    <mergeCell ref="B24:D24"/>
    <mergeCell ref="C25:D25"/>
    <mergeCell ref="B16:C16"/>
  </mergeCells>
  <phoneticPr fontId="7" type="noConversion"/>
  <conditionalFormatting sqref="B123">
    <cfRule type="expression" dxfId="72" priority="109">
      <formula>E123=2</formula>
    </cfRule>
  </conditionalFormatting>
  <conditionalFormatting sqref="B124">
    <cfRule type="expression" dxfId="71" priority="106">
      <formula>E124=2</formula>
    </cfRule>
  </conditionalFormatting>
  <conditionalFormatting sqref="B125">
    <cfRule type="expression" dxfId="70" priority="103">
      <formula>E125=2</formula>
    </cfRule>
  </conditionalFormatting>
  <conditionalFormatting sqref="B126">
    <cfRule type="expression" dxfId="69" priority="100">
      <formula>E126=2</formula>
    </cfRule>
  </conditionalFormatting>
  <conditionalFormatting sqref="B127">
    <cfRule type="expression" dxfId="68" priority="97">
      <formula>E127=2</formula>
    </cfRule>
  </conditionalFormatting>
  <conditionalFormatting sqref="B128">
    <cfRule type="expression" dxfId="67" priority="94">
      <formula>E128=2</formula>
    </cfRule>
  </conditionalFormatting>
  <conditionalFormatting sqref="B129">
    <cfRule type="expression" dxfId="66" priority="91">
      <formula>E129=2</formula>
    </cfRule>
  </conditionalFormatting>
  <conditionalFormatting sqref="B130">
    <cfRule type="expression" dxfId="65" priority="88">
      <formula>E130=2</formula>
    </cfRule>
  </conditionalFormatting>
  <conditionalFormatting sqref="B131">
    <cfRule type="expression" dxfId="64" priority="85">
      <formula>E131=2</formula>
    </cfRule>
  </conditionalFormatting>
  <conditionalFormatting sqref="B132">
    <cfRule type="expression" dxfId="63" priority="82">
      <formula>E132=2</formula>
    </cfRule>
  </conditionalFormatting>
  <conditionalFormatting sqref="B133">
    <cfRule type="expression" dxfId="62" priority="79">
      <formula>E133=2</formula>
    </cfRule>
  </conditionalFormatting>
  <conditionalFormatting sqref="B134">
    <cfRule type="expression" dxfId="61" priority="76">
      <formula>E134=2</formula>
    </cfRule>
  </conditionalFormatting>
  <conditionalFormatting sqref="B135">
    <cfRule type="expression" dxfId="60" priority="73">
      <formula>E135=2</formula>
    </cfRule>
  </conditionalFormatting>
  <conditionalFormatting sqref="B136">
    <cfRule type="expression" dxfId="59" priority="70">
      <formula>E136=2</formula>
    </cfRule>
  </conditionalFormatting>
  <conditionalFormatting sqref="B137">
    <cfRule type="expression" dxfId="58" priority="67">
      <formula>E137=2</formula>
    </cfRule>
  </conditionalFormatting>
  <conditionalFormatting sqref="B138">
    <cfRule type="expression" dxfId="57" priority="64">
      <formula>E138=2</formula>
    </cfRule>
  </conditionalFormatting>
  <conditionalFormatting sqref="B139">
    <cfRule type="expression" dxfId="56" priority="61">
      <formula>E139=2</formula>
    </cfRule>
  </conditionalFormatting>
  <conditionalFormatting sqref="B140">
    <cfRule type="expression" dxfId="55" priority="58">
      <formula>E140=2</formula>
    </cfRule>
  </conditionalFormatting>
  <conditionalFormatting sqref="B141">
    <cfRule type="expression" dxfId="54" priority="55">
      <formula>E141=2</formula>
    </cfRule>
  </conditionalFormatting>
  <conditionalFormatting sqref="B142">
    <cfRule type="expression" dxfId="53" priority="52">
      <formula>E142=2</formula>
    </cfRule>
  </conditionalFormatting>
  <conditionalFormatting sqref="B143">
    <cfRule type="expression" dxfId="52" priority="49">
      <formula>E143=2</formula>
    </cfRule>
  </conditionalFormatting>
  <conditionalFormatting sqref="B144">
    <cfRule type="expression" dxfId="51" priority="46">
      <formula>E144=2</formula>
    </cfRule>
  </conditionalFormatting>
  <conditionalFormatting sqref="B145">
    <cfRule type="expression" dxfId="50" priority="43">
      <formula>E145=2</formula>
    </cfRule>
  </conditionalFormatting>
  <conditionalFormatting sqref="B146 B148 B150 B152 B154">
    <cfRule type="expression" dxfId="49" priority="40">
      <formula>E146=2</formula>
    </cfRule>
  </conditionalFormatting>
  <conditionalFormatting sqref="B147 B149 B151 B153 B155">
    <cfRule type="expression" dxfId="48" priority="37">
      <formula>E147=2</formula>
    </cfRule>
  </conditionalFormatting>
  <conditionalFormatting sqref="FJ2:GP2">
    <cfRule type="cellIs" dxfId="47" priority="34" operator="equal">
      <formula>"NOT REQUIRED"</formula>
    </cfRule>
  </conditionalFormatting>
  <conditionalFormatting sqref="FJ1">
    <cfRule type="expression" dxfId="46" priority="33">
      <formula>FJ2="NOT REQUIRED"</formula>
    </cfRule>
  </conditionalFormatting>
  <conditionalFormatting sqref="FK1">
    <cfRule type="expression" dxfId="45" priority="32">
      <formula>FK2="NOT REQUIRED"</formula>
    </cfRule>
  </conditionalFormatting>
  <conditionalFormatting sqref="FL1">
    <cfRule type="expression" dxfId="44" priority="31">
      <formula>FL2="NOT REQUIRED"</formula>
    </cfRule>
  </conditionalFormatting>
  <conditionalFormatting sqref="FM1">
    <cfRule type="expression" dxfId="43" priority="30">
      <formula>FM2="NOT REQUIRED"</formula>
    </cfRule>
  </conditionalFormatting>
  <conditionalFormatting sqref="FN1">
    <cfRule type="expression" dxfId="42" priority="29">
      <formula>FN2="NOT REQUIRED"</formula>
    </cfRule>
  </conditionalFormatting>
  <conditionalFormatting sqref="FO1">
    <cfRule type="expression" dxfId="41" priority="28">
      <formula>FO2="NOT REQUIRED"</formula>
    </cfRule>
  </conditionalFormatting>
  <conditionalFormatting sqref="FP1">
    <cfRule type="expression" dxfId="40" priority="27">
      <formula>FP2="NOT REQUIRED"</formula>
    </cfRule>
  </conditionalFormatting>
  <conditionalFormatting sqref="FQ1">
    <cfRule type="expression" dxfId="39" priority="26">
      <formula>FQ2="NOT REQUIRED"</formula>
    </cfRule>
  </conditionalFormatting>
  <conditionalFormatting sqref="FR1">
    <cfRule type="expression" dxfId="38" priority="25">
      <formula>FR2="NOT REQUIRED"</formula>
    </cfRule>
  </conditionalFormatting>
  <conditionalFormatting sqref="FS1">
    <cfRule type="expression" dxfId="37" priority="24">
      <formula>FS2="NOT REQUIRED"</formula>
    </cfRule>
  </conditionalFormatting>
  <conditionalFormatting sqref="FT1">
    <cfRule type="expression" dxfId="36" priority="23">
      <formula>FT2="NOT REQUIRED"</formula>
    </cfRule>
  </conditionalFormatting>
  <conditionalFormatting sqref="FU1">
    <cfRule type="expression" dxfId="35" priority="22">
      <formula>FU2="NOT REQUIRED"</formula>
    </cfRule>
  </conditionalFormatting>
  <conditionalFormatting sqref="FV1">
    <cfRule type="expression" dxfId="34" priority="21">
      <formula>FV2="NOT REQUIRED"</formula>
    </cfRule>
  </conditionalFormatting>
  <conditionalFormatting sqref="FW1">
    <cfRule type="expression" dxfId="33" priority="20">
      <formula>FW2="NOT REQUIRED"</formula>
    </cfRule>
  </conditionalFormatting>
  <conditionalFormatting sqref="FX1">
    <cfRule type="expression" dxfId="32" priority="19">
      <formula>FX2="NOT REQUIRED"</formula>
    </cfRule>
  </conditionalFormatting>
  <conditionalFormatting sqref="FY1">
    <cfRule type="expression" dxfId="31" priority="18">
      <formula>FY2="NOT REQUIRED"</formula>
    </cfRule>
  </conditionalFormatting>
  <conditionalFormatting sqref="FZ1">
    <cfRule type="expression" dxfId="30" priority="17">
      <formula>FZ2="NOT REQUIRED"</formula>
    </cfRule>
  </conditionalFormatting>
  <conditionalFormatting sqref="GA1">
    <cfRule type="expression" dxfId="29" priority="16">
      <formula>GA2="NOT REQUIRED"</formula>
    </cfRule>
  </conditionalFormatting>
  <conditionalFormatting sqref="GB1">
    <cfRule type="expression" dxfId="28" priority="15">
      <formula>GB2="NOT REQUIRED"</formula>
    </cfRule>
  </conditionalFormatting>
  <conditionalFormatting sqref="GC1">
    <cfRule type="expression" dxfId="27" priority="14">
      <formula>GC2="NOT REQUIRED"</formula>
    </cfRule>
  </conditionalFormatting>
  <conditionalFormatting sqref="GD1">
    <cfRule type="expression" dxfId="26" priority="13">
      <formula>GD2="NOT REQUIRED"</formula>
    </cfRule>
  </conditionalFormatting>
  <conditionalFormatting sqref="GE1">
    <cfRule type="expression" dxfId="25" priority="12">
      <formula>GE2="NOT REQUIRED"</formula>
    </cfRule>
  </conditionalFormatting>
  <conditionalFormatting sqref="GF1">
    <cfRule type="expression" dxfId="24" priority="11">
      <formula>GF2="NOT REQUIRED"</formula>
    </cfRule>
  </conditionalFormatting>
  <conditionalFormatting sqref="GG1">
    <cfRule type="expression" dxfId="23" priority="10">
      <formula>GG2="NOT REQUIRED"</formula>
    </cfRule>
  </conditionalFormatting>
  <conditionalFormatting sqref="GH1">
    <cfRule type="expression" dxfId="22" priority="9">
      <formula>GH2="NOT REQUIRED"</formula>
    </cfRule>
  </conditionalFormatting>
  <conditionalFormatting sqref="GI1">
    <cfRule type="expression" dxfId="21" priority="8">
      <formula>GI2="NOT REQUIRED"</formula>
    </cfRule>
  </conditionalFormatting>
  <conditionalFormatting sqref="GJ1">
    <cfRule type="expression" dxfId="20" priority="7">
      <formula>GJ2="NOT REQUIRED"</formula>
    </cfRule>
  </conditionalFormatting>
  <conditionalFormatting sqref="GK1">
    <cfRule type="expression" dxfId="19" priority="6">
      <formula>GK2="NOT REQUIRED"</formula>
    </cfRule>
  </conditionalFormatting>
  <conditionalFormatting sqref="GL1">
    <cfRule type="expression" dxfId="18" priority="5">
      <formula>GL2="NOT REQUIRED"</formula>
    </cfRule>
  </conditionalFormatting>
  <conditionalFormatting sqref="GM1">
    <cfRule type="expression" dxfId="17" priority="4">
      <formula>GM2="NOT REQUIRED"</formula>
    </cfRule>
  </conditionalFormatting>
  <conditionalFormatting sqref="GN1">
    <cfRule type="expression" dxfId="16" priority="3">
      <formula>GN2="NOT REQUIRED"</formula>
    </cfRule>
  </conditionalFormatting>
  <conditionalFormatting sqref="GO1">
    <cfRule type="expression" dxfId="15" priority="2">
      <formula>GO2="NOT REQUIRED"</formula>
    </cfRule>
  </conditionalFormatting>
  <conditionalFormatting sqref="GP1">
    <cfRule type="expression" dxfId="14" priority="1">
      <formula>GP2="NOT REQUIRED"</formula>
    </cfRule>
  </conditionalFormatting>
  <pageMargins left="0.75" right="0.75" top="1" bottom="1" header="0.5" footer="0.5"/>
  <pageSetup paperSize="9" orientation="portrait" horizontalDpi="4294967293" r:id="rId1"/>
  <headerFooter alignWithMargins="0">
    <oddHeader>&amp;L&amp;"Calibri"&amp;10&amp;K000000Sensitivity - General&amp;1#</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V276"/>
  <sheetViews>
    <sheetView workbookViewId="0">
      <selection sqref="A1:S1"/>
    </sheetView>
  </sheetViews>
  <sheetFormatPr defaultColWidth="9.109375" defaultRowHeight="14.4" x14ac:dyDescent="0.3"/>
  <cols>
    <col min="1" max="1" width="5.6640625" style="259" customWidth="1"/>
    <col min="2" max="2" width="33.88671875" style="259" customWidth="1"/>
    <col min="3" max="14" width="9.109375" style="259"/>
    <col min="15" max="15" width="11.44140625" style="261" customWidth="1"/>
    <col min="16" max="18" width="9.109375" style="259"/>
    <col min="19" max="19" width="5.6640625" style="259" hidden="1" customWidth="1"/>
    <col min="20" max="22" width="9.109375" style="259" hidden="1" customWidth="1"/>
    <col min="23" max="16384" width="9.109375" style="259"/>
  </cols>
  <sheetData>
    <row r="1" spans="1:19" ht="18" x14ac:dyDescent="0.35">
      <c r="A1" s="523" t="s">
        <v>537</v>
      </c>
      <c r="B1" s="523"/>
      <c r="C1" s="523"/>
      <c r="D1" s="523"/>
      <c r="E1" s="523"/>
      <c r="F1" s="523"/>
      <c r="G1" s="523"/>
      <c r="H1" s="523"/>
      <c r="I1" s="523"/>
      <c r="J1" s="523"/>
      <c r="K1" s="523"/>
      <c r="L1" s="523"/>
      <c r="M1" s="523"/>
      <c r="N1" s="523"/>
      <c r="O1" s="523"/>
      <c r="P1" s="523"/>
      <c r="Q1" s="523"/>
      <c r="R1" s="523"/>
      <c r="S1" s="523"/>
    </row>
    <row r="2" spans="1:19" ht="5.0999999999999996" customHeight="1" x14ac:dyDescent="0.3">
      <c r="A2" s="524"/>
      <c r="B2" s="525"/>
      <c r="C2" s="525"/>
      <c r="D2" s="525"/>
      <c r="E2" s="525"/>
      <c r="F2" s="525"/>
      <c r="G2" s="525"/>
      <c r="H2" s="525"/>
      <c r="I2" s="525"/>
      <c r="J2" s="525"/>
      <c r="K2" s="525"/>
      <c r="L2" s="525"/>
      <c r="M2" s="525"/>
      <c r="N2" s="525"/>
      <c r="O2" s="525"/>
      <c r="P2" s="525"/>
      <c r="Q2" s="525"/>
      <c r="R2" s="525"/>
      <c r="S2" s="526"/>
    </row>
    <row r="3" spans="1:19" x14ac:dyDescent="0.3">
      <c r="A3" s="527" t="s">
        <v>538</v>
      </c>
      <c r="B3" s="528"/>
      <c r="C3" s="528"/>
      <c r="D3" s="528"/>
      <c r="E3" s="528"/>
      <c r="F3" s="528"/>
      <c r="G3" s="528"/>
      <c r="H3" s="528"/>
      <c r="I3" s="528"/>
      <c r="J3" s="528"/>
      <c r="K3" s="528"/>
      <c r="L3" s="528"/>
      <c r="M3" s="528"/>
      <c r="N3" s="528"/>
      <c r="O3" s="528"/>
      <c r="P3" s="528"/>
      <c r="Q3" s="528"/>
      <c r="R3" s="528"/>
      <c r="S3" s="529"/>
    </row>
    <row r="4" spans="1:19" x14ac:dyDescent="0.3">
      <c r="A4" s="530"/>
      <c r="B4" s="531"/>
      <c r="C4" s="531"/>
      <c r="D4" s="531"/>
      <c r="E4" s="531"/>
      <c r="F4" s="531"/>
      <c r="G4" s="531"/>
      <c r="H4" s="531"/>
      <c r="I4" s="531"/>
      <c r="J4" s="531"/>
      <c r="K4" s="531"/>
      <c r="L4" s="531"/>
      <c r="M4" s="531"/>
      <c r="N4" s="531"/>
      <c r="O4" s="531"/>
      <c r="P4" s="531"/>
      <c r="Q4" s="531"/>
      <c r="R4" s="531"/>
      <c r="S4" s="532"/>
    </row>
    <row r="5" spans="1:19" ht="5.0999999999999996" customHeight="1" x14ac:dyDescent="0.3">
      <c r="A5" s="260"/>
      <c r="S5" s="262"/>
    </row>
    <row r="6" spans="1:19" ht="15.6" x14ac:dyDescent="0.3">
      <c r="A6" s="533" t="s">
        <v>539</v>
      </c>
      <c r="B6" s="534"/>
      <c r="C6" s="534"/>
      <c r="D6" s="534"/>
      <c r="E6" s="534"/>
      <c r="F6" s="534"/>
      <c r="G6" s="534"/>
      <c r="H6" s="534"/>
      <c r="I6" s="534"/>
      <c r="J6" s="534"/>
      <c r="K6" s="534"/>
      <c r="L6" s="534"/>
      <c r="M6" s="534"/>
      <c r="N6" s="534"/>
      <c r="O6" s="534"/>
      <c r="P6" s="534"/>
      <c r="Q6" s="534"/>
      <c r="R6" s="534"/>
      <c r="S6" s="535"/>
    </row>
    <row r="7" spans="1:19" ht="5.0999999999999996" customHeight="1" x14ac:dyDescent="0.3">
      <c r="A7" s="260"/>
      <c r="S7" s="262"/>
    </row>
    <row r="8" spans="1:19" x14ac:dyDescent="0.3">
      <c r="A8" s="260"/>
      <c r="B8" s="263" t="s">
        <v>540</v>
      </c>
      <c r="C8" s="264"/>
      <c r="D8" s="264"/>
      <c r="E8" s="264"/>
      <c r="F8" s="264"/>
      <c r="G8" s="264"/>
      <c r="H8" s="264"/>
      <c r="I8" s="264"/>
      <c r="J8" s="264"/>
      <c r="S8" s="262"/>
    </row>
    <row r="9" spans="1:19" ht="5.0999999999999996" customHeight="1" x14ac:dyDescent="0.3">
      <c r="A9" s="260"/>
      <c r="S9" s="262"/>
    </row>
    <row r="10" spans="1:19" x14ac:dyDescent="0.3">
      <c r="A10" s="260"/>
      <c r="B10" s="536" t="s">
        <v>541</v>
      </c>
      <c r="C10" s="537" t="s">
        <v>542</v>
      </c>
      <c r="D10" s="537"/>
      <c r="E10" s="537"/>
      <c r="F10" s="537"/>
      <c r="G10" s="537"/>
      <c r="H10" s="537"/>
      <c r="I10" s="537"/>
      <c r="J10" s="537"/>
      <c r="K10" s="537"/>
      <c r="L10" s="537"/>
      <c r="M10" s="537"/>
      <c r="N10" s="537"/>
      <c r="O10" s="537"/>
      <c r="P10" s="537"/>
      <c r="Q10" s="537"/>
      <c r="R10" s="537"/>
      <c r="S10" s="262"/>
    </row>
    <row r="11" spans="1:19" ht="5.0999999999999996" customHeight="1" x14ac:dyDescent="0.3">
      <c r="A11" s="260"/>
      <c r="B11" s="536"/>
      <c r="S11" s="262"/>
    </row>
    <row r="12" spans="1:19" x14ac:dyDescent="0.3">
      <c r="A12" s="260"/>
      <c r="B12" s="536"/>
      <c r="C12" s="538"/>
      <c r="D12" s="538"/>
      <c r="E12" s="538"/>
      <c r="F12" s="538"/>
      <c r="G12" s="538"/>
      <c r="H12" s="538"/>
      <c r="I12" s="538"/>
      <c r="J12" s="538"/>
      <c r="K12" s="538"/>
      <c r="L12" s="538"/>
      <c r="M12" s="538"/>
      <c r="N12" s="538"/>
      <c r="O12" s="538"/>
      <c r="P12" s="538"/>
      <c r="Q12" s="538"/>
      <c r="R12" s="538"/>
      <c r="S12" s="262"/>
    </row>
    <row r="13" spans="1:19" ht="5.0999999999999996" customHeight="1" x14ac:dyDescent="0.3">
      <c r="A13" s="260"/>
      <c r="S13" s="262"/>
    </row>
    <row r="14" spans="1:19" ht="15.6" x14ac:dyDescent="0.3">
      <c r="A14" s="533" t="s">
        <v>543</v>
      </c>
      <c r="B14" s="534"/>
      <c r="C14" s="534"/>
      <c r="D14" s="534"/>
      <c r="E14" s="534"/>
      <c r="F14" s="534"/>
      <c r="G14" s="534"/>
      <c r="H14" s="534"/>
      <c r="I14" s="534"/>
      <c r="J14" s="534"/>
      <c r="K14" s="534"/>
      <c r="L14" s="534"/>
      <c r="M14" s="534"/>
      <c r="N14" s="534"/>
      <c r="O14" s="534"/>
      <c r="P14" s="534"/>
      <c r="Q14" s="534"/>
      <c r="R14" s="534"/>
      <c r="S14" s="535"/>
    </row>
    <row r="15" spans="1:19" ht="5.0999999999999996" customHeight="1" x14ac:dyDescent="0.3">
      <c r="A15" s="260"/>
      <c r="S15" s="262"/>
    </row>
    <row r="16" spans="1:19" x14ac:dyDescent="0.3">
      <c r="A16" s="260"/>
      <c r="B16" s="263" t="s">
        <v>544</v>
      </c>
      <c r="C16" s="264"/>
      <c r="D16" s="264"/>
      <c r="E16" s="264"/>
      <c r="F16" s="264"/>
      <c r="G16" s="264"/>
      <c r="H16" s="264"/>
      <c r="I16" s="264"/>
      <c r="J16" s="264"/>
      <c r="S16" s="262"/>
    </row>
    <row r="17" spans="1:19" ht="5.0999999999999996" customHeight="1" x14ac:dyDescent="0.3">
      <c r="A17" s="260"/>
      <c r="S17" s="262"/>
    </row>
    <row r="18" spans="1:19" x14ac:dyDescent="0.3">
      <c r="A18" s="260"/>
      <c r="B18" s="536" t="s">
        <v>545</v>
      </c>
      <c r="C18" s="537" t="s">
        <v>546</v>
      </c>
      <c r="D18" s="537"/>
      <c r="E18" s="537"/>
      <c r="F18" s="537"/>
      <c r="G18" s="537"/>
      <c r="H18" s="537"/>
      <c r="I18" s="537"/>
      <c r="J18" s="537"/>
      <c r="K18" s="537"/>
      <c r="L18" s="537"/>
      <c r="M18" s="537"/>
      <c r="N18" s="537"/>
      <c r="O18" s="537"/>
      <c r="P18" s="537"/>
      <c r="Q18" s="537"/>
      <c r="R18" s="537"/>
      <c r="S18" s="262"/>
    </row>
    <row r="19" spans="1:19" ht="5.0999999999999996" customHeight="1" x14ac:dyDescent="0.3">
      <c r="A19" s="260"/>
      <c r="B19" s="536"/>
      <c r="S19" s="262"/>
    </row>
    <row r="20" spans="1:19" x14ac:dyDescent="0.3">
      <c r="A20" s="260"/>
      <c r="B20" s="536"/>
      <c r="C20" s="537" t="s">
        <v>547</v>
      </c>
      <c r="D20" s="537"/>
      <c r="E20" s="537"/>
      <c r="F20" s="537"/>
      <c r="G20" s="537"/>
      <c r="H20" s="537"/>
      <c r="I20" s="537"/>
      <c r="J20" s="537"/>
      <c r="K20" s="537"/>
      <c r="L20" s="537"/>
      <c r="M20" s="537"/>
      <c r="N20" s="537"/>
      <c r="O20" s="537"/>
      <c r="P20" s="537"/>
      <c r="Q20" s="537"/>
      <c r="R20" s="537"/>
      <c r="S20" s="262"/>
    </row>
    <row r="21" spans="1:19" ht="5.0999999999999996" customHeight="1" x14ac:dyDescent="0.3">
      <c r="A21" s="260"/>
      <c r="B21" s="536"/>
      <c r="S21" s="262"/>
    </row>
    <row r="22" spans="1:19" x14ac:dyDescent="0.3">
      <c r="A22" s="260"/>
      <c r="B22" s="536"/>
      <c r="C22" s="538"/>
      <c r="D22" s="538"/>
      <c r="E22" s="538"/>
      <c r="F22" s="538"/>
      <c r="G22" s="538"/>
      <c r="H22" s="538"/>
      <c r="I22" s="538"/>
      <c r="J22" s="538"/>
      <c r="K22" s="538"/>
      <c r="L22" s="538"/>
      <c r="M22" s="538"/>
      <c r="N22" s="538"/>
      <c r="O22" s="538"/>
      <c r="P22" s="538"/>
      <c r="Q22" s="538"/>
      <c r="R22" s="538"/>
      <c r="S22" s="262"/>
    </row>
    <row r="23" spans="1:19" ht="5.0999999999999996" customHeight="1" x14ac:dyDescent="0.3">
      <c r="A23" s="260"/>
      <c r="S23" s="262"/>
    </row>
    <row r="24" spans="1:19" x14ac:dyDescent="0.3">
      <c r="A24" s="260"/>
      <c r="B24" s="540" t="s">
        <v>548</v>
      </c>
      <c r="C24" s="539" t="s">
        <v>549</v>
      </c>
      <c r="D24" s="539"/>
      <c r="E24" s="539"/>
      <c r="F24" s="539"/>
      <c r="G24" s="524"/>
      <c r="H24" s="526"/>
      <c r="S24" s="262"/>
    </row>
    <row r="25" spans="1:19" ht="5.0999999999999996" customHeight="1" x14ac:dyDescent="0.3">
      <c r="A25" s="260"/>
      <c r="B25" s="540"/>
      <c r="S25" s="262"/>
    </row>
    <row r="26" spans="1:19" x14ac:dyDescent="0.3">
      <c r="A26" s="260"/>
      <c r="B26" s="540"/>
      <c r="C26" s="539" t="s">
        <v>550</v>
      </c>
      <c r="D26" s="539"/>
      <c r="E26" s="539"/>
      <c r="F26" s="539"/>
      <c r="G26" s="524"/>
      <c r="H26" s="526"/>
      <c r="S26" s="262"/>
    </row>
    <row r="27" spans="1:19" ht="5.0999999999999996" customHeight="1" x14ac:dyDescent="0.3">
      <c r="A27" s="260"/>
      <c r="B27" s="540"/>
      <c r="S27" s="262"/>
    </row>
    <row r="28" spans="1:19" x14ac:dyDescent="0.3">
      <c r="A28" s="260"/>
      <c r="B28" s="540"/>
      <c r="C28" s="539" t="s">
        <v>551</v>
      </c>
      <c r="D28" s="539"/>
      <c r="E28" s="539"/>
      <c r="F28" s="539"/>
      <c r="G28" s="524"/>
      <c r="H28" s="526"/>
      <c r="S28" s="262"/>
    </row>
    <row r="29" spans="1:19" ht="5.0999999999999996" customHeight="1" x14ac:dyDescent="0.3">
      <c r="A29" s="260"/>
      <c r="B29" s="540"/>
      <c r="S29" s="262"/>
    </row>
    <row r="30" spans="1:19" x14ac:dyDescent="0.3">
      <c r="A30" s="260"/>
      <c r="B30" s="540"/>
      <c r="C30" s="539" t="s">
        <v>552</v>
      </c>
      <c r="D30" s="539"/>
      <c r="E30" s="539"/>
      <c r="F30" s="539"/>
      <c r="G30" s="524"/>
      <c r="H30" s="526"/>
      <c r="J30" s="265"/>
      <c r="S30" s="262"/>
    </row>
    <row r="31" spans="1:19" ht="5.0999999999999996" customHeight="1" x14ac:dyDescent="0.3">
      <c r="A31" s="260"/>
      <c r="B31" s="540"/>
      <c r="S31" s="262"/>
    </row>
    <row r="32" spans="1:19" x14ac:dyDescent="0.3">
      <c r="A32" s="260"/>
      <c r="B32" s="540"/>
      <c r="C32" s="539" t="s">
        <v>553</v>
      </c>
      <c r="D32" s="539"/>
      <c r="E32" s="539"/>
      <c r="F32" s="539"/>
      <c r="G32" s="524"/>
      <c r="H32" s="526"/>
      <c r="S32" s="262"/>
    </row>
    <row r="33" spans="1:19" ht="5.0999999999999996" customHeight="1" x14ac:dyDescent="0.3">
      <c r="A33" s="260"/>
      <c r="B33" s="540"/>
      <c r="S33" s="262"/>
    </row>
    <row r="34" spans="1:19" x14ac:dyDescent="0.3">
      <c r="A34" s="260"/>
      <c r="B34" s="540"/>
      <c r="C34" s="539" t="s">
        <v>554</v>
      </c>
      <c r="D34" s="539"/>
      <c r="E34" s="539"/>
      <c r="F34" s="539"/>
      <c r="G34" s="524"/>
      <c r="H34" s="526"/>
      <c r="S34" s="262"/>
    </row>
    <row r="35" spans="1:19" ht="5.0999999999999996" customHeight="1" x14ac:dyDescent="0.3">
      <c r="A35" s="260"/>
      <c r="B35" s="540"/>
      <c r="S35" s="262"/>
    </row>
    <row r="36" spans="1:19" x14ac:dyDescent="0.3">
      <c r="A36" s="260"/>
      <c r="B36" s="540"/>
      <c r="C36" s="539" t="s">
        <v>555</v>
      </c>
      <c r="D36" s="539"/>
      <c r="E36" s="539"/>
      <c r="F36" s="539"/>
      <c r="G36" s="524"/>
      <c r="H36" s="526"/>
      <c r="S36" s="262"/>
    </row>
    <row r="37" spans="1:19" ht="5.0999999999999996" customHeight="1" x14ac:dyDescent="0.3">
      <c r="A37" s="260"/>
      <c r="B37" s="540"/>
      <c r="S37" s="262"/>
    </row>
    <row r="38" spans="1:19" x14ac:dyDescent="0.3">
      <c r="A38" s="260"/>
      <c r="B38" s="540"/>
      <c r="C38" s="539" t="s">
        <v>556</v>
      </c>
      <c r="D38" s="539"/>
      <c r="E38" s="539"/>
      <c r="F38" s="539"/>
      <c r="G38" s="524"/>
      <c r="H38" s="526"/>
      <c r="I38" s="266" t="s">
        <v>557</v>
      </c>
      <c r="J38" s="541"/>
      <c r="K38" s="542"/>
      <c r="L38" s="266" t="s">
        <v>557</v>
      </c>
      <c r="M38" s="541"/>
      <c r="N38" s="542"/>
      <c r="S38" s="262"/>
    </row>
    <row r="39" spans="1:19" ht="5.0999999999999996" customHeight="1" x14ac:dyDescent="0.3">
      <c r="A39" s="260"/>
      <c r="S39" s="262"/>
    </row>
    <row r="40" spans="1:19" ht="15.6" x14ac:dyDescent="0.3">
      <c r="A40" s="533" t="s">
        <v>558</v>
      </c>
      <c r="B40" s="534"/>
      <c r="C40" s="534"/>
      <c r="D40" s="534"/>
      <c r="E40" s="534"/>
      <c r="F40" s="534"/>
      <c r="G40" s="534"/>
      <c r="H40" s="534"/>
      <c r="I40" s="534"/>
      <c r="J40" s="534"/>
      <c r="K40" s="534"/>
      <c r="L40" s="534"/>
      <c r="M40" s="534"/>
      <c r="N40" s="534"/>
      <c r="O40" s="534"/>
      <c r="P40" s="534"/>
      <c r="Q40" s="534"/>
      <c r="R40" s="534"/>
      <c r="S40" s="535"/>
    </row>
    <row r="41" spans="1:19" ht="5.0999999999999996" customHeight="1" x14ac:dyDescent="0.3">
      <c r="A41" s="260"/>
      <c r="S41" s="262"/>
    </row>
    <row r="42" spans="1:19" x14ac:dyDescent="0.3">
      <c r="A42" s="260"/>
      <c r="B42" s="263" t="s">
        <v>559</v>
      </c>
      <c r="C42" s="537" t="str">
        <f>C10</f>
        <v>SOUTH AFRICAN NATIONAL ROADS AGENCY SOC LTD</v>
      </c>
      <c r="D42" s="537"/>
      <c r="E42" s="537"/>
      <c r="F42" s="537"/>
      <c r="G42" s="537"/>
      <c r="H42" s="537"/>
      <c r="I42" s="537"/>
      <c r="J42" s="537"/>
      <c r="K42" s="537"/>
      <c r="L42" s="537"/>
      <c r="M42" s="537"/>
      <c r="N42" s="537"/>
      <c r="O42" s="537"/>
      <c r="P42" s="537"/>
      <c r="Q42" s="537"/>
      <c r="R42" s="537"/>
      <c r="S42" s="262"/>
    </row>
    <row r="43" spans="1:19" ht="5.0999999999999996" customHeight="1" x14ac:dyDescent="0.3">
      <c r="A43" s="260"/>
      <c r="S43" s="262"/>
    </row>
    <row r="44" spans="1:19" x14ac:dyDescent="0.3">
      <c r="A44" s="260"/>
      <c r="B44" s="263" t="s">
        <v>560</v>
      </c>
      <c r="C44" s="263" t="s">
        <v>561</v>
      </c>
      <c r="D44" s="543"/>
      <c r="E44" s="543"/>
      <c r="F44" s="544" t="s">
        <v>562</v>
      </c>
      <c r="G44" s="545"/>
      <c r="H44" s="267"/>
      <c r="I44" s="267"/>
      <c r="J44" s="544" t="s">
        <v>563</v>
      </c>
      <c r="K44" s="545"/>
      <c r="L44" s="543"/>
      <c r="M44" s="543"/>
      <c r="N44" s="543"/>
      <c r="O44" s="543"/>
      <c r="P44" s="543"/>
      <c r="Q44" s="543"/>
      <c r="R44" s="543"/>
      <c r="S44" s="262"/>
    </row>
    <row r="45" spans="1:19" ht="5.0999999999999996" customHeight="1" x14ac:dyDescent="0.3">
      <c r="A45" s="260"/>
      <c r="S45" s="262"/>
    </row>
    <row r="46" spans="1:19" x14ac:dyDescent="0.3">
      <c r="A46" s="260"/>
      <c r="B46" s="263" t="s">
        <v>564</v>
      </c>
      <c r="C46" s="538"/>
      <c r="D46" s="538"/>
      <c r="E46" s="538"/>
      <c r="F46" s="538"/>
      <c r="G46" s="538"/>
      <c r="H46" s="538"/>
      <c r="I46" s="538"/>
      <c r="J46" s="538"/>
      <c r="K46" s="538"/>
      <c r="L46" s="538"/>
      <c r="M46" s="538"/>
      <c r="N46" s="538"/>
      <c r="O46" s="538"/>
      <c r="P46" s="538"/>
      <c r="Q46" s="538"/>
      <c r="R46" s="538"/>
      <c r="S46" s="262"/>
    </row>
    <row r="47" spans="1:19" ht="5.0999999999999996" customHeight="1" x14ac:dyDescent="0.3">
      <c r="A47" s="260"/>
      <c r="S47" s="262"/>
    </row>
    <row r="48" spans="1:19" x14ac:dyDescent="0.3">
      <c r="A48" s="260"/>
      <c r="B48" s="263" t="s">
        <v>162</v>
      </c>
      <c r="C48" s="538"/>
      <c r="D48" s="538"/>
      <c r="E48" s="538"/>
      <c r="F48" s="538"/>
      <c r="G48" s="538"/>
      <c r="H48" s="538"/>
      <c r="I48" s="538"/>
      <c r="J48" s="538"/>
      <c r="K48" s="538"/>
      <c r="L48" s="538"/>
      <c r="M48" s="538"/>
      <c r="N48" s="538"/>
      <c r="O48" s="538"/>
      <c r="P48" s="538"/>
      <c r="Q48" s="538"/>
      <c r="R48" s="538"/>
      <c r="S48" s="262"/>
    </row>
    <row r="49" spans="1:19" ht="5.0999999999999996" customHeight="1" x14ac:dyDescent="0.3">
      <c r="A49" s="260"/>
      <c r="S49" s="262"/>
    </row>
    <row r="50" spans="1:19" x14ac:dyDescent="0.3">
      <c r="A50" s="260"/>
      <c r="B50" s="263" t="s">
        <v>169</v>
      </c>
      <c r="C50" s="264"/>
      <c r="D50" s="264"/>
      <c r="E50" s="264"/>
      <c r="F50" s="264"/>
      <c r="G50" s="264"/>
      <c r="H50" s="264"/>
      <c r="I50" s="264"/>
      <c r="J50" s="264"/>
      <c r="K50" s="264"/>
      <c r="L50" s="264"/>
      <c r="M50" s="264"/>
      <c r="N50" s="264"/>
      <c r="O50" s="264"/>
      <c r="P50" s="264"/>
      <c r="Q50" s="264"/>
      <c r="R50" s="264"/>
      <c r="S50" s="262"/>
    </row>
    <row r="51" spans="1:19" ht="5.0999999999999996" customHeight="1" x14ac:dyDescent="0.3">
      <c r="A51" s="260"/>
      <c r="S51" s="262"/>
    </row>
    <row r="52" spans="1:19" x14ac:dyDescent="0.3">
      <c r="A52" s="260"/>
      <c r="B52" s="553" t="s">
        <v>565</v>
      </c>
      <c r="C52" s="554"/>
      <c r="D52" s="555"/>
      <c r="E52" s="555"/>
      <c r="F52" s="555"/>
      <c r="G52" s="555"/>
      <c r="H52" s="555"/>
      <c r="I52" s="555"/>
      <c r="J52" s="555"/>
      <c r="K52" s="555"/>
      <c r="L52" s="555"/>
      <c r="M52" s="555"/>
      <c r="N52" s="555"/>
      <c r="O52" s="555"/>
      <c r="P52" s="555"/>
      <c r="Q52" s="555"/>
      <c r="R52" s="556"/>
      <c r="S52" s="262"/>
    </row>
    <row r="53" spans="1:19" ht="5.0999999999999996" customHeight="1" x14ac:dyDescent="0.3">
      <c r="A53" s="260"/>
      <c r="B53" s="553"/>
      <c r="S53" s="262"/>
    </row>
    <row r="54" spans="1:19" hidden="1" x14ac:dyDescent="0.3">
      <c r="A54" s="260"/>
      <c r="B54" s="553"/>
      <c r="C54" s="524"/>
      <c r="D54" s="525"/>
      <c r="E54" s="525"/>
      <c r="F54" s="525"/>
      <c r="G54" s="525"/>
      <c r="H54" s="525"/>
      <c r="I54" s="525"/>
      <c r="J54" s="525"/>
      <c r="K54" s="525"/>
      <c r="L54" s="525"/>
      <c r="M54" s="525"/>
      <c r="N54" s="525"/>
      <c r="O54" s="525"/>
      <c r="P54" s="525"/>
      <c r="Q54" s="525"/>
      <c r="R54" s="526"/>
      <c r="S54" s="262"/>
    </row>
    <row r="55" spans="1:19" ht="5.0999999999999996" customHeight="1" x14ac:dyDescent="0.3">
      <c r="A55" s="260"/>
      <c r="S55" s="262"/>
    </row>
    <row r="56" spans="1:19" x14ac:dyDescent="0.3">
      <c r="A56" s="260"/>
      <c r="B56" s="263" t="s">
        <v>566</v>
      </c>
      <c r="C56" s="264">
        <v>0</v>
      </c>
      <c r="D56" s="264"/>
      <c r="E56" s="264"/>
      <c r="F56" s="266" t="s">
        <v>557</v>
      </c>
      <c r="G56" s="264"/>
      <c r="H56" s="264"/>
      <c r="I56" s="264"/>
      <c r="J56" s="266" t="s">
        <v>557</v>
      </c>
      <c r="K56" s="264"/>
      <c r="L56" s="264"/>
      <c r="M56" s="264"/>
      <c r="N56" s="264"/>
      <c r="S56" s="262"/>
    </row>
    <row r="57" spans="1:19" ht="5.0999999999999996" customHeight="1" x14ac:dyDescent="0.3">
      <c r="A57" s="260"/>
      <c r="S57" s="262"/>
    </row>
    <row r="58" spans="1:19" x14ac:dyDescent="0.3">
      <c r="A58" s="260"/>
      <c r="B58" s="263" t="s">
        <v>567</v>
      </c>
      <c r="C58" s="264">
        <v>0</v>
      </c>
      <c r="D58" s="264"/>
      <c r="E58" s="264"/>
      <c r="F58" s="266" t="s">
        <v>557</v>
      </c>
      <c r="G58" s="264"/>
      <c r="H58" s="264"/>
      <c r="I58" s="264"/>
      <c r="J58" s="266" t="s">
        <v>557</v>
      </c>
      <c r="K58" s="264"/>
      <c r="L58" s="264"/>
      <c r="M58" s="264"/>
      <c r="N58" s="264"/>
      <c r="S58" s="262"/>
    </row>
    <row r="59" spans="1:19" ht="5.0999999999999996" customHeight="1" x14ac:dyDescent="0.3">
      <c r="A59" s="260"/>
      <c r="S59" s="262"/>
    </row>
    <row r="60" spans="1:19" x14ac:dyDescent="0.3">
      <c r="A60" s="260"/>
      <c r="B60" s="263" t="s">
        <v>568</v>
      </c>
      <c r="C60" s="543"/>
      <c r="D60" s="543"/>
      <c r="E60" s="266" t="s">
        <v>557</v>
      </c>
      <c r="F60" s="557"/>
      <c r="G60" s="557"/>
      <c r="H60" s="266" t="s">
        <v>557</v>
      </c>
      <c r="I60" s="557"/>
      <c r="J60" s="557"/>
      <c r="S60" s="262"/>
    </row>
    <row r="61" spans="1:19" ht="5.0999999999999996" customHeight="1" x14ac:dyDescent="0.3">
      <c r="A61" s="260"/>
      <c r="S61" s="262"/>
    </row>
    <row r="62" spans="1:19" x14ac:dyDescent="0.3">
      <c r="A62" s="260"/>
      <c r="B62" s="546" t="s">
        <v>569</v>
      </c>
      <c r="C62" s="543"/>
      <c r="D62" s="543"/>
      <c r="E62" s="543"/>
      <c r="F62" s="543"/>
      <c r="G62" s="543"/>
      <c r="H62" s="543"/>
      <c r="I62" s="543"/>
      <c r="J62" s="543"/>
      <c r="S62" s="262"/>
    </row>
    <row r="63" spans="1:19" x14ac:dyDescent="0.3">
      <c r="A63" s="260"/>
      <c r="B63" s="546"/>
      <c r="C63" s="543"/>
      <c r="D63" s="543"/>
      <c r="E63" s="543"/>
      <c r="F63" s="543"/>
      <c r="G63" s="543"/>
      <c r="H63" s="543"/>
      <c r="I63" s="543"/>
      <c r="J63" s="543"/>
      <c r="S63" s="262"/>
    </row>
    <row r="64" spans="1:19" x14ac:dyDescent="0.3">
      <c r="A64" s="260"/>
      <c r="B64" s="546"/>
      <c r="C64" s="543"/>
      <c r="D64" s="543"/>
      <c r="E64" s="543"/>
      <c r="F64" s="543"/>
      <c r="G64" s="543"/>
      <c r="H64" s="543"/>
      <c r="I64" s="543"/>
      <c r="J64" s="543"/>
      <c r="S64" s="262"/>
    </row>
    <row r="65" spans="1:20" ht="5.0999999999999996" customHeight="1" x14ac:dyDescent="0.3">
      <c r="A65" s="268"/>
      <c r="B65" s="269"/>
      <c r="C65" s="269"/>
      <c r="D65" s="269"/>
      <c r="E65" s="269"/>
      <c r="F65" s="269"/>
      <c r="G65" s="269"/>
      <c r="H65" s="269"/>
      <c r="I65" s="269"/>
      <c r="J65" s="269"/>
      <c r="K65" s="269"/>
      <c r="L65" s="269"/>
      <c r="M65" s="269"/>
      <c r="N65" s="269"/>
      <c r="O65" s="270"/>
      <c r="P65" s="269"/>
      <c r="Q65" s="269"/>
      <c r="R65" s="269"/>
      <c r="S65" s="271"/>
    </row>
    <row r="66" spans="1:20" ht="5.0999999999999996" customHeight="1" x14ac:dyDescent="0.3">
      <c r="A66" s="269"/>
      <c r="S66" s="269"/>
    </row>
    <row r="67" spans="1:20" ht="15.6" x14ac:dyDescent="0.3">
      <c r="A67" s="547" t="s">
        <v>570</v>
      </c>
      <c r="B67" s="548"/>
      <c r="C67" s="548"/>
      <c r="D67" s="548"/>
      <c r="E67" s="548"/>
      <c r="F67" s="548"/>
      <c r="G67" s="548"/>
      <c r="H67" s="548"/>
      <c r="I67" s="548"/>
      <c r="J67" s="548"/>
      <c r="K67" s="548"/>
      <c r="L67" s="548"/>
      <c r="M67" s="548"/>
      <c r="N67" s="548"/>
      <c r="O67" s="548"/>
      <c r="P67" s="548"/>
      <c r="Q67" s="548"/>
      <c r="R67" s="548"/>
      <c r="S67" s="549"/>
    </row>
    <row r="68" spans="1:20" x14ac:dyDescent="0.3">
      <c r="A68" s="260"/>
      <c r="B68" s="550" t="s">
        <v>571</v>
      </c>
      <c r="C68" s="550"/>
      <c r="D68" s="550"/>
      <c r="E68" s="550"/>
      <c r="F68" s="550"/>
      <c r="G68" s="550"/>
      <c r="H68" s="550"/>
      <c r="I68" s="550"/>
      <c r="J68" s="550"/>
      <c r="K68" s="550"/>
      <c r="L68" s="550"/>
      <c r="M68" s="550"/>
      <c r="N68" s="550"/>
      <c r="O68" s="550"/>
      <c r="P68" s="550"/>
      <c r="Q68" s="550"/>
      <c r="R68" s="550"/>
      <c r="S68" s="262"/>
    </row>
    <row r="69" spans="1:20" ht="5.0999999999999996" customHeight="1" x14ac:dyDescent="0.3">
      <c r="A69" s="260"/>
      <c r="S69" s="262"/>
    </row>
    <row r="70" spans="1:20" ht="15" customHeight="1" x14ac:dyDescent="0.3">
      <c r="A70" s="260"/>
      <c r="B70" s="551" t="s">
        <v>572</v>
      </c>
      <c r="C70" s="551"/>
      <c r="D70" s="552" t="s">
        <v>573</v>
      </c>
      <c r="E70" s="552"/>
      <c r="F70" s="552"/>
      <c r="G70" s="552"/>
      <c r="H70" s="552"/>
      <c r="I70" s="552"/>
      <c r="J70" s="552"/>
      <c r="K70" s="552"/>
      <c r="L70" s="552"/>
      <c r="M70" s="552"/>
      <c r="N70" s="552"/>
      <c r="O70" s="552"/>
      <c r="P70" s="552"/>
      <c r="Q70" s="552"/>
      <c r="R70" s="552"/>
      <c r="S70" s="262"/>
    </row>
    <row r="71" spans="1:20" ht="27.9" customHeight="1" x14ac:dyDescent="0.3">
      <c r="A71" s="260"/>
      <c r="B71" s="558" t="s">
        <v>574</v>
      </c>
      <c r="C71" s="559"/>
      <c r="D71" s="562" t="s">
        <v>575</v>
      </c>
      <c r="E71" s="563"/>
      <c r="F71" s="564"/>
      <c r="G71" s="568" t="s">
        <v>576</v>
      </c>
      <c r="H71" s="569"/>
      <c r="I71" s="570"/>
      <c r="J71" s="568" t="s">
        <v>577</v>
      </c>
      <c r="K71" s="569"/>
      <c r="L71" s="570"/>
      <c r="M71" s="568" t="s">
        <v>578</v>
      </c>
      <c r="N71" s="569"/>
      <c r="O71" s="570"/>
      <c r="P71" s="568" t="s">
        <v>579</v>
      </c>
      <c r="Q71" s="569"/>
      <c r="R71" s="570"/>
      <c r="S71" s="262"/>
    </row>
    <row r="72" spans="1:20" ht="45.75" customHeight="1" x14ac:dyDescent="0.3">
      <c r="A72" s="260"/>
      <c r="B72" s="560"/>
      <c r="C72" s="561"/>
      <c r="D72" s="565"/>
      <c r="E72" s="566"/>
      <c r="F72" s="567"/>
      <c r="G72" s="571" t="s">
        <v>580</v>
      </c>
      <c r="H72" s="572"/>
      <c r="I72" s="573"/>
      <c r="J72" s="571" t="s">
        <v>581</v>
      </c>
      <c r="K72" s="572"/>
      <c r="L72" s="573"/>
      <c r="M72" s="571" t="s">
        <v>582</v>
      </c>
      <c r="N72" s="572"/>
      <c r="O72" s="573"/>
      <c r="P72" s="571" t="s">
        <v>583</v>
      </c>
      <c r="Q72" s="572"/>
      <c r="R72" s="573"/>
      <c r="S72" s="262"/>
    </row>
    <row r="73" spans="1:20" x14ac:dyDescent="0.3">
      <c r="A73" s="260"/>
      <c r="B73" s="576" t="s">
        <v>584</v>
      </c>
      <c r="C73" s="576"/>
      <c r="D73" s="576"/>
      <c r="E73" s="576"/>
      <c r="F73" s="576"/>
      <c r="G73" s="576"/>
      <c r="H73" s="576"/>
      <c r="I73" s="576"/>
      <c r="J73" s="576"/>
      <c r="K73" s="576"/>
      <c r="L73" s="576"/>
      <c r="M73" s="576"/>
      <c r="N73" s="576"/>
      <c r="O73" s="576"/>
      <c r="P73" s="576"/>
      <c r="Q73" s="576"/>
      <c r="R73" s="576"/>
      <c r="S73" s="262"/>
    </row>
    <row r="74" spans="1:20" ht="24.9" customHeight="1" x14ac:dyDescent="0.3">
      <c r="A74" s="260"/>
      <c r="B74" s="577" t="s">
        <v>585</v>
      </c>
      <c r="C74" s="577"/>
      <c r="D74" s="565"/>
      <c r="E74" s="566"/>
      <c r="F74" s="567"/>
      <c r="G74" s="565"/>
      <c r="H74" s="566"/>
      <c r="I74" s="567"/>
      <c r="J74" s="565"/>
      <c r="K74" s="566"/>
      <c r="L74" s="567"/>
      <c r="M74" s="565"/>
      <c r="N74" s="566"/>
      <c r="O74" s="567"/>
      <c r="P74" s="565"/>
      <c r="Q74" s="566"/>
      <c r="R74" s="567"/>
      <c r="S74" s="272">
        <f>SUM(G74:R74)</f>
        <v>0</v>
      </c>
    </row>
    <row r="75" spans="1:20" hidden="1" x14ac:dyDescent="0.3">
      <c r="A75" s="260"/>
      <c r="B75" s="273"/>
      <c r="C75" s="273"/>
      <c r="D75" s="274"/>
      <c r="E75" s="275" t="b">
        <v>0</v>
      </c>
      <c r="F75" s="276"/>
      <c r="G75" s="274"/>
      <c r="H75" s="275" t="b">
        <v>0</v>
      </c>
      <c r="I75" s="276"/>
      <c r="J75" s="274"/>
      <c r="K75" s="275" t="b">
        <v>0</v>
      </c>
      <c r="L75" s="276"/>
      <c r="M75" s="274"/>
      <c r="N75" s="275" t="b">
        <v>0</v>
      </c>
      <c r="O75" s="276"/>
      <c r="P75" s="274"/>
      <c r="Q75" s="275" t="b">
        <v>0</v>
      </c>
      <c r="R75" s="276"/>
      <c r="S75" s="272"/>
      <c r="T75" s="259">
        <f>IF(COUNTIF(E75:Q75,"TRUE")&gt;=2,1,0)</f>
        <v>0</v>
      </c>
    </row>
    <row r="76" spans="1:20" hidden="1" x14ac:dyDescent="0.3">
      <c r="A76" s="260"/>
      <c r="B76" s="273"/>
      <c r="C76" s="273"/>
      <c r="D76" s="274"/>
      <c r="E76" s="275"/>
      <c r="F76" s="276"/>
      <c r="G76" s="274"/>
      <c r="H76" s="275">
        <f>IF(H75=TRUE,-1,0)</f>
        <v>0</v>
      </c>
      <c r="I76" s="276"/>
      <c r="J76" s="274"/>
      <c r="K76" s="275">
        <f>IF(K75=TRUE,0,0)</f>
        <v>0</v>
      </c>
      <c r="L76" s="276"/>
      <c r="M76" s="274"/>
      <c r="N76" s="275">
        <f>IF(N75=TRUE,1,0)</f>
        <v>0</v>
      </c>
      <c r="O76" s="276"/>
      <c r="P76" s="274"/>
      <c r="Q76" s="275">
        <f>IF(Q75=TRUE,2,0)</f>
        <v>0</v>
      </c>
      <c r="R76" s="276"/>
      <c r="S76" s="272">
        <f>SUM(G76:R76)</f>
        <v>0</v>
      </c>
    </row>
    <row r="77" spans="1:20" ht="24.9" customHeight="1" x14ac:dyDescent="0.3">
      <c r="A77" s="260"/>
      <c r="B77" s="574" t="s">
        <v>586</v>
      </c>
      <c r="C77" s="575"/>
      <c r="D77" s="565"/>
      <c r="E77" s="566"/>
      <c r="F77" s="567"/>
      <c r="G77" s="565"/>
      <c r="H77" s="566"/>
      <c r="I77" s="567"/>
      <c r="J77" s="565"/>
      <c r="K77" s="566"/>
      <c r="L77" s="567"/>
      <c r="M77" s="565"/>
      <c r="N77" s="566"/>
      <c r="O77" s="567"/>
      <c r="P77" s="565"/>
      <c r="Q77" s="566"/>
      <c r="R77" s="567"/>
      <c r="S77" s="272">
        <f>SUM(G77:R77)</f>
        <v>0</v>
      </c>
    </row>
    <row r="78" spans="1:20" ht="26.1" hidden="1" customHeight="1" x14ac:dyDescent="0.3">
      <c r="A78" s="260"/>
      <c r="B78" s="277"/>
      <c r="C78" s="277"/>
      <c r="D78" s="274"/>
      <c r="E78" s="275" t="b">
        <v>0</v>
      </c>
      <c r="F78" s="276"/>
      <c r="G78" s="274"/>
      <c r="H78" s="275" t="b">
        <v>0</v>
      </c>
      <c r="I78" s="276"/>
      <c r="J78" s="274"/>
      <c r="K78" s="275" t="b">
        <v>0</v>
      </c>
      <c r="L78" s="276"/>
      <c r="M78" s="274"/>
      <c r="N78" s="275" t="b">
        <v>0</v>
      </c>
      <c r="O78" s="276"/>
      <c r="P78" s="278"/>
      <c r="Q78" s="279" t="b">
        <v>0</v>
      </c>
      <c r="R78" s="280"/>
      <c r="S78" s="272"/>
      <c r="T78" s="259">
        <f>IF(COUNTIF(E78:Q78,"TRUE")&gt;=2,1,0)</f>
        <v>0</v>
      </c>
    </row>
    <row r="79" spans="1:20" ht="26.1" hidden="1" customHeight="1" x14ac:dyDescent="0.3">
      <c r="A79" s="260"/>
      <c r="B79" s="277"/>
      <c r="C79" s="277"/>
      <c r="D79" s="274"/>
      <c r="E79" s="275"/>
      <c r="F79" s="276"/>
      <c r="G79" s="274"/>
      <c r="H79" s="275">
        <f>IF(H78=TRUE,-1,0)</f>
        <v>0</v>
      </c>
      <c r="I79" s="276"/>
      <c r="J79" s="274"/>
      <c r="K79" s="275">
        <f>IF(K78=TRUE,0,0)</f>
        <v>0</v>
      </c>
      <c r="L79" s="276"/>
      <c r="M79" s="274"/>
      <c r="N79" s="275">
        <f>IF(N78=TRUE,1,0)</f>
        <v>0</v>
      </c>
      <c r="O79" s="276"/>
      <c r="P79" s="274"/>
      <c r="Q79" s="275">
        <f>IF(Q78=TRUE,2,0)</f>
        <v>0</v>
      </c>
      <c r="R79" s="281"/>
      <c r="S79" s="272">
        <f>SUM(G79:R79)</f>
        <v>0</v>
      </c>
    </row>
    <row r="80" spans="1:20" ht="24.9" customHeight="1" x14ac:dyDescent="0.3">
      <c r="A80" s="260"/>
      <c r="B80" s="574" t="s">
        <v>587</v>
      </c>
      <c r="C80" s="575"/>
      <c r="D80" s="565"/>
      <c r="E80" s="566"/>
      <c r="F80" s="567"/>
      <c r="G80" s="565"/>
      <c r="H80" s="566"/>
      <c r="I80" s="567"/>
      <c r="J80" s="565"/>
      <c r="K80" s="566"/>
      <c r="L80" s="567"/>
      <c r="M80" s="565"/>
      <c r="N80" s="566"/>
      <c r="O80" s="567"/>
      <c r="P80" s="565"/>
      <c r="Q80" s="566"/>
      <c r="R80" s="567"/>
      <c r="S80" s="272">
        <f>SUM(G80:R80)</f>
        <v>0</v>
      </c>
    </row>
    <row r="81" spans="1:22" hidden="1" x14ac:dyDescent="0.3">
      <c r="A81" s="260"/>
      <c r="B81" s="273"/>
      <c r="C81" s="273"/>
      <c r="D81" s="274"/>
      <c r="E81" s="275" t="b">
        <v>0</v>
      </c>
      <c r="F81" s="276"/>
      <c r="G81" s="274"/>
      <c r="H81" s="275" t="b">
        <v>0</v>
      </c>
      <c r="I81" s="276"/>
      <c r="J81" s="274"/>
      <c r="K81" s="275" t="b">
        <v>0</v>
      </c>
      <c r="L81" s="276"/>
      <c r="M81" s="274"/>
      <c r="N81" s="275" t="b">
        <v>0</v>
      </c>
      <c r="O81" s="276"/>
      <c r="P81" s="274"/>
      <c r="Q81" s="275" t="b">
        <v>0</v>
      </c>
      <c r="R81" s="276"/>
      <c r="S81" s="272"/>
      <c r="T81" s="259">
        <f>IF(COUNTIF(E81:Q81,"TRUE")&gt;=2,1,0)</f>
        <v>0</v>
      </c>
    </row>
    <row r="82" spans="1:22" hidden="1" x14ac:dyDescent="0.3">
      <c r="A82" s="260"/>
      <c r="B82" s="273"/>
      <c r="C82" s="273"/>
      <c r="D82" s="274"/>
      <c r="E82" s="275"/>
      <c r="F82" s="276"/>
      <c r="G82" s="274"/>
      <c r="H82" s="275">
        <f>IF(H81=TRUE,-1,0)</f>
        <v>0</v>
      </c>
      <c r="I82" s="276"/>
      <c r="J82" s="274"/>
      <c r="K82" s="275">
        <f>IF(K81=TRUE,0,0)</f>
        <v>0</v>
      </c>
      <c r="L82" s="276"/>
      <c r="M82" s="274"/>
      <c r="N82" s="275">
        <f>IF(N81=TRUE,1,0)</f>
        <v>0</v>
      </c>
      <c r="O82" s="276"/>
      <c r="P82" s="274"/>
      <c r="Q82" s="275">
        <f>IF(Q81=TRUE,2,0)</f>
        <v>0</v>
      </c>
      <c r="R82" s="276"/>
      <c r="S82" s="272">
        <f>SUM(G82:R82)</f>
        <v>0</v>
      </c>
    </row>
    <row r="83" spans="1:22" ht="24.9" customHeight="1" x14ac:dyDescent="0.3">
      <c r="A83" s="260"/>
      <c r="B83" s="574" t="s">
        <v>588</v>
      </c>
      <c r="C83" s="575"/>
      <c r="D83" s="565"/>
      <c r="E83" s="566"/>
      <c r="F83" s="567"/>
      <c r="G83" s="565"/>
      <c r="H83" s="566"/>
      <c r="I83" s="567"/>
      <c r="J83" s="565"/>
      <c r="K83" s="566"/>
      <c r="L83" s="567"/>
      <c r="M83" s="565"/>
      <c r="N83" s="566"/>
      <c r="O83" s="567"/>
      <c r="P83" s="565"/>
      <c r="Q83" s="566"/>
      <c r="R83" s="567"/>
      <c r="S83" s="272">
        <f>SUM(G83:R83)</f>
        <v>0</v>
      </c>
    </row>
    <row r="84" spans="1:22" hidden="1" x14ac:dyDescent="0.3">
      <c r="A84" s="260"/>
      <c r="B84" s="273"/>
      <c r="C84" s="273"/>
      <c r="D84" s="274"/>
      <c r="E84" s="275" t="b">
        <v>0</v>
      </c>
      <c r="F84" s="276"/>
      <c r="G84" s="274"/>
      <c r="H84" s="275" t="b">
        <v>0</v>
      </c>
      <c r="I84" s="276"/>
      <c r="J84" s="274"/>
      <c r="K84" s="275" t="b">
        <v>0</v>
      </c>
      <c r="L84" s="276"/>
      <c r="M84" s="274"/>
      <c r="N84" s="275" t="b">
        <v>0</v>
      </c>
      <c r="O84" s="276"/>
      <c r="P84" s="274"/>
      <c r="Q84" s="275" t="b">
        <v>0</v>
      </c>
      <c r="R84" s="276"/>
      <c r="S84" s="272"/>
      <c r="T84" s="259">
        <f>IF(COUNTIF(E84:Q84,"TRUE")&gt;=2,1,0)</f>
        <v>0</v>
      </c>
    </row>
    <row r="85" spans="1:22" hidden="1" x14ac:dyDescent="0.3">
      <c r="A85" s="260"/>
      <c r="B85" s="273"/>
      <c r="C85" s="273"/>
      <c r="D85" s="274"/>
      <c r="E85" s="275"/>
      <c r="F85" s="276"/>
      <c r="G85" s="274"/>
      <c r="H85" s="275">
        <f>IF(H84=TRUE,-1,0)</f>
        <v>0</v>
      </c>
      <c r="I85" s="276"/>
      <c r="J85" s="274"/>
      <c r="K85" s="275">
        <f>IF(K84=TRUE,0,0)</f>
        <v>0</v>
      </c>
      <c r="L85" s="276"/>
      <c r="M85" s="274"/>
      <c r="N85" s="275">
        <f>IF(N84=TRUE,1,0)</f>
        <v>0</v>
      </c>
      <c r="O85" s="276"/>
      <c r="P85" s="274"/>
      <c r="Q85" s="275">
        <f>IF(Q84=TRUE,2,0)</f>
        <v>0</v>
      </c>
      <c r="R85" s="276"/>
      <c r="S85" s="272">
        <f>SUM(G85:R85)</f>
        <v>0</v>
      </c>
    </row>
    <row r="86" spans="1:22" x14ac:dyDescent="0.3">
      <c r="A86" s="260"/>
      <c r="B86" s="578" t="s">
        <v>589</v>
      </c>
      <c r="C86" s="578"/>
      <c r="D86" s="578"/>
      <c r="E86" s="578"/>
      <c r="F86" s="578"/>
      <c r="G86" s="578"/>
      <c r="H86" s="578"/>
      <c r="I86" s="578"/>
      <c r="J86" s="578"/>
      <c r="K86" s="578"/>
      <c r="L86" s="578"/>
      <c r="M86" s="578"/>
      <c r="N86" s="578"/>
      <c r="O86" s="578"/>
      <c r="P86" s="579">
        <f>SUM(S74:S85)</f>
        <v>0</v>
      </c>
      <c r="Q86" s="580"/>
      <c r="R86" s="581"/>
      <c r="S86" s="272">
        <f>SUM(S74:S85)</f>
        <v>0</v>
      </c>
      <c r="T86" s="259">
        <f>IF(P86=0,0,(P86+(4-U86))/(12-(U86*3)))</f>
        <v>0</v>
      </c>
      <c r="U86" s="259">
        <f>COUNTIF(E75:E85,"TRUE")</f>
        <v>0</v>
      </c>
      <c r="V86" s="259">
        <f>IF(P86=0,1,0)</f>
        <v>1</v>
      </c>
    </row>
    <row r="87" spans="1:22" x14ac:dyDescent="0.3">
      <c r="A87" s="260"/>
      <c r="B87" s="578" t="s">
        <v>590</v>
      </c>
      <c r="C87" s="578"/>
      <c r="D87" s="578"/>
      <c r="E87" s="578"/>
      <c r="F87" s="578"/>
      <c r="G87" s="578"/>
      <c r="H87" s="578"/>
      <c r="I87" s="578"/>
      <c r="J87" s="578"/>
      <c r="K87" s="578"/>
      <c r="L87" s="578"/>
      <c r="M87" s="578"/>
      <c r="N87" s="578"/>
      <c r="O87" s="578"/>
      <c r="P87" s="582">
        <f>SUM(P86/4)</f>
        <v>0</v>
      </c>
      <c r="Q87" s="582"/>
      <c r="R87" s="582"/>
      <c r="S87" s="262"/>
    </row>
    <row r="88" spans="1:22" x14ac:dyDescent="0.3">
      <c r="A88" s="260"/>
      <c r="B88" s="583" t="s">
        <v>591</v>
      </c>
      <c r="C88" s="584"/>
      <c r="D88" s="584"/>
      <c r="E88" s="584"/>
      <c r="F88" s="584"/>
      <c r="G88" s="584"/>
      <c r="H88" s="584"/>
      <c r="I88" s="584"/>
      <c r="J88" s="584"/>
      <c r="K88" s="584"/>
      <c r="L88" s="584"/>
      <c r="M88" s="584"/>
      <c r="N88" s="584"/>
      <c r="O88" s="282" t="s">
        <v>592</v>
      </c>
      <c r="P88" s="585">
        <f>SUM(P87*0.1)</f>
        <v>0</v>
      </c>
      <c r="Q88" s="585"/>
      <c r="R88" s="585"/>
      <c r="S88" s="283"/>
    </row>
    <row r="89" spans="1:22" x14ac:dyDescent="0.3">
      <c r="A89" s="260"/>
      <c r="B89" s="576" t="s">
        <v>593</v>
      </c>
      <c r="C89" s="576"/>
      <c r="D89" s="576"/>
      <c r="E89" s="576"/>
      <c r="F89" s="576"/>
      <c r="G89" s="576"/>
      <c r="H89" s="576"/>
      <c r="I89" s="576"/>
      <c r="J89" s="576"/>
      <c r="K89" s="576"/>
      <c r="L89" s="576"/>
      <c r="M89" s="576"/>
      <c r="N89" s="576"/>
      <c r="O89" s="576"/>
      <c r="P89" s="576"/>
      <c r="Q89" s="576"/>
      <c r="R89" s="576"/>
      <c r="S89" s="262"/>
    </row>
    <row r="90" spans="1:22" ht="24.9" customHeight="1" x14ac:dyDescent="0.3">
      <c r="A90" s="260"/>
      <c r="B90" s="574" t="s">
        <v>594</v>
      </c>
      <c r="C90" s="575"/>
      <c r="D90" s="565"/>
      <c r="E90" s="566"/>
      <c r="F90" s="567"/>
      <c r="G90" s="565"/>
      <c r="H90" s="566"/>
      <c r="I90" s="567"/>
      <c r="J90" s="565"/>
      <c r="K90" s="566"/>
      <c r="L90" s="567"/>
      <c r="M90" s="565"/>
      <c r="N90" s="566"/>
      <c r="O90" s="567"/>
      <c r="P90" s="565"/>
      <c r="Q90" s="566"/>
      <c r="R90" s="567"/>
      <c r="S90" s="272">
        <f>SUM(G90:R90)</f>
        <v>0</v>
      </c>
    </row>
    <row r="91" spans="1:22" ht="26.1" hidden="1" customHeight="1" x14ac:dyDescent="0.3">
      <c r="A91" s="260"/>
      <c r="B91" s="277"/>
      <c r="C91" s="277"/>
      <c r="D91" s="274"/>
      <c r="E91" s="275" t="b">
        <v>0</v>
      </c>
      <c r="F91" s="276"/>
      <c r="G91" s="274"/>
      <c r="H91" s="275" t="b">
        <v>0</v>
      </c>
      <c r="I91" s="276"/>
      <c r="J91" s="274"/>
      <c r="K91" s="275" t="b">
        <v>0</v>
      </c>
      <c r="L91" s="276"/>
      <c r="M91" s="274"/>
      <c r="N91" s="275" t="b">
        <v>0</v>
      </c>
      <c r="O91" s="276"/>
      <c r="P91" s="274"/>
      <c r="Q91" s="275" t="b">
        <v>0</v>
      </c>
      <c r="R91" s="284"/>
      <c r="S91" s="272"/>
      <c r="T91" s="259">
        <f>IF(COUNTIF(E91:Q91,"TRUE")&gt;=2,1,0)</f>
        <v>0</v>
      </c>
    </row>
    <row r="92" spans="1:22" ht="26.1" hidden="1" customHeight="1" x14ac:dyDescent="0.3">
      <c r="A92" s="260"/>
      <c r="B92" s="277"/>
      <c r="C92" s="277"/>
      <c r="D92" s="274"/>
      <c r="E92" s="275"/>
      <c r="F92" s="276"/>
      <c r="G92" s="284"/>
      <c r="H92" s="275">
        <f>IF(H91=TRUE,-1,0)</f>
        <v>0</v>
      </c>
      <c r="I92" s="276"/>
      <c r="J92" s="274"/>
      <c r="K92" s="275">
        <f>IF(K91=TRUE,0,0)</f>
        <v>0</v>
      </c>
      <c r="L92" s="276"/>
      <c r="M92" s="274"/>
      <c r="N92" s="275">
        <f>IF(N91=TRUE,1,0)</f>
        <v>0</v>
      </c>
      <c r="O92" s="276"/>
      <c r="P92" s="274"/>
      <c r="Q92" s="275">
        <f>IF(Q91=TRUE,2,0)</f>
        <v>0</v>
      </c>
      <c r="R92" s="284"/>
      <c r="S92" s="272">
        <f>SUM(G92:R92)</f>
        <v>0</v>
      </c>
    </row>
    <row r="93" spans="1:22" ht="24.9" customHeight="1" x14ac:dyDescent="0.3">
      <c r="A93" s="260"/>
      <c r="B93" s="574" t="s">
        <v>595</v>
      </c>
      <c r="C93" s="575"/>
      <c r="D93" s="565"/>
      <c r="E93" s="566"/>
      <c r="F93" s="567"/>
      <c r="G93" s="565"/>
      <c r="H93" s="566"/>
      <c r="I93" s="567"/>
      <c r="J93" s="565"/>
      <c r="K93" s="566"/>
      <c r="L93" s="567"/>
      <c r="M93" s="565"/>
      <c r="N93" s="566"/>
      <c r="O93" s="567"/>
      <c r="P93" s="565"/>
      <c r="Q93" s="566"/>
      <c r="R93" s="567"/>
      <c r="S93" s="272">
        <f>SUM(G93:R93)</f>
        <v>0</v>
      </c>
    </row>
    <row r="94" spans="1:22" ht="26.1" hidden="1" customHeight="1" x14ac:dyDescent="0.3">
      <c r="A94" s="260"/>
      <c r="B94" s="277"/>
      <c r="C94" s="277"/>
      <c r="D94" s="274"/>
      <c r="E94" s="275" t="b">
        <v>0</v>
      </c>
      <c r="F94" s="276"/>
      <c r="G94" s="274"/>
      <c r="H94" s="275" t="b">
        <v>0</v>
      </c>
      <c r="I94" s="276"/>
      <c r="J94" s="274"/>
      <c r="K94" s="275" t="b">
        <v>0</v>
      </c>
      <c r="L94" s="276"/>
      <c r="M94" s="274"/>
      <c r="N94" s="275" t="b">
        <v>0</v>
      </c>
      <c r="O94" s="276"/>
      <c r="P94" s="274"/>
      <c r="Q94" s="275" t="b">
        <v>0</v>
      </c>
      <c r="R94" s="285"/>
      <c r="S94" s="272"/>
      <c r="T94" s="259">
        <f>IF(COUNTIF(E94:Q94,"TRUE")&gt;=2,1,0)</f>
        <v>0</v>
      </c>
    </row>
    <row r="95" spans="1:22" ht="26.1" hidden="1" customHeight="1" x14ac:dyDescent="0.3">
      <c r="A95" s="260"/>
      <c r="B95" s="277"/>
      <c r="C95" s="277"/>
      <c r="D95" s="285"/>
      <c r="E95" s="285"/>
      <c r="F95" s="285"/>
      <c r="G95" s="285"/>
      <c r="H95" s="275">
        <f>IF(H94=TRUE,-1,0)</f>
        <v>0</v>
      </c>
      <c r="I95" s="276"/>
      <c r="J95" s="274"/>
      <c r="K95" s="275">
        <f>IF(K94=TRUE,0,0)</f>
        <v>0</v>
      </c>
      <c r="L95" s="276"/>
      <c r="M95" s="274"/>
      <c r="N95" s="275">
        <f>IF(N94=TRUE,1,0)</f>
        <v>0</v>
      </c>
      <c r="O95" s="276"/>
      <c r="P95" s="274"/>
      <c r="Q95" s="275">
        <f>IF(Q94=TRUE,2,0)</f>
        <v>0</v>
      </c>
      <c r="R95" s="285"/>
      <c r="S95" s="272">
        <f>SUM(G95:R95)</f>
        <v>0</v>
      </c>
    </row>
    <row r="96" spans="1:22" ht="24.9" customHeight="1" x14ac:dyDescent="0.3">
      <c r="A96" s="260"/>
      <c r="B96" s="574" t="s">
        <v>596</v>
      </c>
      <c r="C96" s="575"/>
      <c r="D96" s="565"/>
      <c r="E96" s="566"/>
      <c r="F96" s="567"/>
      <c r="G96" s="565"/>
      <c r="H96" s="566"/>
      <c r="I96" s="567"/>
      <c r="J96" s="565"/>
      <c r="K96" s="566"/>
      <c r="L96" s="567"/>
      <c r="M96" s="565"/>
      <c r="N96" s="566"/>
      <c r="O96" s="567"/>
      <c r="P96" s="565"/>
      <c r="Q96" s="566"/>
      <c r="R96" s="567"/>
      <c r="S96" s="272">
        <f>SUM(G96:R96)</f>
        <v>0</v>
      </c>
    </row>
    <row r="97" spans="1:22" ht="26.1" hidden="1" customHeight="1" x14ac:dyDescent="0.3">
      <c r="A97" s="260"/>
      <c r="B97" s="277"/>
      <c r="C97" s="277"/>
      <c r="D97" s="274"/>
      <c r="E97" s="275" t="b">
        <v>0</v>
      </c>
      <c r="F97" s="276"/>
      <c r="G97" s="274"/>
      <c r="H97" s="275" t="b">
        <v>0</v>
      </c>
      <c r="I97" s="276"/>
      <c r="J97" s="274"/>
      <c r="K97" s="275" t="b">
        <v>0</v>
      </c>
      <c r="L97" s="276"/>
      <c r="M97" s="274"/>
      <c r="N97" s="275" t="b">
        <v>0</v>
      </c>
      <c r="O97" s="276"/>
      <c r="P97" s="274"/>
      <c r="Q97" s="275" t="b">
        <v>0</v>
      </c>
      <c r="R97" s="285"/>
      <c r="S97" s="272"/>
      <c r="T97" s="259">
        <f>IF(COUNTIF(E97:Q97,"TRUE")&gt;=2,1,0)</f>
        <v>0</v>
      </c>
    </row>
    <row r="98" spans="1:22" ht="26.1" hidden="1" customHeight="1" x14ac:dyDescent="0.3">
      <c r="A98" s="260"/>
      <c r="B98" s="277"/>
      <c r="C98" s="277"/>
      <c r="D98" s="285"/>
      <c r="E98" s="285"/>
      <c r="F98" s="285"/>
      <c r="G98" s="285"/>
      <c r="H98" s="275">
        <f>IF(H97=TRUE,-1,0)</f>
        <v>0</v>
      </c>
      <c r="I98" s="276"/>
      <c r="J98" s="274"/>
      <c r="K98" s="275">
        <f>IF(K97=TRUE,0,0)</f>
        <v>0</v>
      </c>
      <c r="L98" s="276"/>
      <c r="M98" s="274"/>
      <c r="N98" s="275">
        <f>IF(N97=TRUE,1,0)</f>
        <v>0</v>
      </c>
      <c r="O98" s="276"/>
      <c r="P98" s="274"/>
      <c r="Q98" s="275">
        <f>IF(Q97=TRUE,2,0)</f>
        <v>0</v>
      </c>
      <c r="R98" s="285"/>
      <c r="S98" s="272">
        <f>SUM(G98:R98)</f>
        <v>0</v>
      </c>
    </row>
    <row r="99" spans="1:22" ht="24.9" customHeight="1" x14ac:dyDescent="0.3">
      <c r="A99" s="260"/>
      <c r="B99" s="574" t="s">
        <v>597</v>
      </c>
      <c r="C99" s="575"/>
      <c r="D99" s="565"/>
      <c r="E99" s="566"/>
      <c r="F99" s="567"/>
      <c r="G99" s="565"/>
      <c r="H99" s="566"/>
      <c r="I99" s="567"/>
      <c r="J99" s="565"/>
      <c r="K99" s="566"/>
      <c r="L99" s="567"/>
      <c r="M99" s="565"/>
      <c r="N99" s="566"/>
      <c r="O99" s="567"/>
      <c r="P99" s="565"/>
      <c r="Q99" s="566"/>
      <c r="R99" s="567"/>
      <c r="S99" s="272">
        <f>SUM(G99:R99)</f>
        <v>0</v>
      </c>
    </row>
    <row r="100" spans="1:22" hidden="1" x14ac:dyDescent="0.3">
      <c r="A100" s="260"/>
      <c r="B100" s="273"/>
      <c r="C100" s="273"/>
      <c r="D100" s="285"/>
      <c r="E100" s="275" t="b">
        <v>0</v>
      </c>
      <c r="F100" s="276"/>
      <c r="G100" s="274"/>
      <c r="H100" s="275" t="b">
        <v>0</v>
      </c>
      <c r="I100" s="276"/>
      <c r="J100" s="274"/>
      <c r="K100" s="275" t="b">
        <v>0</v>
      </c>
      <c r="L100" s="276"/>
      <c r="M100" s="274"/>
      <c r="N100" s="275" t="b">
        <v>0</v>
      </c>
      <c r="O100" s="276"/>
      <c r="P100" s="274"/>
      <c r="Q100" s="275" t="b">
        <v>0</v>
      </c>
      <c r="R100" s="285"/>
      <c r="S100" s="272"/>
      <c r="T100" s="259">
        <f>IF(COUNTIF(E100:Q100,"TRUE")&gt;=2,1,0)</f>
        <v>0</v>
      </c>
    </row>
    <row r="101" spans="1:22" hidden="1" x14ac:dyDescent="0.3">
      <c r="A101" s="260"/>
      <c r="B101" s="273"/>
      <c r="C101" s="273"/>
      <c r="D101" s="285"/>
      <c r="E101" s="285"/>
      <c r="F101" s="285"/>
      <c r="G101" s="285"/>
      <c r="H101" s="275">
        <f>IF(H100=TRUE,-1,0)</f>
        <v>0</v>
      </c>
      <c r="I101" s="276"/>
      <c r="J101" s="274"/>
      <c r="K101" s="275">
        <f>IF(K100=TRUE,0,0)</f>
        <v>0</v>
      </c>
      <c r="L101" s="276"/>
      <c r="M101" s="274"/>
      <c r="N101" s="275">
        <f>IF(N100=TRUE,1,0)</f>
        <v>0</v>
      </c>
      <c r="O101" s="276"/>
      <c r="P101" s="274"/>
      <c r="Q101" s="275">
        <f>IF(Q100=TRUE,2,0)</f>
        <v>0</v>
      </c>
      <c r="R101" s="285"/>
      <c r="S101" s="272">
        <f>SUM(G101:R101)</f>
        <v>0</v>
      </c>
    </row>
    <row r="102" spans="1:22" x14ac:dyDescent="0.3">
      <c r="A102" s="260"/>
      <c r="B102" s="537" t="s">
        <v>589</v>
      </c>
      <c r="C102" s="537"/>
      <c r="D102" s="537"/>
      <c r="E102" s="537"/>
      <c r="F102" s="537"/>
      <c r="G102" s="537"/>
      <c r="H102" s="537"/>
      <c r="I102" s="537"/>
      <c r="J102" s="537"/>
      <c r="K102" s="537"/>
      <c r="L102" s="537"/>
      <c r="M102" s="537"/>
      <c r="N102" s="537"/>
      <c r="O102" s="537"/>
      <c r="P102" s="582">
        <f>SUM(S91:S101)</f>
        <v>0</v>
      </c>
      <c r="Q102" s="582"/>
      <c r="R102" s="582"/>
      <c r="S102" s="272">
        <f>SUM(S90:S99)</f>
        <v>0</v>
      </c>
      <c r="T102" s="259">
        <f>IF(P102=0,0,(P102+(4-U102))/(12-(U102*3)))</f>
        <v>0</v>
      </c>
      <c r="U102" s="259">
        <f>COUNTIF(E91:E101,"TRUE")</f>
        <v>0</v>
      </c>
      <c r="V102" s="259">
        <f>IF(P102=0,1,0)</f>
        <v>1</v>
      </c>
    </row>
    <row r="103" spans="1:22" x14ac:dyDescent="0.3">
      <c r="A103" s="260"/>
      <c r="B103" s="537" t="s">
        <v>590</v>
      </c>
      <c r="C103" s="537"/>
      <c r="D103" s="537"/>
      <c r="E103" s="537"/>
      <c r="F103" s="537"/>
      <c r="G103" s="537"/>
      <c r="H103" s="537"/>
      <c r="I103" s="537"/>
      <c r="J103" s="537"/>
      <c r="K103" s="537"/>
      <c r="L103" s="537"/>
      <c r="M103" s="537"/>
      <c r="N103" s="537"/>
      <c r="O103" s="537"/>
      <c r="P103" s="582">
        <f>SUM(P102/4)</f>
        <v>0</v>
      </c>
      <c r="Q103" s="582"/>
      <c r="R103" s="582"/>
      <c r="S103" s="262"/>
    </row>
    <row r="104" spans="1:22" x14ac:dyDescent="0.3">
      <c r="A104" s="260"/>
      <c r="B104" s="586" t="s">
        <v>591</v>
      </c>
      <c r="C104" s="587"/>
      <c r="D104" s="587"/>
      <c r="E104" s="587"/>
      <c r="F104" s="587"/>
      <c r="G104" s="587"/>
      <c r="H104" s="587"/>
      <c r="I104" s="587"/>
      <c r="J104" s="587"/>
      <c r="K104" s="587"/>
      <c r="L104" s="587"/>
      <c r="M104" s="587"/>
      <c r="N104" s="587"/>
      <c r="O104" s="282" t="s">
        <v>598</v>
      </c>
      <c r="P104" s="585">
        <f>SUM(P103*0.1)</f>
        <v>0</v>
      </c>
      <c r="Q104" s="585"/>
      <c r="R104" s="585"/>
      <c r="S104" s="283"/>
    </row>
    <row r="105" spans="1:22" x14ac:dyDescent="0.3">
      <c r="A105" s="260"/>
      <c r="B105" s="589" t="s">
        <v>599</v>
      </c>
      <c r="C105" s="589"/>
      <c r="D105" s="589"/>
      <c r="E105" s="589"/>
      <c r="F105" s="589"/>
      <c r="G105" s="589"/>
      <c r="H105" s="589"/>
      <c r="I105" s="589"/>
      <c r="J105" s="589"/>
      <c r="K105" s="589"/>
      <c r="L105" s="589"/>
      <c r="M105" s="589"/>
      <c r="N105" s="589"/>
      <c r="O105" s="589"/>
      <c r="P105" s="589"/>
      <c r="Q105" s="589"/>
      <c r="R105" s="589"/>
      <c r="S105" s="262"/>
    </row>
    <row r="106" spans="1:22" ht="38.1" customHeight="1" x14ac:dyDescent="0.3">
      <c r="A106" s="260"/>
      <c r="B106" s="574" t="s">
        <v>600</v>
      </c>
      <c r="C106" s="575"/>
      <c r="D106" s="588"/>
      <c r="E106" s="588"/>
      <c r="F106" s="588"/>
      <c r="G106" s="588"/>
      <c r="H106" s="588"/>
      <c r="I106" s="588"/>
      <c r="J106" s="590"/>
      <c r="K106" s="590"/>
      <c r="L106" s="590"/>
      <c r="M106" s="588"/>
      <c r="N106" s="588"/>
      <c r="O106" s="588"/>
      <c r="P106" s="588"/>
      <c r="Q106" s="588"/>
      <c r="R106" s="588"/>
      <c r="S106" s="272">
        <f>SUM(G106:R106)</f>
        <v>0</v>
      </c>
    </row>
    <row r="107" spans="1:22" ht="38.1" hidden="1" customHeight="1" x14ac:dyDescent="0.3">
      <c r="A107" s="260"/>
      <c r="B107" s="574"/>
      <c r="C107" s="575"/>
      <c r="D107" s="286"/>
      <c r="E107" s="275" t="b">
        <v>0</v>
      </c>
      <c r="F107" s="276"/>
      <c r="G107" s="274"/>
      <c r="H107" s="275" t="b">
        <v>0</v>
      </c>
      <c r="I107" s="276"/>
      <c r="J107" s="274"/>
      <c r="K107" s="275" t="b">
        <v>0</v>
      </c>
      <c r="L107" s="276"/>
      <c r="M107" s="274"/>
      <c r="N107" s="275" t="b">
        <v>0</v>
      </c>
      <c r="O107" s="276"/>
      <c r="P107" s="274"/>
      <c r="Q107" s="275" t="b">
        <v>0</v>
      </c>
      <c r="R107" s="284"/>
      <c r="S107" s="272"/>
      <c r="T107" s="259">
        <f>IF(COUNTIF(E107:Q107,"TRUE")&gt;=2,1,0)</f>
        <v>0</v>
      </c>
    </row>
    <row r="108" spans="1:22" ht="38.1" hidden="1" customHeight="1" x14ac:dyDescent="0.3">
      <c r="A108" s="260"/>
      <c r="B108" s="574"/>
      <c r="C108" s="575"/>
      <c r="D108" s="286"/>
      <c r="E108" s="275"/>
      <c r="F108" s="276"/>
      <c r="G108" s="284"/>
      <c r="H108" s="275">
        <f>IF(H107=TRUE,-1,0)</f>
        <v>0</v>
      </c>
      <c r="I108" s="276"/>
      <c r="J108" s="274"/>
      <c r="K108" s="275">
        <f>IF(K107=TRUE,0,0)</f>
        <v>0</v>
      </c>
      <c r="L108" s="276"/>
      <c r="M108" s="274"/>
      <c r="N108" s="275">
        <f>IF(N107=TRUE,1,0)</f>
        <v>0</v>
      </c>
      <c r="O108" s="276"/>
      <c r="P108" s="274"/>
      <c r="Q108" s="275">
        <f>IF(Q107=TRUE,2,0)</f>
        <v>0</v>
      </c>
      <c r="R108" s="284"/>
      <c r="S108" s="272">
        <f>SUM(G108:R108)</f>
        <v>0</v>
      </c>
    </row>
    <row r="109" spans="1:22" ht="38.1" customHeight="1" x14ac:dyDescent="0.3">
      <c r="A109" s="260"/>
      <c r="B109" s="574" t="s">
        <v>601</v>
      </c>
      <c r="C109" s="575"/>
      <c r="D109" s="588"/>
      <c r="E109" s="588"/>
      <c r="F109" s="588"/>
      <c r="G109" s="588"/>
      <c r="H109" s="588"/>
      <c r="I109" s="588"/>
      <c r="J109" s="588"/>
      <c r="K109" s="588"/>
      <c r="L109" s="588"/>
      <c r="M109" s="588"/>
      <c r="N109" s="588"/>
      <c r="O109" s="588"/>
      <c r="P109" s="588"/>
      <c r="Q109" s="588"/>
      <c r="R109" s="588"/>
      <c r="S109" s="272">
        <f>SUM(G109:R109)</f>
        <v>0</v>
      </c>
    </row>
    <row r="110" spans="1:22" ht="38.1" hidden="1" customHeight="1" x14ac:dyDescent="0.3">
      <c r="A110" s="260"/>
      <c r="B110" s="574"/>
      <c r="C110" s="575"/>
      <c r="D110" s="274"/>
      <c r="E110" s="275" t="b">
        <v>0</v>
      </c>
      <c r="F110" s="276"/>
      <c r="G110" s="274"/>
      <c r="H110" s="275" t="b">
        <v>0</v>
      </c>
      <c r="I110" s="276"/>
      <c r="J110" s="274"/>
      <c r="K110" s="275" t="b">
        <v>0</v>
      </c>
      <c r="L110" s="276"/>
      <c r="M110" s="274"/>
      <c r="N110" s="275" t="b">
        <v>0</v>
      </c>
      <c r="O110" s="276"/>
      <c r="P110" s="274"/>
      <c r="Q110" s="275" t="b">
        <v>0</v>
      </c>
      <c r="R110" s="284"/>
      <c r="S110" s="272"/>
      <c r="T110" s="259">
        <f>IF(COUNTIF(E110:Q110,"TRUE")&gt;=2,1,0)</f>
        <v>0</v>
      </c>
    </row>
    <row r="111" spans="1:22" ht="38.1" hidden="1" customHeight="1" x14ac:dyDescent="0.3">
      <c r="A111" s="260"/>
      <c r="B111" s="574"/>
      <c r="C111" s="575"/>
      <c r="D111" s="274"/>
      <c r="E111" s="275"/>
      <c r="F111" s="276"/>
      <c r="G111" s="284"/>
      <c r="H111" s="275">
        <f>IF(H110=TRUE,-1,0)</f>
        <v>0</v>
      </c>
      <c r="I111" s="276"/>
      <c r="J111" s="274"/>
      <c r="K111" s="275">
        <f>IF(K110=TRUE,0,0)</f>
        <v>0</v>
      </c>
      <c r="L111" s="276"/>
      <c r="M111" s="274"/>
      <c r="N111" s="275">
        <f>IF(N110=TRUE,1,0)</f>
        <v>0</v>
      </c>
      <c r="O111" s="276"/>
      <c r="P111" s="274"/>
      <c r="Q111" s="275">
        <f>IF(Q110=TRUE,2,0)</f>
        <v>0</v>
      </c>
      <c r="R111" s="284"/>
      <c r="S111" s="272">
        <f>SUM(G111:R111)</f>
        <v>0</v>
      </c>
    </row>
    <row r="112" spans="1:22" ht="26.1" customHeight="1" x14ac:dyDescent="0.3">
      <c r="A112" s="260"/>
      <c r="B112" s="574" t="s">
        <v>602</v>
      </c>
      <c r="C112" s="575"/>
      <c r="D112" s="565"/>
      <c r="E112" s="566"/>
      <c r="F112" s="567"/>
      <c r="G112" s="565"/>
      <c r="H112" s="566"/>
      <c r="I112" s="567"/>
      <c r="J112" s="565"/>
      <c r="K112" s="566"/>
      <c r="L112" s="567"/>
      <c r="M112" s="565"/>
      <c r="N112" s="566"/>
      <c r="O112" s="567"/>
      <c r="P112" s="565"/>
      <c r="Q112" s="566"/>
      <c r="R112" s="567"/>
      <c r="S112" s="272">
        <f>SUM(G112:R112)</f>
        <v>0</v>
      </c>
    </row>
    <row r="113" spans="1:22" ht="26.1" hidden="1" customHeight="1" x14ac:dyDescent="0.3">
      <c r="A113" s="260"/>
      <c r="B113" s="574"/>
      <c r="C113" s="575"/>
      <c r="D113" s="274"/>
      <c r="E113" s="275" t="b">
        <v>0</v>
      </c>
      <c r="F113" s="276"/>
      <c r="G113" s="274"/>
      <c r="H113" s="275" t="b">
        <v>0</v>
      </c>
      <c r="I113" s="276"/>
      <c r="J113" s="274"/>
      <c r="K113" s="275" t="b">
        <v>0</v>
      </c>
      <c r="L113" s="276"/>
      <c r="M113" s="274"/>
      <c r="N113" s="275" t="b">
        <v>0</v>
      </c>
      <c r="O113" s="276"/>
      <c r="P113" s="274"/>
      <c r="Q113" s="275" t="b">
        <v>0</v>
      </c>
      <c r="R113" s="284"/>
      <c r="S113" s="272"/>
      <c r="T113" s="259">
        <f>IF(COUNTIF(E113:Q113,"TRUE")&gt;=2,1,0)</f>
        <v>0</v>
      </c>
    </row>
    <row r="114" spans="1:22" ht="26.1" hidden="1" customHeight="1" x14ac:dyDescent="0.3">
      <c r="A114" s="260"/>
      <c r="B114" s="574"/>
      <c r="C114" s="575"/>
      <c r="D114" s="274"/>
      <c r="E114" s="275"/>
      <c r="F114" s="276"/>
      <c r="G114" s="284"/>
      <c r="H114" s="275">
        <f>IF(H113=TRUE,-1,0)</f>
        <v>0</v>
      </c>
      <c r="I114" s="276"/>
      <c r="J114" s="274"/>
      <c r="K114" s="275">
        <f>IF(K113=TRUE,0,0)</f>
        <v>0</v>
      </c>
      <c r="L114" s="276"/>
      <c r="M114" s="274"/>
      <c r="N114" s="275">
        <f>IF(N113=TRUE,1,0)</f>
        <v>0</v>
      </c>
      <c r="O114" s="276"/>
      <c r="P114" s="274"/>
      <c r="Q114" s="275">
        <f>IF(Q113=TRUE,2,0)</f>
        <v>0</v>
      </c>
      <c r="R114" s="284"/>
      <c r="S114" s="272">
        <f>SUM(G114:R114)</f>
        <v>0</v>
      </c>
    </row>
    <row r="115" spans="1:22" ht="20.25" customHeight="1" x14ac:dyDescent="0.3">
      <c r="A115" s="260"/>
      <c r="B115" s="574" t="s">
        <v>603</v>
      </c>
      <c r="C115" s="575"/>
      <c r="D115" s="565"/>
      <c r="E115" s="566"/>
      <c r="F115" s="567"/>
      <c r="G115" s="565"/>
      <c r="H115" s="566"/>
      <c r="I115" s="567"/>
      <c r="J115" s="565"/>
      <c r="K115" s="566"/>
      <c r="L115" s="567"/>
      <c r="M115" s="565"/>
      <c r="N115" s="566"/>
      <c r="O115" s="567"/>
      <c r="P115" s="565"/>
      <c r="Q115" s="566"/>
      <c r="R115" s="567"/>
      <c r="S115" s="272">
        <f>SUM(G115:R115)</f>
        <v>0</v>
      </c>
    </row>
    <row r="116" spans="1:22" ht="15" hidden="1" customHeight="1" x14ac:dyDescent="0.3">
      <c r="A116" s="260"/>
      <c r="B116" s="574"/>
      <c r="C116" s="575"/>
      <c r="D116" s="274"/>
      <c r="E116" s="275" t="b">
        <v>0</v>
      </c>
      <c r="F116" s="276"/>
      <c r="G116" s="274"/>
      <c r="H116" s="275" t="b">
        <v>0</v>
      </c>
      <c r="I116" s="276"/>
      <c r="J116" s="274"/>
      <c r="K116" s="275" t="b">
        <v>0</v>
      </c>
      <c r="L116" s="276"/>
      <c r="M116" s="274"/>
      <c r="N116" s="275" t="b">
        <v>0</v>
      </c>
      <c r="O116" s="276"/>
      <c r="P116" s="274"/>
      <c r="Q116" s="275" t="b">
        <v>0</v>
      </c>
      <c r="R116" s="284"/>
      <c r="S116" s="272"/>
      <c r="T116" s="259">
        <f>IF(COUNTIF(E116:Q116,"TRUE")&gt;=2,1,0)</f>
        <v>0</v>
      </c>
    </row>
    <row r="117" spans="1:22" ht="15" hidden="1" customHeight="1" x14ac:dyDescent="0.3">
      <c r="A117" s="260"/>
      <c r="B117" s="574"/>
      <c r="C117" s="575"/>
      <c r="D117" s="274"/>
      <c r="E117" s="275"/>
      <c r="F117" s="276"/>
      <c r="G117" s="284"/>
      <c r="H117" s="275">
        <f>IF(H116=TRUE,-1,0)</f>
        <v>0</v>
      </c>
      <c r="I117" s="276"/>
      <c r="J117" s="274"/>
      <c r="K117" s="275">
        <f>IF(K116=TRUE,0,0)</f>
        <v>0</v>
      </c>
      <c r="L117" s="276"/>
      <c r="M117" s="274"/>
      <c r="N117" s="275">
        <f>IF(N116=TRUE,1,0)</f>
        <v>0</v>
      </c>
      <c r="O117" s="276"/>
      <c r="P117" s="274"/>
      <c r="Q117" s="275">
        <f>IF(Q116=TRUE,2,0)</f>
        <v>0</v>
      </c>
      <c r="R117" s="284"/>
      <c r="S117" s="272">
        <f>SUM(G117:R117)</f>
        <v>0</v>
      </c>
    </row>
    <row r="118" spans="1:22" ht="20.25" customHeight="1" x14ac:dyDescent="0.3">
      <c r="A118" s="260"/>
      <c r="B118" s="574" t="s">
        <v>604</v>
      </c>
      <c r="C118" s="575"/>
      <c r="D118" s="565"/>
      <c r="E118" s="566"/>
      <c r="F118" s="567"/>
      <c r="G118" s="565"/>
      <c r="H118" s="566"/>
      <c r="I118" s="567"/>
      <c r="J118" s="565"/>
      <c r="K118" s="566"/>
      <c r="L118" s="567"/>
      <c r="M118" s="565"/>
      <c r="N118" s="566"/>
      <c r="O118" s="567"/>
      <c r="P118" s="565"/>
      <c r="Q118" s="566"/>
      <c r="R118" s="567"/>
      <c r="S118" s="272">
        <f>SUM(G118:R118)</f>
        <v>0</v>
      </c>
    </row>
    <row r="119" spans="1:22" hidden="1" x14ac:dyDescent="0.3">
      <c r="A119" s="260"/>
      <c r="B119" s="273"/>
      <c r="C119" s="273"/>
      <c r="D119" s="274"/>
      <c r="E119" s="275" t="b">
        <v>0</v>
      </c>
      <c r="F119" s="276"/>
      <c r="G119" s="274"/>
      <c r="H119" s="275" t="b">
        <v>0</v>
      </c>
      <c r="I119" s="276"/>
      <c r="J119" s="274"/>
      <c r="K119" s="275" t="b">
        <v>0</v>
      </c>
      <c r="L119" s="276"/>
      <c r="M119" s="274"/>
      <c r="N119" s="275" t="b">
        <v>0</v>
      </c>
      <c r="O119" s="276"/>
      <c r="P119" s="274"/>
      <c r="Q119" s="275" t="b">
        <v>0</v>
      </c>
      <c r="R119" s="284"/>
      <c r="S119" s="272"/>
      <c r="T119" s="259">
        <f>IF(COUNTIF(E119:Q119,"TRUE")&gt;=2,1,0)</f>
        <v>0</v>
      </c>
    </row>
    <row r="120" spans="1:22" hidden="1" x14ac:dyDescent="0.3">
      <c r="A120" s="260"/>
      <c r="B120" s="273"/>
      <c r="C120" s="273"/>
      <c r="D120" s="274"/>
      <c r="E120" s="275"/>
      <c r="F120" s="276"/>
      <c r="G120" s="284"/>
      <c r="H120" s="275">
        <f>IF(H119=TRUE,-1,0)</f>
        <v>0</v>
      </c>
      <c r="I120" s="276"/>
      <c r="J120" s="274"/>
      <c r="K120" s="275">
        <f>IF(K119=TRUE,0,0)</f>
        <v>0</v>
      </c>
      <c r="L120" s="276"/>
      <c r="M120" s="274"/>
      <c r="N120" s="275">
        <f>IF(N119=TRUE,1,0)</f>
        <v>0</v>
      </c>
      <c r="O120" s="276"/>
      <c r="P120" s="274"/>
      <c r="Q120" s="275">
        <f>IF(Q119=TRUE,2,0)</f>
        <v>0</v>
      </c>
      <c r="R120" s="284"/>
      <c r="S120" s="272">
        <f>SUM(G120:R120)</f>
        <v>0</v>
      </c>
    </row>
    <row r="121" spans="1:22" x14ac:dyDescent="0.3">
      <c r="A121" s="260"/>
      <c r="B121" s="537" t="s">
        <v>589</v>
      </c>
      <c r="C121" s="537"/>
      <c r="D121" s="537"/>
      <c r="E121" s="537"/>
      <c r="F121" s="537"/>
      <c r="G121" s="537"/>
      <c r="H121" s="537"/>
      <c r="I121" s="537"/>
      <c r="J121" s="537"/>
      <c r="K121" s="537"/>
      <c r="L121" s="537"/>
      <c r="M121" s="537"/>
      <c r="N121" s="537"/>
      <c r="O121" s="537"/>
      <c r="P121" s="582">
        <f>SUM(S107:S120)</f>
        <v>0</v>
      </c>
      <c r="Q121" s="582"/>
      <c r="R121" s="582"/>
      <c r="S121" s="272">
        <f>SUM(S106:S118)</f>
        <v>0</v>
      </c>
      <c r="T121" s="259">
        <f>IF(P121=0,0,(P121+(5-U121))/(15-(U121*3)))</f>
        <v>0</v>
      </c>
      <c r="U121" s="259">
        <f>COUNTIF(E106:E120,"TRUE")</f>
        <v>0</v>
      </c>
      <c r="V121" s="259">
        <f>IF(P121=0,1,0)</f>
        <v>1</v>
      </c>
    </row>
    <row r="122" spans="1:22" x14ac:dyDescent="0.3">
      <c r="A122" s="260"/>
      <c r="B122" s="537" t="s">
        <v>605</v>
      </c>
      <c r="C122" s="537"/>
      <c r="D122" s="537"/>
      <c r="E122" s="537"/>
      <c r="F122" s="537"/>
      <c r="G122" s="537"/>
      <c r="H122" s="537"/>
      <c r="I122" s="537"/>
      <c r="J122" s="537"/>
      <c r="K122" s="537"/>
      <c r="L122" s="537"/>
      <c r="M122" s="537"/>
      <c r="N122" s="537"/>
      <c r="O122" s="537"/>
      <c r="P122" s="582">
        <f>SUM(P121/5)</f>
        <v>0</v>
      </c>
      <c r="Q122" s="582"/>
      <c r="R122" s="582"/>
      <c r="S122" s="262"/>
    </row>
    <row r="123" spans="1:22" x14ac:dyDescent="0.3">
      <c r="A123" s="260"/>
      <c r="B123" s="586" t="s">
        <v>591</v>
      </c>
      <c r="C123" s="587"/>
      <c r="D123" s="587"/>
      <c r="E123" s="587"/>
      <c r="F123" s="587"/>
      <c r="G123" s="587"/>
      <c r="H123" s="587"/>
      <c r="I123" s="587"/>
      <c r="J123" s="587"/>
      <c r="K123" s="587"/>
      <c r="L123" s="587"/>
      <c r="M123" s="587"/>
      <c r="N123" s="587"/>
      <c r="O123" s="282" t="s">
        <v>606</v>
      </c>
      <c r="P123" s="585">
        <f>SUM(P122*0.1)</f>
        <v>0</v>
      </c>
      <c r="Q123" s="585"/>
      <c r="R123" s="585"/>
      <c r="S123" s="283"/>
    </row>
    <row r="124" spans="1:22" ht="5.0999999999999996" customHeight="1" x14ac:dyDescent="0.3">
      <c r="A124" s="268"/>
      <c r="B124" s="269"/>
      <c r="C124" s="269"/>
      <c r="D124" s="269"/>
      <c r="E124" s="269"/>
      <c r="F124" s="269"/>
      <c r="G124" s="269"/>
      <c r="H124" s="269"/>
      <c r="I124" s="269"/>
      <c r="J124" s="269"/>
      <c r="K124" s="269"/>
      <c r="L124" s="269"/>
      <c r="M124" s="269"/>
      <c r="N124" s="269"/>
      <c r="O124" s="270"/>
      <c r="P124" s="269"/>
      <c r="Q124" s="269"/>
      <c r="R124" s="269"/>
      <c r="S124" s="271"/>
    </row>
    <row r="125" spans="1:22" x14ac:dyDescent="0.3">
      <c r="A125" s="287"/>
      <c r="B125" s="593" t="s">
        <v>572</v>
      </c>
      <c r="C125" s="593"/>
      <c r="D125" s="594" t="s">
        <v>573</v>
      </c>
      <c r="E125" s="594"/>
      <c r="F125" s="594"/>
      <c r="G125" s="594"/>
      <c r="H125" s="594"/>
      <c r="I125" s="594"/>
      <c r="J125" s="594"/>
      <c r="K125" s="594"/>
      <c r="L125" s="594"/>
      <c r="M125" s="594"/>
      <c r="N125" s="594"/>
      <c r="O125" s="594"/>
      <c r="P125" s="594"/>
      <c r="Q125" s="594"/>
      <c r="R125" s="594"/>
      <c r="S125" s="288"/>
    </row>
    <row r="126" spans="1:22" ht="27.9" customHeight="1" x14ac:dyDescent="0.3">
      <c r="A126" s="260"/>
      <c r="B126" s="558" t="s">
        <v>574</v>
      </c>
      <c r="C126" s="559"/>
      <c r="D126" s="562" t="s">
        <v>575</v>
      </c>
      <c r="E126" s="563"/>
      <c r="F126" s="564"/>
      <c r="G126" s="568" t="s">
        <v>576</v>
      </c>
      <c r="H126" s="569"/>
      <c r="I126" s="570"/>
      <c r="J126" s="568" t="s">
        <v>577</v>
      </c>
      <c r="K126" s="569"/>
      <c r="L126" s="570"/>
      <c r="M126" s="568" t="s">
        <v>578</v>
      </c>
      <c r="N126" s="569"/>
      <c r="O126" s="570"/>
      <c r="P126" s="568" t="s">
        <v>579</v>
      </c>
      <c r="Q126" s="569"/>
      <c r="R126" s="570"/>
      <c r="S126" s="262"/>
    </row>
    <row r="127" spans="1:22" ht="39.9" customHeight="1" x14ac:dyDescent="0.3">
      <c r="A127" s="260"/>
      <c r="B127" s="560"/>
      <c r="C127" s="561"/>
      <c r="D127" s="595"/>
      <c r="E127" s="561"/>
      <c r="F127" s="596"/>
      <c r="G127" s="571" t="s">
        <v>580</v>
      </c>
      <c r="H127" s="572"/>
      <c r="I127" s="573"/>
      <c r="J127" s="571" t="s">
        <v>581</v>
      </c>
      <c r="K127" s="572"/>
      <c r="L127" s="573"/>
      <c r="M127" s="571" t="s">
        <v>582</v>
      </c>
      <c r="N127" s="572"/>
      <c r="O127" s="573"/>
      <c r="P127" s="571" t="s">
        <v>583</v>
      </c>
      <c r="Q127" s="572"/>
      <c r="R127" s="573"/>
      <c r="S127" s="262"/>
    </row>
    <row r="128" spans="1:22" x14ac:dyDescent="0.3">
      <c r="A128" s="260"/>
      <c r="B128" s="576" t="s">
        <v>607</v>
      </c>
      <c r="C128" s="576"/>
      <c r="D128" s="576"/>
      <c r="E128" s="576"/>
      <c r="F128" s="576"/>
      <c r="G128" s="576"/>
      <c r="H128" s="576"/>
      <c r="I128" s="576"/>
      <c r="J128" s="576"/>
      <c r="K128" s="576"/>
      <c r="L128" s="576"/>
      <c r="M128" s="576"/>
      <c r="N128" s="576"/>
      <c r="O128" s="576"/>
      <c r="P128" s="576"/>
      <c r="Q128" s="576"/>
      <c r="R128" s="576"/>
      <c r="S128" s="262"/>
    </row>
    <row r="129" spans="1:22" x14ac:dyDescent="0.3">
      <c r="A129" s="260"/>
      <c r="B129" s="591" t="s">
        <v>608</v>
      </c>
      <c r="C129" s="591"/>
      <c r="D129" s="582"/>
      <c r="E129" s="582"/>
      <c r="F129" s="582"/>
      <c r="G129" s="592" t="s">
        <v>609</v>
      </c>
      <c r="H129" s="592"/>
      <c r="I129" s="592"/>
      <c r="J129" s="592"/>
      <c r="K129" s="592"/>
      <c r="L129" s="592"/>
      <c r="M129" s="592"/>
      <c r="N129" s="592"/>
      <c r="O129" s="592"/>
      <c r="P129" s="543">
        <v>0</v>
      </c>
      <c r="Q129" s="543"/>
      <c r="R129" s="543"/>
      <c r="S129" s="272">
        <f t="shared" ref="S129:S136" si="0">P129</f>
        <v>0</v>
      </c>
    </row>
    <row r="130" spans="1:22" x14ac:dyDescent="0.3">
      <c r="A130" s="260"/>
      <c r="B130" s="597"/>
      <c r="C130" s="598"/>
      <c r="D130" s="598"/>
      <c r="E130" s="598"/>
      <c r="F130" s="598"/>
      <c r="G130" s="598"/>
      <c r="H130" s="598"/>
      <c r="I130" s="598"/>
      <c r="J130" s="598"/>
      <c r="K130" s="598"/>
      <c r="L130" s="598"/>
      <c r="M130" s="598"/>
      <c r="N130" s="598"/>
      <c r="O130" s="598"/>
      <c r="P130" s="598"/>
      <c r="Q130" s="598"/>
      <c r="R130" s="599"/>
      <c r="S130" s="272">
        <f t="shared" si="0"/>
        <v>0</v>
      </c>
    </row>
    <row r="131" spans="1:22" x14ac:dyDescent="0.3">
      <c r="A131" s="260"/>
      <c r="B131" s="591" t="s">
        <v>610</v>
      </c>
      <c r="C131" s="591"/>
      <c r="D131" s="582"/>
      <c r="E131" s="582"/>
      <c r="F131" s="582"/>
      <c r="G131" s="592" t="s">
        <v>611</v>
      </c>
      <c r="H131" s="592"/>
      <c r="I131" s="592"/>
      <c r="J131" s="592"/>
      <c r="K131" s="592"/>
      <c r="L131" s="592"/>
      <c r="M131" s="592"/>
      <c r="N131" s="592"/>
      <c r="O131" s="592"/>
      <c r="P131" s="543">
        <v>0</v>
      </c>
      <c r="Q131" s="543"/>
      <c r="R131" s="543"/>
      <c r="S131" s="272">
        <f t="shared" si="0"/>
        <v>0</v>
      </c>
    </row>
    <row r="132" spans="1:22" x14ac:dyDescent="0.3">
      <c r="A132" s="260"/>
      <c r="B132" s="591" t="s">
        <v>612</v>
      </c>
      <c r="C132" s="591"/>
      <c r="D132" s="582"/>
      <c r="E132" s="582"/>
      <c r="F132" s="582"/>
      <c r="G132" s="592" t="s">
        <v>613</v>
      </c>
      <c r="H132" s="592"/>
      <c r="I132" s="592"/>
      <c r="J132" s="592"/>
      <c r="K132" s="592"/>
      <c r="L132" s="592"/>
      <c r="M132" s="592"/>
      <c r="N132" s="592"/>
      <c r="O132" s="592"/>
      <c r="P132" s="543">
        <v>0</v>
      </c>
      <c r="Q132" s="543"/>
      <c r="R132" s="543"/>
      <c r="S132" s="272">
        <f t="shared" si="0"/>
        <v>0</v>
      </c>
    </row>
    <row r="133" spans="1:22" x14ac:dyDescent="0.3">
      <c r="A133" s="260"/>
      <c r="B133" s="591" t="s">
        <v>614</v>
      </c>
      <c r="C133" s="591"/>
      <c r="D133" s="582"/>
      <c r="E133" s="582"/>
      <c r="F133" s="582"/>
      <c r="G133" s="592" t="s">
        <v>615</v>
      </c>
      <c r="H133" s="592"/>
      <c r="I133" s="592"/>
      <c r="J133" s="592"/>
      <c r="K133" s="592"/>
      <c r="L133" s="592"/>
      <c r="M133" s="592"/>
      <c r="N133" s="592"/>
      <c r="O133" s="592"/>
      <c r="P133" s="543">
        <v>0</v>
      </c>
      <c r="Q133" s="543"/>
      <c r="R133" s="543"/>
      <c r="S133" s="272">
        <f t="shared" si="0"/>
        <v>0</v>
      </c>
    </row>
    <row r="134" spans="1:22" x14ac:dyDescent="0.3">
      <c r="A134" s="260"/>
      <c r="B134" s="591" t="s">
        <v>616</v>
      </c>
      <c r="C134" s="591"/>
      <c r="D134" s="582"/>
      <c r="E134" s="582"/>
      <c r="F134" s="582"/>
      <c r="G134" s="592" t="s">
        <v>617</v>
      </c>
      <c r="H134" s="592"/>
      <c r="I134" s="592"/>
      <c r="J134" s="592"/>
      <c r="K134" s="592"/>
      <c r="L134" s="592"/>
      <c r="M134" s="592"/>
      <c r="N134" s="592"/>
      <c r="O134" s="592"/>
      <c r="P134" s="543">
        <v>0</v>
      </c>
      <c r="Q134" s="543"/>
      <c r="R134" s="543"/>
      <c r="S134" s="272">
        <f t="shared" si="0"/>
        <v>0</v>
      </c>
    </row>
    <row r="135" spans="1:22" x14ac:dyDescent="0.3">
      <c r="A135" s="260"/>
      <c r="B135" s="591" t="s">
        <v>618</v>
      </c>
      <c r="C135" s="591"/>
      <c r="D135" s="582"/>
      <c r="E135" s="582"/>
      <c r="F135" s="582"/>
      <c r="G135" s="592" t="s">
        <v>619</v>
      </c>
      <c r="H135" s="592"/>
      <c r="I135" s="592"/>
      <c r="J135" s="592"/>
      <c r="K135" s="592"/>
      <c r="L135" s="592"/>
      <c r="M135" s="592"/>
      <c r="N135" s="592"/>
      <c r="O135" s="592"/>
      <c r="P135" s="543">
        <v>0</v>
      </c>
      <c r="Q135" s="543"/>
      <c r="R135" s="543"/>
      <c r="S135" s="272">
        <f t="shared" si="0"/>
        <v>0</v>
      </c>
    </row>
    <row r="136" spans="1:22" x14ac:dyDescent="0.3">
      <c r="A136" s="260"/>
      <c r="B136" s="591" t="s">
        <v>620</v>
      </c>
      <c r="C136" s="591"/>
      <c r="D136" s="582"/>
      <c r="E136" s="582"/>
      <c r="F136" s="582"/>
      <c r="G136" s="592" t="s">
        <v>621</v>
      </c>
      <c r="H136" s="592"/>
      <c r="I136" s="592"/>
      <c r="J136" s="592"/>
      <c r="K136" s="592"/>
      <c r="L136" s="592"/>
      <c r="M136" s="592"/>
      <c r="N136" s="592"/>
      <c r="O136" s="592"/>
      <c r="P136" s="543">
        <v>0</v>
      </c>
      <c r="Q136" s="543"/>
      <c r="R136" s="543"/>
      <c r="S136" s="272">
        <f t="shared" si="0"/>
        <v>0</v>
      </c>
    </row>
    <row r="137" spans="1:22" x14ac:dyDescent="0.3">
      <c r="A137" s="260"/>
      <c r="B137" s="576" t="s">
        <v>622</v>
      </c>
      <c r="C137" s="576"/>
      <c r="D137" s="576"/>
      <c r="E137" s="576"/>
      <c r="F137" s="576"/>
      <c r="G137" s="576"/>
      <c r="H137" s="576"/>
      <c r="I137" s="576"/>
      <c r="J137" s="576"/>
      <c r="K137" s="576"/>
      <c r="L137" s="576"/>
      <c r="M137" s="576"/>
      <c r="N137" s="576"/>
      <c r="O137" s="576"/>
      <c r="P137" s="576"/>
      <c r="Q137" s="576"/>
      <c r="R137" s="576"/>
      <c r="S137" s="272">
        <f>SUM(S131:S136)</f>
        <v>0</v>
      </c>
    </row>
    <row r="138" spans="1:22" ht="15" customHeight="1" x14ac:dyDescent="0.3">
      <c r="A138" s="260"/>
      <c r="B138" s="600" t="s">
        <v>623</v>
      </c>
      <c r="C138" s="601"/>
      <c r="D138" s="601"/>
      <c r="E138" s="601"/>
      <c r="F138" s="601"/>
      <c r="G138" s="601"/>
      <c r="H138" s="601"/>
      <c r="I138" s="601"/>
      <c r="J138" s="601"/>
      <c r="K138" s="601"/>
      <c r="L138" s="601"/>
      <c r="M138" s="601"/>
      <c r="N138" s="601"/>
      <c r="O138" s="602" t="s">
        <v>624</v>
      </c>
      <c r="P138" s="582">
        <f>S129</f>
        <v>0</v>
      </c>
      <c r="Q138" s="582"/>
      <c r="R138" s="582"/>
      <c r="S138" s="262"/>
    </row>
    <row r="139" spans="1:22" ht="15" customHeight="1" x14ac:dyDescent="0.3">
      <c r="A139" s="260"/>
      <c r="B139" s="604" t="s">
        <v>625</v>
      </c>
      <c r="C139" s="605"/>
      <c r="D139" s="605"/>
      <c r="E139" s="605"/>
      <c r="F139" s="605"/>
      <c r="G139" s="605"/>
      <c r="H139" s="605"/>
      <c r="I139" s="605"/>
      <c r="J139" s="605"/>
      <c r="K139" s="605"/>
      <c r="L139" s="605"/>
      <c r="M139" s="605"/>
      <c r="N139" s="605"/>
      <c r="O139" s="603"/>
      <c r="P139" s="582">
        <f>S137</f>
        <v>0</v>
      </c>
      <c r="Q139" s="582"/>
      <c r="R139" s="582"/>
      <c r="S139" s="262"/>
      <c r="T139" s="259">
        <f>IF(P139=0,0,(P139+(7-U139))/(21-(U139*3)))</f>
        <v>0</v>
      </c>
      <c r="U139" s="259">
        <f>COUNTIF(D129:F136,"N/A")</f>
        <v>0</v>
      </c>
      <c r="V139" s="259">
        <f>IF(P139=0,1,0)</f>
        <v>1</v>
      </c>
    </row>
    <row r="140" spans="1:22" x14ac:dyDescent="0.3">
      <c r="A140" s="260"/>
      <c r="B140" s="606" t="s">
        <v>626</v>
      </c>
      <c r="C140" s="607"/>
      <c r="D140" s="607"/>
      <c r="E140" s="607"/>
      <c r="F140" s="607"/>
      <c r="G140" s="607"/>
      <c r="H140" s="607"/>
      <c r="I140" s="607"/>
      <c r="J140" s="607"/>
      <c r="K140" s="607"/>
      <c r="L140" s="607"/>
      <c r="M140" s="607"/>
      <c r="N140" s="607"/>
      <c r="O140" s="610" t="s">
        <v>627</v>
      </c>
      <c r="P140" s="612">
        <f>SUM(0.75*P138)</f>
        <v>0</v>
      </c>
      <c r="Q140" s="612"/>
      <c r="R140" s="612"/>
      <c r="S140" s="262"/>
    </row>
    <row r="141" spans="1:22" x14ac:dyDescent="0.3">
      <c r="A141" s="260"/>
      <c r="B141" s="608"/>
      <c r="C141" s="609"/>
      <c r="D141" s="609"/>
      <c r="E141" s="609"/>
      <c r="F141" s="609"/>
      <c r="G141" s="609"/>
      <c r="H141" s="609"/>
      <c r="I141" s="609"/>
      <c r="J141" s="609"/>
      <c r="K141" s="609"/>
      <c r="L141" s="609"/>
      <c r="M141" s="609"/>
      <c r="N141" s="609"/>
      <c r="O141" s="611"/>
      <c r="P141" s="612">
        <f>SUM(0.75*P139)</f>
        <v>0</v>
      </c>
      <c r="Q141" s="612"/>
      <c r="R141" s="612"/>
      <c r="S141" s="262"/>
    </row>
    <row r="142" spans="1:22" x14ac:dyDescent="0.3">
      <c r="A142" s="260"/>
      <c r="B142" s="576" t="s">
        <v>628</v>
      </c>
      <c r="C142" s="576"/>
      <c r="D142" s="576"/>
      <c r="E142" s="576"/>
      <c r="F142" s="576"/>
      <c r="G142" s="576"/>
      <c r="H142" s="576"/>
      <c r="I142" s="576"/>
      <c r="J142" s="576"/>
      <c r="K142" s="576"/>
      <c r="L142" s="576"/>
      <c r="M142" s="576"/>
      <c r="N142" s="576"/>
      <c r="O142" s="576"/>
      <c r="P142" s="576"/>
      <c r="Q142" s="576"/>
      <c r="R142" s="576"/>
      <c r="S142" s="262"/>
    </row>
    <row r="143" spans="1:22" ht="20.25" customHeight="1" x14ac:dyDescent="0.3">
      <c r="A143" s="260"/>
      <c r="B143" s="574" t="s">
        <v>629</v>
      </c>
      <c r="C143" s="575"/>
      <c r="D143" s="565"/>
      <c r="E143" s="566"/>
      <c r="F143" s="567"/>
      <c r="G143" s="565"/>
      <c r="H143" s="566"/>
      <c r="I143" s="567"/>
      <c r="J143" s="565"/>
      <c r="K143" s="566"/>
      <c r="L143" s="567"/>
      <c r="M143" s="565"/>
      <c r="N143" s="566"/>
      <c r="O143" s="567"/>
      <c r="P143" s="565"/>
      <c r="Q143" s="566"/>
      <c r="R143" s="567"/>
      <c r="S143" s="272">
        <f>SUM(G143:R143)</f>
        <v>0</v>
      </c>
    </row>
    <row r="144" spans="1:22" ht="15" hidden="1" customHeight="1" x14ac:dyDescent="0.3">
      <c r="A144" s="260"/>
      <c r="B144" s="574"/>
      <c r="C144" s="575"/>
      <c r="D144" s="285"/>
      <c r="E144" s="285" t="b">
        <v>0</v>
      </c>
      <c r="F144" s="285"/>
      <c r="G144" s="285"/>
      <c r="H144" s="285" t="b">
        <v>0</v>
      </c>
      <c r="I144" s="285"/>
      <c r="J144" s="285"/>
      <c r="K144" s="285" t="b">
        <v>0</v>
      </c>
      <c r="L144" s="285"/>
      <c r="M144" s="285"/>
      <c r="N144" s="285" t="b">
        <v>0</v>
      </c>
      <c r="O144" s="285"/>
      <c r="P144" s="285"/>
      <c r="Q144" s="285" t="b">
        <v>0</v>
      </c>
      <c r="R144" s="285"/>
      <c r="S144" s="272"/>
      <c r="T144" s="259">
        <f>IF(COUNTIF(E144:Q144,"TRUE")&gt;=2,1,0)</f>
        <v>0</v>
      </c>
    </row>
    <row r="145" spans="1:22" ht="15" hidden="1" customHeight="1" x14ac:dyDescent="0.3">
      <c r="A145" s="260"/>
      <c r="B145" s="574"/>
      <c r="C145" s="575"/>
      <c r="D145" s="285"/>
      <c r="E145" s="275"/>
      <c r="F145" s="276"/>
      <c r="G145" s="284"/>
      <c r="H145" s="275">
        <f>IF(H144=TRUE,-1,0)</f>
        <v>0</v>
      </c>
      <c r="I145" s="276"/>
      <c r="J145" s="274"/>
      <c r="K145" s="275">
        <f>IF(K144=TRUE,0,0)</f>
        <v>0</v>
      </c>
      <c r="L145" s="276"/>
      <c r="M145" s="274"/>
      <c r="N145" s="275">
        <f>IF(N144=TRUE,1,0)</f>
        <v>0</v>
      </c>
      <c r="O145" s="276"/>
      <c r="P145" s="274"/>
      <c r="Q145" s="275">
        <f>IF(Q144=TRUE,2,0)</f>
        <v>0</v>
      </c>
      <c r="R145" s="285"/>
      <c r="S145" s="272">
        <f>SUM(G145:R145)</f>
        <v>0</v>
      </c>
    </row>
    <row r="146" spans="1:22" ht="20.25" customHeight="1" x14ac:dyDescent="0.3">
      <c r="A146" s="260"/>
      <c r="B146" s="574" t="s">
        <v>630</v>
      </c>
      <c r="C146" s="575"/>
      <c r="D146" s="565"/>
      <c r="E146" s="566"/>
      <c r="F146" s="567"/>
      <c r="G146" s="565"/>
      <c r="H146" s="566"/>
      <c r="I146" s="567"/>
      <c r="J146" s="565"/>
      <c r="K146" s="566"/>
      <c r="L146" s="567"/>
      <c r="M146" s="565"/>
      <c r="N146" s="566"/>
      <c r="O146" s="567"/>
      <c r="P146" s="565"/>
      <c r="Q146" s="566"/>
      <c r="R146" s="567"/>
      <c r="S146" s="272">
        <f>SUM(G146:R146)</f>
        <v>0</v>
      </c>
    </row>
    <row r="147" spans="1:22" ht="15" hidden="1" customHeight="1" x14ac:dyDescent="0.3">
      <c r="A147" s="260"/>
      <c r="B147" s="574"/>
      <c r="C147" s="575"/>
      <c r="D147" s="285"/>
      <c r="E147" s="285" t="b">
        <v>0</v>
      </c>
      <c r="F147" s="285"/>
      <c r="G147" s="285"/>
      <c r="H147" s="285" t="b">
        <v>0</v>
      </c>
      <c r="I147" s="285"/>
      <c r="J147" s="285"/>
      <c r="K147" s="285" t="b">
        <v>0</v>
      </c>
      <c r="L147" s="285"/>
      <c r="M147" s="285"/>
      <c r="N147" s="285" t="b">
        <v>0</v>
      </c>
      <c r="O147" s="285"/>
      <c r="P147" s="285"/>
      <c r="Q147" s="285" t="b">
        <v>0</v>
      </c>
      <c r="R147" s="285"/>
      <c r="S147" s="272"/>
      <c r="T147" s="259">
        <f>IF(COUNTIF(E147:Q147,"TRUE")&gt;=2,1,0)</f>
        <v>0</v>
      </c>
    </row>
    <row r="148" spans="1:22" ht="15" hidden="1" customHeight="1" x14ac:dyDescent="0.3">
      <c r="A148" s="260"/>
      <c r="B148" s="574"/>
      <c r="C148" s="575"/>
      <c r="D148" s="285"/>
      <c r="E148" s="275"/>
      <c r="F148" s="276"/>
      <c r="G148" s="284"/>
      <c r="H148" s="275">
        <f>IF(H147=TRUE,-1,0)</f>
        <v>0</v>
      </c>
      <c r="I148" s="276"/>
      <c r="J148" s="274"/>
      <c r="K148" s="275">
        <f>IF(K147=TRUE,0,0)</f>
        <v>0</v>
      </c>
      <c r="L148" s="276"/>
      <c r="M148" s="274"/>
      <c r="N148" s="275">
        <f>IF(N147=TRUE,1,0)</f>
        <v>0</v>
      </c>
      <c r="O148" s="276"/>
      <c r="P148" s="274"/>
      <c r="Q148" s="275">
        <f>IF(Q147=TRUE,2,0)</f>
        <v>0</v>
      </c>
      <c r="R148" s="285"/>
      <c r="S148" s="272">
        <f>SUM(G148:R148)</f>
        <v>0</v>
      </c>
    </row>
    <row r="149" spans="1:22" ht="30" customHeight="1" x14ac:dyDescent="0.3">
      <c r="A149" s="260"/>
      <c r="B149" s="574" t="s">
        <v>631</v>
      </c>
      <c r="C149" s="575"/>
      <c r="D149" s="565"/>
      <c r="E149" s="566"/>
      <c r="F149" s="567"/>
      <c r="G149" s="565"/>
      <c r="H149" s="566"/>
      <c r="I149" s="567"/>
      <c r="J149" s="565"/>
      <c r="K149" s="566"/>
      <c r="L149" s="567"/>
      <c r="M149" s="565"/>
      <c r="N149" s="566"/>
      <c r="O149" s="567"/>
      <c r="P149" s="565"/>
      <c r="Q149" s="566"/>
      <c r="R149" s="567"/>
      <c r="S149" s="272">
        <f>SUM(G149:R149)</f>
        <v>0</v>
      </c>
    </row>
    <row r="150" spans="1:22" ht="30" hidden="1" customHeight="1" x14ac:dyDescent="0.3">
      <c r="A150" s="260"/>
      <c r="B150" s="277"/>
      <c r="C150" s="277"/>
      <c r="D150" s="285"/>
      <c r="E150" s="285" t="b">
        <v>0</v>
      </c>
      <c r="F150" s="285"/>
      <c r="G150" s="285"/>
      <c r="H150" s="285" t="b">
        <v>0</v>
      </c>
      <c r="I150" s="285"/>
      <c r="J150" s="285"/>
      <c r="K150" s="285"/>
      <c r="L150" s="285"/>
      <c r="M150" s="285"/>
      <c r="N150" s="285" t="b">
        <v>0</v>
      </c>
      <c r="O150" s="285"/>
      <c r="P150" s="285"/>
      <c r="Q150" s="285" t="b">
        <v>0</v>
      </c>
      <c r="R150" s="285"/>
      <c r="S150" s="272"/>
      <c r="T150" s="259">
        <f>IF(COUNTIF(E150:Q150,"TRUE")&gt;=2,1,0)</f>
        <v>0</v>
      </c>
    </row>
    <row r="151" spans="1:22" ht="30" hidden="1" customHeight="1" x14ac:dyDescent="0.3">
      <c r="A151" s="260"/>
      <c r="B151" s="277"/>
      <c r="C151" s="277"/>
      <c r="D151" s="285"/>
      <c r="E151" s="275"/>
      <c r="F151" s="276"/>
      <c r="G151" s="284"/>
      <c r="H151" s="275">
        <f>IF(H150=TRUE,-1,0)</f>
        <v>0</v>
      </c>
      <c r="I151" s="276"/>
      <c r="J151" s="274"/>
      <c r="K151" s="275">
        <f>IF(K150=TRUE,0,0)</f>
        <v>0</v>
      </c>
      <c r="L151" s="276"/>
      <c r="M151" s="274"/>
      <c r="N151" s="275">
        <f>IF(N150=TRUE,1,0)</f>
        <v>0</v>
      </c>
      <c r="O151" s="276"/>
      <c r="P151" s="274"/>
      <c r="Q151" s="275">
        <f>IF(Q150=TRUE,2,0)</f>
        <v>0</v>
      </c>
      <c r="R151" s="285"/>
      <c r="S151" s="272">
        <f>SUM(G151:R151)</f>
        <v>0</v>
      </c>
    </row>
    <row r="152" spans="1:22" x14ac:dyDescent="0.3">
      <c r="A152" s="260"/>
      <c r="B152" s="537" t="s">
        <v>589</v>
      </c>
      <c r="C152" s="537"/>
      <c r="D152" s="537"/>
      <c r="E152" s="537"/>
      <c r="F152" s="537"/>
      <c r="G152" s="537"/>
      <c r="H152" s="537"/>
      <c r="I152" s="537"/>
      <c r="J152" s="537"/>
      <c r="K152" s="537"/>
      <c r="L152" s="537"/>
      <c r="M152" s="537"/>
      <c r="N152" s="537"/>
      <c r="O152" s="537"/>
      <c r="P152" s="582">
        <f>S152</f>
        <v>0</v>
      </c>
      <c r="Q152" s="582"/>
      <c r="R152" s="582"/>
      <c r="S152" s="272">
        <f>SUM(S143:S151)</f>
        <v>0</v>
      </c>
      <c r="T152" s="259">
        <f>IF(P152=0,0,(P152+(3-U152))/(9-(U152*3)))</f>
        <v>0</v>
      </c>
      <c r="U152" s="259">
        <f>COUNTIF(E144:E151,"TRUE")</f>
        <v>0</v>
      </c>
      <c r="V152" s="259">
        <f>IF(P152=0,1,0)</f>
        <v>1</v>
      </c>
    </row>
    <row r="153" spans="1:22" x14ac:dyDescent="0.3">
      <c r="A153" s="260"/>
      <c r="B153" s="537" t="s">
        <v>632</v>
      </c>
      <c r="C153" s="537"/>
      <c r="D153" s="537"/>
      <c r="E153" s="537"/>
      <c r="F153" s="537"/>
      <c r="G153" s="537"/>
      <c r="H153" s="537"/>
      <c r="I153" s="537"/>
      <c r="J153" s="537"/>
      <c r="K153" s="537"/>
      <c r="L153" s="537"/>
      <c r="M153" s="537"/>
      <c r="N153" s="537"/>
      <c r="O153" s="537"/>
      <c r="P153" s="585">
        <f>SUM(P152/3)</f>
        <v>0</v>
      </c>
      <c r="Q153" s="585"/>
      <c r="R153" s="585"/>
      <c r="S153" s="262"/>
    </row>
    <row r="154" spans="1:22" x14ac:dyDescent="0.3">
      <c r="A154" s="260"/>
      <c r="B154" s="537" t="s">
        <v>633</v>
      </c>
      <c r="C154" s="537"/>
      <c r="D154" s="537"/>
      <c r="E154" s="537"/>
      <c r="F154" s="537"/>
      <c r="G154" s="537"/>
      <c r="H154" s="537"/>
      <c r="I154" s="537"/>
      <c r="J154" s="537"/>
      <c r="K154" s="537"/>
      <c r="L154" s="537"/>
      <c r="M154" s="537"/>
      <c r="N154" s="537"/>
      <c r="O154" s="537"/>
      <c r="P154" s="585">
        <f>SUM(P153*0.25)</f>
        <v>0</v>
      </c>
      <c r="Q154" s="585"/>
      <c r="R154" s="585"/>
      <c r="S154" s="262"/>
    </row>
    <row r="155" spans="1:22" x14ac:dyDescent="0.3">
      <c r="A155" s="260"/>
      <c r="B155" s="576" t="s">
        <v>634</v>
      </c>
      <c r="C155" s="576"/>
      <c r="D155" s="576"/>
      <c r="E155" s="576"/>
      <c r="F155" s="576"/>
      <c r="G155" s="576"/>
      <c r="H155" s="576"/>
      <c r="I155" s="576"/>
      <c r="J155" s="576"/>
      <c r="K155" s="576"/>
      <c r="L155" s="576"/>
      <c r="M155" s="576"/>
      <c r="N155" s="576"/>
      <c r="O155" s="576"/>
      <c r="P155" s="576"/>
      <c r="Q155" s="576"/>
      <c r="R155" s="576"/>
      <c r="S155" s="262"/>
    </row>
    <row r="156" spans="1:22" x14ac:dyDescent="0.3">
      <c r="A156" s="260"/>
      <c r="B156" s="578" t="s">
        <v>635</v>
      </c>
      <c r="C156" s="578"/>
      <c r="D156" s="578"/>
      <c r="E156" s="578"/>
      <c r="F156" s="578"/>
      <c r="G156" s="578"/>
      <c r="H156" s="578"/>
      <c r="I156" s="578"/>
      <c r="J156" s="578"/>
      <c r="K156" s="578"/>
      <c r="L156" s="578"/>
      <c r="M156" s="578"/>
      <c r="N156" s="578"/>
      <c r="O156" s="578"/>
      <c r="P156" s="612">
        <f>SUM(P140+P141+P154)</f>
        <v>0</v>
      </c>
      <c r="Q156" s="612"/>
      <c r="R156" s="612"/>
      <c r="S156" s="262"/>
    </row>
    <row r="157" spans="1:22" x14ac:dyDescent="0.3">
      <c r="A157" s="260"/>
      <c r="B157" s="583" t="s">
        <v>636</v>
      </c>
      <c r="C157" s="584"/>
      <c r="D157" s="584"/>
      <c r="E157" s="584"/>
      <c r="F157" s="584"/>
      <c r="G157" s="584"/>
      <c r="H157" s="584"/>
      <c r="I157" s="584"/>
      <c r="J157" s="584"/>
      <c r="K157" s="584"/>
      <c r="L157" s="584"/>
      <c r="M157" s="584"/>
      <c r="N157" s="584"/>
      <c r="O157" s="282" t="s">
        <v>637</v>
      </c>
      <c r="P157" s="612">
        <f>SUM(P156*0.6)</f>
        <v>0</v>
      </c>
      <c r="Q157" s="612"/>
      <c r="R157" s="612"/>
      <c r="S157" s="283"/>
    </row>
    <row r="158" spans="1:22" x14ac:dyDescent="0.3">
      <c r="A158" s="260"/>
      <c r="B158" s="576" t="s">
        <v>638</v>
      </c>
      <c r="C158" s="576"/>
      <c r="D158" s="576"/>
      <c r="E158" s="576"/>
      <c r="F158" s="576"/>
      <c r="G158" s="576"/>
      <c r="H158" s="576"/>
      <c r="I158" s="576"/>
      <c r="J158" s="576"/>
      <c r="K158" s="576"/>
      <c r="L158" s="576"/>
      <c r="M158" s="576"/>
      <c r="N158" s="576"/>
      <c r="O158" s="576"/>
      <c r="P158" s="576"/>
      <c r="Q158" s="576"/>
      <c r="R158" s="576"/>
      <c r="S158" s="262"/>
    </row>
    <row r="159" spans="1:22" x14ac:dyDescent="0.3">
      <c r="A159" s="260"/>
      <c r="B159" s="583" t="s">
        <v>639</v>
      </c>
      <c r="C159" s="584"/>
      <c r="D159" s="584"/>
      <c r="E159" s="584"/>
      <c r="F159" s="584"/>
      <c r="G159" s="584"/>
      <c r="H159" s="584"/>
      <c r="I159" s="584"/>
      <c r="J159" s="584"/>
      <c r="K159" s="584"/>
      <c r="L159" s="584"/>
      <c r="M159" s="584"/>
      <c r="N159" s="584"/>
      <c r="O159" s="282" t="s">
        <v>640</v>
      </c>
      <c r="P159" s="289">
        <f>SUM(P88+P104+P123+P157)</f>
        <v>0</v>
      </c>
      <c r="Q159" s="289"/>
      <c r="R159" s="290">
        <f>T159</f>
        <v>0</v>
      </c>
      <c r="S159" s="283"/>
      <c r="T159" s="259">
        <f>IF(V159=5,0,(T152+T139+T121+T102+T86)/(5-V159))</f>
        <v>0</v>
      </c>
      <c r="V159" s="259">
        <f>(V152+V139+V121+V102+V86)</f>
        <v>5</v>
      </c>
    </row>
    <row r="160" spans="1:22" ht="5.0999999999999996" customHeight="1" x14ac:dyDescent="0.3">
      <c r="A160" s="260"/>
      <c r="S160" s="262"/>
    </row>
    <row r="161" spans="1:19" ht="15.6" x14ac:dyDescent="0.3">
      <c r="A161" s="533" t="s">
        <v>641</v>
      </c>
      <c r="B161" s="534"/>
      <c r="C161" s="534"/>
      <c r="D161" s="534"/>
      <c r="E161" s="534"/>
      <c r="F161" s="534"/>
      <c r="G161" s="534"/>
      <c r="H161" s="534"/>
      <c r="I161" s="534"/>
      <c r="J161" s="534"/>
      <c r="K161" s="534"/>
      <c r="L161" s="534"/>
      <c r="M161" s="534"/>
      <c r="N161" s="534"/>
      <c r="O161" s="534"/>
      <c r="P161" s="534"/>
      <c r="Q161" s="534"/>
      <c r="R161" s="534"/>
      <c r="S161" s="535"/>
    </row>
    <row r="162" spans="1:19" ht="5.0999999999999996" customHeight="1" x14ac:dyDescent="0.3">
      <c r="A162" s="260"/>
      <c r="S162" s="262"/>
    </row>
    <row r="163" spans="1:19" x14ac:dyDescent="0.3">
      <c r="A163" s="260"/>
      <c r="B163" s="263" t="s">
        <v>642</v>
      </c>
      <c r="C163" s="538"/>
      <c r="D163" s="538"/>
      <c r="E163" s="538"/>
      <c r="F163" s="538"/>
      <c r="G163" s="538"/>
      <c r="H163" s="538"/>
      <c r="I163" s="538"/>
      <c r="J163" s="538"/>
      <c r="K163" s="538"/>
      <c r="L163" s="538"/>
      <c r="M163" s="538"/>
      <c r="N163" s="538"/>
      <c r="O163" s="538"/>
      <c r="P163" s="538"/>
      <c r="Q163" s="538"/>
      <c r="R163" s="538"/>
      <c r="S163" s="262"/>
    </row>
    <row r="164" spans="1:19" ht="5.0999999999999996" customHeight="1" x14ac:dyDescent="0.3">
      <c r="A164" s="260"/>
      <c r="S164" s="262"/>
    </row>
    <row r="165" spans="1:19" x14ac:dyDescent="0.3">
      <c r="A165" s="260"/>
      <c r="B165" s="263" t="s">
        <v>643</v>
      </c>
      <c r="C165" s="538"/>
      <c r="D165" s="538"/>
      <c r="E165" s="538"/>
      <c r="F165" s="538"/>
      <c r="G165" s="538"/>
      <c r="H165" s="538"/>
      <c r="I165" s="538"/>
      <c r="J165" s="538"/>
      <c r="K165" s="538"/>
      <c r="L165" s="538"/>
      <c r="M165" s="538"/>
      <c r="N165" s="538"/>
      <c r="O165" s="538"/>
      <c r="P165" s="538"/>
      <c r="Q165" s="538"/>
      <c r="R165" s="538"/>
      <c r="S165" s="262"/>
    </row>
    <row r="166" spans="1:19" ht="5.0999999999999996" customHeight="1" x14ac:dyDescent="0.3">
      <c r="A166" s="260"/>
      <c r="S166" s="262"/>
    </row>
    <row r="167" spans="1:19" x14ac:dyDescent="0.3">
      <c r="A167" s="260"/>
      <c r="B167" s="263" t="s">
        <v>643</v>
      </c>
      <c r="C167" s="538"/>
      <c r="D167" s="538"/>
      <c r="E167" s="538"/>
      <c r="F167" s="538"/>
      <c r="G167" s="538"/>
      <c r="H167" s="538"/>
      <c r="I167" s="538"/>
      <c r="J167" s="538"/>
      <c r="K167" s="538"/>
      <c r="L167" s="538"/>
      <c r="M167" s="538"/>
      <c r="N167" s="538"/>
      <c r="O167" s="538"/>
      <c r="P167" s="538"/>
      <c r="Q167" s="538"/>
      <c r="R167" s="538"/>
      <c r="S167" s="262"/>
    </row>
    <row r="168" spans="1:19" ht="5.0999999999999996" customHeight="1" x14ac:dyDescent="0.3">
      <c r="A168" s="260"/>
      <c r="S168" s="262"/>
    </row>
    <row r="169" spans="1:19" x14ac:dyDescent="0.3">
      <c r="A169" s="260"/>
      <c r="B169" s="263" t="s">
        <v>643</v>
      </c>
      <c r="C169" s="538"/>
      <c r="D169" s="538"/>
      <c r="E169" s="538"/>
      <c r="F169" s="538"/>
      <c r="G169" s="538"/>
      <c r="H169" s="538"/>
      <c r="I169" s="538"/>
      <c r="J169" s="538"/>
      <c r="K169" s="538"/>
      <c r="L169" s="538"/>
      <c r="M169" s="538"/>
      <c r="N169" s="538"/>
      <c r="O169" s="538"/>
      <c r="P169" s="538"/>
      <c r="Q169" s="538"/>
      <c r="R169" s="538"/>
      <c r="S169" s="262"/>
    </row>
    <row r="170" spans="1:19" ht="5.0999999999999996" customHeight="1" x14ac:dyDescent="0.3">
      <c r="A170" s="260"/>
      <c r="S170" s="262"/>
    </row>
    <row r="171" spans="1:19" x14ac:dyDescent="0.3">
      <c r="A171" s="260"/>
      <c r="B171" s="263" t="s">
        <v>644</v>
      </c>
      <c r="C171" s="263" t="s">
        <v>561</v>
      </c>
      <c r="D171" s="543"/>
      <c r="E171" s="543"/>
      <c r="F171" s="544" t="s">
        <v>562</v>
      </c>
      <c r="G171" s="545"/>
      <c r="H171" s="267"/>
      <c r="I171" s="267"/>
      <c r="J171" s="544" t="s">
        <v>563</v>
      </c>
      <c r="K171" s="545"/>
      <c r="L171" s="543"/>
      <c r="M171" s="543"/>
      <c r="N171" s="543"/>
      <c r="O171" s="543"/>
      <c r="P171" s="543"/>
      <c r="Q171" s="543"/>
      <c r="R171" s="543"/>
      <c r="S171" s="262"/>
    </row>
    <row r="172" spans="1:19" ht="5.0999999999999996" customHeight="1" x14ac:dyDescent="0.3">
      <c r="A172" s="260"/>
      <c r="S172" s="262"/>
    </row>
    <row r="173" spans="1:19" x14ac:dyDescent="0.3">
      <c r="A173" s="260"/>
      <c r="B173" s="263" t="s">
        <v>564</v>
      </c>
      <c r="C173" s="538"/>
      <c r="D173" s="538"/>
      <c r="E173" s="538"/>
      <c r="F173" s="538"/>
      <c r="G173" s="538"/>
      <c r="H173" s="538"/>
      <c r="I173" s="538"/>
      <c r="J173" s="538"/>
      <c r="K173" s="538"/>
      <c r="L173" s="538"/>
      <c r="M173" s="538"/>
      <c r="N173" s="538"/>
      <c r="O173" s="538"/>
      <c r="P173" s="538"/>
      <c r="Q173" s="538"/>
      <c r="R173" s="538"/>
      <c r="S173" s="262"/>
    </row>
    <row r="174" spans="1:19" ht="5.0999999999999996" customHeight="1" x14ac:dyDescent="0.3">
      <c r="A174" s="260"/>
      <c r="S174" s="262"/>
    </row>
    <row r="175" spans="1:19" x14ac:dyDescent="0.3">
      <c r="A175" s="260"/>
      <c r="B175" s="263" t="s">
        <v>162</v>
      </c>
      <c r="C175" s="538"/>
      <c r="D175" s="538"/>
      <c r="E175" s="538"/>
      <c r="F175" s="538"/>
      <c r="G175" s="538"/>
      <c r="H175" s="538"/>
      <c r="I175" s="538"/>
      <c r="J175" s="538"/>
      <c r="K175" s="538"/>
      <c r="L175" s="538"/>
      <c r="M175" s="538"/>
      <c r="N175" s="538"/>
      <c r="O175" s="538"/>
      <c r="P175" s="538"/>
      <c r="Q175" s="538"/>
      <c r="R175" s="538"/>
      <c r="S175" s="262"/>
    </row>
    <row r="176" spans="1:19" ht="5.0999999999999996" customHeight="1" x14ac:dyDescent="0.3">
      <c r="A176" s="260"/>
      <c r="S176" s="262"/>
    </row>
    <row r="177" spans="1:19" x14ac:dyDescent="0.3">
      <c r="A177" s="260"/>
      <c r="B177" s="263" t="s">
        <v>169</v>
      </c>
      <c r="C177" s="264"/>
      <c r="D177" s="264"/>
      <c r="E177" s="264"/>
      <c r="F177" s="264"/>
      <c r="G177" s="264"/>
      <c r="H177" s="264"/>
      <c r="I177" s="264"/>
      <c r="J177" s="264"/>
      <c r="K177" s="264"/>
      <c r="L177" s="264"/>
      <c r="M177" s="264"/>
      <c r="N177" s="264"/>
      <c r="O177" s="264"/>
      <c r="P177" s="264"/>
      <c r="Q177" s="264"/>
      <c r="R177" s="264"/>
      <c r="S177" s="262"/>
    </row>
    <row r="178" spans="1:19" ht="5.0999999999999996" customHeight="1" x14ac:dyDescent="0.3">
      <c r="A178" s="260"/>
      <c r="S178" s="262"/>
    </row>
    <row r="179" spans="1:19" x14ac:dyDescent="0.3">
      <c r="A179" s="260"/>
      <c r="B179" s="553" t="s">
        <v>565</v>
      </c>
      <c r="C179" s="554"/>
      <c r="D179" s="555"/>
      <c r="E179" s="555"/>
      <c r="F179" s="555"/>
      <c r="G179" s="555"/>
      <c r="H179" s="555"/>
      <c r="I179" s="555"/>
      <c r="J179" s="555"/>
      <c r="K179" s="555"/>
      <c r="L179" s="555"/>
      <c r="M179" s="555"/>
      <c r="N179" s="555"/>
      <c r="O179" s="555"/>
      <c r="P179" s="555"/>
      <c r="Q179" s="555"/>
      <c r="R179" s="556"/>
      <c r="S179" s="262"/>
    </row>
    <row r="180" spans="1:19" ht="5.0999999999999996" customHeight="1" x14ac:dyDescent="0.3">
      <c r="A180" s="260"/>
      <c r="B180" s="553"/>
      <c r="S180" s="262"/>
    </row>
    <row r="181" spans="1:19" hidden="1" x14ac:dyDescent="0.3">
      <c r="A181" s="260"/>
      <c r="B181" s="553"/>
      <c r="C181" s="264"/>
      <c r="D181" s="264"/>
      <c r="E181" s="264"/>
      <c r="F181" s="264"/>
      <c r="G181" s="264"/>
      <c r="H181" s="264"/>
      <c r="I181" s="264"/>
      <c r="J181" s="264"/>
      <c r="K181" s="264"/>
      <c r="L181" s="264"/>
      <c r="M181" s="264"/>
      <c r="N181" s="264"/>
      <c r="O181" s="264"/>
      <c r="P181" s="264"/>
      <c r="Q181" s="264"/>
      <c r="R181" s="264"/>
      <c r="S181" s="262"/>
    </row>
    <row r="182" spans="1:19" ht="5.0999999999999996" customHeight="1" x14ac:dyDescent="0.3">
      <c r="A182" s="260"/>
      <c r="S182" s="262"/>
    </row>
    <row r="183" spans="1:19" x14ac:dyDescent="0.3">
      <c r="A183" s="260"/>
      <c r="B183" s="263" t="s">
        <v>566</v>
      </c>
      <c r="C183" s="264">
        <v>0</v>
      </c>
      <c r="D183" s="264"/>
      <c r="E183" s="264"/>
      <c r="F183" s="266" t="s">
        <v>557</v>
      </c>
      <c r="G183" s="264"/>
      <c r="H183" s="264"/>
      <c r="I183" s="264"/>
      <c r="J183" s="266" t="s">
        <v>557</v>
      </c>
      <c r="K183" s="264"/>
      <c r="L183" s="264"/>
      <c r="M183" s="264"/>
      <c r="N183" s="264"/>
      <c r="S183" s="262"/>
    </row>
    <row r="184" spans="1:19" ht="5.0999999999999996" customHeight="1" x14ac:dyDescent="0.3">
      <c r="A184" s="260"/>
      <c r="S184" s="262"/>
    </row>
    <row r="185" spans="1:19" x14ac:dyDescent="0.3">
      <c r="A185" s="260"/>
      <c r="B185" s="263" t="s">
        <v>567</v>
      </c>
      <c r="C185" s="264">
        <v>0</v>
      </c>
      <c r="D185" s="264"/>
      <c r="E185" s="264"/>
      <c r="F185" s="266" t="s">
        <v>557</v>
      </c>
      <c r="G185" s="264"/>
      <c r="H185" s="264"/>
      <c r="I185" s="264"/>
      <c r="J185" s="266" t="s">
        <v>557</v>
      </c>
      <c r="K185" s="264"/>
      <c r="L185" s="264"/>
      <c r="M185" s="264"/>
      <c r="N185" s="264"/>
      <c r="S185" s="262"/>
    </row>
    <row r="186" spans="1:19" ht="5.0999999999999996" customHeight="1" x14ac:dyDescent="0.3">
      <c r="A186" s="260"/>
      <c r="S186" s="262"/>
    </row>
    <row r="187" spans="1:19" ht="15" customHeight="1" x14ac:dyDescent="0.3">
      <c r="A187" s="260"/>
      <c r="B187" s="263" t="s">
        <v>645</v>
      </c>
      <c r="C187" s="582"/>
      <c r="D187" s="582"/>
      <c r="E187" s="613" t="s">
        <v>646</v>
      </c>
      <c r="F187" s="614"/>
      <c r="G187" s="614"/>
      <c r="H187" s="614"/>
      <c r="I187" s="614"/>
      <c r="J187" s="614"/>
      <c r="K187" s="614"/>
      <c r="L187" s="614"/>
      <c r="M187" s="614"/>
      <c r="N187" s="614"/>
      <c r="O187" s="614"/>
      <c r="P187" s="614"/>
      <c r="Q187" s="614"/>
      <c r="R187" s="614"/>
      <c r="S187" s="262"/>
    </row>
    <row r="188" spans="1:19" ht="5.0999999999999996" customHeight="1" x14ac:dyDescent="0.3">
      <c r="A188" s="260"/>
      <c r="S188" s="262"/>
    </row>
    <row r="189" spans="1:19" ht="15" customHeight="1" x14ac:dyDescent="0.3">
      <c r="A189" s="260"/>
      <c r="B189" s="553" t="s">
        <v>647</v>
      </c>
      <c r="C189" s="553"/>
      <c r="D189" s="553"/>
      <c r="E189" s="553"/>
      <c r="F189" s="582"/>
      <c r="G189" s="582"/>
      <c r="S189" s="262"/>
    </row>
    <row r="190" spans="1:19" ht="5.0999999999999996" customHeight="1" x14ac:dyDescent="0.3">
      <c r="A190" s="260"/>
      <c r="S190" s="262"/>
    </row>
    <row r="191" spans="1:19" x14ac:dyDescent="0.3">
      <c r="A191" s="260"/>
      <c r="B191" s="546" t="s">
        <v>569</v>
      </c>
      <c r="C191" s="543"/>
      <c r="D191" s="543"/>
      <c r="E191" s="543"/>
      <c r="F191" s="543"/>
      <c r="G191" s="543"/>
      <c r="H191" s="543"/>
      <c r="I191" s="543"/>
      <c r="J191" s="543"/>
      <c r="S191" s="262"/>
    </row>
    <row r="192" spans="1:19" x14ac:dyDescent="0.3">
      <c r="A192" s="260"/>
      <c r="B192" s="546"/>
      <c r="C192" s="543"/>
      <c r="D192" s="543"/>
      <c r="E192" s="543"/>
      <c r="F192" s="543"/>
      <c r="G192" s="543"/>
      <c r="H192" s="543"/>
      <c r="I192" s="543"/>
      <c r="J192" s="543"/>
      <c r="S192" s="262"/>
    </row>
    <row r="193" spans="1:19" x14ac:dyDescent="0.3">
      <c r="A193" s="260"/>
      <c r="B193" s="546"/>
      <c r="C193" s="543"/>
      <c r="D193" s="543"/>
      <c r="E193" s="543"/>
      <c r="F193" s="543"/>
      <c r="G193" s="543"/>
      <c r="H193" s="543"/>
      <c r="I193" s="543"/>
      <c r="J193" s="543"/>
      <c r="S193" s="262"/>
    </row>
    <row r="194" spans="1:19" ht="5.0999999999999996" customHeight="1" x14ac:dyDescent="0.3">
      <c r="A194" s="260"/>
      <c r="S194" s="262"/>
    </row>
    <row r="195" spans="1:19" x14ac:dyDescent="0.3">
      <c r="A195" s="260"/>
      <c r="B195" s="263" t="s">
        <v>648</v>
      </c>
      <c r="C195" s="543"/>
      <c r="D195" s="543"/>
      <c r="E195" s="266" t="s">
        <v>557</v>
      </c>
      <c r="F195" s="557"/>
      <c r="G195" s="557"/>
      <c r="H195" s="266" t="s">
        <v>557</v>
      </c>
      <c r="I195" s="557"/>
      <c r="J195" s="557"/>
      <c r="S195" s="262"/>
    </row>
    <row r="196" spans="1:19" ht="5.0999999999999996" customHeight="1" x14ac:dyDescent="0.3">
      <c r="A196" s="268"/>
      <c r="B196" s="269"/>
      <c r="C196" s="269"/>
      <c r="D196" s="269"/>
      <c r="E196" s="269"/>
      <c r="F196" s="269"/>
      <c r="G196" s="269"/>
      <c r="H196" s="269"/>
      <c r="I196" s="269"/>
      <c r="J196" s="269"/>
      <c r="K196" s="269"/>
      <c r="L196" s="269"/>
      <c r="M196" s="269"/>
      <c r="N196" s="269"/>
      <c r="O196" s="270"/>
      <c r="P196" s="269"/>
      <c r="Q196" s="269"/>
      <c r="R196" s="269"/>
      <c r="S196" s="271"/>
    </row>
    <row r="197" spans="1:19" ht="5.0999999999999996" customHeight="1" x14ac:dyDescent="0.3">
      <c r="A197" s="269"/>
      <c r="S197" s="269"/>
    </row>
    <row r="198" spans="1:19" ht="15.6" x14ac:dyDescent="0.3">
      <c r="A198" s="547" t="s">
        <v>649</v>
      </c>
      <c r="B198" s="548"/>
      <c r="C198" s="548"/>
      <c r="D198" s="548"/>
      <c r="E198" s="548"/>
      <c r="F198" s="548"/>
      <c r="G198" s="548"/>
      <c r="H198" s="548"/>
      <c r="I198" s="548"/>
      <c r="J198" s="548"/>
      <c r="K198" s="548"/>
      <c r="L198" s="548"/>
      <c r="M198" s="548"/>
      <c r="N198" s="548"/>
      <c r="O198" s="548"/>
      <c r="P198" s="548"/>
      <c r="Q198" s="548"/>
      <c r="R198" s="548"/>
      <c r="S198" s="549"/>
    </row>
    <row r="199" spans="1:19" ht="5.0999999999999996" customHeight="1" x14ac:dyDescent="0.3">
      <c r="A199" s="260"/>
      <c r="S199" s="262"/>
    </row>
    <row r="200" spans="1:19" x14ac:dyDescent="0.3">
      <c r="A200" s="260"/>
      <c r="B200" s="263" t="s">
        <v>644</v>
      </c>
      <c r="C200" s="263" t="s">
        <v>561</v>
      </c>
      <c r="D200" s="543"/>
      <c r="E200" s="543"/>
      <c r="F200" s="544" t="s">
        <v>562</v>
      </c>
      <c r="G200" s="545"/>
      <c r="H200" s="267"/>
      <c r="I200" s="267"/>
      <c r="J200" s="544" t="s">
        <v>563</v>
      </c>
      <c r="K200" s="545"/>
      <c r="L200" s="543"/>
      <c r="M200" s="543"/>
      <c r="N200" s="543"/>
      <c r="O200" s="543"/>
      <c r="P200" s="543"/>
      <c r="Q200" s="543"/>
      <c r="R200" s="543"/>
      <c r="S200" s="262"/>
    </row>
    <row r="201" spans="1:19" ht="5.0999999999999996" customHeight="1" x14ac:dyDescent="0.3">
      <c r="A201" s="260"/>
      <c r="B201" s="263"/>
      <c r="S201" s="262"/>
    </row>
    <row r="202" spans="1:19" x14ac:dyDescent="0.3">
      <c r="A202" s="260"/>
      <c r="B202" s="263" t="s">
        <v>564</v>
      </c>
      <c r="C202" s="538"/>
      <c r="D202" s="538"/>
      <c r="E202" s="538"/>
      <c r="F202" s="538"/>
      <c r="G202" s="538"/>
      <c r="H202" s="538"/>
      <c r="I202" s="538"/>
      <c r="J202" s="538"/>
      <c r="K202" s="538"/>
      <c r="L202" s="538"/>
      <c r="M202" s="538"/>
      <c r="N202" s="538"/>
      <c r="O202" s="538"/>
      <c r="P202" s="538"/>
      <c r="Q202" s="538"/>
      <c r="R202" s="538"/>
      <c r="S202" s="262"/>
    </row>
    <row r="203" spans="1:19" ht="5.0999999999999996" customHeight="1" x14ac:dyDescent="0.3">
      <c r="A203" s="260"/>
      <c r="B203" s="263"/>
      <c r="S203" s="262"/>
    </row>
    <row r="204" spans="1:19" x14ac:dyDescent="0.3">
      <c r="A204" s="260"/>
      <c r="B204" s="553" t="s">
        <v>565</v>
      </c>
      <c r="C204" s="554"/>
      <c r="D204" s="555"/>
      <c r="E204" s="555"/>
      <c r="F204" s="555"/>
      <c r="G204" s="555"/>
      <c r="H204" s="555"/>
      <c r="I204" s="555"/>
      <c r="J204" s="555"/>
      <c r="K204" s="555"/>
      <c r="L204" s="555"/>
      <c r="M204" s="555"/>
      <c r="N204" s="555"/>
      <c r="O204" s="555"/>
      <c r="P204" s="555"/>
      <c r="Q204" s="555"/>
      <c r="R204" s="556"/>
      <c r="S204" s="262"/>
    </row>
    <row r="205" spans="1:19" hidden="1" x14ac:dyDescent="0.3">
      <c r="A205" s="260"/>
      <c r="B205" s="553"/>
      <c r="S205" s="262"/>
    </row>
    <row r="206" spans="1:19" hidden="1" x14ac:dyDescent="0.3">
      <c r="A206" s="260"/>
      <c r="B206" s="553"/>
      <c r="C206" s="264"/>
      <c r="D206" s="264"/>
      <c r="E206" s="264"/>
      <c r="F206" s="264"/>
      <c r="G206" s="264"/>
      <c r="H206" s="264"/>
      <c r="I206" s="264"/>
      <c r="J206" s="264"/>
      <c r="K206" s="264"/>
      <c r="L206" s="264"/>
      <c r="M206" s="264"/>
      <c r="N206" s="264"/>
      <c r="O206" s="264"/>
      <c r="P206" s="264"/>
      <c r="Q206" s="264"/>
      <c r="R206" s="264"/>
      <c r="S206" s="262"/>
    </row>
    <row r="207" spans="1:19" ht="5.0999999999999996" customHeight="1" x14ac:dyDescent="0.3">
      <c r="A207" s="260"/>
      <c r="B207" s="263"/>
      <c r="S207" s="262"/>
    </row>
    <row r="208" spans="1:19" x14ac:dyDescent="0.3">
      <c r="A208" s="260"/>
      <c r="B208" s="263" t="s">
        <v>566</v>
      </c>
      <c r="C208" s="264">
        <v>0</v>
      </c>
      <c r="D208" s="264"/>
      <c r="E208" s="264"/>
      <c r="F208" s="266" t="s">
        <v>557</v>
      </c>
      <c r="G208" s="264"/>
      <c r="H208" s="264"/>
      <c r="I208" s="264"/>
      <c r="J208" s="266" t="s">
        <v>557</v>
      </c>
      <c r="K208" s="264"/>
      <c r="L208" s="264"/>
      <c r="M208" s="264"/>
      <c r="N208" s="264"/>
      <c r="S208" s="262"/>
    </row>
    <row r="209" spans="1:19" ht="5.0999999999999996" customHeight="1" x14ac:dyDescent="0.3">
      <c r="A209" s="260"/>
      <c r="B209" s="263"/>
      <c r="S209" s="262"/>
    </row>
    <row r="210" spans="1:19" x14ac:dyDescent="0.3">
      <c r="A210" s="260"/>
      <c r="B210" s="263" t="s">
        <v>567</v>
      </c>
      <c r="C210" s="264">
        <v>0</v>
      </c>
      <c r="D210" s="264"/>
      <c r="E210" s="264"/>
      <c r="F210" s="266" t="s">
        <v>557</v>
      </c>
      <c r="G210" s="264"/>
      <c r="H210" s="264"/>
      <c r="I210" s="264"/>
      <c r="J210" s="266" t="s">
        <v>557</v>
      </c>
      <c r="K210" s="264"/>
      <c r="L210" s="264"/>
      <c r="M210" s="264"/>
      <c r="N210" s="264"/>
      <c r="S210" s="262"/>
    </row>
    <row r="211" spans="1:19" ht="5.0999999999999996" customHeight="1" x14ac:dyDescent="0.3">
      <c r="A211" s="260"/>
      <c r="B211" s="263"/>
      <c r="S211" s="262"/>
    </row>
    <row r="212" spans="1:19" x14ac:dyDescent="0.3">
      <c r="A212" s="260"/>
      <c r="B212" s="263" t="s">
        <v>648</v>
      </c>
      <c r="C212" s="543"/>
      <c r="D212" s="543"/>
      <c r="E212" s="266" t="s">
        <v>557</v>
      </c>
      <c r="F212" s="557"/>
      <c r="G212" s="557"/>
      <c r="H212" s="266" t="s">
        <v>557</v>
      </c>
      <c r="I212" s="557"/>
      <c r="J212" s="557"/>
      <c r="S212" s="262"/>
    </row>
    <row r="213" spans="1:19" ht="5.0999999999999996" customHeight="1" x14ac:dyDescent="0.3">
      <c r="A213" s="260"/>
      <c r="B213" s="263"/>
      <c r="S213" s="262"/>
    </row>
    <row r="214" spans="1:19" x14ac:dyDescent="0.3">
      <c r="A214" s="260"/>
      <c r="B214" s="263" t="s">
        <v>650</v>
      </c>
      <c r="C214" s="582"/>
      <c r="D214" s="582"/>
      <c r="E214" s="613" t="s">
        <v>651</v>
      </c>
      <c r="F214" s="614"/>
      <c r="G214" s="614"/>
      <c r="H214" s="614"/>
      <c r="I214" s="614"/>
      <c r="J214" s="614"/>
      <c r="K214" s="614"/>
      <c r="L214" s="614"/>
      <c r="M214" s="614"/>
      <c r="N214" s="614"/>
      <c r="O214" s="614"/>
      <c r="P214" s="614"/>
      <c r="Q214" s="614"/>
      <c r="R214" s="614"/>
      <c r="S214" s="262"/>
    </row>
    <row r="215" spans="1:19" x14ac:dyDescent="0.3">
      <c r="A215" s="260"/>
      <c r="S215" s="262"/>
    </row>
    <row r="216" spans="1:19" x14ac:dyDescent="0.3">
      <c r="A216" s="260"/>
      <c r="B216" s="546" t="s">
        <v>569</v>
      </c>
      <c r="C216" s="543"/>
      <c r="D216" s="543"/>
      <c r="E216" s="543"/>
      <c r="F216" s="543"/>
      <c r="G216" s="543"/>
      <c r="H216" s="543"/>
      <c r="I216" s="543"/>
      <c r="J216" s="543"/>
      <c r="S216" s="262"/>
    </row>
    <row r="217" spans="1:19" x14ac:dyDescent="0.3">
      <c r="A217" s="260"/>
      <c r="B217" s="546"/>
      <c r="C217" s="543"/>
      <c r="D217" s="543"/>
      <c r="E217" s="543"/>
      <c r="F217" s="543"/>
      <c r="G217" s="543"/>
      <c r="H217" s="543"/>
      <c r="I217" s="543"/>
      <c r="J217" s="543"/>
      <c r="S217" s="262"/>
    </row>
    <row r="218" spans="1:19" x14ac:dyDescent="0.3">
      <c r="A218" s="260"/>
      <c r="B218" s="546"/>
      <c r="C218" s="543"/>
      <c r="D218" s="543"/>
      <c r="E218" s="543"/>
      <c r="F218" s="543"/>
      <c r="G218" s="543"/>
      <c r="H218" s="543"/>
      <c r="I218" s="543"/>
      <c r="J218" s="543"/>
      <c r="S218" s="262"/>
    </row>
    <row r="219" spans="1:19" ht="5.0999999999999996" customHeight="1" x14ac:dyDescent="0.3">
      <c r="A219" s="260"/>
      <c r="S219" s="262"/>
    </row>
    <row r="220" spans="1:19" ht="15.6" x14ac:dyDescent="0.3">
      <c r="A220" s="533" t="s">
        <v>652</v>
      </c>
      <c r="B220" s="534"/>
      <c r="C220" s="534"/>
      <c r="D220" s="534"/>
      <c r="E220" s="534"/>
      <c r="F220" s="534"/>
      <c r="G220" s="534"/>
      <c r="H220" s="534"/>
      <c r="I220" s="534"/>
      <c r="J220" s="534"/>
      <c r="K220" s="534"/>
      <c r="L220" s="534"/>
      <c r="M220" s="534"/>
      <c r="N220" s="534"/>
      <c r="O220" s="534"/>
      <c r="P220" s="534"/>
      <c r="Q220" s="534"/>
      <c r="R220" s="534"/>
      <c r="S220" s="535"/>
    </row>
    <row r="221" spans="1:19" ht="5.0999999999999996" customHeight="1" x14ac:dyDescent="0.3">
      <c r="A221" s="260"/>
      <c r="S221" s="262"/>
    </row>
    <row r="222" spans="1:19" x14ac:dyDescent="0.3">
      <c r="A222" s="260"/>
      <c r="B222" s="263" t="s">
        <v>653</v>
      </c>
      <c r="C222" s="263" t="s">
        <v>561</v>
      </c>
      <c r="D222" s="543"/>
      <c r="E222" s="543"/>
      <c r="F222" s="544" t="s">
        <v>562</v>
      </c>
      <c r="G222" s="545"/>
      <c r="H222" s="267"/>
      <c r="I222" s="267"/>
      <c r="J222" s="544" t="s">
        <v>563</v>
      </c>
      <c r="K222" s="545"/>
      <c r="L222" s="543"/>
      <c r="M222" s="543"/>
      <c r="N222" s="543"/>
      <c r="O222" s="543"/>
      <c r="P222" s="543"/>
      <c r="Q222" s="543"/>
      <c r="R222" s="543"/>
      <c r="S222" s="262"/>
    </row>
    <row r="223" spans="1:19" ht="5.0999999999999996" customHeight="1" x14ac:dyDescent="0.3">
      <c r="A223" s="260"/>
      <c r="B223" s="263"/>
      <c r="S223" s="262"/>
    </row>
    <row r="224" spans="1:19" x14ac:dyDescent="0.3">
      <c r="A224" s="260"/>
      <c r="B224" s="263" t="s">
        <v>564</v>
      </c>
      <c r="C224" s="538"/>
      <c r="D224" s="538"/>
      <c r="E224" s="538"/>
      <c r="F224" s="538"/>
      <c r="G224" s="538"/>
      <c r="H224" s="538"/>
      <c r="I224" s="538"/>
      <c r="J224" s="538"/>
      <c r="K224" s="538"/>
      <c r="L224" s="538"/>
      <c r="M224" s="538"/>
      <c r="N224" s="538"/>
      <c r="O224" s="538"/>
      <c r="P224" s="538"/>
      <c r="Q224" s="538"/>
      <c r="R224" s="538"/>
      <c r="S224" s="262"/>
    </row>
    <row r="225" spans="1:19" ht="5.0999999999999996" customHeight="1" x14ac:dyDescent="0.3">
      <c r="A225" s="260"/>
      <c r="B225" s="263"/>
      <c r="S225" s="262"/>
    </row>
    <row r="226" spans="1:19" x14ac:dyDescent="0.3">
      <c r="A226" s="260"/>
      <c r="B226" s="553" t="s">
        <v>565</v>
      </c>
      <c r="C226" s="554"/>
      <c r="D226" s="555"/>
      <c r="E226" s="555"/>
      <c r="F226" s="555"/>
      <c r="G226" s="555"/>
      <c r="H226" s="555"/>
      <c r="I226" s="555"/>
      <c r="J226" s="555"/>
      <c r="K226" s="555"/>
      <c r="L226" s="555"/>
      <c r="M226" s="555"/>
      <c r="N226" s="555"/>
      <c r="O226" s="555"/>
      <c r="P226" s="555"/>
      <c r="Q226" s="555"/>
      <c r="R226" s="556"/>
      <c r="S226" s="262"/>
    </row>
    <row r="227" spans="1:19" ht="5.0999999999999996" customHeight="1" x14ac:dyDescent="0.3">
      <c r="A227" s="260"/>
      <c r="B227" s="553"/>
      <c r="S227" s="262"/>
    </row>
    <row r="228" spans="1:19" hidden="1" x14ac:dyDescent="0.3">
      <c r="A228" s="260"/>
      <c r="B228" s="553"/>
      <c r="C228" s="264"/>
      <c r="D228" s="264"/>
      <c r="E228" s="264"/>
      <c r="F228" s="264"/>
      <c r="G228" s="264"/>
      <c r="H228" s="264"/>
      <c r="I228" s="264"/>
      <c r="J228" s="264"/>
      <c r="K228" s="264"/>
      <c r="L228" s="264"/>
      <c r="M228" s="264"/>
      <c r="N228" s="264"/>
      <c r="O228" s="264"/>
      <c r="P228" s="264"/>
      <c r="Q228" s="264"/>
      <c r="R228" s="264"/>
      <c r="S228" s="262"/>
    </row>
    <row r="229" spans="1:19" ht="5.0999999999999996" customHeight="1" x14ac:dyDescent="0.3">
      <c r="A229" s="260"/>
      <c r="B229" s="263"/>
      <c r="S229" s="262"/>
    </row>
    <row r="230" spans="1:19" x14ac:dyDescent="0.3">
      <c r="A230" s="260"/>
      <c r="B230" s="263" t="s">
        <v>566</v>
      </c>
      <c r="C230" s="264">
        <v>0</v>
      </c>
      <c r="D230" s="264"/>
      <c r="E230" s="264"/>
      <c r="F230" s="266" t="s">
        <v>557</v>
      </c>
      <c r="G230" s="264"/>
      <c r="H230" s="264"/>
      <c r="I230" s="264"/>
      <c r="J230" s="266" t="s">
        <v>557</v>
      </c>
      <c r="K230" s="264"/>
      <c r="L230" s="264"/>
      <c r="M230" s="264"/>
      <c r="N230" s="264"/>
      <c r="S230" s="262"/>
    </row>
    <row r="231" spans="1:19" ht="5.0999999999999996" customHeight="1" x14ac:dyDescent="0.3">
      <c r="A231" s="260"/>
      <c r="B231" s="263"/>
      <c r="S231" s="262"/>
    </row>
    <row r="232" spans="1:19" x14ac:dyDescent="0.3">
      <c r="A232" s="260"/>
      <c r="B232" s="263" t="s">
        <v>567</v>
      </c>
      <c r="C232" s="264">
        <v>0</v>
      </c>
      <c r="D232" s="264"/>
      <c r="E232" s="264"/>
      <c r="F232" s="266" t="s">
        <v>557</v>
      </c>
      <c r="G232" s="264"/>
      <c r="H232" s="264"/>
      <c r="I232" s="264"/>
      <c r="J232" s="266" t="s">
        <v>557</v>
      </c>
      <c r="K232" s="264"/>
      <c r="L232" s="264"/>
      <c r="M232" s="264"/>
      <c r="N232" s="264"/>
      <c r="S232" s="262"/>
    </row>
    <row r="233" spans="1:19" ht="5.0999999999999996" customHeight="1" x14ac:dyDescent="0.3">
      <c r="A233" s="260"/>
      <c r="B233" s="263"/>
      <c r="S233" s="262"/>
    </row>
    <row r="234" spans="1:19" x14ac:dyDescent="0.3">
      <c r="A234" s="260"/>
      <c r="B234" s="263" t="s">
        <v>648</v>
      </c>
      <c r="C234" s="543"/>
      <c r="D234" s="543"/>
      <c r="E234" s="266" t="s">
        <v>557</v>
      </c>
      <c r="F234" s="557"/>
      <c r="G234" s="557"/>
      <c r="H234" s="266" t="s">
        <v>557</v>
      </c>
      <c r="I234" s="557"/>
      <c r="J234" s="557"/>
      <c r="S234" s="262"/>
    </row>
    <row r="235" spans="1:19" ht="5.0999999999999996" customHeight="1" x14ac:dyDescent="0.3">
      <c r="A235" s="260"/>
      <c r="B235" s="263"/>
      <c r="S235" s="262"/>
    </row>
    <row r="236" spans="1:19" x14ac:dyDescent="0.3">
      <c r="A236" s="260"/>
      <c r="B236" s="546" t="s">
        <v>569</v>
      </c>
      <c r="C236" s="543"/>
      <c r="D236" s="543"/>
      <c r="E236" s="543"/>
      <c r="F236" s="543"/>
      <c r="G236" s="543"/>
      <c r="H236" s="543"/>
      <c r="I236" s="543"/>
      <c r="J236" s="543"/>
      <c r="S236" s="262"/>
    </row>
    <row r="237" spans="1:19" x14ac:dyDescent="0.3">
      <c r="A237" s="260"/>
      <c r="B237" s="546"/>
      <c r="C237" s="543"/>
      <c r="D237" s="543"/>
      <c r="E237" s="543"/>
      <c r="F237" s="543"/>
      <c r="G237" s="543"/>
      <c r="H237" s="543"/>
      <c r="I237" s="543"/>
      <c r="J237" s="543"/>
      <c r="S237" s="262"/>
    </row>
    <row r="238" spans="1:19" x14ac:dyDescent="0.3">
      <c r="A238" s="260"/>
      <c r="B238" s="546"/>
      <c r="C238" s="543"/>
      <c r="D238" s="543"/>
      <c r="E238" s="543"/>
      <c r="F238" s="543"/>
      <c r="G238" s="543"/>
      <c r="H238" s="543"/>
      <c r="I238" s="543"/>
      <c r="J238" s="543"/>
      <c r="S238" s="262"/>
    </row>
    <row r="239" spans="1:19" ht="5.0999999999999996" customHeight="1" x14ac:dyDescent="0.3">
      <c r="A239" s="260"/>
      <c r="S239" s="262"/>
    </row>
    <row r="240" spans="1:19" ht="15.6" x14ac:dyDescent="0.3">
      <c r="A240" s="533" t="s">
        <v>654</v>
      </c>
      <c r="B240" s="534"/>
      <c r="C240" s="534"/>
      <c r="D240" s="534"/>
      <c r="E240" s="534"/>
      <c r="F240" s="534"/>
      <c r="G240" s="534"/>
      <c r="H240" s="534"/>
      <c r="I240" s="534"/>
      <c r="J240" s="534"/>
      <c r="K240" s="534"/>
      <c r="L240" s="534"/>
      <c r="M240" s="534"/>
      <c r="N240" s="534"/>
      <c r="O240" s="534"/>
      <c r="P240" s="534"/>
      <c r="Q240" s="534"/>
      <c r="R240" s="534"/>
      <c r="S240" s="535"/>
    </row>
    <row r="241" spans="1:19" ht="5.0999999999999996" customHeight="1" x14ac:dyDescent="0.3">
      <c r="A241" s="260"/>
      <c r="S241" s="262"/>
    </row>
    <row r="242" spans="1:19" x14ac:dyDescent="0.3">
      <c r="A242" s="260"/>
      <c r="B242" s="263"/>
      <c r="D242" s="561" t="s">
        <v>655</v>
      </c>
      <c r="E242" s="561"/>
      <c r="F242" s="561"/>
      <c r="H242" s="561" t="s">
        <v>656</v>
      </c>
      <c r="I242" s="561"/>
      <c r="J242" s="561"/>
      <c r="L242" s="561" t="s">
        <v>657</v>
      </c>
      <c r="M242" s="561"/>
      <c r="N242" s="561"/>
      <c r="S242" s="262"/>
    </row>
    <row r="243" spans="1:19" x14ac:dyDescent="0.3">
      <c r="A243" s="260"/>
      <c r="B243" s="263" t="s">
        <v>658</v>
      </c>
      <c r="E243" s="267"/>
      <c r="I243" s="267"/>
      <c r="M243" s="267"/>
      <c r="S243" s="262"/>
    </row>
    <row r="244" spans="1:19" ht="5.0999999999999996" customHeight="1" x14ac:dyDescent="0.3">
      <c r="A244" s="260"/>
      <c r="B244" s="263"/>
      <c r="S244" s="262"/>
    </row>
    <row r="245" spans="1:19" x14ac:dyDescent="0.3">
      <c r="A245" s="260"/>
      <c r="B245" s="263" t="s">
        <v>659</v>
      </c>
      <c r="E245" s="267"/>
      <c r="I245" s="267"/>
      <c r="M245" s="267"/>
      <c r="S245" s="262"/>
    </row>
    <row r="246" spans="1:19" ht="5.0999999999999996" customHeight="1" x14ac:dyDescent="0.3">
      <c r="A246" s="260"/>
      <c r="B246" s="263"/>
      <c r="S246" s="262"/>
    </row>
    <row r="247" spans="1:19" x14ac:dyDescent="0.3">
      <c r="A247" s="260"/>
      <c r="B247" s="263" t="s">
        <v>660</v>
      </c>
      <c r="E247" s="267"/>
      <c r="I247" s="267"/>
      <c r="M247" s="267"/>
      <c r="S247" s="262"/>
    </row>
    <row r="248" spans="1:19" ht="5.0999999999999996" customHeight="1" x14ac:dyDescent="0.3">
      <c r="A248" s="260"/>
      <c r="B248" s="263"/>
      <c r="S248" s="262"/>
    </row>
    <row r="249" spans="1:19" x14ac:dyDescent="0.3">
      <c r="A249" s="260"/>
      <c r="B249" s="263" t="s">
        <v>661</v>
      </c>
      <c r="E249" s="267"/>
      <c r="I249" s="267"/>
      <c r="M249" s="267"/>
      <c r="S249" s="262"/>
    </row>
    <row r="250" spans="1:19" ht="5.0999999999999996" customHeight="1" x14ac:dyDescent="0.3">
      <c r="A250" s="260"/>
      <c r="S250" s="262"/>
    </row>
    <row r="251" spans="1:19" x14ac:dyDescent="0.3">
      <c r="A251" s="260"/>
      <c r="B251" s="259" t="s">
        <v>662</v>
      </c>
      <c r="S251" s="262"/>
    </row>
    <row r="252" spans="1:19" x14ac:dyDescent="0.3">
      <c r="A252" s="260"/>
      <c r="B252" s="291" t="s">
        <v>663</v>
      </c>
      <c r="S252" s="262"/>
    </row>
    <row r="253" spans="1:19" x14ac:dyDescent="0.3">
      <c r="A253" s="260"/>
      <c r="B253" s="259" t="s">
        <v>664</v>
      </c>
      <c r="S253" s="262"/>
    </row>
    <row r="254" spans="1:19" x14ac:dyDescent="0.3">
      <c r="A254" s="260"/>
      <c r="S254" s="262"/>
    </row>
    <row r="255" spans="1:19" x14ac:dyDescent="0.3">
      <c r="A255" s="260"/>
      <c r="B255" s="553" t="s">
        <v>569</v>
      </c>
      <c r="C255" s="553"/>
      <c r="D255" s="546"/>
      <c r="E255" s="543"/>
      <c r="F255" s="543"/>
      <c r="G255" s="543"/>
      <c r="H255" s="543"/>
      <c r="I255" s="543"/>
      <c r="J255" s="543"/>
      <c r="K255" s="543"/>
      <c r="L255" s="543"/>
      <c r="S255" s="262"/>
    </row>
    <row r="256" spans="1:19" x14ac:dyDescent="0.3">
      <c r="A256" s="260"/>
      <c r="B256" s="553"/>
      <c r="C256" s="553"/>
      <c r="D256" s="546"/>
      <c r="E256" s="543"/>
      <c r="F256" s="543"/>
      <c r="G256" s="543"/>
      <c r="H256" s="543"/>
      <c r="I256" s="543"/>
      <c r="J256" s="543"/>
      <c r="K256" s="543"/>
      <c r="L256" s="543"/>
      <c r="S256" s="262"/>
    </row>
    <row r="257" spans="1:19" x14ac:dyDescent="0.3">
      <c r="A257" s="260"/>
      <c r="B257" s="553"/>
      <c r="C257" s="553"/>
      <c r="D257" s="546"/>
      <c r="E257" s="543"/>
      <c r="F257" s="543"/>
      <c r="G257" s="543"/>
      <c r="H257" s="543"/>
      <c r="I257" s="543"/>
      <c r="J257" s="543"/>
      <c r="K257" s="543"/>
      <c r="L257" s="543"/>
      <c r="S257" s="262"/>
    </row>
    <row r="258" spans="1:19" ht="5.0999999999999996" customHeight="1" x14ac:dyDescent="0.3">
      <c r="A258" s="260"/>
      <c r="C258" s="263"/>
      <c r="D258" s="263"/>
      <c r="S258" s="262"/>
    </row>
    <row r="259" spans="1:19" x14ac:dyDescent="0.3">
      <c r="A259" s="260"/>
      <c r="C259" s="545" t="s">
        <v>648</v>
      </c>
      <c r="D259" s="615"/>
      <c r="E259" s="543"/>
      <c r="F259" s="543"/>
      <c r="G259" s="266" t="s">
        <v>557</v>
      </c>
      <c r="H259" s="557"/>
      <c r="I259" s="557"/>
      <c r="J259" s="266" t="s">
        <v>557</v>
      </c>
      <c r="K259" s="557"/>
      <c r="L259" s="557"/>
      <c r="S259" s="262"/>
    </row>
    <row r="260" spans="1:19" ht="15" customHeight="1" x14ac:dyDescent="0.3">
      <c r="A260" s="260"/>
      <c r="S260" s="262"/>
    </row>
    <row r="261" spans="1:19" x14ac:dyDescent="0.3">
      <c r="A261" s="260"/>
      <c r="B261" s="259" t="s">
        <v>665</v>
      </c>
      <c r="S261" s="262"/>
    </row>
    <row r="262" spans="1:19" ht="5.0999999999999996" customHeight="1" x14ac:dyDescent="0.3">
      <c r="A262" s="260"/>
      <c r="S262" s="262"/>
    </row>
    <row r="263" spans="1:19" ht="15" customHeight="1" x14ac:dyDescent="0.3">
      <c r="A263" s="260"/>
      <c r="B263" s="616" t="s">
        <v>666</v>
      </c>
      <c r="C263" s="616"/>
      <c r="D263" s="617"/>
      <c r="E263" s="543"/>
      <c r="F263" s="543"/>
      <c r="G263" s="543"/>
      <c r="H263" s="543"/>
      <c r="I263" s="543"/>
      <c r="J263" s="543"/>
      <c r="K263" s="543"/>
      <c r="L263" s="543"/>
      <c r="S263" s="262"/>
    </row>
    <row r="264" spans="1:19" x14ac:dyDescent="0.3">
      <c r="A264" s="260"/>
      <c r="B264" s="616"/>
      <c r="C264" s="616"/>
      <c r="D264" s="617"/>
      <c r="E264" s="543"/>
      <c r="F264" s="543"/>
      <c r="G264" s="543"/>
      <c r="H264" s="543"/>
      <c r="I264" s="543"/>
      <c r="J264" s="543"/>
      <c r="K264" s="543"/>
      <c r="L264" s="543"/>
      <c r="S264" s="262"/>
    </row>
    <row r="265" spans="1:19" x14ac:dyDescent="0.3">
      <c r="A265" s="260"/>
      <c r="B265" s="616"/>
      <c r="C265" s="616"/>
      <c r="D265" s="617"/>
      <c r="E265" s="543"/>
      <c r="F265" s="543"/>
      <c r="G265" s="543"/>
      <c r="H265" s="543"/>
      <c r="I265" s="543"/>
      <c r="J265" s="543"/>
      <c r="K265" s="543"/>
      <c r="L265" s="543"/>
      <c r="S265" s="262"/>
    </row>
    <row r="266" spans="1:19" ht="5.0999999999999996" customHeight="1" x14ac:dyDescent="0.3">
      <c r="A266" s="260"/>
      <c r="C266" s="263"/>
      <c r="D266" s="263"/>
      <c r="S266" s="262"/>
    </row>
    <row r="267" spans="1:19" x14ac:dyDescent="0.3">
      <c r="A267" s="260"/>
      <c r="C267" s="545" t="s">
        <v>648</v>
      </c>
      <c r="D267" s="615"/>
      <c r="E267" s="543"/>
      <c r="F267" s="543"/>
      <c r="G267" s="266" t="s">
        <v>557</v>
      </c>
      <c r="H267" s="557"/>
      <c r="I267" s="557"/>
      <c r="J267" s="266" t="s">
        <v>557</v>
      </c>
      <c r="K267" s="557"/>
      <c r="L267" s="557"/>
      <c r="S267" s="262"/>
    </row>
    <row r="268" spans="1:19" x14ac:dyDescent="0.3">
      <c r="A268" s="260"/>
      <c r="S268" s="262"/>
    </row>
    <row r="269" spans="1:19" x14ac:dyDescent="0.3">
      <c r="A269" s="260"/>
      <c r="B269" s="259" t="s">
        <v>667</v>
      </c>
      <c r="S269" s="262"/>
    </row>
    <row r="270" spans="1:19" x14ac:dyDescent="0.3">
      <c r="A270" s="260"/>
      <c r="S270" s="262"/>
    </row>
    <row r="271" spans="1:19" ht="15" customHeight="1" x14ac:dyDescent="0.3">
      <c r="A271" s="260"/>
      <c r="B271" s="616" t="s">
        <v>668</v>
      </c>
      <c r="C271" s="616"/>
      <c r="D271" s="617"/>
      <c r="E271" s="543"/>
      <c r="F271" s="543"/>
      <c r="G271" s="543"/>
      <c r="H271" s="543"/>
      <c r="I271" s="543"/>
      <c r="J271" s="543"/>
      <c r="K271" s="543"/>
      <c r="L271" s="543"/>
      <c r="S271" s="262"/>
    </row>
    <row r="272" spans="1:19" x14ac:dyDescent="0.3">
      <c r="A272" s="260"/>
      <c r="B272" s="616"/>
      <c r="C272" s="616"/>
      <c r="D272" s="617"/>
      <c r="E272" s="543"/>
      <c r="F272" s="543"/>
      <c r="G272" s="543"/>
      <c r="H272" s="543"/>
      <c r="I272" s="543"/>
      <c r="J272" s="543"/>
      <c r="K272" s="543"/>
      <c r="L272" s="543"/>
      <c r="S272" s="262"/>
    </row>
    <row r="273" spans="1:19" x14ac:dyDescent="0.3">
      <c r="A273" s="260"/>
      <c r="B273" s="616"/>
      <c r="C273" s="616"/>
      <c r="D273" s="617"/>
      <c r="E273" s="543"/>
      <c r="F273" s="543"/>
      <c r="G273" s="543"/>
      <c r="H273" s="543"/>
      <c r="I273" s="543"/>
      <c r="J273" s="543"/>
      <c r="K273" s="543"/>
      <c r="L273" s="543"/>
      <c r="S273" s="262"/>
    </row>
    <row r="274" spans="1:19" x14ac:dyDescent="0.3">
      <c r="A274" s="260"/>
      <c r="C274" s="263"/>
      <c r="D274" s="263"/>
      <c r="S274" s="262"/>
    </row>
    <row r="275" spans="1:19" x14ac:dyDescent="0.3">
      <c r="A275" s="260"/>
      <c r="C275" s="545" t="s">
        <v>648</v>
      </c>
      <c r="D275" s="615"/>
      <c r="E275" s="543"/>
      <c r="F275" s="543"/>
      <c r="G275" s="266" t="s">
        <v>557</v>
      </c>
      <c r="H275" s="557"/>
      <c r="I275" s="557"/>
      <c r="J275" s="266" t="s">
        <v>557</v>
      </c>
      <c r="K275" s="557"/>
      <c r="L275" s="557"/>
      <c r="S275" s="262"/>
    </row>
    <row r="276" spans="1:19" x14ac:dyDescent="0.3">
      <c r="A276" s="268"/>
      <c r="B276" s="269"/>
      <c r="C276" s="269"/>
      <c r="D276" s="269"/>
      <c r="E276" s="269"/>
      <c r="F276" s="269"/>
      <c r="G276" s="269"/>
      <c r="H276" s="269"/>
      <c r="I276" s="269"/>
      <c r="J276" s="269"/>
      <c r="K276" s="269"/>
      <c r="L276" s="269"/>
      <c r="M276" s="269"/>
      <c r="N276" s="269"/>
      <c r="O276" s="270"/>
      <c r="P276" s="269"/>
      <c r="Q276" s="269"/>
      <c r="R276" s="269"/>
      <c r="S276" s="271"/>
    </row>
  </sheetData>
  <mergeCells count="328">
    <mergeCell ref="C275:D275"/>
    <mergeCell ref="E275:F275"/>
    <mergeCell ref="H275:I275"/>
    <mergeCell ref="K275:L275"/>
    <mergeCell ref="C267:D267"/>
    <mergeCell ref="E267:F267"/>
    <mergeCell ref="H267:I267"/>
    <mergeCell ref="K267:L267"/>
    <mergeCell ref="B271:D273"/>
    <mergeCell ref="E271:L273"/>
    <mergeCell ref="C259:D259"/>
    <mergeCell ref="E259:F259"/>
    <mergeCell ref="H259:I259"/>
    <mergeCell ref="K259:L259"/>
    <mergeCell ref="B263:D265"/>
    <mergeCell ref="E263:L265"/>
    <mergeCell ref="A240:S240"/>
    <mergeCell ref="D242:F242"/>
    <mergeCell ref="H242:J242"/>
    <mergeCell ref="L242:N242"/>
    <mergeCell ref="B255:D257"/>
    <mergeCell ref="E255:L257"/>
    <mergeCell ref="B226:B228"/>
    <mergeCell ref="C226:R226"/>
    <mergeCell ref="C234:D234"/>
    <mergeCell ref="F234:G234"/>
    <mergeCell ref="I234:J234"/>
    <mergeCell ref="B236:B238"/>
    <mergeCell ref="C236:J238"/>
    <mergeCell ref="A220:S220"/>
    <mergeCell ref="D222:E222"/>
    <mergeCell ref="F222:G222"/>
    <mergeCell ref="J222:K222"/>
    <mergeCell ref="L222:R222"/>
    <mergeCell ref="C224:R224"/>
    <mergeCell ref="C212:D212"/>
    <mergeCell ref="F212:G212"/>
    <mergeCell ref="I212:J212"/>
    <mergeCell ref="C214:D214"/>
    <mergeCell ref="E214:R214"/>
    <mergeCell ref="B216:B218"/>
    <mergeCell ref="C216:J218"/>
    <mergeCell ref="D200:E200"/>
    <mergeCell ref="F200:G200"/>
    <mergeCell ref="J200:K200"/>
    <mergeCell ref="L200:R200"/>
    <mergeCell ref="C202:R202"/>
    <mergeCell ref="B204:B206"/>
    <mergeCell ref="C204:R204"/>
    <mergeCell ref="B191:B193"/>
    <mergeCell ref="C191:J193"/>
    <mergeCell ref="C195:D195"/>
    <mergeCell ref="F195:G195"/>
    <mergeCell ref="I195:J195"/>
    <mergeCell ref="A198:S198"/>
    <mergeCell ref="C175:R175"/>
    <mergeCell ref="B179:B181"/>
    <mergeCell ref="C179:R179"/>
    <mergeCell ref="C187:D187"/>
    <mergeCell ref="E187:R187"/>
    <mergeCell ref="B189:E189"/>
    <mergeCell ref="F189:G189"/>
    <mergeCell ref="C169:R169"/>
    <mergeCell ref="D171:E171"/>
    <mergeCell ref="F171:G171"/>
    <mergeCell ref="J171:K171"/>
    <mergeCell ref="L171:R171"/>
    <mergeCell ref="C173:R173"/>
    <mergeCell ref="B158:R158"/>
    <mergeCell ref="B159:N159"/>
    <mergeCell ref="A161:S161"/>
    <mergeCell ref="C163:R163"/>
    <mergeCell ref="C165:R165"/>
    <mergeCell ref="C167:R167"/>
    <mergeCell ref="B154:O154"/>
    <mergeCell ref="P154:R154"/>
    <mergeCell ref="B155:R155"/>
    <mergeCell ref="B156:O156"/>
    <mergeCell ref="P156:R156"/>
    <mergeCell ref="B157:N157"/>
    <mergeCell ref="P157:R157"/>
    <mergeCell ref="M149:O149"/>
    <mergeCell ref="P149:R149"/>
    <mergeCell ref="B152:O152"/>
    <mergeCell ref="P152:R152"/>
    <mergeCell ref="B153:O153"/>
    <mergeCell ref="P153:R153"/>
    <mergeCell ref="B147:C147"/>
    <mergeCell ref="B148:C148"/>
    <mergeCell ref="B149:C149"/>
    <mergeCell ref="D149:F149"/>
    <mergeCell ref="G149:I149"/>
    <mergeCell ref="J149:L149"/>
    <mergeCell ref="P143:R143"/>
    <mergeCell ref="B144:C144"/>
    <mergeCell ref="B145:C145"/>
    <mergeCell ref="B146:C146"/>
    <mergeCell ref="D146:F146"/>
    <mergeCell ref="G146:I146"/>
    <mergeCell ref="J146:L146"/>
    <mergeCell ref="M146:O146"/>
    <mergeCell ref="P146:R146"/>
    <mergeCell ref="B140:N141"/>
    <mergeCell ref="O140:O141"/>
    <mergeCell ref="P140:R140"/>
    <mergeCell ref="P141:R141"/>
    <mergeCell ref="B142:R142"/>
    <mergeCell ref="B143:C143"/>
    <mergeCell ref="D143:F143"/>
    <mergeCell ref="G143:I143"/>
    <mergeCell ref="J143:L143"/>
    <mergeCell ref="M143:O143"/>
    <mergeCell ref="B137:R137"/>
    <mergeCell ref="B138:N138"/>
    <mergeCell ref="O138:O139"/>
    <mergeCell ref="P138:R138"/>
    <mergeCell ref="B139:N139"/>
    <mergeCell ref="P139:R139"/>
    <mergeCell ref="B135:C135"/>
    <mergeCell ref="D135:F135"/>
    <mergeCell ref="G135:O135"/>
    <mergeCell ref="P135:R135"/>
    <mergeCell ref="B136:C136"/>
    <mergeCell ref="D136:F136"/>
    <mergeCell ref="G136:O136"/>
    <mergeCell ref="P136:R136"/>
    <mergeCell ref="B133:C133"/>
    <mergeCell ref="D133:F133"/>
    <mergeCell ref="G133:O133"/>
    <mergeCell ref="P133:R133"/>
    <mergeCell ref="B134:C134"/>
    <mergeCell ref="D134:F134"/>
    <mergeCell ref="G134:O134"/>
    <mergeCell ref="P134:R134"/>
    <mergeCell ref="B130:R130"/>
    <mergeCell ref="B131:C131"/>
    <mergeCell ref="D131:F131"/>
    <mergeCell ref="G131:O131"/>
    <mergeCell ref="P131:R131"/>
    <mergeCell ref="B132:C132"/>
    <mergeCell ref="D132:F132"/>
    <mergeCell ref="G132:O132"/>
    <mergeCell ref="P132:R132"/>
    <mergeCell ref="M127:O127"/>
    <mergeCell ref="P127:R127"/>
    <mergeCell ref="B128:R128"/>
    <mergeCell ref="B129:C129"/>
    <mergeCell ref="D129:F129"/>
    <mergeCell ref="G129:O129"/>
    <mergeCell ref="P129:R129"/>
    <mergeCell ref="B125:C125"/>
    <mergeCell ref="D125:R125"/>
    <mergeCell ref="B126:C127"/>
    <mergeCell ref="D126:F127"/>
    <mergeCell ref="G126:I126"/>
    <mergeCell ref="J126:L126"/>
    <mergeCell ref="M126:O126"/>
    <mergeCell ref="P126:R126"/>
    <mergeCell ref="G127:I127"/>
    <mergeCell ref="J127:L127"/>
    <mergeCell ref="B121:O121"/>
    <mergeCell ref="P121:R121"/>
    <mergeCell ref="B122:O122"/>
    <mergeCell ref="P122:R122"/>
    <mergeCell ref="B123:N123"/>
    <mergeCell ref="P123:R123"/>
    <mergeCell ref="M115:O115"/>
    <mergeCell ref="P115:R115"/>
    <mergeCell ref="B116:C116"/>
    <mergeCell ref="B117:C117"/>
    <mergeCell ref="B118:C118"/>
    <mergeCell ref="D118:F118"/>
    <mergeCell ref="G118:I118"/>
    <mergeCell ref="J118:L118"/>
    <mergeCell ref="M118:O118"/>
    <mergeCell ref="P118:R118"/>
    <mergeCell ref="B113:C113"/>
    <mergeCell ref="B114:C114"/>
    <mergeCell ref="B115:C115"/>
    <mergeCell ref="D115:F115"/>
    <mergeCell ref="G115:I115"/>
    <mergeCell ref="J115:L115"/>
    <mergeCell ref="M109:O109"/>
    <mergeCell ref="P109:R109"/>
    <mergeCell ref="B110:C110"/>
    <mergeCell ref="B111:C111"/>
    <mergeCell ref="B112:C112"/>
    <mergeCell ref="D112:F112"/>
    <mergeCell ref="G112:I112"/>
    <mergeCell ref="J112:L112"/>
    <mergeCell ref="M112:O112"/>
    <mergeCell ref="P112:R112"/>
    <mergeCell ref="B107:C107"/>
    <mergeCell ref="B108:C108"/>
    <mergeCell ref="B109:C109"/>
    <mergeCell ref="D109:F109"/>
    <mergeCell ref="G109:I109"/>
    <mergeCell ref="J109:L109"/>
    <mergeCell ref="B105:R105"/>
    <mergeCell ref="B106:C106"/>
    <mergeCell ref="D106:F106"/>
    <mergeCell ref="G106:I106"/>
    <mergeCell ref="J106:L106"/>
    <mergeCell ref="M106:O106"/>
    <mergeCell ref="P106:R106"/>
    <mergeCell ref="B102:O102"/>
    <mergeCell ref="P102:R102"/>
    <mergeCell ref="B103:O103"/>
    <mergeCell ref="P103:R103"/>
    <mergeCell ref="B104:N104"/>
    <mergeCell ref="P104:R104"/>
    <mergeCell ref="B99:C99"/>
    <mergeCell ref="D99:F99"/>
    <mergeCell ref="G99:I99"/>
    <mergeCell ref="J99:L99"/>
    <mergeCell ref="M99:O99"/>
    <mergeCell ref="P99:R99"/>
    <mergeCell ref="B96:C96"/>
    <mergeCell ref="D96:F96"/>
    <mergeCell ref="G96:I96"/>
    <mergeCell ref="J96:L96"/>
    <mergeCell ref="M96:O96"/>
    <mergeCell ref="P96:R96"/>
    <mergeCell ref="B93:C93"/>
    <mergeCell ref="D93:F93"/>
    <mergeCell ref="G93:I93"/>
    <mergeCell ref="J93:L93"/>
    <mergeCell ref="M93:O93"/>
    <mergeCell ref="P93:R93"/>
    <mergeCell ref="B89:R89"/>
    <mergeCell ref="B90:C90"/>
    <mergeCell ref="D90:F90"/>
    <mergeCell ref="G90:I90"/>
    <mergeCell ref="J90:L90"/>
    <mergeCell ref="M90:O90"/>
    <mergeCell ref="P90:R90"/>
    <mergeCell ref="B86:O86"/>
    <mergeCell ref="P86:R86"/>
    <mergeCell ref="B87:O87"/>
    <mergeCell ref="P87:R87"/>
    <mergeCell ref="B88:N88"/>
    <mergeCell ref="P88:R88"/>
    <mergeCell ref="B83:C83"/>
    <mergeCell ref="D83:F83"/>
    <mergeCell ref="G83:I83"/>
    <mergeCell ref="J83:L83"/>
    <mergeCell ref="M83:O83"/>
    <mergeCell ref="P83:R83"/>
    <mergeCell ref="B80:C80"/>
    <mergeCell ref="D80:F80"/>
    <mergeCell ref="G80:I80"/>
    <mergeCell ref="J80:L80"/>
    <mergeCell ref="M80:O80"/>
    <mergeCell ref="P80:R80"/>
    <mergeCell ref="B77:C77"/>
    <mergeCell ref="D77:F77"/>
    <mergeCell ref="G77:I77"/>
    <mergeCell ref="J77:L77"/>
    <mergeCell ref="M77:O77"/>
    <mergeCell ref="P77:R77"/>
    <mergeCell ref="B73:R73"/>
    <mergeCell ref="B74:C74"/>
    <mergeCell ref="D74:F74"/>
    <mergeCell ref="G74:I74"/>
    <mergeCell ref="J74:L74"/>
    <mergeCell ref="M74:O74"/>
    <mergeCell ref="P74:R74"/>
    <mergeCell ref="B71:C72"/>
    <mergeCell ref="D71:F72"/>
    <mergeCell ref="G71:I71"/>
    <mergeCell ref="J71:L71"/>
    <mergeCell ref="M71:O71"/>
    <mergeCell ref="P71:R71"/>
    <mergeCell ref="G72:I72"/>
    <mergeCell ref="J72:L72"/>
    <mergeCell ref="M72:O72"/>
    <mergeCell ref="P72:R72"/>
    <mergeCell ref="B62:B64"/>
    <mergeCell ref="C62:J64"/>
    <mergeCell ref="A67:S67"/>
    <mergeCell ref="B68:R68"/>
    <mergeCell ref="B70:C70"/>
    <mergeCell ref="D70:R70"/>
    <mergeCell ref="C46:R46"/>
    <mergeCell ref="C48:R48"/>
    <mergeCell ref="B52:B54"/>
    <mergeCell ref="C52:R52"/>
    <mergeCell ref="C54:R54"/>
    <mergeCell ref="C60:D60"/>
    <mergeCell ref="F60:G60"/>
    <mergeCell ref="I60:J60"/>
    <mergeCell ref="A40:S40"/>
    <mergeCell ref="C42:R42"/>
    <mergeCell ref="D44:E44"/>
    <mergeCell ref="F44:G44"/>
    <mergeCell ref="J44:K44"/>
    <mergeCell ref="L44:R44"/>
    <mergeCell ref="C34:F34"/>
    <mergeCell ref="G34:H34"/>
    <mergeCell ref="C36:F36"/>
    <mergeCell ref="G36:H36"/>
    <mergeCell ref="C38:F38"/>
    <mergeCell ref="G38:H38"/>
    <mergeCell ref="C30:F30"/>
    <mergeCell ref="G30:H30"/>
    <mergeCell ref="C32:F32"/>
    <mergeCell ref="G32:H32"/>
    <mergeCell ref="A14:S14"/>
    <mergeCell ref="B18:B22"/>
    <mergeCell ref="C18:R18"/>
    <mergeCell ref="C20:R20"/>
    <mergeCell ref="C22:R22"/>
    <mergeCell ref="B24:B38"/>
    <mergeCell ref="C24:F24"/>
    <mergeCell ref="G24:H24"/>
    <mergeCell ref="C26:F26"/>
    <mergeCell ref="G26:H26"/>
    <mergeCell ref="J38:K38"/>
    <mergeCell ref="M38:N38"/>
    <mergeCell ref="A1:S1"/>
    <mergeCell ref="A2:S2"/>
    <mergeCell ref="A3:S4"/>
    <mergeCell ref="A6:S6"/>
    <mergeCell ref="B10:B12"/>
    <mergeCell ref="C10:R10"/>
    <mergeCell ref="C12:R12"/>
    <mergeCell ref="C28:F28"/>
    <mergeCell ref="G28:H28"/>
  </mergeCells>
  <conditionalFormatting sqref="B74:C74">
    <cfRule type="expression" dxfId="13" priority="13">
      <formula>$T75&gt;0</formula>
    </cfRule>
    <cfRule type="expression" dxfId="12" priority="14">
      <formula>$E75=TRUE</formula>
    </cfRule>
  </conditionalFormatting>
  <conditionalFormatting sqref="B77">
    <cfRule type="expression" dxfId="11" priority="11">
      <formula>$T78&gt;0</formula>
    </cfRule>
    <cfRule type="expression" dxfId="10" priority="12">
      <formula>$E78=TRUE</formula>
    </cfRule>
  </conditionalFormatting>
  <conditionalFormatting sqref="B80">
    <cfRule type="expression" dxfId="9" priority="9">
      <formula>$T81&gt;0</formula>
    </cfRule>
    <cfRule type="expression" dxfId="8" priority="10">
      <formula>$E81=TRUE</formula>
    </cfRule>
  </conditionalFormatting>
  <conditionalFormatting sqref="B83">
    <cfRule type="expression" dxfId="7" priority="7">
      <formula>$T84&gt;0</formula>
    </cfRule>
    <cfRule type="expression" dxfId="6" priority="8">
      <formula>$E84=TRUE</formula>
    </cfRule>
  </conditionalFormatting>
  <conditionalFormatting sqref="B91:C92 B90 B94:C95 B93 B97:C98 B96 B99">
    <cfRule type="expression" dxfId="5" priority="5">
      <formula>$T91&gt;0</formula>
    </cfRule>
    <cfRule type="expression" dxfId="4" priority="6">
      <formula>$E91=TRUE</formula>
    </cfRule>
  </conditionalFormatting>
  <conditionalFormatting sqref="B106:B118">
    <cfRule type="expression" dxfId="3" priority="3">
      <formula>$T107&gt;0</formula>
    </cfRule>
    <cfRule type="expression" dxfId="2" priority="4">
      <formula>$E107=TRUE</formula>
    </cfRule>
  </conditionalFormatting>
  <conditionalFormatting sqref="B143:B149">
    <cfRule type="expression" dxfId="1" priority="1">
      <formula>$T144&gt;0</formula>
    </cfRule>
    <cfRule type="expression" dxfId="0" priority="2">
      <formula>$E144=TRUE</formula>
    </cfRule>
  </conditionalFormatting>
  <dataValidations count="15">
    <dataValidation type="list" allowBlank="1" showInputMessage="1" showErrorMessage="1" promptTitle="Yes / No" prompt="Select Yes / No" sqref="F189:G189" xr:uid="{00000000-0002-0000-0400-000000000000}">
      <formula1>"Yes, No"</formula1>
    </dataValidation>
    <dataValidation type="list" allowBlank="1" showInputMessage="1" showErrorMessage="1" promptTitle="Agree / Disagree" prompt="Select Agree / Disagree" sqref="C187:D187 C214:D214" xr:uid="{00000000-0002-0000-0400-000001000000}">
      <formula1>"Agree, Disagree"</formula1>
    </dataValidation>
    <dataValidation type="list" allowBlank="1" showInputMessage="1" showErrorMessage="1" sqref="P129:R129 P131:R136" xr:uid="{00000000-0002-0000-0400-000002000000}">
      <formula1>"-1, 0, 1, 2"</formula1>
    </dataValidation>
    <dataValidation type="list" allowBlank="1" showInputMessage="1" showErrorMessage="1" sqref="P152:R152 P102:R102 P121:R121" xr:uid="{00000000-0002-0000-0400-000003000000}">
      <formula1>"0, 1, 2, 3, 4, 5, 6, 7, 8"</formula1>
    </dataValidation>
    <dataValidation type="list" allowBlank="1" showInputMessage="1" showErrorMessage="1" sqref="R119:R120 R100:R101 R94:R95 R97:R98 R91:R92 R107:R108 R110:R111 R113:R114 R116:R117 P147:Q147 P144:Q144 R144:R145 R147:R148 R150:R151 P150:Q150" xr:uid="{00000000-0002-0000-0400-000004000000}">
      <formula1>"2"</formula1>
    </dataValidation>
    <dataValidation type="list" allowBlank="1" showInputMessage="1" showErrorMessage="1" sqref="M147:O147 M144:O144 M150:O150" xr:uid="{00000000-0002-0000-0400-000005000000}">
      <formula1>"1"</formula1>
    </dataValidation>
    <dataValidation type="list" allowBlank="1" showInputMessage="1" showErrorMessage="1" sqref="J147:L147 J144:L144 J150:L150" xr:uid="{00000000-0002-0000-0400-000006000000}">
      <formula1>"0"</formula1>
    </dataValidation>
    <dataValidation type="list" allowBlank="1" showInputMessage="1" showErrorMessage="1" sqref="G120 G101 G92 G98 G95 G108 G111 G114 G117 G148 G145 G144:I144 G147:I147 G150:I150 G151" xr:uid="{00000000-0002-0000-0400-000007000000}">
      <formula1>"-1"</formula1>
    </dataValidation>
    <dataValidation type="list" allowBlank="1" showInputMessage="1" showErrorMessage="1" sqref="D100:D101 D131:F136 E101:F101 D129:F129 D95:F95 D98:F98 E147:F147 E144:F144 D144:D145 D147:D148 D150:D151 E150:F150" xr:uid="{00000000-0002-0000-0400-000008000000}">
      <formula1>"N/A"</formula1>
    </dataValidation>
    <dataValidation type="list" allowBlank="1" showInputMessage="1" showErrorMessage="1" promptTitle="Year" prompt="Select Year" sqref="G38" xr:uid="{00000000-0002-0000-0400-000009000000}">
      <formula1>"2014, 2015, 2016, 2017, 2018, 2019, 2020, 2021, 2022, 2023, 2024, 2025, 2026, 2027, 2028, 2029, 2030, 2031, 2032, 2033, 2034, 2035"</formula1>
    </dataValidation>
    <dataValidation allowBlank="1" showInputMessage="1" showErrorMessage="1" promptTitle="Surname" prompt="Insert Surname" sqref="S44:T44" xr:uid="{00000000-0002-0000-0400-00000A000000}"/>
    <dataValidation type="list" allowBlank="1" showInputMessage="1" showErrorMessage="1" promptTitle="Title" prompt="Insert Title (Mr, Mrs, etc.)" sqref="D44:E44 D171:E171 D200:E200 D222:E222" xr:uid="{00000000-0002-0000-0400-00000B000000}">
      <formula1>"Mr., Mrs., Ms., Dr., Prof., "</formula1>
    </dataValidation>
    <dataValidation type="list" allowBlank="1" showInputMessage="1" showErrorMessage="1" promptTitle="Month" prompt="Insert Month" sqref="F60:G60 J38 F195:G195 F212:G212 F234:G234 H259:I259 H267:I267 H275:I275" xr:uid="{00000000-0002-0000-0400-00000C000000}">
      <formula1>"01, 02, 03, 04, 05, 06, 07, 08, 09, 10, 11, 12"</formula1>
    </dataValidation>
    <dataValidation type="list" allowBlank="1" showInputMessage="1" showErrorMessage="1" promptTitle="Day" prompt="Insert Day" sqref="I60:J60 M38 I195:J195 I212:J212 I234:J234 K259:L259 K267:L267 K275:L275" xr:uid="{00000000-0002-0000-0400-00000D000000}">
      <formula1>"01, 02, 03, 04, 05, 06, 07, 08, 09, 10, 11, 12, 13, 14, 15, 16, 17, 18, 19, 20, 21, 22, 23, 24, 25, 26, 27, 28, 29, 30, 31"</formula1>
    </dataValidation>
    <dataValidation type="list" allowBlank="1" showInputMessage="1" showErrorMessage="1" promptTitle="Year" prompt="Select Year" sqref="C60:D60 C195:D195 C212:D212 C234:D234 E259:F259 E267:F267 E275:F275" xr:uid="{00000000-0002-0000-0400-00000E000000}">
      <formula1>"2017, 2018, 2019, 2020, 2021, 2022, 2023, 2024, 2025, 2026, 2027, 2028, 2029, 2030, 2031, 2032, 2033, 2034, 2035"</formula1>
    </dataValidation>
  </dataValidations>
  <printOptions horizontalCentered="1"/>
  <pageMargins left="0.45" right="0.45" top="0.5" bottom="0.5" header="0.3" footer="0.3"/>
  <pageSetup paperSize="9" scale="55" orientation="landscape" r:id="rId1"/>
  <headerFooter>
    <oddHeader>&amp;L&amp;"Calibri"&amp;10&amp;K000000Sensitivity - General&amp;1#</oddHeader>
  </headerFooter>
  <rowBreaks count="3" manualBreakCount="3">
    <brk id="65" max="18" man="1"/>
    <brk id="124" max="18" man="1"/>
    <brk id="196" max="18"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6</xdr:col>
                    <xdr:colOff>495300</xdr:colOff>
                    <xdr:row>22</xdr:row>
                    <xdr:rowOff>53340</xdr:rowOff>
                  </from>
                  <to>
                    <xdr:col>7</xdr:col>
                    <xdr:colOff>525780</xdr:colOff>
                    <xdr:row>24</xdr:row>
                    <xdr:rowOff>22860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6</xdr:col>
                    <xdr:colOff>495300</xdr:colOff>
                    <xdr:row>24</xdr:row>
                    <xdr:rowOff>53340</xdr:rowOff>
                  </from>
                  <to>
                    <xdr:col>7</xdr:col>
                    <xdr:colOff>525780</xdr:colOff>
                    <xdr:row>26</xdr:row>
                    <xdr:rowOff>22860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6</xdr:col>
                    <xdr:colOff>495300</xdr:colOff>
                    <xdr:row>26</xdr:row>
                    <xdr:rowOff>53340</xdr:rowOff>
                  </from>
                  <to>
                    <xdr:col>7</xdr:col>
                    <xdr:colOff>525780</xdr:colOff>
                    <xdr:row>28</xdr:row>
                    <xdr:rowOff>22860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6</xdr:col>
                    <xdr:colOff>495300</xdr:colOff>
                    <xdr:row>27</xdr:row>
                    <xdr:rowOff>175260</xdr:rowOff>
                  </from>
                  <to>
                    <xdr:col>8</xdr:col>
                    <xdr:colOff>22860</xdr:colOff>
                    <xdr:row>31</xdr:row>
                    <xdr:rowOff>38100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6</xdr:col>
                    <xdr:colOff>495300</xdr:colOff>
                    <xdr:row>30</xdr:row>
                    <xdr:rowOff>53340</xdr:rowOff>
                  </from>
                  <to>
                    <xdr:col>7</xdr:col>
                    <xdr:colOff>525780</xdr:colOff>
                    <xdr:row>32</xdr:row>
                    <xdr:rowOff>22860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6</xdr:col>
                    <xdr:colOff>495300</xdr:colOff>
                    <xdr:row>32</xdr:row>
                    <xdr:rowOff>53340</xdr:rowOff>
                  </from>
                  <to>
                    <xdr:col>7</xdr:col>
                    <xdr:colOff>525780</xdr:colOff>
                    <xdr:row>34</xdr:row>
                    <xdr:rowOff>22860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6</xdr:col>
                    <xdr:colOff>495300</xdr:colOff>
                    <xdr:row>34</xdr:row>
                    <xdr:rowOff>53340</xdr:rowOff>
                  </from>
                  <to>
                    <xdr:col>7</xdr:col>
                    <xdr:colOff>525780</xdr:colOff>
                    <xdr:row>36</xdr:row>
                    <xdr:rowOff>22860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4</xdr:col>
                    <xdr:colOff>190500</xdr:colOff>
                    <xdr:row>76</xdr:row>
                    <xdr:rowOff>15240</xdr:rowOff>
                  </from>
                  <to>
                    <xdr:col>5</xdr:col>
                    <xdr:colOff>457200</xdr:colOff>
                    <xdr:row>76</xdr:row>
                    <xdr:rowOff>304800</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7</xdr:col>
                    <xdr:colOff>190500</xdr:colOff>
                    <xdr:row>76</xdr:row>
                    <xdr:rowOff>15240</xdr:rowOff>
                  </from>
                  <to>
                    <xdr:col>8</xdr:col>
                    <xdr:colOff>457200</xdr:colOff>
                    <xdr:row>76</xdr:row>
                    <xdr:rowOff>304800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10</xdr:col>
                    <xdr:colOff>190500</xdr:colOff>
                    <xdr:row>76</xdr:row>
                    <xdr:rowOff>15240</xdr:rowOff>
                  </from>
                  <to>
                    <xdr:col>11</xdr:col>
                    <xdr:colOff>457200</xdr:colOff>
                    <xdr:row>76</xdr:row>
                    <xdr:rowOff>304800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13</xdr:col>
                    <xdr:colOff>190500</xdr:colOff>
                    <xdr:row>76</xdr:row>
                    <xdr:rowOff>15240</xdr:rowOff>
                  </from>
                  <to>
                    <xdr:col>14</xdr:col>
                    <xdr:colOff>457200</xdr:colOff>
                    <xdr:row>76</xdr:row>
                    <xdr:rowOff>304800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16</xdr:col>
                    <xdr:colOff>190500</xdr:colOff>
                    <xdr:row>76</xdr:row>
                    <xdr:rowOff>15240</xdr:rowOff>
                  </from>
                  <to>
                    <xdr:col>17</xdr:col>
                    <xdr:colOff>457200</xdr:colOff>
                    <xdr:row>76</xdr:row>
                    <xdr:rowOff>304800</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4</xdr:col>
                    <xdr:colOff>190500</xdr:colOff>
                    <xdr:row>79</xdr:row>
                    <xdr:rowOff>68580</xdr:rowOff>
                  </from>
                  <to>
                    <xdr:col>5</xdr:col>
                    <xdr:colOff>457200</xdr:colOff>
                    <xdr:row>79</xdr:row>
                    <xdr:rowOff>228600</xdr:rowOff>
                  </to>
                </anchor>
              </controlPr>
            </control>
          </mc:Choice>
        </mc:AlternateContent>
        <mc:AlternateContent xmlns:mc="http://schemas.openxmlformats.org/markup-compatibility/2006">
          <mc:Choice Requires="x14">
            <control shapeId="6158" r:id="rId17" name="Check Box 14">
              <controlPr defaultSize="0" autoFill="0" autoLine="0" autoPict="0">
                <anchor moveWithCells="1">
                  <from>
                    <xdr:col>7</xdr:col>
                    <xdr:colOff>190500</xdr:colOff>
                    <xdr:row>79</xdr:row>
                    <xdr:rowOff>68580</xdr:rowOff>
                  </from>
                  <to>
                    <xdr:col>8</xdr:col>
                    <xdr:colOff>457200</xdr:colOff>
                    <xdr:row>79</xdr:row>
                    <xdr:rowOff>228600</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10</xdr:col>
                    <xdr:colOff>190500</xdr:colOff>
                    <xdr:row>79</xdr:row>
                    <xdr:rowOff>68580</xdr:rowOff>
                  </from>
                  <to>
                    <xdr:col>11</xdr:col>
                    <xdr:colOff>457200</xdr:colOff>
                    <xdr:row>79</xdr:row>
                    <xdr:rowOff>228600</xdr:rowOff>
                  </to>
                </anchor>
              </controlPr>
            </control>
          </mc:Choice>
        </mc:AlternateContent>
        <mc:AlternateContent xmlns:mc="http://schemas.openxmlformats.org/markup-compatibility/2006">
          <mc:Choice Requires="x14">
            <control shapeId="6160" r:id="rId19" name="Check Box 16">
              <controlPr defaultSize="0" autoFill="0" autoLine="0" autoPict="0">
                <anchor moveWithCells="1">
                  <from>
                    <xdr:col>13</xdr:col>
                    <xdr:colOff>190500</xdr:colOff>
                    <xdr:row>79</xdr:row>
                    <xdr:rowOff>68580</xdr:rowOff>
                  </from>
                  <to>
                    <xdr:col>14</xdr:col>
                    <xdr:colOff>457200</xdr:colOff>
                    <xdr:row>79</xdr:row>
                    <xdr:rowOff>228600</xdr:rowOff>
                  </to>
                </anchor>
              </controlPr>
            </control>
          </mc:Choice>
        </mc:AlternateContent>
        <mc:AlternateContent xmlns:mc="http://schemas.openxmlformats.org/markup-compatibility/2006">
          <mc:Choice Requires="x14">
            <control shapeId="6161" r:id="rId20" name="Check Box 17">
              <controlPr defaultSize="0" autoFill="0" autoLine="0" autoPict="0">
                <anchor moveWithCells="1">
                  <from>
                    <xdr:col>16</xdr:col>
                    <xdr:colOff>190500</xdr:colOff>
                    <xdr:row>79</xdr:row>
                    <xdr:rowOff>68580</xdr:rowOff>
                  </from>
                  <to>
                    <xdr:col>17</xdr:col>
                    <xdr:colOff>457200</xdr:colOff>
                    <xdr:row>79</xdr:row>
                    <xdr:rowOff>228600</xdr:rowOff>
                  </to>
                </anchor>
              </controlPr>
            </control>
          </mc:Choice>
        </mc:AlternateContent>
        <mc:AlternateContent xmlns:mc="http://schemas.openxmlformats.org/markup-compatibility/2006">
          <mc:Choice Requires="x14">
            <control shapeId="6162" r:id="rId21" name="Check Box 18">
              <controlPr defaultSize="0" autoFill="0" autoLine="0" autoPict="0">
                <anchor moveWithCells="1">
                  <from>
                    <xdr:col>4</xdr:col>
                    <xdr:colOff>190500</xdr:colOff>
                    <xdr:row>82</xdr:row>
                    <xdr:rowOff>60960</xdr:rowOff>
                  </from>
                  <to>
                    <xdr:col>5</xdr:col>
                    <xdr:colOff>457200</xdr:colOff>
                    <xdr:row>82</xdr:row>
                    <xdr:rowOff>220980</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7</xdr:col>
                    <xdr:colOff>190500</xdr:colOff>
                    <xdr:row>82</xdr:row>
                    <xdr:rowOff>60960</xdr:rowOff>
                  </from>
                  <to>
                    <xdr:col>8</xdr:col>
                    <xdr:colOff>457200</xdr:colOff>
                    <xdr:row>82</xdr:row>
                    <xdr:rowOff>220980</xdr:rowOff>
                  </to>
                </anchor>
              </controlPr>
            </control>
          </mc:Choice>
        </mc:AlternateContent>
        <mc:AlternateContent xmlns:mc="http://schemas.openxmlformats.org/markup-compatibility/2006">
          <mc:Choice Requires="x14">
            <control shapeId="6164" r:id="rId23" name="Check Box 20">
              <controlPr defaultSize="0" autoFill="0" autoLine="0" autoPict="0">
                <anchor moveWithCells="1">
                  <from>
                    <xdr:col>10</xdr:col>
                    <xdr:colOff>190500</xdr:colOff>
                    <xdr:row>82</xdr:row>
                    <xdr:rowOff>60960</xdr:rowOff>
                  </from>
                  <to>
                    <xdr:col>11</xdr:col>
                    <xdr:colOff>457200</xdr:colOff>
                    <xdr:row>82</xdr:row>
                    <xdr:rowOff>220980</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13</xdr:col>
                    <xdr:colOff>190500</xdr:colOff>
                    <xdr:row>82</xdr:row>
                    <xdr:rowOff>60960</xdr:rowOff>
                  </from>
                  <to>
                    <xdr:col>14</xdr:col>
                    <xdr:colOff>457200</xdr:colOff>
                    <xdr:row>82</xdr:row>
                    <xdr:rowOff>220980</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16</xdr:col>
                    <xdr:colOff>190500</xdr:colOff>
                    <xdr:row>82</xdr:row>
                    <xdr:rowOff>60960</xdr:rowOff>
                  </from>
                  <to>
                    <xdr:col>17</xdr:col>
                    <xdr:colOff>457200</xdr:colOff>
                    <xdr:row>82</xdr:row>
                    <xdr:rowOff>220980</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4</xdr:col>
                    <xdr:colOff>190500</xdr:colOff>
                    <xdr:row>73</xdr:row>
                    <xdr:rowOff>91440</xdr:rowOff>
                  </from>
                  <to>
                    <xdr:col>5</xdr:col>
                    <xdr:colOff>457200</xdr:colOff>
                    <xdr:row>73</xdr:row>
                    <xdr:rowOff>251460</xdr:rowOff>
                  </to>
                </anchor>
              </controlPr>
            </control>
          </mc:Choice>
        </mc:AlternateContent>
        <mc:AlternateContent xmlns:mc="http://schemas.openxmlformats.org/markup-compatibility/2006">
          <mc:Choice Requires="x14">
            <control shapeId="6168" r:id="rId27" name="Check Box 24">
              <controlPr defaultSize="0" autoFill="0" autoLine="0" autoPict="0">
                <anchor moveWithCells="1">
                  <from>
                    <xdr:col>10</xdr:col>
                    <xdr:colOff>190500</xdr:colOff>
                    <xdr:row>73</xdr:row>
                    <xdr:rowOff>91440</xdr:rowOff>
                  </from>
                  <to>
                    <xdr:col>11</xdr:col>
                    <xdr:colOff>457200</xdr:colOff>
                    <xdr:row>73</xdr:row>
                    <xdr:rowOff>251460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13</xdr:col>
                    <xdr:colOff>190500</xdr:colOff>
                    <xdr:row>73</xdr:row>
                    <xdr:rowOff>91440</xdr:rowOff>
                  </from>
                  <to>
                    <xdr:col>14</xdr:col>
                    <xdr:colOff>457200</xdr:colOff>
                    <xdr:row>73</xdr:row>
                    <xdr:rowOff>251460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16</xdr:col>
                    <xdr:colOff>190500</xdr:colOff>
                    <xdr:row>73</xdr:row>
                    <xdr:rowOff>91440</xdr:rowOff>
                  </from>
                  <to>
                    <xdr:col>17</xdr:col>
                    <xdr:colOff>457200</xdr:colOff>
                    <xdr:row>73</xdr:row>
                    <xdr:rowOff>251460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7</xdr:col>
                    <xdr:colOff>190500</xdr:colOff>
                    <xdr:row>73</xdr:row>
                    <xdr:rowOff>91440</xdr:rowOff>
                  </from>
                  <to>
                    <xdr:col>8</xdr:col>
                    <xdr:colOff>457200</xdr:colOff>
                    <xdr:row>73</xdr:row>
                    <xdr:rowOff>251460</xdr:rowOff>
                  </to>
                </anchor>
              </controlPr>
            </control>
          </mc:Choice>
        </mc:AlternateContent>
        <mc:AlternateContent xmlns:mc="http://schemas.openxmlformats.org/markup-compatibility/2006">
          <mc:Choice Requires="x14">
            <control shapeId="6172" r:id="rId31" name="Check Box 28">
              <controlPr defaultSize="0" autoFill="0" autoLine="0" autoPict="0">
                <anchor moveWithCells="1">
                  <from>
                    <xdr:col>4</xdr:col>
                    <xdr:colOff>190500</xdr:colOff>
                    <xdr:row>89</xdr:row>
                    <xdr:rowOff>68580</xdr:rowOff>
                  </from>
                  <to>
                    <xdr:col>5</xdr:col>
                    <xdr:colOff>457200</xdr:colOff>
                    <xdr:row>89</xdr:row>
                    <xdr:rowOff>228600</xdr:rowOff>
                  </to>
                </anchor>
              </controlPr>
            </control>
          </mc:Choice>
        </mc:AlternateContent>
        <mc:AlternateContent xmlns:mc="http://schemas.openxmlformats.org/markup-compatibility/2006">
          <mc:Choice Requires="x14">
            <control shapeId="6173" r:id="rId32" name="Check Box 29">
              <controlPr defaultSize="0" autoFill="0" autoLine="0" autoPict="0">
                <anchor moveWithCells="1">
                  <from>
                    <xdr:col>7</xdr:col>
                    <xdr:colOff>190500</xdr:colOff>
                    <xdr:row>89</xdr:row>
                    <xdr:rowOff>68580</xdr:rowOff>
                  </from>
                  <to>
                    <xdr:col>8</xdr:col>
                    <xdr:colOff>457200</xdr:colOff>
                    <xdr:row>89</xdr:row>
                    <xdr:rowOff>228600</xdr:rowOff>
                  </to>
                </anchor>
              </controlPr>
            </control>
          </mc:Choice>
        </mc:AlternateContent>
        <mc:AlternateContent xmlns:mc="http://schemas.openxmlformats.org/markup-compatibility/2006">
          <mc:Choice Requires="x14">
            <control shapeId="6174" r:id="rId33" name="Check Box 30">
              <controlPr defaultSize="0" autoFill="0" autoLine="0" autoPict="0">
                <anchor moveWithCells="1">
                  <from>
                    <xdr:col>10</xdr:col>
                    <xdr:colOff>190500</xdr:colOff>
                    <xdr:row>89</xdr:row>
                    <xdr:rowOff>68580</xdr:rowOff>
                  </from>
                  <to>
                    <xdr:col>11</xdr:col>
                    <xdr:colOff>457200</xdr:colOff>
                    <xdr:row>89</xdr:row>
                    <xdr:rowOff>228600</xdr:rowOff>
                  </to>
                </anchor>
              </controlPr>
            </control>
          </mc:Choice>
        </mc:AlternateContent>
        <mc:AlternateContent xmlns:mc="http://schemas.openxmlformats.org/markup-compatibility/2006">
          <mc:Choice Requires="x14">
            <control shapeId="6175" r:id="rId34" name="Check Box 31">
              <controlPr defaultSize="0" autoFill="0" autoLine="0" autoPict="0">
                <anchor moveWithCells="1">
                  <from>
                    <xdr:col>13</xdr:col>
                    <xdr:colOff>190500</xdr:colOff>
                    <xdr:row>89</xdr:row>
                    <xdr:rowOff>68580</xdr:rowOff>
                  </from>
                  <to>
                    <xdr:col>14</xdr:col>
                    <xdr:colOff>457200</xdr:colOff>
                    <xdr:row>89</xdr:row>
                    <xdr:rowOff>228600</xdr:rowOff>
                  </to>
                </anchor>
              </controlPr>
            </control>
          </mc:Choice>
        </mc:AlternateContent>
        <mc:AlternateContent xmlns:mc="http://schemas.openxmlformats.org/markup-compatibility/2006">
          <mc:Choice Requires="x14">
            <control shapeId="6176" r:id="rId35" name="Check Box 32">
              <controlPr defaultSize="0" autoFill="0" autoLine="0" autoPict="0">
                <anchor moveWithCells="1">
                  <from>
                    <xdr:col>16</xdr:col>
                    <xdr:colOff>190500</xdr:colOff>
                    <xdr:row>89</xdr:row>
                    <xdr:rowOff>68580</xdr:rowOff>
                  </from>
                  <to>
                    <xdr:col>17</xdr:col>
                    <xdr:colOff>457200</xdr:colOff>
                    <xdr:row>89</xdr:row>
                    <xdr:rowOff>228600</xdr:rowOff>
                  </to>
                </anchor>
              </controlPr>
            </control>
          </mc:Choice>
        </mc:AlternateContent>
        <mc:AlternateContent xmlns:mc="http://schemas.openxmlformats.org/markup-compatibility/2006">
          <mc:Choice Requires="x14">
            <control shapeId="6177" r:id="rId36" name="Check Box 33">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78" r:id="rId37" name="Check Box 34">
              <controlPr defaultSize="0" autoFill="0" autoLine="0" autoPict="0">
                <anchor moveWithCells="1">
                  <from>
                    <xdr:col>7</xdr:col>
                    <xdr:colOff>190500</xdr:colOff>
                    <xdr:row>92</xdr:row>
                    <xdr:rowOff>68580</xdr:rowOff>
                  </from>
                  <to>
                    <xdr:col>8</xdr:col>
                    <xdr:colOff>457200</xdr:colOff>
                    <xdr:row>92</xdr:row>
                    <xdr:rowOff>228600</xdr:rowOff>
                  </to>
                </anchor>
              </controlPr>
            </control>
          </mc:Choice>
        </mc:AlternateContent>
        <mc:AlternateContent xmlns:mc="http://schemas.openxmlformats.org/markup-compatibility/2006">
          <mc:Choice Requires="x14">
            <control shapeId="6179" r:id="rId38" name="Check Box 35">
              <controlPr defaultSize="0" autoFill="0" autoLine="0" autoPict="0">
                <anchor moveWithCells="1">
                  <from>
                    <xdr:col>10</xdr:col>
                    <xdr:colOff>190500</xdr:colOff>
                    <xdr:row>92</xdr:row>
                    <xdr:rowOff>68580</xdr:rowOff>
                  </from>
                  <to>
                    <xdr:col>11</xdr:col>
                    <xdr:colOff>457200</xdr:colOff>
                    <xdr:row>92</xdr:row>
                    <xdr:rowOff>228600</xdr:rowOff>
                  </to>
                </anchor>
              </controlPr>
            </control>
          </mc:Choice>
        </mc:AlternateContent>
        <mc:AlternateContent xmlns:mc="http://schemas.openxmlformats.org/markup-compatibility/2006">
          <mc:Choice Requires="x14">
            <control shapeId="6180" r:id="rId39" name="Check Box 36">
              <controlPr defaultSize="0" autoFill="0" autoLine="0" autoPict="0">
                <anchor moveWithCells="1">
                  <from>
                    <xdr:col>13</xdr:col>
                    <xdr:colOff>190500</xdr:colOff>
                    <xdr:row>92</xdr:row>
                    <xdr:rowOff>68580</xdr:rowOff>
                  </from>
                  <to>
                    <xdr:col>14</xdr:col>
                    <xdr:colOff>457200</xdr:colOff>
                    <xdr:row>92</xdr:row>
                    <xdr:rowOff>228600</xdr:rowOff>
                  </to>
                </anchor>
              </controlPr>
            </control>
          </mc:Choice>
        </mc:AlternateContent>
        <mc:AlternateContent xmlns:mc="http://schemas.openxmlformats.org/markup-compatibility/2006">
          <mc:Choice Requires="x14">
            <control shapeId="6181" r:id="rId40" name="Check Box 37">
              <controlPr defaultSize="0" autoFill="0" autoLine="0" autoPict="0">
                <anchor moveWithCells="1">
                  <from>
                    <xdr:col>16</xdr:col>
                    <xdr:colOff>190500</xdr:colOff>
                    <xdr:row>92</xdr:row>
                    <xdr:rowOff>68580</xdr:rowOff>
                  </from>
                  <to>
                    <xdr:col>17</xdr:col>
                    <xdr:colOff>457200</xdr:colOff>
                    <xdr:row>92</xdr:row>
                    <xdr:rowOff>228600</xdr:rowOff>
                  </to>
                </anchor>
              </controlPr>
            </control>
          </mc:Choice>
        </mc:AlternateContent>
        <mc:AlternateContent xmlns:mc="http://schemas.openxmlformats.org/markup-compatibility/2006">
          <mc:Choice Requires="x14">
            <control shapeId="6182" r:id="rId41" name="Check Box 38">
              <controlPr defaultSize="0" autoFill="0" autoLine="0" autoPict="0">
                <anchor moveWithCells="1">
                  <from>
                    <xdr:col>4</xdr:col>
                    <xdr:colOff>190500</xdr:colOff>
                    <xdr:row>95</xdr:row>
                    <xdr:rowOff>68580</xdr:rowOff>
                  </from>
                  <to>
                    <xdr:col>5</xdr:col>
                    <xdr:colOff>457200</xdr:colOff>
                    <xdr:row>95</xdr:row>
                    <xdr:rowOff>228600</xdr:rowOff>
                  </to>
                </anchor>
              </controlPr>
            </control>
          </mc:Choice>
        </mc:AlternateContent>
        <mc:AlternateContent xmlns:mc="http://schemas.openxmlformats.org/markup-compatibility/2006">
          <mc:Choice Requires="x14">
            <control shapeId="6183" r:id="rId42" name="Check Box 3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84" r:id="rId43" name="Check Box 40">
              <controlPr defaultSize="0" autoFill="0" autoLine="0" autoPict="0">
                <anchor moveWithCells="1">
                  <from>
                    <xdr:col>10</xdr:col>
                    <xdr:colOff>190500</xdr:colOff>
                    <xdr:row>95</xdr:row>
                    <xdr:rowOff>68580</xdr:rowOff>
                  </from>
                  <to>
                    <xdr:col>11</xdr:col>
                    <xdr:colOff>457200</xdr:colOff>
                    <xdr:row>95</xdr:row>
                    <xdr:rowOff>228600</xdr:rowOff>
                  </to>
                </anchor>
              </controlPr>
            </control>
          </mc:Choice>
        </mc:AlternateContent>
        <mc:AlternateContent xmlns:mc="http://schemas.openxmlformats.org/markup-compatibility/2006">
          <mc:Choice Requires="x14">
            <control shapeId="6185" r:id="rId44" name="Check Box 41">
              <controlPr defaultSize="0" autoFill="0" autoLine="0" autoPict="0">
                <anchor moveWithCells="1">
                  <from>
                    <xdr:col>13</xdr:col>
                    <xdr:colOff>190500</xdr:colOff>
                    <xdr:row>95</xdr:row>
                    <xdr:rowOff>68580</xdr:rowOff>
                  </from>
                  <to>
                    <xdr:col>14</xdr:col>
                    <xdr:colOff>457200</xdr:colOff>
                    <xdr:row>95</xdr:row>
                    <xdr:rowOff>228600</xdr:rowOff>
                  </to>
                </anchor>
              </controlPr>
            </control>
          </mc:Choice>
        </mc:AlternateContent>
        <mc:AlternateContent xmlns:mc="http://schemas.openxmlformats.org/markup-compatibility/2006">
          <mc:Choice Requires="x14">
            <control shapeId="6186" r:id="rId45" name="Check Box 42">
              <controlPr defaultSize="0" autoFill="0" autoLine="0" autoPict="0">
                <anchor moveWithCells="1">
                  <from>
                    <xdr:col>16</xdr:col>
                    <xdr:colOff>190500</xdr:colOff>
                    <xdr:row>95</xdr:row>
                    <xdr:rowOff>68580</xdr:rowOff>
                  </from>
                  <to>
                    <xdr:col>17</xdr:col>
                    <xdr:colOff>457200</xdr:colOff>
                    <xdr:row>95</xdr:row>
                    <xdr:rowOff>228600</xdr:rowOff>
                  </to>
                </anchor>
              </controlPr>
            </control>
          </mc:Choice>
        </mc:AlternateContent>
        <mc:AlternateContent xmlns:mc="http://schemas.openxmlformats.org/markup-compatibility/2006">
          <mc:Choice Requires="x14">
            <control shapeId="6187" r:id="rId46" name="Check Box 43">
              <controlPr defaultSize="0" autoFill="0" autoLine="0" autoPict="0">
                <anchor moveWithCells="1">
                  <from>
                    <xdr:col>4</xdr:col>
                    <xdr:colOff>190500</xdr:colOff>
                    <xdr:row>98</xdr:row>
                    <xdr:rowOff>68580</xdr:rowOff>
                  </from>
                  <to>
                    <xdr:col>5</xdr:col>
                    <xdr:colOff>457200</xdr:colOff>
                    <xdr:row>98</xdr:row>
                    <xdr:rowOff>228600</xdr:rowOff>
                  </to>
                </anchor>
              </controlPr>
            </control>
          </mc:Choice>
        </mc:AlternateContent>
        <mc:AlternateContent xmlns:mc="http://schemas.openxmlformats.org/markup-compatibility/2006">
          <mc:Choice Requires="x14">
            <control shapeId="6188" r:id="rId47" name="Check Box 44">
              <controlPr defaultSize="0" autoFill="0" autoLine="0" autoPict="0">
                <anchor moveWithCells="1">
                  <from>
                    <xdr:col>7</xdr:col>
                    <xdr:colOff>190500</xdr:colOff>
                    <xdr:row>98</xdr:row>
                    <xdr:rowOff>68580</xdr:rowOff>
                  </from>
                  <to>
                    <xdr:col>8</xdr:col>
                    <xdr:colOff>457200</xdr:colOff>
                    <xdr:row>98</xdr:row>
                    <xdr:rowOff>228600</xdr:rowOff>
                  </to>
                </anchor>
              </controlPr>
            </control>
          </mc:Choice>
        </mc:AlternateContent>
        <mc:AlternateContent xmlns:mc="http://schemas.openxmlformats.org/markup-compatibility/2006">
          <mc:Choice Requires="x14">
            <control shapeId="6189" r:id="rId48" name="Check Box 45">
              <controlPr defaultSize="0" autoFill="0" autoLine="0" autoPict="0">
                <anchor moveWithCells="1">
                  <from>
                    <xdr:col>10</xdr:col>
                    <xdr:colOff>190500</xdr:colOff>
                    <xdr:row>98</xdr:row>
                    <xdr:rowOff>68580</xdr:rowOff>
                  </from>
                  <to>
                    <xdr:col>11</xdr:col>
                    <xdr:colOff>457200</xdr:colOff>
                    <xdr:row>98</xdr:row>
                    <xdr:rowOff>228600</xdr:rowOff>
                  </to>
                </anchor>
              </controlPr>
            </control>
          </mc:Choice>
        </mc:AlternateContent>
        <mc:AlternateContent xmlns:mc="http://schemas.openxmlformats.org/markup-compatibility/2006">
          <mc:Choice Requires="x14">
            <control shapeId="6190" r:id="rId49" name="Check Box 46">
              <controlPr defaultSize="0" autoFill="0" autoLine="0" autoPict="0">
                <anchor moveWithCells="1">
                  <from>
                    <xdr:col>13</xdr:col>
                    <xdr:colOff>190500</xdr:colOff>
                    <xdr:row>98</xdr:row>
                    <xdr:rowOff>68580</xdr:rowOff>
                  </from>
                  <to>
                    <xdr:col>14</xdr:col>
                    <xdr:colOff>457200</xdr:colOff>
                    <xdr:row>98</xdr:row>
                    <xdr:rowOff>228600</xdr:rowOff>
                  </to>
                </anchor>
              </controlPr>
            </control>
          </mc:Choice>
        </mc:AlternateContent>
        <mc:AlternateContent xmlns:mc="http://schemas.openxmlformats.org/markup-compatibility/2006">
          <mc:Choice Requires="x14">
            <control shapeId="6191" r:id="rId50" name="Check Box 47">
              <controlPr defaultSize="0" autoFill="0" autoLine="0" autoPict="0">
                <anchor moveWithCells="1">
                  <from>
                    <xdr:col>16</xdr:col>
                    <xdr:colOff>190500</xdr:colOff>
                    <xdr:row>98</xdr:row>
                    <xdr:rowOff>68580</xdr:rowOff>
                  </from>
                  <to>
                    <xdr:col>17</xdr:col>
                    <xdr:colOff>457200</xdr:colOff>
                    <xdr:row>98</xdr:row>
                    <xdr:rowOff>228600</xdr:rowOff>
                  </to>
                </anchor>
              </controlPr>
            </control>
          </mc:Choice>
        </mc:AlternateContent>
        <mc:AlternateContent xmlns:mc="http://schemas.openxmlformats.org/markup-compatibility/2006">
          <mc:Choice Requires="x14">
            <control shapeId="6192" r:id="rId51" name="Check Box 48">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93" r:id="rId52" name="Check Box 4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94" r:id="rId53" name="Check Box 50">
              <controlPr defaultSize="0" autoFill="0" autoLine="0" autoPict="0">
                <anchor moveWithCells="1">
                  <from>
                    <xdr:col>4</xdr:col>
                    <xdr:colOff>182880</xdr:colOff>
                    <xdr:row>105</xdr:row>
                    <xdr:rowOff>106680</xdr:rowOff>
                  </from>
                  <to>
                    <xdr:col>6</xdr:col>
                    <xdr:colOff>0</xdr:colOff>
                    <xdr:row>105</xdr:row>
                    <xdr:rowOff>381000</xdr:rowOff>
                  </to>
                </anchor>
              </controlPr>
            </control>
          </mc:Choice>
        </mc:AlternateContent>
        <mc:AlternateContent xmlns:mc="http://schemas.openxmlformats.org/markup-compatibility/2006">
          <mc:Choice Requires="x14">
            <control shapeId="6195" r:id="rId54" name="Check Box 51">
              <controlPr defaultSize="0" autoFill="0" autoLine="0" autoPict="0">
                <anchor moveWithCells="1">
                  <from>
                    <xdr:col>7</xdr:col>
                    <xdr:colOff>182880</xdr:colOff>
                    <xdr:row>105</xdr:row>
                    <xdr:rowOff>106680</xdr:rowOff>
                  </from>
                  <to>
                    <xdr:col>9</xdr:col>
                    <xdr:colOff>0</xdr:colOff>
                    <xdr:row>105</xdr:row>
                    <xdr:rowOff>381000</xdr:rowOff>
                  </to>
                </anchor>
              </controlPr>
            </control>
          </mc:Choice>
        </mc:AlternateContent>
        <mc:AlternateContent xmlns:mc="http://schemas.openxmlformats.org/markup-compatibility/2006">
          <mc:Choice Requires="x14">
            <control shapeId="6196" r:id="rId55" name="Check Box 52">
              <controlPr defaultSize="0" autoFill="0" autoLine="0" autoPict="0">
                <anchor moveWithCells="1">
                  <from>
                    <xdr:col>10</xdr:col>
                    <xdr:colOff>190500</xdr:colOff>
                    <xdr:row>105</xdr:row>
                    <xdr:rowOff>106680</xdr:rowOff>
                  </from>
                  <to>
                    <xdr:col>12</xdr:col>
                    <xdr:colOff>15240</xdr:colOff>
                    <xdr:row>105</xdr:row>
                    <xdr:rowOff>381000</xdr:rowOff>
                  </to>
                </anchor>
              </controlPr>
            </control>
          </mc:Choice>
        </mc:AlternateContent>
        <mc:AlternateContent xmlns:mc="http://schemas.openxmlformats.org/markup-compatibility/2006">
          <mc:Choice Requires="x14">
            <control shapeId="6197" r:id="rId56" name="Check Box 53">
              <controlPr defaultSize="0" autoFill="0" autoLine="0" autoPict="0">
                <anchor moveWithCells="1">
                  <from>
                    <xdr:col>13</xdr:col>
                    <xdr:colOff>213360</xdr:colOff>
                    <xdr:row>105</xdr:row>
                    <xdr:rowOff>99060</xdr:rowOff>
                  </from>
                  <to>
                    <xdr:col>14</xdr:col>
                    <xdr:colOff>640080</xdr:colOff>
                    <xdr:row>105</xdr:row>
                    <xdr:rowOff>373380</xdr:rowOff>
                  </to>
                </anchor>
              </controlPr>
            </control>
          </mc:Choice>
        </mc:AlternateContent>
        <mc:AlternateContent xmlns:mc="http://schemas.openxmlformats.org/markup-compatibility/2006">
          <mc:Choice Requires="x14">
            <control shapeId="6198" r:id="rId57" name="Check Box 54">
              <controlPr defaultSize="0" autoFill="0" autoLine="0" autoPict="0">
                <anchor moveWithCells="1">
                  <from>
                    <xdr:col>16</xdr:col>
                    <xdr:colOff>190500</xdr:colOff>
                    <xdr:row>105</xdr:row>
                    <xdr:rowOff>99060</xdr:rowOff>
                  </from>
                  <to>
                    <xdr:col>22</xdr:col>
                    <xdr:colOff>15240</xdr:colOff>
                    <xdr:row>105</xdr:row>
                    <xdr:rowOff>373380</xdr:rowOff>
                  </to>
                </anchor>
              </controlPr>
            </control>
          </mc:Choice>
        </mc:AlternateContent>
        <mc:AlternateContent xmlns:mc="http://schemas.openxmlformats.org/markup-compatibility/2006">
          <mc:Choice Requires="x14">
            <control shapeId="6199" r:id="rId58" name="Check Box 55">
              <controlPr defaultSize="0" autoFill="0" autoLine="0" autoPict="0">
                <anchor moveWithCells="1">
                  <from>
                    <xdr:col>7</xdr:col>
                    <xdr:colOff>182880</xdr:colOff>
                    <xdr:row>108</xdr:row>
                    <xdr:rowOff>106680</xdr:rowOff>
                  </from>
                  <to>
                    <xdr:col>9</xdr:col>
                    <xdr:colOff>0</xdr:colOff>
                    <xdr:row>108</xdr:row>
                    <xdr:rowOff>381000</xdr:rowOff>
                  </to>
                </anchor>
              </controlPr>
            </control>
          </mc:Choice>
        </mc:AlternateContent>
        <mc:AlternateContent xmlns:mc="http://schemas.openxmlformats.org/markup-compatibility/2006">
          <mc:Choice Requires="x14">
            <control shapeId="6200" r:id="rId59" name="Check Box 56">
              <controlPr defaultSize="0" autoFill="0" autoLine="0" autoPict="0">
                <anchor moveWithCells="1">
                  <from>
                    <xdr:col>10</xdr:col>
                    <xdr:colOff>190500</xdr:colOff>
                    <xdr:row>108</xdr:row>
                    <xdr:rowOff>106680</xdr:rowOff>
                  </from>
                  <to>
                    <xdr:col>12</xdr:col>
                    <xdr:colOff>15240</xdr:colOff>
                    <xdr:row>108</xdr:row>
                    <xdr:rowOff>381000</xdr:rowOff>
                  </to>
                </anchor>
              </controlPr>
            </control>
          </mc:Choice>
        </mc:AlternateContent>
        <mc:AlternateContent xmlns:mc="http://schemas.openxmlformats.org/markup-compatibility/2006">
          <mc:Choice Requires="x14">
            <control shapeId="6201" r:id="rId60" name="Check Box 57">
              <controlPr defaultSize="0" autoFill="0" autoLine="0" autoPict="0">
                <anchor moveWithCells="1">
                  <from>
                    <xdr:col>16</xdr:col>
                    <xdr:colOff>190500</xdr:colOff>
                    <xdr:row>108</xdr:row>
                    <xdr:rowOff>99060</xdr:rowOff>
                  </from>
                  <to>
                    <xdr:col>22</xdr:col>
                    <xdr:colOff>15240</xdr:colOff>
                    <xdr:row>108</xdr:row>
                    <xdr:rowOff>373380</xdr:rowOff>
                  </to>
                </anchor>
              </controlPr>
            </control>
          </mc:Choice>
        </mc:AlternateContent>
        <mc:AlternateContent xmlns:mc="http://schemas.openxmlformats.org/markup-compatibility/2006">
          <mc:Choice Requires="x14">
            <control shapeId="6202" r:id="rId61" name="Check Box 58">
              <controlPr defaultSize="0" autoFill="0" autoLine="0" autoPict="0">
                <anchor moveWithCells="1">
                  <from>
                    <xdr:col>4</xdr:col>
                    <xdr:colOff>190500</xdr:colOff>
                    <xdr:row>114</xdr:row>
                    <xdr:rowOff>53340</xdr:rowOff>
                  </from>
                  <to>
                    <xdr:col>5</xdr:col>
                    <xdr:colOff>457200</xdr:colOff>
                    <xdr:row>114</xdr:row>
                    <xdr:rowOff>213360</xdr:rowOff>
                  </to>
                </anchor>
              </controlPr>
            </control>
          </mc:Choice>
        </mc:AlternateContent>
        <mc:AlternateContent xmlns:mc="http://schemas.openxmlformats.org/markup-compatibility/2006">
          <mc:Choice Requires="x14">
            <control shapeId="6203" r:id="rId62" name="Check Box 59">
              <controlPr defaultSize="0" autoFill="0" autoLine="0" autoPict="0">
                <anchor moveWithCells="1">
                  <from>
                    <xdr:col>7</xdr:col>
                    <xdr:colOff>190500</xdr:colOff>
                    <xdr:row>114</xdr:row>
                    <xdr:rowOff>53340</xdr:rowOff>
                  </from>
                  <to>
                    <xdr:col>8</xdr:col>
                    <xdr:colOff>457200</xdr:colOff>
                    <xdr:row>114</xdr:row>
                    <xdr:rowOff>213360</xdr:rowOff>
                  </to>
                </anchor>
              </controlPr>
            </control>
          </mc:Choice>
        </mc:AlternateContent>
        <mc:AlternateContent xmlns:mc="http://schemas.openxmlformats.org/markup-compatibility/2006">
          <mc:Choice Requires="x14">
            <control shapeId="6204" r:id="rId63" name="Check Box 60">
              <controlPr defaultSize="0" autoFill="0" autoLine="0" autoPict="0">
                <anchor moveWithCells="1">
                  <from>
                    <xdr:col>10</xdr:col>
                    <xdr:colOff>190500</xdr:colOff>
                    <xdr:row>114</xdr:row>
                    <xdr:rowOff>53340</xdr:rowOff>
                  </from>
                  <to>
                    <xdr:col>11</xdr:col>
                    <xdr:colOff>457200</xdr:colOff>
                    <xdr:row>114</xdr:row>
                    <xdr:rowOff>213360</xdr:rowOff>
                  </to>
                </anchor>
              </controlPr>
            </control>
          </mc:Choice>
        </mc:AlternateContent>
        <mc:AlternateContent xmlns:mc="http://schemas.openxmlformats.org/markup-compatibility/2006">
          <mc:Choice Requires="x14">
            <control shapeId="6205" r:id="rId64" name="Check Box 61">
              <controlPr defaultSize="0" autoFill="0" autoLine="0" autoPict="0">
                <anchor moveWithCells="1">
                  <from>
                    <xdr:col>13</xdr:col>
                    <xdr:colOff>213360</xdr:colOff>
                    <xdr:row>114</xdr:row>
                    <xdr:rowOff>53340</xdr:rowOff>
                  </from>
                  <to>
                    <xdr:col>14</xdr:col>
                    <xdr:colOff>480060</xdr:colOff>
                    <xdr:row>114</xdr:row>
                    <xdr:rowOff>213360</xdr:rowOff>
                  </to>
                </anchor>
              </controlPr>
            </control>
          </mc:Choice>
        </mc:AlternateContent>
        <mc:AlternateContent xmlns:mc="http://schemas.openxmlformats.org/markup-compatibility/2006">
          <mc:Choice Requires="x14">
            <control shapeId="6206" r:id="rId65" name="Check Box 62">
              <controlPr defaultSize="0" autoFill="0" autoLine="0" autoPict="0">
                <anchor moveWithCells="1">
                  <from>
                    <xdr:col>16</xdr:col>
                    <xdr:colOff>190500</xdr:colOff>
                    <xdr:row>114</xdr:row>
                    <xdr:rowOff>53340</xdr:rowOff>
                  </from>
                  <to>
                    <xdr:col>17</xdr:col>
                    <xdr:colOff>457200</xdr:colOff>
                    <xdr:row>114</xdr:row>
                    <xdr:rowOff>213360</xdr:rowOff>
                  </to>
                </anchor>
              </controlPr>
            </control>
          </mc:Choice>
        </mc:AlternateContent>
        <mc:AlternateContent xmlns:mc="http://schemas.openxmlformats.org/markup-compatibility/2006">
          <mc:Choice Requires="x14">
            <control shapeId="6207" r:id="rId66" name="Check Box 63">
              <controlPr defaultSize="0" autoFill="0" autoLine="0" autoPict="0">
                <anchor moveWithCells="1">
                  <from>
                    <xdr:col>4</xdr:col>
                    <xdr:colOff>190500</xdr:colOff>
                    <xdr:row>111</xdr:row>
                    <xdr:rowOff>68580</xdr:rowOff>
                  </from>
                  <to>
                    <xdr:col>5</xdr:col>
                    <xdr:colOff>457200</xdr:colOff>
                    <xdr:row>111</xdr:row>
                    <xdr:rowOff>228600</xdr:rowOff>
                  </to>
                </anchor>
              </controlPr>
            </control>
          </mc:Choice>
        </mc:AlternateContent>
        <mc:AlternateContent xmlns:mc="http://schemas.openxmlformats.org/markup-compatibility/2006">
          <mc:Choice Requires="x14">
            <control shapeId="6208" r:id="rId67" name="Check Box 64">
              <controlPr defaultSize="0" autoFill="0" autoLine="0" autoPict="0">
                <anchor moveWithCells="1">
                  <from>
                    <xdr:col>7</xdr:col>
                    <xdr:colOff>190500</xdr:colOff>
                    <xdr:row>111</xdr:row>
                    <xdr:rowOff>68580</xdr:rowOff>
                  </from>
                  <to>
                    <xdr:col>8</xdr:col>
                    <xdr:colOff>457200</xdr:colOff>
                    <xdr:row>111</xdr:row>
                    <xdr:rowOff>228600</xdr:rowOff>
                  </to>
                </anchor>
              </controlPr>
            </control>
          </mc:Choice>
        </mc:AlternateContent>
        <mc:AlternateContent xmlns:mc="http://schemas.openxmlformats.org/markup-compatibility/2006">
          <mc:Choice Requires="x14">
            <control shapeId="6209" r:id="rId68" name="Check Box 65">
              <controlPr defaultSize="0" autoFill="0" autoLine="0" autoPict="0">
                <anchor moveWithCells="1">
                  <from>
                    <xdr:col>10</xdr:col>
                    <xdr:colOff>190500</xdr:colOff>
                    <xdr:row>111</xdr:row>
                    <xdr:rowOff>68580</xdr:rowOff>
                  </from>
                  <to>
                    <xdr:col>11</xdr:col>
                    <xdr:colOff>457200</xdr:colOff>
                    <xdr:row>111</xdr:row>
                    <xdr:rowOff>228600</xdr:rowOff>
                  </to>
                </anchor>
              </controlPr>
            </control>
          </mc:Choice>
        </mc:AlternateContent>
        <mc:AlternateContent xmlns:mc="http://schemas.openxmlformats.org/markup-compatibility/2006">
          <mc:Choice Requires="x14">
            <control shapeId="6210" r:id="rId69" name="Check Box 66">
              <controlPr defaultSize="0" autoFill="0" autoLine="0" autoPict="0">
                <anchor moveWithCells="1">
                  <from>
                    <xdr:col>13</xdr:col>
                    <xdr:colOff>213360</xdr:colOff>
                    <xdr:row>111</xdr:row>
                    <xdr:rowOff>68580</xdr:rowOff>
                  </from>
                  <to>
                    <xdr:col>14</xdr:col>
                    <xdr:colOff>480060</xdr:colOff>
                    <xdr:row>111</xdr:row>
                    <xdr:rowOff>228600</xdr:rowOff>
                  </to>
                </anchor>
              </controlPr>
            </control>
          </mc:Choice>
        </mc:AlternateContent>
        <mc:AlternateContent xmlns:mc="http://schemas.openxmlformats.org/markup-compatibility/2006">
          <mc:Choice Requires="x14">
            <control shapeId="6211" r:id="rId70" name="Check Box 67">
              <controlPr defaultSize="0" autoFill="0" autoLine="0" autoPict="0">
                <anchor moveWithCells="1">
                  <from>
                    <xdr:col>16</xdr:col>
                    <xdr:colOff>190500</xdr:colOff>
                    <xdr:row>111</xdr:row>
                    <xdr:rowOff>68580</xdr:rowOff>
                  </from>
                  <to>
                    <xdr:col>17</xdr:col>
                    <xdr:colOff>457200</xdr:colOff>
                    <xdr:row>111</xdr:row>
                    <xdr:rowOff>228600</xdr:rowOff>
                  </to>
                </anchor>
              </controlPr>
            </control>
          </mc:Choice>
        </mc:AlternateContent>
        <mc:AlternateContent xmlns:mc="http://schemas.openxmlformats.org/markup-compatibility/2006">
          <mc:Choice Requires="x14">
            <control shapeId="6212" r:id="rId71" name="Check Box 68">
              <controlPr defaultSize="0" autoFill="0" autoLine="0" autoPict="0">
                <anchor moveWithCells="1">
                  <from>
                    <xdr:col>4</xdr:col>
                    <xdr:colOff>190500</xdr:colOff>
                    <xdr:row>117</xdr:row>
                    <xdr:rowOff>38100</xdr:rowOff>
                  </from>
                  <to>
                    <xdr:col>5</xdr:col>
                    <xdr:colOff>457200</xdr:colOff>
                    <xdr:row>117</xdr:row>
                    <xdr:rowOff>205740</xdr:rowOff>
                  </to>
                </anchor>
              </controlPr>
            </control>
          </mc:Choice>
        </mc:AlternateContent>
        <mc:AlternateContent xmlns:mc="http://schemas.openxmlformats.org/markup-compatibility/2006">
          <mc:Choice Requires="x14">
            <control shapeId="6213" r:id="rId72" name="Check Box 69">
              <controlPr defaultSize="0" autoFill="0" autoLine="0" autoPict="0">
                <anchor moveWithCells="1">
                  <from>
                    <xdr:col>7</xdr:col>
                    <xdr:colOff>190500</xdr:colOff>
                    <xdr:row>117</xdr:row>
                    <xdr:rowOff>38100</xdr:rowOff>
                  </from>
                  <to>
                    <xdr:col>8</xdr:col>
                    <xdr:colOff>457200</xdr:colOff>
                    <xdr:row>117</xdr:row>
                    <xdr:rowOff>205740</xdr:rowOff>
                  </to>
                </anchor>
              </controlPr>
            </control>
          </mc:Choice>
        </mc:AlternateContent>
        <mc:AlternateContent xmlns:mc="http://schemas.openxmlformats.org/markup-compatibility/2006">
          <mc:Choice Requires="x14">
            <control shapeId="6214" r:id="rId73" name="Check Box 70">
              <controlPr defaultSize="0" autoFill="0" autoLine="0" autoPict="0">
                <anchor moveWithCells="1">
                  <from>
                    <xdr:col>10</xdr:col>
                    <xdr:colOff>190500</xdr:colOff>
                    <xdr:row>117</xdr:row>
                    <xdr:rowOff>38100</xdr:rowOff>
                  </from>
                  <to>
                    <xdr:col>11</xdr:col>
                    <xdr:colOff>457200</xdr:colOff>
                    <xdr:row>117</xdr:row>
                    <xdr:rowOff>205740</xdr:rowOff>
                  </to>
                </anchor>
              </controlPr>
            </control>
          </mc:Choice>
        </mc:AlternateContent>
        <mc:AlternateContent xmlns:mc="http://schemas.openxmlformats.org/markup-compatibility/2006">
          <mc:Choice Requires="x14">
            <control shapeId="6215" r:id="rId74" name="Check Box 71">
              <controlPr defaultSize="0" autoFill="0" autoLine="0" autoPict="0">
                <anchor moveWithCells="1">
                  <from>
                    <xdr:col>13</xdr:col>
                    <xdr:colOff>213360</xdr:colOff>
                    <xdr:row>117</xdr:row>
                    <xdr:rowOff>38100</xdr:rowOff>
                  </from>
                  <to>
                    <xdr:col>14</xdr:col>
                    <xdr:colOff>480060</xdr:colOff>
                    <xdr:row>117</xdr:row>
                    <xdr:rowOff>205740</xdr:rowOff>
                  </to>
                </anchor>
              </controlPr>
            </control>
          </mc:Choice>
        </mc:AlternateContent>
        <mc:AlternateContent xmlns:mc="http://schemas.openxmlformats.org/markup-compatibility/2006">
          <mc:Choice Requires="x14">
            <control shapeId="6216" r:id="rId75" name="Check Box 72">
              <controlPr defaultSize="0" autoFill="0" autoLine="0" autoPict="0">
                <anchor moveWithCells="1">
                  <from>
                    <xdr:col>16</xdr:col>
                    <xdr:colOff>190500</xdr:colOff>
                    <xdr:row>117</xdr:row>
                    <xdr:rowOff>38100</xdr:rowOff>
                  </from>
                  <to>
                    <xdr:col>17</xdr:col>
                    <xdr:colOff>457200</xdr:colOff>
                    <xdr:row>117</xdr:row>
                    <xdr:rowOff>205740</xdr:rowOff>
                  </to>
                </anchor>
              </controlPr>
            </control>
          </mc:Choice>
        </mc:AlternateContent>
        <mc:AlternateContent xmlns:mc="http://schemas.openxmlformats.org/markup-compatibility/2006">
          <mc:Choice Requires="x14">
            <control shapeId="6217" r:id="rId76" name="Check Box 73">
              <controlPr defaultSize="0" autoFill="0" autoLine="0" autoPict="0">
                <anchor moveWithCells="1">
                  <from>
                    <xdr:col>4</xdr:col>
                    <xdr:colOff>182880</xdr:colOff>
                    <xdr:row>108</xdr:row>
                    <xdr:rowOff>106680</xdr:rowOff>
                  </from>
                  <to>
                    <xdr:col>6</xdr:col>
                    <xdr:colOff>0</xdr:colOff>
                    <xdr:row>108</xdr:row>
                    <xdr:rowOff>381000</xdr:rowOff>
                  </to>
                </anchor>
              </controlPr>
            </control>
          </mc:Choice>
        </mc:AlternateContent>
        <mc:AlternateContent xmlns:mc="http://schemas.openxmlformats.org/markup-compatibility/2006">
          <mc:Choice Requires="x14">
            <control shapeId="6218" r:id="rId77" name="Check Box 74">
              <controlPr defaultSize="0" autoFill="0" autoLine="0" autoPict="0">
                <anchor moveWithCells="1">
                  <from>
                    <xdr:col>13</xdr:col>
                    <xdr:colOff>213360</xdr:colOff>
                    <xdr:row>108</xdr:row>
                    <xdr:rowOff>99060</xdr:rowOff>
                  </from>
                  <to>
                    <xdr:col>14</xdr:col>
                    <xdr:colOff>640080</xdr:colOff>
                    <xdr:row>108</xdr:row>
                    <xdr:rowOff>373380</xdr:rowOff>
                  </to>
                </anchor>
              </controlPr>
            </control>
          </mc:Choice>
        </mc:AlternateContent>
        <mc:AlternateContent xmlns:mc="http://schemas.openxmlformats.org/markup-compatibility/2006">
          <mc:Choice Requires="x14">
            <control shapeId="6219" r:id="rId78" name="Check Box 75">
              <controlPr defaultSize="0" autoFill="0" autoLine="0" autoPict="0">
                <anchor moveWithCells="1">
                  <from>
                    <xdr:col>4</xdr:col>
                    <xdr:colOff>190500</xdr:colOff>
                    <xdr:row>142</xdr:row>
                    <xdr:rowOff>38100</xdr:rowOff>
                  </from>
                  <to>
                    <xdr:col>5</xdr:col>
                    <xdr:colOff>457200</xdr:colOff>
                    <xdr:row>142</xdr:row>
                    <xdr:rowOff>205740</xdr:rowOff>
                  </to>
                </anchor>
              </controlPr>
            </control>
          </mc:Choice>
        </mc:AlternateContent>
        <mc:AlternateContent xmlns:mc="http://schemas.openxmlformats.org/markup-compatibility/2006">
          <mc:Choice Requires="x14">
            <control shapeId="6220" r:id="rId79" name="Check Box 76">
              <controlPr defaultSize="0" autoFill="0" autoLine="0" autoPict="0">
                <anchor moveWithCells="1">
                  <from>
                    <xdr:col>7</xdr:col>
                    <xdr:colOff>190500</xdr:colOff>
                    <xdr:row>142</xdr:row>
                    <xdr:rowOff>38100</xdr:rowOff>
                  </from>
                  <to>
                    <xdr:col>8</xdr:col>
                    <xdr:colOff>457200</xdr:colOff>
                    <xdr:row>142</xdr:row>
                    <xdr:rowOff>205740</xdr:rowOff>
                  </to>
                </anchor>
              </controlPr>
            </control>
          </mc:Choice>
        </mc:AlternateContent>
        <mc:AlternateContent xmlns:mc="http://schemas.openxmlformats.org/markup-compatibility/2006">
          <mc:Choice Requires="x14">
            <control shapeId="6221" r:id="rId80" name="Check Box 77">
              <controlPr defaultSize="0" autoFill="0" autoLine="0" autoPict="0">
                <anchor moveWithCells="1">
                  <from>
                    <xdr:col>10</xdr:col>
                    <xdr:colOff>190500</xdr:colOff>
                    <xdr:row>142</xdr:row>
                    <xdr:rowOff>38100</xdr:rowOff>
                  </from>
                  <to>
                    <xdr:col>11</xdr:col>
                    <xdr:colOff>457200</xdr:colOff>
                    <xdr:row>142</xdr:row>
                    <xdr:rowOff>205740</xdr:rowOff>
                  </to>
                </anchor>
              </controlPr>
            </control>
          </mc:Choice>
        </mc:AlternateContent>
        <mc:AlternateContent xmlns:mc="http://schemas.openxmlformats.org/markup-compatibility/2006">
          <mc:Choice Requires="x14">
            <control shapeId="6222" r:id="rId81" name="Check Box 78">
              <controlPr defaultSize="0" autoFill="0" autoLine="0" autoPict="0">
                <anchor moveWithCells="1">
                  <from>
                    <xdr:col>13</xdr:col>
                    <xdr:colOff>190500</xdr:colOff>
                    <xdr:row>142</xdr:row>
                    <xdr:rowOff>38100</xdr:rowOff>
                  </from>
                  <to>
                    <xdr:col>14</xdr:col>
                    <xdr:colOff>457200</xdr:colOff>
                    <xdr:row>142</xdr:row>
                    <xdr:rowOff>205740</xdr:rowOff>
                  </to>
                </anchor>
              </controlPr>
            </control>
          </mc:Choice>
        </mc:AlternateContent>
        <mc:AlternateContent xmlns:mc="http://schemas.openxmlformats.org/markup-compatibility/2006">
          <mc:Choice Requires="x14">
            <control shapeId="6223" r:id="rId82" name="Check Box 79">
              <controlPr defaultSize="0" autoFill="0" autoLine="0" autoPict="0">
                <anchor moveWithCells="1">
                  <from>
                    <xdr:col>16</xdr:col>
                    <xdr:colOff>190500</xdr:colOff>
                    <xdr:row>142</xdr:row>
                    <xdr:rowOff>38100</xdr:rowOff>
                  </from>
                  <to>
                    <xdr:col>17</xdr:col>
                    <xdr:colOff>457200</xdr:colOff>
                    <xdr:row>142</xdr:row>
                    <xdr:rowOff>205740</xdr:rowOff>
                  </to>
                </anchor>
              </controlPr>
            </control>
          </mc:Choice>
        </mc:AlternateContent>
        <mc:AlternateContent xmlns:mc="http://schemas.openxmlformats.org/markup-compatibility/2006">
          <mc:Choice Requires="x14">
            <control shapeId="6224" r:id="rId83" name="Check Box 80">
              <controlPr defaultSize="0" autoFill="0" autoLine="0" autoPict="0">
                <anchor moveWithCells="1">
                  <from>
                    <xdr:col>16</xdr:col>
                    <xdr:colOff>190500</xdr:colOff>
                    <xdr:row>145</xdr:row>
                    <xdr:rowOff>53340</xdr:rowOff>
                  </from>
                  <to>
                    <xdr:col>17</xdr:col>
                    <xdr:colOff>457200</xdr:colOff>
                    <xdr:row>145</xdr:row>
                    <xdr:rowOff>213360</xdr:rowOff>
                  </to>
                </anchor>
              </controlPr>
            </control>
          </mc:Choice>
        </mc:AlternateContent>
        <mc:AlternateContent xmlns:mc="http://schemas.openxmlformats.org/markup-compatibility/2006">
          <mc:Choice Requires="x14">
            <control shapeId="6225" r:id="rId84" name="Check Box 81">
              <controlPr defaultSize="0" autoFill="0" autoLine="0" autoPict="0">
                <anchor moveWithCells="1">
                  <from>
                    <xdr:col>13</xdr:col>
                    <xdr:colOff>190500</xdr:colOff>
                    <xdr:row>145</xdr:row>
                    <xdr:rowOff>53340</xdr:rowOff>
                  </from>
                  <to>
                    <xdr:col>14</xdr:col>
                    <xdr:colOff>457200</xdr:colOff>
                    <xdr:row>145</xdr:row>
                    <xdr:rowOff>213360</xdr:rowOff>
                  </to>
                </anchor>
              </controlPr>
            </control>
          </mc:Choice>
        </mc:AlternateContent>
        <mc:AlternateContent xmlns:mc="http://schemas.openxmlformats.org/markup-compatibility/2006">
          <mc:Choice Requires="x14">
            <control shapeId="6226" r:id="rId85" name="Check Box 82">
              <controlPr defaultSize="0" autoFill="0" autoLine="0" autoPict="0">
                <anchor moveWithCells="1">
                  <from>
                    <xdr:col>10</xdr:col>
                    <xdr:colOff>190500</xdr:colOff>
                    <xdr:row>145</xdr:row>
                    <xdr:rowOff>53340</xdr:rowOff>
                  </from>
                  <to>
                    <xdr:col>11</xdr:col>
                    <xdr:colOff>457200</xdr:colOff>
                    <xdr:row>145</xdr:row>
                    <xdr:rowOff>213360</xdr:rowOff>
                  </to>
                </anchor>
              </controlPr>
            </control>
          </mc:Choice>
        </mc:AlternateContent>
        <mc:AlternateContent xmlns:mc="http://schemas.openxmlformats.org/markup-compatibility/2006">
          <mc:Choice Requires="x14">
            <control shapeId="6227" r:id="rId86" name="Check Box 83">
              <controlPr defaultSize="0" autoFill="0" autoLine="0" autoPict="0">
                <anchor moveWithCells="1">
                  <from>
                    <xdr:col>7</xdr:col>
                    <xdr:colOff>190500</xdr:colOff>
                    <xdr:row>145</xdr:row>
                    <xdr:rowOff>53340</xdr:rowOff>
                  </from>
                  <to>
                    <xdr:col>8</xdr:col>
                    <xdr:colOff>457200</xdr:colOff>
                    <xdr:row>145</xdr:row>
                    <xdr:rowOff>213360</xdr:rowOff>
                  </to>
                </anchor>
              </controlPr>
            </control>
          </mc:Choice>
        </mc:AlternateContent>
        <mc:AlternateContent xmlns:mc="http://schemas.openxmlformats.org/markup-compatibility/2006">
          <mc:Choice Requires="x14">
            <control shapeId="6228" r:id="rId87" name="Check Box 84">
              <controlPr defaultSize="0" autoFill="0" autoLine="0" autoPict="0">
                <anchor moveWithCells="1">
                  <from>
                    <xdr:col>4</xdr:col>
                    <xdr:colOff>190500</xdr:colOff>
                    <xdr:row>145</xdr:row>
                    <xdr:rowOff>53340</xdr:rowOff>
                  </from>
                  <to>
                    <xdr:col>5</xdr:col>
                    <xdr:colOff>457200</xdr:colOff>
                    <xdr:row>145</xdr:row>
                    <xdr:rowOff>213360</xdr:rowOff>
                  </to>
                </anchor>
              </controlPr>
            </control>
          </mc:Choice>
        </mc:AlternateContent>
        <mc:AlternateContent xmlns:mc="http://schemas.openxmlformats.org/markup-compatibility/2006">
          <mc:Choice Requires="x14">
            <control shapeId="6229" r:id="rId88" name="Check Box 85">
              <controlPr defaultSize="0" autoFill="0" autoLine="0" autoPict="0">
                <anchor moveWithCells="1">
                  <from>
                    <xdr:col>4</xdr:col>
                    <xdr:colOff>190500</xdr:colOff>
                    <xdr:row>148</xdr:row>
                    <xdr:rowOff>68580</xdr:rowOff>
                  </from>
                  <to>
                    <xdr:col>5</xdr:col>
                    <xdr:colOff>457200</xdr:colOff>
                    <xdr:row>148</xdr:row>
                    <xdr:rowOff>228600</xdr:rowOff>
                  </to>
                </anchor>
              </controlPr>
            </control>
          </mc:Choice>
        </mc:AlternateContent>
        <mc:AlternateContent xmlns:mc="http://schemas.openxmlformats.org/markup-compatibility/2006">
          <mc:Choice Requires="x14">
            <control shapeId="6230" r:id="rId89" name="Check Box 86">
              <controlPr defaultSize="0" autoFill="0" autoLine="0" autoPict="0">
                <anchor moveWithCells="1">
                  <from>
                    <xdr:col>7</xdr:col>
                    <xdr:colOff>190500</xdr:colOff>
                    <xdr:row>148</xdr:row>
                    <xdr:rowOff>68580</xdr:rowOff>
                  </from>
                  <to>
                    <xdr:col>8</xdr:col>
                    <xdr:colOff>457200</xdr:colOff>
                    <xdr:row>148</xdr:row>
                    <xdr:rowOff>228600</xdr:rowOff>
                  </to>
                </anchor>
              </controlPr>
            </control>
          </mc:Choice>
        </mc:AlternateContent>
        <mc:AlternateContent xmlns:mc="http://schemas.openxmlformats.org/markup-compatibility/2006">
          <mc:Choice Requires="x14">
            <control shapeId="6231" r:id="rId90" name="Check Box 87">
              <controlPr defaultSize="0" autoFill="0" autoLine="0" autoPict="0">
                <anchor moveWithCells="1">
                  <from>
                    <xdr:col>10</xdr:col>
                    <xdr:colOff>190500</xdr:colOff>
                    <xdr:row>148</xdr:row>
                    <xdr:rowOff>68580</xdr:rowOff>
                  </from>
                  <to>
                    <xdr:col>11</xdr:col>
                    <xdr:colOff>457200</xdr:colOff>
                    <xdr:row>148</xdr:row>
                    <xdr:rowOff>228600</xdr:rowOff>
                  </to>
                </anchor>
              </controlPr>
            </control>
          </mc:Choice>
        </mc:AlternateContent>
        <mc:AlternateContent xmlns:mc="http://schemas.openxmlformats.org/markup-compatibility/2006">
          <mc:Choice Requires="x14">
            <control shapeId="6232" r:id="rId91" name="Check Box 88">
              <controlPr defaultSize="0" autoFill="0" autoLine="0" autoPict="0">
                <anchor moveWithCells="1">
                  <from>
                    <xdr:col>13</xdr:col>
                    <xdr:colOff>190500</xdr:colOff>
                    <xdr:row>148</xdr:row>
                    <xdr:rowOff>68580</xdr:rowOff>
                  </from>
                  <to>
                    <xdr:col>14</xdr:col>
                    <xdr:colOff>457200</xdr:colOff>
                    <xdr:row>148</xdr:row>
                    <xdr:rowOff>228600</xdr:rowOff>
                  </to>
                </anchor>
              </controlPr>
            </control>
          </mc:Choice>
        </mc:AlternateContent>
        <mc:AlternateContent xmlns:mc="http://schemas.openxmlformats.org/markup-compatibility/2006">
          <mc:Choice Requires="x14">
            <control shapeId="6233" r:id="rId92" name="Check Box 89">
              <controlPr defaultSize="0" autoFill="0" autoLine="0" autoPict="0">
                <anchor moveWithCells="1">
                  <from>
                    <xdr:col>16</xdr:col>
                    <xdr:colOff>190500</xdr:colOff>
                    <xdr:row>148</xdr:row>
                    <xdr:rowOff>68580</xdr:rowOff>
                  </from>
                  <to>
                    <xdr:col>17</xdr:col>
                    <xdr:colOff>457200</xdr:colOff>
                    <xdr:row>148</xdr:row>
                    <xdr:rowOff>228600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34E9B-6B86-44F7-8119-7251F9593AB3}">
  <sheetPr>
    <pageSetUpPr fitToPage="1"/>
  </sheetPr>
  <dimension ref="A1:C50"/>
  <sheetViews>
    <sheetView workbookViewId="0">
      <selection activeCell="A10" sqref="A10:C10"/>
    </sheetView>
  </sheetViews>
  <sheetFormatPr defaultColWidth="9.109375" defaultRowHeight="13.2" x14ac:dyDescent="0.25"/>
  <cols>
    <col min="1" max="1" width="22.44140625" style="362" customWidth="1"/>
    <col min="2" max="2" width="25.6640625" style="362" customWidth="1"/>
    <col min="3" max="3" width="32.33203125" style="362" customWidth="1"/>
    <col min="4" max="16384" width="9.109375" style="362"/>
  </cols>
  <sheetData>
    <row r="1" spans="1:3" x14ac:dyDescent="0.25">
      <c r="A1" s="360" t="s">
        <v>669</v>
      </c>
      <c r="B1" s="360"/>
      <c r="C1" s="361" t="str">
        <f>'TEND 1X'!K3</f>
        <v>X.002-218-2024(NT)&amp;N.004-116-2024(T)</v>
      </c>
    </row>
    <row r="2" spans="1:3" x14ac:dyDescent="0.25">
      <c r="A2" s="363"/>
    </row>
    <row r="3" spans="1:3" x14ac:dyDescent="0.25">
      <c r="A3" s="622" t="s">
        <v>670</v>
      </c>
      <c r="B3" s="622"/>
      <c r="C3" s="622"/>
    </row>
    <row r="4" spans="1:3" x14ac:dyDescent="0.25">
      <c r="A4" s="364"/>
    </row>
    <row r="5" spans="1:3" x14ac:dyDescent="0.25">
      <c r="A5" s="365" t="s">
        <v>671</v>
      </c>
      <c r="B5" s="365"/>
    </row>
    <row r="6" spans="1:3" ht="13.8" thickBot="1" x14ac:dyDescent="0.3">
      <c r="A6" s="364"/>
    </row>
    <row r="7" spans="1:3" ht="24.75" customHeight="1" thickBot="1" x14ac:dyDescent="0.3">
      <c r="A7" s="366" t="s">
        <v>672</v>
      </c>
      <c r="B7" s="623"/>
      <c r="C7" s="624"/>
    </row>
    <row r="8" spans="1:3" ht="27" customHeight="1" thickBot="1" x14ac:dyDescent="0.3">
      <c r="A8" s="367" t="s">
        <v>673</v>
      </c>
      <c r="B8" s="623"/>
      <c r="C8" s="624"/>
    </row>
    <row r="9" spans="1:3" x14ac:dyDescent="0.25">
      <c r="A9" s="364"/>
    </row>
    <row r="10" spans="1:3" x14ac:dyDescent="0.25">
      <c r="A10" s="619" t="s">
        <v>674</v>
      </c>
      <c r="B10" s="619"/>
      <c r="C10" s="619"/>
    </row>
    <row r="11" spans="1:3" x14ac:dyDescent="0.25">
      <c r="A11" s="364"/>
    </row>
    <row r="12" spans="1:3" x14ac:dyDescent="0.25">
      <c r="A12" s="619" t="s">
        <v>675</v>
      </c>
      <c r="B12" s="619"/>
      <c r="C12" s="619"/>
    </row>
    <row r="13" spans="1:3" x14ac:dyDescent="0.25">
      <c r="A13" s="364"/>
    </row>
    <row r="14" spans="1:3" x14ac:dyDescent="0.25">
      <c r="A14" s="619" t="s">
        <v>676</v>
      </c>
      <c r="B14" s="619"/>
      <c r="C14" s="619"/>
    </row>
    <row r="15" spans="1:3" ht="13.8" thickBot="1" x14ac:dyDescent="0.3">
      <c r="A15" s="364"/>
    </row>
    <row r="16" spans="1:3" x14ac:dyDescent="0.25">
      <c r="A16" s="368" t="s">
        <v>677</v>
      </c>
      <c r="B16" s="625"/>
      <c r="C16" s="626"/>
    </row>
    <row r="17" spans="1:3" x14ac:dyDescent="0.25">
      <c r="A17" s="369"/>
      <c r="B17" s="627"/>
      <c r="C17" s="628"/>
    </row>
    <row r="18" spans="1:3" ht="17.25" customHeight="1" thickBot="1" x14ac:dyDescent="0.3">
      <c r="A18" s="367" t="s">
        <v>678</v>
      </c>
      <c r="B18" s="629"/>
      <c r="C18" s="630"/>
    </row>
    <row r="19" spans="1:3" x14ac:dyDescent="0.25">
      <c r="A19" s="369" t="s">
        <v>679</v>
      </c>
      <c r="B19" s="625"/>
      <c r="C19" s="626"/>
    </row>
    <row r="20" spans="1:3" x14ac:dyDescent="0.25">
      <c r="A20" s="369"/>
      <c r="B20" s="627"/>
      <c r="C20" s="628"/>
    </row>
    <row r="21" spans="1:3" ht="13.8" thickBot="1" x14ac:dyDescent="0.3">
      <c r="A21" s="367" t="s">
        <v>680</v>
      </c>
      <c r="B21" s="629"/>
      <c r="C21" s="630"/>
    </row>
    <row r="22" spans="1:3" x14ac:dyDescent="0.25">
      <c r="A22" s="364"/>
    </row>
    <row r="23" spans="1:3" ht="24.75" customHeight="1" x14ac:dyDescent="0.25">
      <c r="A23" s="620" t="s">
        <v>681</v>
      </c>
      <c r="B23" s="620"/>
      <c r="C23" s="620"/>
    </row>
    <row r="24" spans="1:3" ht="13.8" thickBot="1" x14ac:dyDescent="0.3">
      <c r="A24" s="365"/>
    </row>
    <row r="25" spans="1:3" ht="13.8" thickBot="1" x14ac:dyDescent="0.3">
      <c r="A25" s="366" t="s">
        <v>682</v>
      </c>
      <c r="B25" s="370"/>
    </row>
    <row r="26" spans="1:3" ht="13.8" thickBot="1" x14ac:dyDescent="0.3">
      <c r="A26" s="367" t="s">
        <v>683</v>
      </c>
      <c r="B26" s="371"/>
    </row>
    <row r="27" spans="1:3" ht="13.8" thickBot="1" x14ac:dyDescent="0.3">
      <c r="A27" s="367" t="s">
        <v>684</v>
      </c>
      <c r="B27" s="371"/>
    </row>
    <row r="28" spans="1:3" x14ac:dyDescent="0.25">
      <c r="A28" s="365"/>
    </row>
    <row r="29" spans="1:3" x14ac:dyDescent="0.25">
      <c r="A29" s="619" t="s">
        <v>685</v>
      </c>
      <c r="B29" s="619"/>
      <c r="C29" s="619"/>
    </row>
    <row r="30" spans="1:3" x14ac:dyDescent="0.25">
      <c r="A30" s="365"/>
    </row>
    <row r="31" spans="1:3" ht="41.25" customHeight="1" x14ac:dyDescent="0.25">
      <c r="A31" s="620" t="s">
        <v>686</v>
      </c>
      <c r="B31" s="620"/>
      <c r="C31" s="620"/>
    </row>
    <row r="32" spans="1:3" x14ac:dyDescent="0.25">
      <c r="A32" s="365"/>
    </row>
    <row r="33" spans="1:3" ht="43.5" customHeight="1" x14ac:dyDescent="0.25">
      <c r="A33" s="621" t="s">
        <v>687</v>
      </c>
      <c r="B33" s="621"/>
      <c r="C33" s="621"/>
    </row>
    <row r="34" spans="1:3" x14ac:dyDescent="0.25">
      <c r="A34" s="364"/>
    </row>
    <row r="35" spans="1:3" x14ac:dyDescent="0.25">
      <c r="A35" s="365"/>
    </row>
    <row r="36" spans="1:3" x14ac:dyDescent="0.25">
      <c r="A36" s="365"/>
    </row>
    <row r="37" spans="1:3" x14ac:dyDescent="0.25">
      <c r="A37" s="618" t="s">
        <v>688</v>
      </c>
      <c r="B37" s="618"/>
    </row>
    <row r="38" spans="1:3" x14ac:dyDescent="0.25">
      <c r="A38" s="360" t="s">
        <v>689</v>
      </c>
    </row>
    <row r="39" spans="1:3" x14ac:dyDescent="0.25">
      <c r="A39" s="365"/>
    </row>
    <row r="40" spans="1:3" x14ac:dyDescent="0.25">
      <c r="A40" s="365" t="s">
        <v>690</v>
      </c>
    </row>
    <row r="41" spans="1:3" x14ac:dyDescent="0.25">
      <c r="A41" s="365"/>
    </row>
    <row r="42" spans="1:3" x14ac:dyDescent="0.25">
      <c r="A42" s="619" t="s">
        <v>691</v>
      </c>
      <c r="B42" s="619"/>
      <c r="C42" s="619"/>
    </row>
    <row r="43" spans="1:3" x14ac:dyDescent="0.25">
      <c r="A43" s="620" t="s">
        <v>692</v>
      </c>
      <c r="B43" s="620"/>
      <c r="C43" s="620"/>
    </row>
    <row r="44" spans="1:3" x14ac:dyDescent="0.25">
      <c r="A44" s="620" t="s">
        <v>693</v>
      </c>
      <c r="B44" s="620"/>
      <c r="C44" s="620"/>
    </row>
    <row r="45" spans="1:3" x14ac:dyDescent="0.25">
      <c r="A45" s="364"/>
    </row>
    <row r="46" spans="1:3" x14ac:dyDescent="0.25">
      <c r="A46" s="364"/>
    </row>
    <row r="47" spans="1:3" x14ac:dyDescent="0.25">
      <c r="A47" s="364"/>
    </row>
    <row r="48" spans="1:3" x14ac:dyDescent="0.25">
      <c r="A48" s="618" t="s">
        <v>688</v>
      </c>
      <c r="B48" s="618"/>
    </row>
    <row r="49" spans="1:1" x14ac:dyDescent="0.25">
      <c r="A49" s="360" t="s">
        <v>694</v>
      </c>
    </row>
    <row r="50" spans="1:1" ht="13.8" x14ac:dyDescent="0.25">
      <c r="A50" s="372"/>
    </row>
  </sheetData>
  <sheetProtection algorithmName="SHA-512" hashValue="u+yY9rJyQS8t+3YOHgV4o3oA6JDuvdhDCc3GTlemXOVKlgdn7GItU1hVDVlD25rjRr8B20eDocFo+JCj3hWq0w==" saltValue="zEP0uL9/0lcsoYYCAqsrBQ==" spinCount="100000" sheet="1" objects="1" scenarios="1"/>
  <mergeCells count="17">
    <mergeCell ref="A33:C33"/>
    <mergeCell ref="A3:C3"/>
    <mergeCell ref="B7:C7"/>
    <mergeCell ref="B8:C8"/>
    <mergeCell ref="A10:C10"/>
    <mergeCell ref="A12:C12"/>
    <mergeCell ref="A14:C14"/>
    <mergeCell ref="B16:C18"/>
    <mergeCell ref="B19:C21"/>
    <mergeCell ref="A23:C23"/>
    <mergeCell ref="A29:C29"/>
    <mergeCell ref="A31:C31"/>
    <mergeCell ref="A37:B37"/>
    <mergeCell ref="A42:C42"/>
    <mergeCell ref="A43:C43"/>
    <mergeCell ref="A44:C44"/>
    <mergeCell ref="A48:B48"/>
  </mergeCells>
  <printOptions horizontalCentered="1"/>
  <pageMargins left="0.23622047244094491" right="0.23622047244094491" top="0.74803149606299213" bottom="0.74803149606299213" header="0.31496062992125984" footer="0.31496062992125984"/>
  <pageSetup paperSize="9" orientation="portrait" r:id="rId1"/>
  <headerFooter>
    <oddHeader>&amp;L&amp;"Calibri"&amp;10&amp;K000000Sensitivity - General&amp;1#</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pageSetUpPr fitToPage="1"/>
  </sheetPr>
  <dimension ref="A1:F136"/>
  <sheetViews>
    <sheetView topLeftCell="A108" workbookViewId="0">
      <selection activeCell="B6" sqref="B6:C135"/>
    </sheetView>
  </sheetViews>
  <sheetFormatPr defaultColWidth="9.109375" defaultRowHeight="13.2" x14ac:dyDescent="0.25"/>
  <cols>
    <col min="1" max="1" width="7" style="182" customWidth="1"/>
    <col min="2" max="2" width="73.6640625" style="182" customWidth="1"/>
    <col min="3" max="3" width="59.5546875" style="247" customWidth="1"/>
    <col min="4" max="4" width="9.109375" style="182"/>
    <col min="5" max="5" width="10.6640625" style="182" customWidth="1"/>
    <col min="6" max="6" width="31.44140625" style="182" customWidth="1"/>
    <col min="7" max="16384" width="9.109375" style="182"/>
  </cols>
  <sheetData>
    <row r="1" spans="1:6" ht="17.399999999999999" x14ac:dyDescent="0.3">
      <c r="A1" s="631" t="s">
        <v>695</v>
      </c>
      <c r="B1" s="631"/>
      <c r="C1" s="631"/>
    </row>
    <row r="3" spans="1:6" ht="15.6" x14ac:dyDescent="0.3">
      <c r="A3" s="632" t="s">
        <v>696</v>
      </c>
      <c r="B3" s="632"/>
      <c r="C3" s="632"/>
    </row>
    <row r="5" spans="1:6" ht="13.8" thickBot="1" x14ac:dyDescent="0.3"/>
    <row r="6" spans="1:6" ht="13.8" thickTop="1" x14ac:dyDescent="0.25">
      <c r="A6" s="183">
        <v>1</v>
      </c>
      <c r="B6" s="248" t="s">
        <v>697</v>
      </c>
      <c r="C6" s="251">
        <v>0</v>
      </c>
      <c r="E6" s="254" t="s">
        <v>698</v>
      </c>
      <c r="F6" s="254"/>
    </row>
    <row r="7" spans="1:6" x14ac:dyDescent="0.25">
      <c r="A7" s="183">
        <v>2</v>
      </c>
      <c r="B7" s="249" t="s">
        <v>699</v>
      </c>
      <c r="C7" s="252" t="s">
        <v>700</v>
      </c>
      <c r="E7" s="254" t="s">
        <v>14</v>
      </c>
      <c r="F7" s="254" t="s">
        <v>12</v>
      </c>
    </row>
    <row r="8" spans="1:6" x14ac:dyDescent="0.25">
      <c r="A8" s="183">
        <v>3</v>
      </c>
      <c r="B8" s="249" t="s">
        <v>701</v>
      </c>
      <c r="C8" s="252" t="s">
        <v>702</v>
      </c>
      <c r="E8" s="254" t="s">
        <v>29</v>
      </c>
      <c r="F8" s="254" t="s">
        <v>27</v>
      </c>
    </row>
    <row r="9" spans="1:6" x14ac:dyDescent="0.25">
      <c r="A9" s="183">
        <v>4</v>
      </c>
      <c r="B9" s="249" t="s">
        <v>703</v>
      </c>
      <c r="C9" s="252" t="s">
        <v>704</v>
      </c>
      <c r="E9" s="254" t="s">
        <v>52</v>
      </c>
      <c r="F9" s="254" t="s">
        <v>441</v>
      </c>
    </row>
    <row r="10" spans="1:6" x14ac:dyDescent="0.25">
      <c r="A10" s="183">
        <v>5</v>
      </c>
      <c r="B10" s="249" t="s">
        <v>705</v>
      </c>
      <c r="C10" s="252" t="s">
        <v>706</v>
      </c>
      <c r="E10" s="254" t="s">
        <v>442</v>
      </c>
      <c r="F10" s="254" t="s">
        <v>443</v>
      </c>
    </row>
    <row r="11" spans="1:6" x14ac:dyDescent="0.25">
      <c r="A11" s="183">
        <v>6</v>
      </c>
      <c r="B11" s="249" t="s">
        <v>707</v>
      </c>
      <c r="C11" s="252" t="s">
        <v>708</v>
      </c>
      <c r="E11" s="254" t="s">
        <v>73</v>
      </c>
      <c r="F11" s="254" t="s">
        <v>72</v>
      </c>
    </row>
    <row r="12" spans="1:6" x14ac:dyDescent="0.25">
      <c r="A12" s="183">
        <v>7</v>
      </c>
      <c r="B12" s="249" t="s">
        <v>709</v>
      </c>
      <c r="C12" s="252" t="s">
        <v>710</v>
      </c>
      <c r="E12" s="254" t="s">
        <v>41</v>
      </c>
      <c r="F12" s="254" t="s">
        <v>40</v>
      </c>
    </row>
    <row r="13" spans="1:6" x14ac:dyDescent="0.25">
      <c r="A13" s="183">
        <v>8</v>
      </c>
      <c r="B13" s="249" t="s">
        <v>828</v>
      </c>
      <c r="C13" s="252">
        <v>0</v>
      </c>
      <c r="E13" s="254" t="s">
        <v>83</v>
      </c>
      <c r="F13" s="254" t="s">
        <v>82</v>
      </c>
    </row>
    <row r="14" spans="1:6" x14ac:dyDescent="0.25">
      <c r="A14" s="183">
        <v>9</v>
      </c>
      <c r="B14" s="249" t="s">
        <v>856</v>
      </c>
      <c r="C14" s="252">
        <v>0</v>
      </c>
      <c r="E14" s="254" t="s">
        <v>93</v>
      </c>
      <c r="F14" s="254" t="s">
        <v>92</v>
      </c>
    </row>
    <row r="15" spans="1:6" x14ac:dyDescent="0.25">
      <c r="A15" s="183">
        <v>10</v>
      </c>
      <c r="B15" s="249" t="s">
        <v>711</v>
      </c>
      <c r="C15" s="252">
        <v>0</v>
      </c>
      <c r="E15" s="254" t="s">
        <v>111</v>
      </c>
      <c r="F15" s="254" t="s">
        <v>110</v>
      </c>
    </row>
    <row r="16" spans="1:6" x14ac:dyDescent="0.25">
      <c r="A16" s="183">
        <v>11</v>
      </c>
      <c r="B16" s="249" t="s">
        <v>711</v>
      </c>
      <c r="C16" s="252">
        <v>0</v>
      </c>
      <c r="E16" s="254" t="s">
        <v>122</v>
      </c>
      <c r="F16" s="254" t="s">
        <v>449</v>
      </c>
    </row>
    <row r="17" spans="1:6" x14ac:dyDescent="0.25">
      <c r="A17" s="183">
        <v>12</v>
      </c>
      <c r="B17" s="249" t="s">
        <v>711</v>
      </c>
      <c r="C17" s="252">
        <v>0</v>
      </c>
      <c r="E17" s="254" t="s">
        <v>451</v>
      </c>
      <c r="F17" s="254" t="s">
        <v>100</v>
      </c>
    </row>
    <row r="18" spans="1:6" x14ac:dyDescent="0.25">
      <c r="A18" s="183">
        <v>13</v>
      </c>
      <c r="B18" s="249" t="s">
        <v>711</v>
      </c>
      <c r="C18" s="252">
        <v>0</v>
      </c>
      <c r="E18" s="254" t="s">
        <v>452</v>
      </c>
      <c r="F18" s="254" t="s">
        <v>453</v>
      </c>
    </row>
    <row r="19" spans="1:6" x14ac:dyDescent="0.25">
      <c r="A19" s="183">
        <v>14</v>
      </c>
      <c r="B19" s="249" t="s">
        <v>857</v>
      </c>
      <c r="C19" s="252">
        <v>0</v>
      </c>
      <c r="E19" s="254" t="s">
        <v>454</v>
      </c>
      <c r="F19" s="254" t="s">
        <v>455</v>
      </c>
    </row>
    <row r="20" spans="1:6" x14ac:dyDescent="0.25">
      <c r="A20" s="183">
        <v>15</v>
      </c>
      <c r="B20" s="249" t="s">
        <v>858</v>
      </c>
      <c r="C20" s="252" t="s">
        <v>712</v>
      </c>
      <c r="E20" s="254" t="s">
        <v>101</v>
      </c>
      <c r="F20" s="254" t="s">
        <v>713</v>
      </c>
    </row>
    <row r="21" spans="1:6" x14ac:dyDescent="0.25">
      <c r="A21" s="183">
        <v>16</v>
      </c>
      <c r="B21" s="249" t="s">
        <v>859</v>
      </c>
      <c r="C21" s="252" t="s">
        <v>714</v>
      </c>
      <c r="E21" s="254" t="s">
        <v>34</v>
      </c>
      <c r="F21" s="254" t="s">
        <v>715</v>
      </c>
    </row>
    <row r="22" spans="1:6" x14ac:dyDescent="0.25">
      <c r="A22" s="183">
        <v>17</v>
      </c>
      <c r="B22" s="249" t="s">
        <v>860</v>
      </c>
      <c r="C22" s="252" t="s">
        <v>702</v>
      </c>
      <c r="E22" s="254" t="s">
        <v>68</v>
      </c>
      <c r="F22" s="254" t="s">
        <v>69</v>
      </c>
    </row>
    <row r="23" spans="1:6" x14ac:dyDescent="0.25">
      <c r="A23" s="183">
        <v>18</v>
      </c>
      <c r="B23" s="249" t="s">
        <v>861</v>
      </c>
      <c r="C23" s="252" t="s">
        <v>704</v>
      </c>
      <c r="E23" s="254" t="s">
        <v>78</v>
      </c>
      <c r="F23" s="254" t="s">
        <v>79</v>
      </c>
    </row>
    <row r="24" spans="1:6" x14ac:dyDescent="0.25">
      <c r="A24" s="183">
        <v>19</v>
      </c>
      <c r="B24" s="249" t="s">
        <v>862</v>
      </c>
      <c r="C24" s="252" t="s">
        <v>706</v>
      </c>
      <c r="E24" s="254" t="s">
        <v>88</v>
      </c>
      <c r="F24" s="254" t="s">
        <v>89</v>
      </c>
    </row>
    <row r="25" spans="1:6" x14ac:dyDescent="0.25">
      <c r="A25" s="183">
        <v>20</v>
      </c>
      <c r="B25" s="249" t="s">
        <v>863</v>
      </c>
      <c r="C25" s="252" t="s">
        <v>708</v>
      </c>
      <c r="E25" s="254" t="s">
        <v>106</v>
      </c>
      <c r="F25" s="254" t="s">
        <v>364</v>
      </c>
    </row>
    <row r="26" spans="1:6" x14ac:dyDescent="0.25">
      <c r="A26" s="183">
        <v>21</v>
      </c>
      <c r="B26" s="249" t="s">
        <v>864</v>
      </c>
      <c r="C26" s="252" t="s">
        <v>710</v>
      </c>
      <c r="E26" s="254" t="s">
        <v>115</v>
      </c>
      <c r="F26" s="254" t="s">
        <v>512</v>
      </c>
    </row>
    <row r="27" spans="1:6" x14ac:dyDescent="0.25">
      <c r="A27" s="183">
        <v>22</v>
      </c>
      <c r="B27" s="249" t="s">
        <v>865</v>
      </c>
      <c r="C27" s="252">
        <v>0</v>
      </c>
      <c r="E27" s="254" t="s">
        <v>126</v>
      </c>
      <c r="F27" s="254" t="s">
        <v>514</v>
      </c>
    </row>
    <row r="28" spans="1:6" x14ac:dyDescent="0.25">
      <c r="A28" s="183">
        <v>23</v>
      </c>
      <c r="B28" s="249" t="s">
        <v>865</v>
      </c>
      <c r="C28" s="252">
        <v>0</v>
      </c>
      <c r="E28" s="254" t="s">
        <v>716</v>
      </c>
      <c r="F28" s="254" t="s">
        <v>475</v>
      </c>
    </row>
    <row r="29" spans="1:6" x14ac:dyDescent="0.25">
      <c r="A29" s="183">
        <v>24</v>
      </c>
      <c r="B29" s="249" t="s">
        <v>865</v>
      </c>
      <c r="C29" s="252">
        <v>0</v>
      </c>
    </row>
    <row r="30" spans="1:6" x14ac:dyDescent="0.25">
      <c r="A30" s="183">
        <v>25</v>
      </c>
      <c r="B30" s="249" t="s">
        <v>865</v>
      </c>
      <c r="C30" s="252">
        <v>0</v>
      </c>
    </row>
    <row r="31" spans="1:6" x14ac:dyDescent="0.25">
      <c r="A31" s="183">
        <v>26</v>
      </c>
      <c r="B31" s="249" t="s">
        <v>865</v>
      </c>
      <c r="C31" s="252">
        <v>0</v>
      </c>
    </row>
    <row r="32" spans="1:6" x14ac:dyDescent="0.25">
      <c r="A32" s="183">
        <v>27</v>
      </c>
      <c r="B32" s="249" t="s">
        <v>717</v>
      </c>
      <c r="C32" s="252">
        <v>0</v>
      </c>
    </row>
    <row r="33" spans="1:3" x14ac:dyDescent="0.25">
      <c r="A33" s="183">
        <v>28</v>
      </c>
      <c r="B33" s="249" t="s">
        <v>718</v>
      </c>
      <c r="C33" s="252" t="s">
        <v>702</v>
      </c>
    </row>
    <row r="34" spans="1:3" x14ac:dyDescent="0.25">
      <c r="A34" s="183">
        <v>29</v>
      </c>
      <c r="B34" s="249" t="s">
        <v>719</v>
      </c>
      <c r="C34" s="252" t="s">
        <v>720</v>
      </c>
    </row>
    <row r="35" spans="1:3" x14ac:dyDescent="0.25">
      <c r="A35" s="183">
        <v>30</v>
      </c>
      <c r="B35" s="249" t="s">
        <v>721</v>
      </c>
      <c r="C35" s="252" t="s">
        <v>704</v>
      </c>
    </row>
    <row r="36" spans="1:3" x14ac:dyDescent="0.25">
      <c r="A36" s="183">
        <v>31</v>
      </c>
      <c r="B36" s="249" t="s">
        <v>722</v>
      </c>
      <c r="C36" s="252" t="s">
        <v>723</v>
      </c>
    </row>
    <row r="37" spans="1:3" x14ac:dyDescent="0.25">
      <c r="A37" s="183">
        <v>32</v>
      </c>
      <c r="B37" s="249" t="s">
        <v>724</v>
      </c>
      <c r="C37" s="252" t="s">
        <v>712</v>
      </c>
    </row>
    <row r="38" spans="1:3" x14ac:dyDescent="0.25">
      <c r="A38" s="183">
        <v>33</v>
      </c>
      <c r="B38" s="249" t="s">
        <v>724</v>
      </c>
      <c r="C38" s="252" t="s">
        <v>725</v>
      </c>
    </row>
    <row r="39" spans="1:3" x14ac:dyDescent="0.25">
      <c r="A39" s="183">
        <v>34</v>
      </c>
      <c r="B39" s="249" t="s">
        <v>724</v>
      </c>
      <c r="C39" s="252" t="s">
        <v>726</v>
      </c>
    </row>
    <row r="40" spans="1:3" x14ac:dyDescent="0.25">
      <c r="A40" s="183">
        <v>35</v>
      </c>
      <c r="B40" s="249" t="s">
        <v>724</v>
      </c>
      <c r="C40" s="252" t="s">
        <v>727</v>
      </c>
    </row>
    <row r="41" spans="1:3" x14ac:dyDescent="0.25">
      <c r="A41" s="183">
        <v>36</v>
      </c>
      <c r="B41" s="249" t="s">
        <v>724</v>
      </c>
      <c r="C41" s="252" t="s">
        <v>728</v>
      </c>
    </row>
    <row r="42" spans="1:3" x14ac:dyDescent="0.25">
      <c r="A42" s="183">
        <v>37</v>
      </c>
      <c r="B42" s="249" t="s">
        <v>724</v>
      </c>
      <c r="C42" s="252" t="s">
        <v>729</v>
      </c>
    </row>
    <row r="43" spans="1:3" x14ac:dyDescent="0.25">
      <c r="A43" s="183">
        <v>38</v>
      </c>
      <c r="B43" s="249" t="s">
        <v>724</v>
      </c>
      <c r="C43" s="252" t="s">
        <v>730</v>
      </c>
    </row>
    <row r="44" spans="1:3" x14ac:dyDescent="0.25">
      <c r="A44" s="183">
        <v>39</v>
      </c>
      <c r="B44" s="249" t="s">
        <v>724</v>
      </c>
      <c r="C44" s="252" t="s">
        <v>710</v>
      </c>
    </row>
    <row r="45" spans="1:3" x14ac:dyDescent="0.25">
      <c r="A45" s="183">
        <v>40</v>
      </c>
      <c r="B45" s="249" t="s">
        <v>731</v>
      </c>
      <c r="C45" s="252">
        <v>0</v>
      </c>
    </row>
    <row r="46" spans="1:3" x14ac:dyDescent="0.25">
      <c r="A46" s="183">
        <v>41</v>
      </c>
      <c r="B46" s="249" t="s">
        <v>732</v>
      </c>
      <c r="C46" s="252" t="s">
        <v>733</v>
      </c>
    </row>
    <row r="47" spans="1:3" x14ac:dyDescent="0.25">
      <c r="A47" s="183">
        <v>42</v>
      </c>
      <c r="B47" s="249" t="s">
        <v>734</v>
      </c>
      <c r="C47" s="252" t="s">
        <v>735</v>
      </c>
    </row>
    <row r="48" spans="1:3" x14ac:dyDescent="0.25">
      <c r="A48" s="183">
        <v>43</v>
      </c>
      <c r="B48" s="249" t="s">
        <v>736</v>
      </c>
      <c r="C48" s="252" t="s">
        <v>737</v>
      </c>
    </row>
    <row r="49" spans="1:3" x14ac:dyDescent="0.25">
      <c r="A49" s="183">
        <v>44</v>
      </c>
      <c r="B49" s="249" t="s">
        <v>738</v>
      </c>
      <c r="C49" s="252" t="s">
        <v>739</v>
      </c>
    </row>
    <row r="50" spans="1:3" x14ac:dyDescent="0.25">
      <c r="A50" s="183">
        <v>45</v>
      </c>
      <c r="B50" s="249" t="s">
        <v>740</v>
      </c>
      <c r="C50" s="252" t="s">
        <v>741</v>
      </c>
    </row>
    <row r="51" spans="1:3" x14ac:dyDescent="0.25">
      <c r="A51" s="183">
        <v>46</v>
      </c>
      <c r="B51" s="249" t="s">
        <v>742</v>
      </c>
      <c r="C51" s="252" t="s">
        <v>743</v>
      </c>
    </row>
    <row r="52" spans="1:3" x14ac:dyDescent="0.25">
      <c r="A52" s="183">
        <v>47</v>
      </c>
      <c r="B52" s="249" t="s">
        <v>744</v>
      </c>
      <c r="C52" s="252">
        <v>0</v>
      </c>
    </row>
    <row r="53" spans="1:3" x14ac:dyDescent="0.25">
      <c r="A53" s="183">
        <v>48</v>
      </c>
      <c r="B53" s="249" t="s">
        <v>744</v>
      </c>
      <c r="C53" s="252">
        <v>0</v>
      </c>
    </row>
    <row r="54" spans="1:3" x14ac:dyDescent="0.25">
      <c r="A54" s="183">
        <v>49</v>
      </c>
      <c r="B54" s="249" t="s">
        <v>744</v>
      </c>
      <c r="C54" s="252">
        <v>0</v>
      </c>
    </row>
    <row r="55" spans="1:3" x14ac:dyDescent="0.25">
      <c r="A55" s="183">
        <v>50</v>
      </c>
      <c r="B55" s="249" t="s">
        <v>744</v>
      </c>
      <c r="C55" s="252">
        <v>0</v>
      </c>
    </row>
    <row r="56" spans="1:3" x14ac:dyDescent="0.25">
      <c r="A56" s="183">
        <v>51</v>
      </c>
      <c r="B56" s="249" t="s">
        <v>744</v>
      </c>
      <c r="C56" s="252">
        <v>0</v>
      </c>
    </row>
    <row r="57" spans="1:3" x14ac:dyDescent="0.25">
      <c r="A57" s="183">
        <v>52</v>
      </c>
      <c r="B57" s="249" t="s">
        <v>744</v>
      </c>
      <c r="C57" s="252">
        <v>0</v>
      </c>
    </row>
    <row r="58" spans="1:3" x14ac:dyDescent="0.25">
      <c r="A58" s="183">
        <v>53</v>
      </c>
      <c r="B58" s="249" t="s">
        <v>745</v>
      </c>
      <c r="C58" s="252">
        <v>0</v>
      </c>
    </row>
    <row r="59" spans="1:3" x14ac:dyDescent="0.25">
      <c r="A59" s="183">
        <v>54</v>
      </c>
      <c r="B59" s="249" t="s">
        <v>746</v>
      </c>
      <c r="C59" s="252" t="s">
        <v>747</v>
      </c>
    </row>
    <row r="60" spans="1:3" x14ac:dyDescent="0.25">
      <c r="A60" s="183">
        <v>55</v>
      </c>
      <c r="B60" s="249" t="s">
        <v>748</v>
      </c>
      <c r="C60" s="252" t="s">
        <v>749</v>
      </c>
    </row>
    <row r="61" spans="1:3" x14ac:dyDescent="0.25">
      <c r="A61" s="183">
        <v>56</v>
      </c>
      <c r="B61" s="249" t="s">
        <v>750</v>
      </c>
      <c r="C61" s="252" t="s">
        <v>751</v>
      </c>
    </row>
    <row r="62" spans="1:3" x14ac:dyDescent="0.25">
      <c r="A62" s="183">
        <v>57</v>
      </c>
      <c r="B62" s="249" t="s">
        <v>752</v>
      </c>
      <c r="C62" s="252" t="s">
        <v>753</v>
      </c>
    </row>
    <row r="63" spans="1:3" x14ac:dyDescent="0.25">
      <c r="A63" s="183">
        <v>58</v>
      </c>
      <c r="B63" s="249" t="s">
        <v>752</v>
      </c>
      <c r="C63" s="252">
        <v>0</v>
      </c>
    </row>
    <row r="64" spans="1:3" x14ac:dyDescent="0.25">
      <c r="A64" s="183">
        <v>59</v>
      </c>
      <c r="B64" s="249" t="s">
        <v>752</v>
      </c>
      <c r="C64" s="252">
        <v>0</v>
      </c>
    </row>
    <row r="65" spans="1:3" x14ac:dyDescent="0.25">
      <c r="A65" s="183">
        <v>60</v>
      </c>
      <c r="B65" s="249" t="s">
        <v>752</v>
      </c>
      <c r="C65" s="252">
        <v>0</v>
      </c>
    </row>
    <row r="66" spans="1:3" x14ac:dyDescent="0.25">
      <c r="A66" s="183">
        <v>61</v>
      </c>
      <c r="B66" s="249" t="s">
        <v>752</v>
      </c>
      <c r="C66" s="252">
        <v>0</v>
      </c>
    </row>
    <row r="67" spans="1:3" x14ac:dyDescent="0.25">
      <c r="A67" s="183">
        <v>62</v>
      </c>
      <c r="B67" s="249" t="s">
        <v>752</v>
      </c>
      <c r="C67" s="252">
        <v>0</v>
      </c>
    </row>
    <row r="68" spans="1:3" x14ac:dyDescent="0.25">
      <c r="A68" s="183">
        <v>63</v>
      </c>
      <c r="B68" s="249" t="s">
        <v>752</v>
      </c>
      <c r="C68" s="252">
        <v>0</v>
      </c>
    </row>
    <row r="69" spans="1:3" x14ac:dyDescent="0.25">
      <c r="A69" s="183">
        <v>64</v>
      </c>
      <c r="B69" s="249" t="s">
        <v>752</v>
      </c>
      <c r="C69" s="252">
        <v>0</v>
      </c>
    </row>
    <row r="70" spans="1:3" x14ac:dyDescent="0.25">
      <c r="A70" s="183">
        <v>65</v>
      </c>
      <c r="B70" s="249" t="s">
        <v>752</v>
      </c>
      <c r="C70" s="252">
        <v>0</v>
      </c>
    </row>
    <row r="71" spans="1:3" x14ac:dyDescent="0.25">
      <c r="A71" s="183">
        <v>66</v>
      </c>
      <c r="B71" s="249" t="s">
        <v>754</v>
      </c>
      <c r="C71" s="252">
        <v>0</v>
      </c>
    </row>
    <row r="72" spans="1:3" x14ac:dyDescent="0.25">
      <c r="A72" s="183">
        <v>67</v>
      </c>
      <c r="B72" s="249" t="s">
        <v>755</v>
      </c>
      <c r="C72" s="252" t="s">
        <v>756</v>
      </c>
    </row>
    <row r="73" spans="1:3" x14ac:dyDescent="0.25">
      <c r="A73" s="183">
        <v>68</v>
      </c>
      <c r="B73" s="249" t="s">
        <v>757</v>
      </c>
      <c r="C73" s="252" t="s">
        <v>758</v>
      </c>
    </row>
    <row r="74" spans="1:3" x14ac:dyDescent="0.25">
      <c r="A74" s="183">
        <v>69</v>
      </c>
      <c r="B74" s="249" t="s">
        <v>759</v>
      </c>
      <c r="C74" s="252" t="s">
        <v>760</v>
      </c>
    </row>
    <row r="75" spans="1:3" x14ac:dyDescent="0.25">
      <c r="A75" s="183">
        <v>70</v>
      </c>
      <c r="B75" s="249" t="s">
        <v>761</v>
      </c>
      <c r="C75" s="252" t="s">
        <v>762</v>
      </c>
    </row>
    <row r="76" spans="1:3" x14ac:dyDescent="0.25">
      <c r="A76" s="183">
        <v>71</v>
      </c>
      <c r="B76" s="249" t="s">
        <v>763</v>
      </c>
      <c r="C76" s="252" t="s">
        <v>764</v>
      </c>
    </row>
    <row r="77" spans="1:3" x14ac:dyDescent="0.25">
      <c r="A77" s="183">
        <v>72</v>
      </c>
      <c r="B77" s="249" t="s">
        <v>765</v>
      </c>
      <c r="C77" s="252" t="s">
        <v>766</v>
      </c>
    </row>
    <row r="78" spans="1:3" x14ac:dyDescent="0.25">
      <c r="A78" s="183">
        <v>73</v>
      </c>
      <c r="B78" s="249" t="s">
        <v>866</v>
      </c>
      <c r="C78" s="252">
        <v>0</v>
      </c>
    </row>
    <row r="79" spans="1:3" x14ac:dyDescent="0.25">
      <c r="A79" s="183">
        <v>74</v>
      </c>
      <c r="B79" s="249" t="s">
        <v>767</v>
      </c>
      <c r="C79" s="252">
        <v>0</v>
      </c>
    </row>
    <row r="80" spans="1:3" x14ac:dyDescent="0.25">
      <c r="A80" s="183">
        <v>75</v>
      </c>
      <c r="B80" s="249" t="s">
        <v>767</v>
      </c>
      <c r="C80" s="252">
        <v>0</v>
      </c>
    </row>
    <row r="81" spans="1:3" x14ac:dyDescent="0.25">
      <c r="A81" s="183">
        <v>76</v>
      </c>
      <c r="B81" s="249" t="s">
        <v>767</v>
      </c>
      <c r="C81" s="252">
        <v>0</v>
      </c>
    </row>
    <row r="82" spans="1:3" x14ac:dyDescent="0.25">
      <c r="A82" s="183">
        <v>77</v>
      </c>
      <c r="B82" s="249" t="s">
        <v>767</v>
      </c>
      <c r="C82" s="252">
        <v>0</v>
      </c>
    </row>
    <row r="83" spans="1:3" x14ac:dyDescent="0.25">
      <c r="A83" s="183">
        <v>78</v>
      </c>
      <c r="B83" s="249" t="s">
        <v>767</v>
      </c>
      <c r="C83" s="252">
        <v>0</v>
      </c>
    </row>
    <row r="84" spans="1:3" x14ac:dyDescent="0.25">
      <c r="A84" s="183">
        <v>79</v>
      </c>
      <c r="B84" s="249" t="s">
        <v>768</v>
      </c>
      <c r="C84" s="252">
        <v>0</v>
      </c>
    </row>
    <row r="85" spans="1:3" x14ac:dyDescent="0.25">
      <c r="A85" s="183">
        <v>80</v>
      </c>
      <c r="B85" s="249" t="s">
        <v>769</v>
      </c>
      <c r="C85" s="252" t="s">
        <v>770</v>
      </c>
    </row>
    <row r="86" spans="1:3" x14ac:dyDescent="0.25">
      <c r="A86" s="183">
        <v>81</v>
      </c>
      <c r="B86" s="249" t="s">
        <v>771</v>
      </c>
      <c r="C86" s="252" t="s">
        <v>772</v>
      </c>
    </row>
    <row r="87" spans="1:3" x14ac:dyDescent="0.25">
      <c r="A87" s="183">
        <v>82</v>
      </c>
      <c r="B87" s="249" t="s">
        <v>773</v>
      </c>
      <c r="C87" s="252" t="s">
        <v>774</v>
      </c>
    </row>
    <row r="88" spans="1:3" x14ac:dyDescent="0.25">
      <c r="A88" s="183">
        <v>83</v>
      </c>
      <c r="B88" s="249" t="s">
        <v>775</v>
      </c>
      <c r="C88" s="252" t="s">
        <v>776</v>
      </c>
    </row>
    <row r="89" spans="1:3" x14ac:dyDescent="0.25">
      <c r="A89" s="183">
        <v>84</v>
      </c>
      <c r="B89" s="249" t="s">
        <v>777</v>
      </c>
      <c r="C89" s="252" t="s">
        <v>778</v>
      </c>
    </row>
    <row r="90" spans="1:3" x14ac:dyDescent="0.25">
      <c r="A90" s="183">
        <v>85</v>
      </c>
      <c r="B90" s="249" t="s">
        <v>779</v>
      </c>
      <c r="C90" s="252" t="s">
        <v>780</v>
      </c>
    </row>
    <row r="91" spans="1:3" x14ac:dyDescent="0.25">
      <c r="A91" s="183">
        <v>86</v>
      </c>
      <c r="B91" s="249" t="s">
        <v>781</v>
      </c>
      <c r="C91" s="252" t="s">
        <v>782</v>
      </c>
    </row>
    <row r="92" spans="1:3" x14ac:dyDescent="0.25">
      <c r="A92" s="183">
        <v>87</v>
      </c>
      <c r="B92" s="249" t="s">
        <v>783</v>
      </c>
      <c r="C92" s="252" t="s">
        <v>784</v>
      </c>
    </row>
    <row r="93" spans="1:3" x14ac:dyDescent="0.25">
      <c r="A93" s="183">
        <v>88</v>
      </c>
      <c r="B93" s="249" t="s">
        <v>785</v>
      </c>
      <c r="C93" s="252">
        <v>0</v>
      </c>
    </row>
    <row r="94" spans="1:3" x14ac:dyDescent="0.25">
      <c r="A94" s="183">
        <v>89</v>
      </c>
      <c r="B94" s="249" t="s">
        <v>785</v>
      </c>
      <c r="C94" s="252">
        <v>0</v>
      </c>
    </row>
    <row r="95" spans="1:3" x14ac:dyDescent="0.25">
      <c r="A95" s="183">
        <v>90</v>
      </c>
      <c r="B95" s="249" t="s">
        <v>785</v>
      </c>
      <c r="C95" s="252">
        <v>0</v>
      </c>
    </row>
    <row r="96" spans="1:3" x14ac:dyDescent="0.25">
      <c r="A96" s="183">
        <v>91</v>
      </c>
      <c r="B96" s="249" t="s">
        <v>785</v>
      </c>
      <c r="C96" s="252">
        <v>0</v>
      </c>
    </row>
    <row r="97" spans="1:3" x14ac:dyDescent="0.25">
      <c r="A97" s="183">
        <v>92</v>
      </c>
      <c r="B97" s="249" t="s">
        <v>786</v>
      </c>
      <c r="C97" s="252">
        <v>0</v>
      </c>
    </row>
    <row r="98" spans="1:3" x14ac:dyDescent="0.25">
      <c r="A98" s="183">
        <v>93</v>
      </c>
      <c r="B98" s="249" t="s">
        <v>787</v>
      </c>
      <c r="C98" s="252" t="s">
        <v>788</v>
      </c>
    </row>
    <row r="99" spans="1:3" x14ac:dyDescent="0.25">
      <c r="A99" s="183">
        <v>94</v>
      </c>
      <c r="B99" s="249" t="s">
        <v>789</v>
      </c>
      <c r="C99" s="252" t="s">
        <v>790</v>
      </c>
    </row>
    <row r="100" spans="1:3" x14ac:dyDescent="0.25">
      <c r="A100" s="183">
        <v>95</v>
      </c>
      <c r="B100" s="249" t="s">
        <v>791</v>
      </c>
      <c r="C100" s="252" t="s">
        <v>792</v>
      </c>
    </row>
    <row r="101" spans="1:3" x14ac:dyDescent="0.25">
      <c r="A101" s="183">
        <v>96</v>
      </c>
      <c r="B101" s="249" t="s">
        <v>793</v>
      </c>
      <c r="C101" s="252" t="s">
        <v>794</v>
      </c>
    </row>
    <row r="102" spans="1:3" x14ac:dyDescent="0.25">
      <c r="A102" s="183">
        <v>97</v>
      </c>
      <c r="B102" s="249" t="s">
        <v>795</v>
      </c>
      <c r="C102" s="252" t="s">
        <v>796</v>
      </c>
    </row>
    <row r="103" spans="1:3" x14ac:dyDescent="0.25">
      <c r="A103" s="183">
        <v>98</v>
      </c>
      <c r="B103" s="249" t="s">
        <v>797</v>
      </c>
      <c r="C103" s="252" t="s">
        <v>798</v>
      </c>
    </row>
    <row r="104" spans="1:3" x14ac:dyDescent="0.25">
      <c r="A104" s="183">
        <v>99</v>
      </c>
      <c r="B104" s="249" t="s">
        <v>799</v>
      </c>
      <c r="C104" s="252" t="s">
        <v>800</v>
      </c>
    </row>
    <row r="105" spans="1:3" x14ac:dyDescent="0.25">
      <c r="A105" s="183">
        <v>100</v>
      </c>
      <c r="B105" s="249" t="s">
        <v>801</v>
      </c>
      <c r="C105" s="252" t="s">
        <v>802</v>
      </c>
    </row>
    <row r="106" spans="1:3" x14ac:dyDescent="0.25">
      <c r="A106" s="183">
        <v>101</v>
      </c>
      <c r="B106" s="249" t="s">
        <v>803</v>
      </c>
      <c r="C106" s="252" t="s">
        <v>804</v>
      </c>
    </row>
    <row r="107" spans="1:3" x14ac:dyDescent="0.25">
      <c r="A107" s="183">
        <v>102</v>
      </c>
      <c r="B107" s="249" t="s">
        <v>805</v>
      </c>
      <c r="C107" s="252" t="s">
        <v>806</v>
      </c>
    </row>
    <row r="108" spans="1:3" x14ac:dyDescent="0.25">
      <c r="A108" s="183">
        <v>103</v>
      </c>
      <c r="B108" s="249" t="s">
        <v>807</v>
      </c>
      <c r="C108" s="252">
        <v>0</v>
      </c>
    </row>
    <row r="109" spans="1:3" x14ac:dyDescent="0.25">
      <c r="A109" s="183">
        <v>104</v>
      </c>
      <c r="B109" s="249" t="s">
        <v>807</v>
      </c>
      <c r="C109" s="252">
        <v>0</v>
      </c>
    </row>
    <row r="110" spans="1:3" x14ac:dyDescent="0.25">
      <c r="A110" s="183">
        <v>105</v>
      </c>
      <c r="B110" s="249" t="s">
        <v>808</v>
      </c>
      <c r="C110" s="252">
        <v>0</v>
      </c>
    </row>
    <row r="111" spans="1:3" x14ac:dyDescent="0.25">
      <c r="A111" s="183">
        <v>106</v>
      </c>
      <c r="B111" s="249" t="s">
        <v>809</v>
      </c>
      <c r="C111" s="252" t="s">
        <v>810</v>
      </c>
    </row>
    <row r="112" spans="1:3" x14ac:dyDescent="0.25">
      <c r="A112" s="183">
        <v>107</v>
      </c>
      <c r="B112" s="249" t="s">
        <v>811</v>
      </c>
      <c r="C112" s="252" t="s">
        <v>812</v>
      </c>
    </row>
    <row r="113" spans="1:3" x14ac:dyDescent="0.25">
      <c r="A113" s="183">
        <v>108</v>
      </c>
      <c r="B113" s="249" t="s">
        <v>813</v>
      </c>
      <c r="C113" s="252" t="s">
        <v>814</v>
      </c>
    </row>
    <row r="114" spans="1:3" x14ac:dyDescent="0.25">
      <c r="A114" s="183">
        <v>109</v>
      </c>
      <c r="B114" s="249" t="s">
        <v>815</v>
      </c>
      <c r="C114" s="252" t="s">
        <v>816</v>
      </c>
    </row>
    <row r="115" spans="1:3" x14ac:dyDescent="0.25">
      <c r="A115" s="183">
        <v>110</v>
      </c>
      <c r="B115" s="249" t="s">
        <v>817</v>
      </c>
      <c r="C115" s="252">
        <v>0</v>
      </c>
    </row>
    <row r="116" spans="1:3" x14ac:dyDescent="0.25">
      <c r="A116" s="183">
        <v>111</v>
      </c>
      <c r="B116" s="249" t="s">
        <v>817</v>
      </c>
      <c r="C116" s="252">
        <v>0</v>
      </c>
    </row>
    <row r="117" spans="1:3" x14ac:dyDescent="0.25">
      <c r="A117" s="183">
        <v>112</v>
      </c>
      <c r="B117" s="249" t="s">
        <v>817</v>
      </c>
      <c r="C117" s="252">
        <v>0</v>
      </c>
    </row>
    <row r="118" spans="1:3" x14ac:dyDescent="0.25">
      <c r="A118" s="183">
        <v>113</v>
      </c>
      <c r="B118" s="249" t="s">
        <v>817</v>
      </c>
      <c r="C118" s="252">
        <v>0</v>
      </c>
    </row>
    <row r="119" spans="1:3" x14ac:dyDescent="0.25">
      <c r="A119" s="183">
        <v>114</v>
      </c>
      <c r="B119" s="249" t="s">
        <v>817</v>
      </c>
      <c r="C119" s="252">
        <v>0</v>
      </c>
    </row>
    <row r="120" spans="1:3" x14ac:dyDescent="0.25">
      <c r="A120" s="183">
        <v>115</v>
      </c>
      <c r="B120" s="249" t="s">
        <v>817</v>
      </c>
      <c r="C120" s="252">
        <v>0</v>
      </c>
    </row>
    <row r="121" spans="1:3" x14ac:dyDescent="0.25">
      <c r="A121" s="183">
        <v>116</v>
      </c>
      <c r="B121" s="249" t="s">
        <v>817</v>
      </c>
      <c r="C121" s="252">
        <v>0</v>
      </c>
    </row>
    <row r="122" spans="1:3" x14ac:dyDescent="0.25">
      <c r="A122" s="183">
        <v>117</v>
      </c>
      <c r="B122" s="249" t="s">
        <v>817</v>
      </c>
      <c r="C122" s="252">
        <v>0</v>
      </c>
    </row>
    <row r="123" spans="1:3" x14ac:dyDescent="0.25">
      <c r="A123" s="183">
        <v>118</v>
      </c>
      <c r="B123" s="249" t="s">
        <v>867</v>
      </c>
      <c r="C123" s="252" t="s">
        <v>10</v>
      </c>
    </row>
    <row r="124" spans="1:3" x14ac:dyDescent="0.25">
      <c r="A124" s="183">
        <v>119</v>
      </c>
      <c r="B124" s="249" t="s">
        <v>849</v>
      </c>
      <c r="C124" s="252" t="s">
        <v>850</v>
      </c>
    </row>
    <row r="125" spans="1:3" x14ac:dyDescent="0.25">
      <c r="A125" s="183">
        <v>120</v>
      </c>
      <c r="B125" s="249" t="s">
        <v>868</v>
      </c>
      <c r="C125" s="252" t="s">
        <v>851</v>
      </c>
    </row>
    <row r="126" spans="1:3" x14ac:dyDescent="0.25">
      <c r="A126" s="183">
        <v>121</v>
      </c>
      <c r="B126" s="249" t="s">
        <v>869</v>
      </c>
      <c r="C126" s="252" t="s">
        <v>852</v>
      </c>
    </row>
    <row r="127" spans="1:3" x14ac:dyDescent="0.25">
      <c r="A127" s="183">
        <v>122</v>
      </c>
      <c r="B127" s="249" t="s">
        <v>870</v>
      </c>
      <c r="C127" s="252">
        <v>0</v>
      </c>
    </row>
    <row r="128" spans="1:3" x14ac:dyDescent="0.25">
      <c r="A128" s="183">
        <v>123</v>
      </c>
      <c r="B128" s="249" t="s">
        <v>871</v>
      </c>
      <c r="C128" s="252">
        <v>0</v>
      </c>
    </row>
    <row r="129" spans="1:3" x14ac:dyDescent="0.25">
      <c r="A129" s="183">
        <v>124</v>
      </c>
      <c r="B129" s="249" t="s">
        <v>872</v>
      </c>
      <c r="C129" s="252">
        <v>0</v>
      </c>
    </row>
    <row r="130" spans="1:3" x14ac:dyDescent="0.25">
      <c r="A130" s="183">
        <v>125</v>
      </c>
      <c r="B130" s="249" t="s">
        <v>873</v>
      </c>
      <c r="C130" s="252">
        <v>0</v>
      </c>
    </row>
    <row r="131" spans="1:3" x14ac:dyDescent="0.25">
      <c r="A131" s="183">
        <v>126</v>
      </c>
      <c r="B131" s="249" t="s">
        <v>874</v>
      </c>
      <c r="C131" s="252">
        <v>0</v>
      </c>
    </row>
    <row r="132" spans="1:3" x14ac:dyDescent="0.25">
      <c r="A132" s="183">
        <v>127</v>
      </c>
      <c r="B132" s="249" t="s">
        <v>875</v>
      </c>
      <c r="C132" s="252">
        <v>0</v>
      </c>
    </row>
    <row r="133" spans="1:3" x14ac:dyDescent="0.25">
      <c r="A133" s="183">
        <v>128</v>
      </c>
      <c r="B133" s="249" t="s">
        <v>875</v>
      </c>
      <c r="C133" s="252">
        <v>0</v>
      </c>
    </row>
    <row r="134" spans="1:3" x14ac:dyDescent="0.25">
      <c r="A134" s="183">
        <v>129</v>
      </c>
      <c r="B134" s="249" t="s">
        <v>875</v>
      </c>
      <c r="C134" s="252">
        <v>0</v>
      </c>
    </row>
    <row r="135" spans="1:3" ht="13.8" thickBot="1" x14ac:dyDescent="0.3">
      <c r="A135" s="183">
        <v>130</v>
      </c>
      <c r="B135" s="250" t="s">
        <v>875</v>
      </c>
      <c r="C135" s="253">
        <v>0</v>
      </c>
    </row>
    <row r="136" spans="1:3" ht="13.8" thickTop="1" x14ac:dyDescent="0.25"/>
  </sheetData>
  <mergeCells count="2">
    <mergeCell ref="A1:C1"/>
    <mergeCell ref="A3:C3"/>
  </mergeCells>
  <printOptions horizontalCentered="1"/>
  <pageMargins left="0.59055118110236227" right="0.31496062992125984" top="0.33" bottom="0.38" header="0.17" footer="0.22"/>
  <pageSetup paperSize="9" scale="73" fitToHeight="0" orientation="landscape" r:id="rId1"/>
  <headerFooter alignWithMargins="0">
    <oddHeader>&amp;L&amp;"Calibri"&amp;10&amp;K000000Sensitivity - General&amp;1#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dimension ref="A1:U24"/>
  <sheetViews>
    <sheetView topLeftCell="A17" workbookViewId="0">
      <selection sqref="A1:V23"/>
    </sheetView>
  </sheetViews>
  <sheetFormatPr defaultRowHeight="13.2" x14ac:dyDescent="0.25"/>
  <cols>
    <col min="1" max="1" width="13.33203125" customWidth="1"/>
    <col min="2" max="21" width="57.6640625" customWidth="1"/>
    <col min="22" max="22" width="6.33203125" customWidth="1"/>
  </cols>
  <sheetData>
    <row r="1" spans="1:21" ht="15" thickTop="1" x14ac:dyDescent="0.3">
      <c r="A1" s="226" t="s">
        <v>818</v>
      </c>
      <c r="B1" s="227"/>
      <c r="C1" s="227"/>
      <c r="D1" s="227"/>
      <c r="E1" s="227"/>
      <c r="F1" s="227"/>
      <c r="G1" s="227"/>
      <c r="H1" s="227"/>
      <c r="I1" s="227"/>
      <c r="J1" s="227"/>
      <c r="K1" s="227"/>
      <c r="L1" s="227"/>
      <c r="M1" s="227"/>
      <c r="N1" s="227"/>
      <c r="O1" s="227"/>
      <c r="P1" s="227"/>
      <c r="Q1" s="227"/>
      <c r="R1" s="227"/>
      <c r="S1" s="227"/>
      <c r="T1" s="227"/>
      <c r="U1" s="227"/>
    </row>
    <row r="2" spans="1:21" ht="14.4" x14ac:dyDescent="0.3">
      <c r="A2" s="228"/>
      <c r="B2" s="230" t="s">
        <v>819</v>
      </c>
      <c r="C2" s="231" t="s">
        <v>848</v>
      </c>
      <c r="E2" s="229"/>
      <c r="F2" s="229"/>
      <c r="G2" s="229"/>
      <c r="H2" s="229"/>
      <c r="I2" s="229"/>
      <c r="J2" s="229"/>
      <c r="K2" s="229"/>
      <c r="L2" s="229"/>
      <c r="O2" s="229"/>
      <c r="P2" s="229"/>
      <c r="Q2" s="229"/>
      <c r="R2" s="229"/>
      <c r="S2" s="229"/>
      <c r="T2" s="229"/>
      <c r="U2" s="229"/>
    </row>
    <row r="3" spans="1:21" ht="14.4" x14ac:dyDescent="0.3">
      <c r="A3" s="228"/>
      <c r="B3" s="230" t="s">
        <v>820</v>
      </c>
      <c r="C3" s="239">
        <v>45446</v>
      </c>
      <c r="D3" s="229"/>
      <c r="E3" s="229"/>
      <c r="F3" s="229"/>
      <c r="G3" s="229"/>
      <c r="H3" s="229"/>
      <c r="I3" s="229"/>
      <c r="J3" s="229"/>
      <c r="K3" s="229"/>
      <c r="L3" s="229"/>
      <c r="M3" s="229"/>
      <c r="N3" s="229"/>
      <c r="O3" s="229"/>
      <c r="P3" s="229"/>
      <c r="Q3" s="229"/>
      <c r="R3" s="229"/>
      <c r="S3" s="229"/>
      <c r="T3" s="229"/>
      <c r="U3" s="229"/>
    </row>
    <row r="4" spans="1:21" ht="14.4" x14ac:dyDescent="0.3">
      <c r="A4" s="228"/>
      <c r="B4" s="229">
        <v>1</v>
      </c>
      <c r="C4" s="229">
        <v>2</v>
      </c>
      <c r="D4" s="229">
        <v>3</v>
      </c>
      <c r="E4" s="229">
        <v>4</v>
      </c>
      <c r="F4" s="229">
        <v>5</v>
      </c>
      <c r="G4" s="229">
        <v>6</v>
      </c>
      <c r="H4" s="229">
        <v>7</v>
      </c>
      <c r="I4" s="229">
        <v>8</v>
      </c>
      <c r="J4" s="229">
        <v>9</v>
      </c>
      <c r="K4" s="229">
        <v>10</v>
      </c>
      <c r="L4" s="229">
        <v>11</v>
      </c>
      <c r="M4" s="229">
        <v>12</v>
      </c>
      <c r="N4" s="229">
        <v>13</v>
      </c>
      <c r="O4" s="229">
        <v>14</v>
      </c>
      <c r="P4" s="229">
        <v>15</v>
      </c>
      <c r="Q4" s="229">
        <v>16</v>
      </c>
      <c r="R4" s="229">
        <v>17</v>
      </c>
      <c r="S4" s="229">
        <v>18</v>
      </c>
      <c r="T4" s="229">
        <v>19</v>
      </c>
      <c r="U4" s="229">
        <v>20</v>
      </c>
    </row>
    <row r="5" spans="1:21" ht="14.4" x14ac:dyDescent="0.3">
      <c r="A5" s="228"/>
      <c r="B5" s="232"/>
      <c r="C5" s="232"/>
      <c r="D5" s="232"/>
      <c r="E5" s="232"/>
      <c r="F5" s="232"/>
      <c r="G5" s="232"/>
      <c r="H5" s="232"/>
      <c r="I5" s="232"/>
      <c r="J5" s="232"/>
      <c r="K5" s="232"/>
      <c r="L5" s="232" t="s">
        <v>821</v>
      </c>
      <c r="M5" s="232" t="s">
        <v>821</v>
      </c>
      <c r="N5" s="232" t="s">
        <v>311</v>
      </c>
      <c r="O5" s="232" t="s">
        <v>311</v>
      </c>
      <c r="P5" s="232" t="s">
        <v>311</v>
      </c>
      <c r="Q5" s="232" t="s">
        <v>311</v>
      </c>
      <c r="R5" s="232" t="s">
        <v>311</v>
      </c>
      <c r="S5" s="232" t="s">
        <v>311</v>
      </c>
      <c r="T5" s="232" t="s">
        <v>311</v>
      </c>
      <c r="U5" s="232" t="s">
        <v>311</v>
      </c>
    </row>
    <row r="6" spans="1:21" ht="14.4" x14ac:dyDescent="0.3">
      <c r="A6" s="237" t="s">
        <v>822</v>
      </c>
      <c r="B6" s="232" t="s">
        <v>456</v>
      </c>
      <c r="C6" s="232" t="s">
        <v>458</v>
      </c>
      <c r="D6" s="232" t="s">
        <v>311</v>
      </c>
      <c r="E6" s="232" t="s">
        <v>311</v>
      </c>
      <c r="F6" s="232" t="s">
        <v>311</v>
      </c>
      <c r="G6" s="232" t="s">
        <v>311</v>
      </c>
      <c r="H6" s="232" t="s">
        <v>311</v>
      </c>
      <c r="I6" s="232" t="s">
        <v>311</v>
      </c>
      <c r="J6" s="232" t="s">
        <v>311</v>
      </c>
      <c r="K6" s="232" t="s">
        <v>311</v>
      </c>
      <c r="L6" s="232" t="s">
        <v>456</v>
      </c>
      <c r="M6" s="232" t="s">
        <v>458</v>
      </c>
      <c r="N6" s="232" t="s">
        <v>311</v>
      </c>
      <c r="O6" s="232" t="s">
        <v>311</v>
      </c>
      <c r="P6" s="232" t="s">
        <v>311</v>
      </c>
      <c r="Q6" s="232" t="s">
        <v>311</v>
      </c>
      <c r="R6" s="232" t="s">
        <v>311</v>
      </c>
      <c r="S6" s="232" t="s">
        <v>311</v>
      </c>
      <c r="T6" s="232" t="s">
        <v>311</v>
      </c>
      <c r="U6" s="232" t="s">
        <v>311</v>
      </c>
    </row>
    <row r="7" spans="1:21" x14ac:dyDescent="0.25">
      <c r="A7" s="233" t="s">
        <v>138</v>
      </c>
      <c r="B7" s="58" t="s">
        <v>457</v>
      </c>
      <c r="C7" s="58" t="s">
        <v>823</v>
      </c>
      <c r="D7" s="58" t="s">
        <v>311</v>
      </c>
      <c r="E7" s="58" t="s">
        <v>311</v>
      </c>
      <c r="F7" s="58" t="s">
        <v>311</v>
      </c>
      <c r="G7" s="58" t="s">
        <v>311</v>
      </c>
      <c r="H7" s="58" t="s">
        <v>311</v>
      </c>
      <c r="I7" s="58" t="s">
        <v>311</v>
      </c>
      <c r="J7" s="58" t="s">
        <v>311</v>
      </c>
      <c r="K7" s="58" t="s">
        <v>311</v>
      </c>
      <c r="L7" s="58" t="s">
        <v>457</v>
      </c>
      <c r="M7" s="58" t="s">
        <v>823</v>
      </c>
      <c r="N7" s="58" t="s">
        <v>311</v>
      </c>
      <c r="O7" s="58" t="s">
        <v>311</v>
      </c>
      <c r="P7" s="58" t="s">
        <v>311</v>
      </c>
      <c r="Q7" s="58" t="s">
        <v>311</v>
      </c>
      <c r="R7" s="58" t="s">
        <v>311</v>
      </c>
      <c r="S7" s="58" t="s">
        <v>311</v>
      </c>
      <c r="T7" s="58" t="s">
        <v>311</v>
      </c>
      <c r="U7" s="58" t="s">
        <v>311</v>
      </c>
    </row>
    <row r="8" spans="1:21" ht="14.4" x14ac:dyDescent="0.3">
      <c r="A8" s="238" t="s">
        <v>824</v>
      </c>
      <c r="B8" s="232" t="s">
        <v>825</v>
      </c>
      <c r="C8" s="232" t="s">
        <v>826</v>
      </c>
      <c r="D8" s="232" t="s">
        <v>311</v>
      </c>
      <c r="E8" s="232" t="s">
        <v>311</v>
      </c>
      <c r="F8" s="232" t="s">
        <v>311</v>
      </c>
      <c r="G8" s="232" t="s">
        <v>311</v>
      </c>
      <c r="H8" s="232" t="s">
        <v>311</v>
      </c>
      <c r="I8" s="232" t="s">
        <v>311</v>
      </c>
      <c r="J8" s="232" t="s">
        <v>311</v>
      </c>
      <c r="K8" s="232" t="s">
        <v>311</v>
      </c>
      <c r="L8" s="232" t="s">
        <v>825</v>
      </c>
      <c r="M8" s="232" t="s">
        <v>826</v>
      </c>
      <c r="N8" s="232" t="s">
        <v>311</v>
      </c>
      <c r="O8" s="232" t="s">
        <v>311</v>
      </c>
      <c r="P8" s="232" t="s">
        <v>311</v>
      </c>
      <c r="Q8" s="232" t="s">
        <v>311</v>
      </c>
      <c r="R8" s="232" t="s">
        <v>311</v>
      </c>
      <c r="S8" s="232" t="s">
        <v>311</v>
      </c>
      <c r="T8" s="232" t="s">
        <v>311</v>
      </c>
      <c r="U8" s="232" t="s">
        <v>311</v>
      </c>
    </row>
    <row r="9" spans="1:21" ht="14.4" x14ac:dyDescent="0.3">
      <c r="A9" s="238" t="s">
        <v>827</v>
      </c>
      <c r="B9" s="232" t="s">
        <v>828</v>
      </c>
      <c r="C9" s="232" t="s">
        <v>849</v>
      </c>
      <c r="D9" s="232" t="s">
        <v>311</v>
      </c>
      <c r="E9" s="232" t="s">
        <v>311</v>
      </c>
      <c r="F9" s="232" t="s">
        <v>311</v>
      </c>
      <c r="G9" s="232" t="s">
        <v>311</v>
      </c>
      <c r="H9" s="232" t="s">
        <v>311</v>
      </c>
      <c r="I9" s="232" t="s">
        <v>311</v>
      </c>
      <c r="J9" s="232" t="s">
        <v>311</v>
      </c>
      <c r="K9" s="232" t="s">
        <v>311</v>
      </c>
      <c r="L9" s="232" t="s">
        <v>828</v>
      </c>
      <c r="M9" s="232" t="s">
        <v>849</v>
      </c>
      <c r="N9" s="232" t="s">
        <v>311</v>
      </c>
      <c r="O9" s="232" t="s">
        <v>311</v>
      </c>
      <c r="P9" s="232" t="s">
        <v>311</v>
      </c>
      <c r="Q9" s="232" t="s">
        <v>311</v>
      </c>
      <c r="R9" s="232" t="s">
        <v>311</v>
      </c>
      <c r="S9" s="232" t="s">
        <v>311</v>
      </c>
      <c r="T9" s="232" t="s">
        <v>311</v>
      </c>
      <c r="U9" s="232" t="s">
        <v>311</v>
      </c>
    </row>
    <row r="10" spans="1:21" ht="14.4" x14ac:dyDescent="0.3">
      <c r="A10" s="238" t="s">
        <v>829</v>
      </c>
      <c r="B10" s="232" t="s">
        <v>10</v>
      </c>
      <c r="C10" s="232" t="s">
        <v>10</v>
      </c>
      <c r="D10" s="232" t="s">
        <v>311</v>
      </c>
      <c r="E10" s="232" t="s">
        <v>311</v>
      </c>
      <c r="F10" s="232" t="s">
        <v>311</v>
      </c>
      <c r="G10" s="232" t="s">
        <v>311</v>
      </c>
      <c r="H10" s="232" t="s">
        <v>311</v>
      </c>
      <c r="I10" s="232" t="s">
        <v>311</v>
      </c>
      <c r="J10" s="232" t="s">
        <v>311</v>
      </c>
      <c r="K10" s="232" t="s">
        <v>311</v>
      </c>
      <c r="L10" s="232" t="s">
        <v>10</v>
      </c>
      <c r="M10" s="232" t="s">
        <v>10</v>
      </c>
      <c r="N10" s="232" t="s">
        <v>311</v>
      </c>
      <c r="O10" s="232" t="s">
        <v>311</v>
      </c>
      <c r="P10" s="232" t="s">
        <v>311</v>
      </c>
      <c r="Q10" s="232" t="s">
        <v>311</v>
      </c>
      <c r="R10" s="232" t="s">
        <v>311</v>
      </c>
      <c r="S10" s="232" t="s">
        <v>311</v>
      </c>
      <c r="T10" s="232" t="s">
        <v>311</v>
      </c>
      <c r="U10" s="232" t="s">
        <v>311</v>
      </c>
    </row>
    <row r="11" spans="1:21" ht="14.4" x14ac:dyDescent="0.3">
      <c r="A11" s="238" t="s">
        <v>830</v>
      </c>
      <c r="B11" s="232" t="s">
        <v>831</v>
      </c>
      <c r="C11" s="232" t="s">
        <v>850</v>
      </c>
      <c r="D11" s="232" t="s">
        <v>311</v>
      </c>
      <c r="E11" s="232" t="s">
        <v>311</v>
      </c>
      <c r="F11" s="232" t="s">
        <v>311</v>
      </c>
      <c r="G11" s="232" t="s">
        <v>311</v>
      </c>
      <c r="H11" s="232" t="s">
        <v>311</v>
      </c>
      <c r="I11" s="232" t="s">
        <v>311</v>
      </c>
      <c r="J11" s="232" t="s">
        <v>311</v>
      </c>
      <c r="K11" s="232" t="s">
        <v>311</v>
      </c>
      <c r="L11" s="232" t="s">
        <v>831</v>
      </c>
      <c r="M11" s="232" t="s">
        <v>850</v>
      </c>
      <c r="N11" s="232" t="s">
        <v>311</v>
      </c>
      <c r="O11" s="232" t="s">
        <v>311</v>
      </c>
      <c r="P11" s="232" t="s">
        <v>311</v>
      </c>
      <c r="Q11" s="232" t="s">
        <v>311</v>
      </c>
      <c r="R11" s="232" t="s">
        <v>311</v>
      </c>
      <c r="S11" s="232" t="s">
        <v>311</v>
      </c>
      <c r="T11" s="232" t="s">
        <v>311</v>
      </c>
      <c r="U11" s="232" t="s">
        <v>311</v>
      </c>
    </row>
    <row r="12" spans="1:21" ht="14.4" x14ac:dyDescent="0.3">
      <c r="A12" s="238" t="s">
        <v>832</v>
      </c>
      <c r="B12" s="232" t="s">
        <v>833</v>
      </c>
      <c r="C12" s="232" t="s">
        <v>851</v>
      </c>
      <c r="D12" s="232" t="s">
        <v>311</v>
      </c>
      <c r="E12" s="232" t="s">
        <v>311</v>
      </c>
      <c r="F12" s="232" t="s">
        <v>311</v>
      </c>
      <c r="G12" s="232" t="s">
        <v>311</v>
      </c>
      <c r="H12" s="232" t="s">
        <v>311</v>
      </c>
      <c r="I12" s="232" t="s">
        <v>311</v>
      </c>
      <c r="J12" s="232" t="s">
        <v>311</v>
      </c>
      <c r="K12" s="232" t="s">
        <v>311</v>
      </c>
      <c r="L12" s="232" t="s">
        <v>833</v>
      </c>
      <c r="M12" s="232" t="s">
        <v>851</v>
      </c>
      <c r="N12" s="232" t="s">
        <v>311</v>
      </c>
      <c r="O12" s="232" t="s">
        <v>311</v>
      </c>
      <c r="P12" s="232" t="s">
        <v>311</v>
      </c>
      <c r="Q12" s="232" t="s">
        <v>311</v>
      </c>
      <c r="R12" s="232" t="s">
        <v>311</v>
      </c>
      <c r="S12" s="232" t="s">
        <v>311</v>
      </c>
      <c r="T12" s="232" t="s">
        <v>311</v>
      </c>
      <c r="U12" s="232" t="s">
        <v>311</v>
      </c>
    </row>
    <row r="13" spans="1:21" ht="14.4" x14ac:dyDescent="0.3">
      <c r="A13" s="238" t="s">
        <v>834</v>
      </c>
      <c r="B13" s="232" t="s">
        <v>52</v>
      </c>
      <c r="C13" s="232" t="s">
        <v>852</v>
      </c>
      <c r="D13" s="232" t="s">
        <v>311</v>
      </c>
      <c r="E13" s="232" t="s">
        <v>311</v>
      </c>
      <c r="F13" s="232" t="s">
        <v>311</v>
      </c>
      <c r="G13" s="232" t="s">
        <v>311</v>
      </c>
      <c r="H13" s="232" t="s">
        <v>311</v>
      </c>
      <c r="I13" s="232" t="s">
        <v>311</v>
      </c>
      <c r="J13" s="232" t="s">
        <v>311</v>
      </c>
      <c r="K13" s="232" t="s">
        <v>311</v>
      </c>
      <c r="L13" s="232" t="s">
        <v>52</v>
      </c>
      <c r="M13" s="232" t="s">
        <v>852</v>
      </c>
      <c r="N13" s="232" t="s">
        <v>311</v>
      </c>
      <c r="O13" s="232" t="s">
        <v>311</v>
      </c>
      <c r="P13" s="232" t="s">
        <v>311</v>
      </c>
      <c r="Q13" s="232" t="s">
        <v>311</v>
      </c>
      <c r="R13" s="232" t="s">
        <v>311</v>
      </c>
      <c r="S13" s="232" t="s">
        <v>311</v>
      </c>
      <c r="T13" s="232" t="s">
        <v>311</v>
      </c>
      <c r="U13" s="232" t="s">
        <v>311</v>
      </c>
    </row>
    <row r="14" spans="1:21" ht="14.4" x14ac:dyDescent="0.3">
      <c r="A14" s="238" t="s">
        <v>835</v>
      </c>
      <c r="B14" s="232" t="s">
        <v>836</v>
      </c>
      <c r="C14" s="232" t="s">
        <v>842</v>
      </c>
      <c r="D14" s="232" t="s">
        <v>311</v>
      </c>
      <c r="E14" s="232" t="s">
        <v>311</v>
      </c>
      <c r="F14" s="232" t="s">
        <v>311</v>
      </c>
      <c r="G14" s="232" t="s">
        <v>311</v>
      </c>
      <c r="H14" s="232" t="s">
        <v>311</v>
      </c>
      <c r="I14" s="232" t="s">
        <v>311</v>
      </c>
      <c r="J14" s="232" t="s">
        <v>311</v>
      </c>
      <c r="K14" s="232" t="s">
        <v>311</v>
      </c>
      <c r="L14" s="232" t="s">
        <v>836</v>
      </c>
      <c r="M14" s="232" t="s">
        <v>842</v>
      </c>
      <c r="N14" s="232" t="s">
        <v>311</v>
      </c>
      <c r="O14" s="232" t="s">
        <v>311</v>
      </c>
      <c r="P14" s="232" t="s">
        <v>311</v>
      </c>
      <c r="Q14" s="232" t="s">
        <v>311</v>
      </c>
      <c r="R14" s="232" t="s">
        <v>311</v>
      </c>
      <c r="S14" s="232" t="s">
        <v>311</v>
      </c>
      <c r="T14" s="232" t="s">
        <v>311</v>
      </c>
      <c r="U14" s="232" t="s">
        <v>311</v>
      </c>
    </row>
    <row r="15" spans="1:21" ht="14.4" x14ac:dyDescent="0.3">
      <c r="A15" s="233" t="s">
        <v>837</v>
      </c>
      <c r="B15" s="232" t="s">
        <v>838</v>
      </c>
      <c r="C15" s="232" t="s">
        <v>105</v>
      </c>
      <c r="D15" s="232" t="s">
        <v>311</v>
      </c>
      <c r="E15" s="232" t="s">
        <v>311</v>
      </c>
      <c r="F15" s="232" t="s">
        <v>311</v>
      </c>
      <c r="G15" s="232" t="s">
        <v>311</v>
      </c>
      <c r="H15" s="232" t="s">
        <v>311</v>
      </c>
      <c r="I15" s="232" t="s">
        <v>311</v>
      </c>
      <c r="J15" s="232" t="s">
        <v>311</v>
      </c>
      <c r="K15" s="232" t="s">
        <v>311</v>
      </c>
      <c r="L15" s="232" t="s">
        <v>838</v>
      </c>
      <c r="M15" s="232" t="s">
        <v>105</v>
      </c>
      <c r="N15" s="232" t="s">
        <v>311</v>
      </c>
      <c r="O15" s="232" t="s">
        <v>311</v>
      </c>
      <c r="P15" s="232" t="s">
        <v>311</v>
      </c>
      <c r="Q15" s="232" t="s">
        <v>311</v>
      </c>
      <c r="R15" s="232" t="s">
        <v>311</v>
      </c>
      <c r="S15" s="232" t="s">
        <v>311</v>
      </c>
      <c r="T15" s="232" t="s">
        <v>311</v>
      </c>
      <c r="U15" s="232" t="s">
        <v>311</v>
      </c>
    </row>
    <row r="16" spans="1:21" ht="14.4" x14ac:dyDescent="0.3">
      <c r="A16" s="233" t="s">
        <v>839</v>
      </c>
      <c r="B16" s="232" t="s">
        <v>840</v>
      </c>
      <c r="C16" s="232" t="s">
        <v>853</v>
      </c>
      <c r="D16" s="232" t="s">
        <v>311</v>
      </c>
      <c r="E16" s="232" t="s">
        <v>311</v>
      </c>
      <c r="F16" s="232" t="s">
        <v>311</v>
      </c>
      <c r="G16" s="232" t="s">
        <v>311</v>
      </c>
      <c r="H16" s="232" t="s">
        <v>311</v>
      </c>
      <c r="I16" s="232" t="s">
        <v>311</v>
      </c>
      <c r="J16" s="232" t="s">
        <v>311</v>
      </c>
      <c r="K16" s="232" t="s">
        <v>311</v>
      </c>
      <c r="L16" s="232" t="s">
        <v>840</v>
      </c>
      <c r="M16" s="232" t="s">
        <v>853</v>
      </c>
      <c r="N16" s="232" t="s">
        <v>311</v>
      </c>
      <c r="O16" s="232" t="s">
        <v>311</v>
      </c>
      <c r="P16" s="232" t="s">
        <v>311</v>
      </c>
      <c r="Q16" s="232" t="s">
        <v>311</v>
      </c>
      <c r="R16" s="232" t="s">
        <v>311</v>
      </c>
      <c r="S16" s="232" t="s">
        <v>311</v>
      </c>
      <c r="T16" s="232" t="s">
        <v>311</v>
      </c>
      <c r="U16" s="232" t="s">
        <v>311</v>
      </c>
    </row>
    <row r="17" spans="1:21" ht="14.4" x14ac:dyDescent="0.3">
      <c r="A17" s="233" t="s">
        <v>841</v>
      </c>
      <c r="B17" s="232" t="s">
        <v>842</v>
      </c>
      <c r="C17" s="232" t="s">
        <v>854</v>
      </c>
      <c r="D17" s="232" t="s">
        <v>311</v>
      </c>
      <c r="E17" s="232" t="s">
        <v>311</v>
      </c>
      <c r="F17" s="232" t="s">
        <v>311</v>
      </c>
      <c r="G17" s="232" t="s">
        <v>311</v>
      </c>
      <c r="H17" s="232" t="s">
        <v>311</v>
      </c>
      <c r="I17" s="232" t="s">
        <v>311</v>
      </c>
      <c r="J17" s="232" t="s">
        <v>311</v>
      </c>
      <c r="K17" s="232" t="s">
        <v>311</v>
      </c>
      <c r="L17" s="232" t="s">
        <v>842</v>
      </c>
      <c r="M17" s="232" t="s">
        <v>854</v>
      </c>
      <c r="N17" s="232" t="s">
        <v>311</v>
      </c>
      <c r="O17" s="232" t="s">
        <v>311</v>
      </c>
      <c r="P17" s="232" t="s">
        <v>311</v>
      </c>
      <c r="Q17" s="232" t="s">
        <v>311</v>
      </c>
      <c r="R17" s="232" t="s">
        <v>311</v>
      </c>
      <c r="S17" s="232" t="s">
        <v>311</v>
      </c>
      <c r="T17" s="232" t="s">
        <v>311</v>
      </c>
      <c r="U17" s="232" t="s">
        <v>311</v>
      </c>
    </row>
    <row r="18" spans="1:21" ht="14.4" x14ac:dyDescent="0.3">
      <c r="A18" s="233" t="s">
        <v>843</v>
      </c>
      <c r="B18" s="232" t="s">
        <v>105</v>
      </c>
      <c r="C18" s="232" t="s">
        <v>855</v>
      </c>
      <c r="D18" s="232" t="s">
        <v>311</v>
      </c>
      <c r="E18" s="232" t="s">
        <v>311</v>
      </c>
      <c r="F18" s="232" t="s">
        <v>311</v>
      </c>
      <c r="G18" s="232" t="s">
        <v>311</v>
      </c>
      <c r="H18" s="232" t="s">
        <v>311</v>
      </c>
      <c r="I18" s="232" t="s">
        <v>311</v>
      </c>
      <c r="J18" s="232" t="s">
        <v>311</v>
      </c>
      <c r="K18" s="232" t="s">
        <v>311</v>
      </c>
      <c r="L18" s="232" t="s">
        <v>105</v>
      </c>
      <c r="M18" s="232" t="s">
        <v>855</v>
      </c>
      <c r="N18" s="232" t="s">
        <v>311</v>
      </c>
      <c r="O18" s="232" t="s">
        <v>311</v>
      </c>
      <c r="P18" s="232" t="s">
        <v>311</v>
      </c>
      <c r="Q18" s="232" t="s">
        <v>311</v>
      </c>
      <c r="R18" s="232" t="s">
        <v>311</v>
      </c>
      <c r="S18" s="232" t="s">
        <v>311</v>
      </c>
      <c r="T18" s="232" t="s">
        <v>311</v>
      </c>
      <c r="U18" s="232" t="s">
        <v>311</v>
      </c>
    </row>
    <row r="19" spans="1:21" ht="14.4" x14ac:dyDescent="0.3">
      <c r="A19" s="233" t="s">
        <v>844</v>
      </c>
      <c r="B19" s="232">
        <v>0</v>
      </c>
      <c r="C19" s="232">
        <v>0</v>
      </c>
      <c r="D19" s="232" t="s">
        <v>311</v>
      </c>
      <c r="E19" s="232" t="s">
        <v>311</v>
      </c>
      <c r="F19" s="232" t="s">
        <v>311</v>
      </c>
      <c r="G19" s="232" t="s">
        <v>311</v>
      </c>
      <c r="H19" s="232" t="s">
        <v>311</v>
      </c>
      <c r="I19" s="232" t="s">
        <v>311</v>
      </c>
      <c r="J19" s="232" t="s">
        <v>311</v>
      </c>
      <c r="K19" s="232" t="s">
        <v>311</v>
      </c>
      <c r="L19" s="232">
        <v>0</v>
      </c>
      <c r="M19" s="232">
        <v>0</v>
      </c>
      <c r="N19" s="232" t="s">
        <v>311</v>
      </c>
      <c r="O19" s="232" t="s">
        <v>311</v>
      </c>
      <c r="P19" s="232" t="s">
        <v>311</v>
      </c>
      <c r="Q19" s="232" t="s">
        <v>311</v>
      </c>
      <c r="R19" s="232" t="s">
        <v>311</v>
      </c>
      <c r="S19" s="232" t="s">
        <v>311</v>
      </c>
      <c r="T19" s="232" t="s">
        <v>311</v>
      </c>
      <c r="U19" s="232" t="s">
        <v>311</v>
      </c>
    </row>
    <row r="20" spans="1:21" ht="14.4" x14ac:dyDescent="0.3">
      <c r="A20" s="233" t="s">
        <v>845</v>
      </c>
      <c r="B20" s="232">
        <v>0</v>
      </c>
      <c r="C20" s="232">
        <v>0</v>
      </c>
      <c r="D20" s="232" t="s">
        <v>311</v>
      </c>
      <c r="E20" s="232" t="s">
        <v>311</v>
      </c>
      <c r="F20" s="232" t="s">
        <v>311</v>
      </c>
      <c r="G20" s="232" t="s">
        <v>311</v>
      </c>
      <c r="H20" s="232" t="s">
        <v>311</v>
      </c>
      <c r="I20" s="232" t="s">
        <v>311</v>
      </c>
      <c r="J20" s="232" t="s">
        <v>311</v>
      </c>
      <c r="K20" s="232" t="s">
        <v>311</v>
      </c>
      <c r="L20" s="232">
        <v>0</v>
      </c>
      <c r="M20" s="232">
        <v>0</v>
      </c>
      <c r="N20" s="232" t="s">
        <v>311</v>
      </c>
      <c r="O20" s="232" t="s">
        <v>311</v>
      </c>
      <c r="P20" s="232" t="s">
        <v>311</v>
      </c>
      <c r="Q20" s="232" t="s">
        <v>311</v>
      </c>
      <c r="R20" s="232" t="s">
        <v>311</v>
      </c>
      <c r="S20" s="232" t="s">
        <v>311</v>
      </c>
      <c r="T20" s="232" t="s">
        <v>311</v>
      </c>
      <c r="U20" s="232" t="s">
        <v>311</v>
      </c>
    </row>
    <row r="21" spans="1:21" ht="14.4" x14ac:dyDescent="0.3">
      <c r="A21" s="233" t="s">
        <v>846</v>
      </c>
      <c r="B21" s="232">
        <v>0</v>
      </c>
      <c r="C21" s="232">
        <v>0</v>
      </c>
      <c r="D21" s="232" t="s">
        <v>311</v>
      </c>
      <c r="E21" s="232" t="s">
        <v>311</v>
      </c>
      <c r="F21" s="232" t="s">
        <v>311</v>
      </c>
      <c r="G21" s="232" t="s">
        <v>311</v>
      </c>
      <c r="H21" s="232" t="s">
        <v>311</v>
      </c>
      <c r="I21" s="232" t="s">
        <v>311</v>
      </c>
      <c r="J21" s="232" t="s">
        <v>311</v>
      </c>
      <c r="K21" s="232" t="s">
        <v>311</v>
      </c>
      <c r="L21" s="232">
        <v>0</v>
      </c>
      <c r="M21" s="232">
        <v>0</v>
      </c>
      <c r="N21" s="232" t="s">
        <v>311</v>
      </c>
      <c r="O21" s="232" t="s">
        <v>311</v>
      </c>
      <c r="P21" s="232" t="s">
        <v>311</v>
      </c>
      <c r="Q21" s="232" t="s">
        <v>311</v>
      </c>
      <c r="R21" s="232" t="s">
        <v>311</v>
      </c>
      <c r="S21" s="232" t="s">
        <v>311</v>
      </c>
      <c r="T21" s="232" t="s">
        <v>311</v>
      </c>
      <c r="U21" s="232" t="s">
        <v>311</v>
      </c>
    </row>
    <row r="22" spans="1:21" ht="14.4" x14ac:dyDescent="0.3">
      <c r="A22" s="236" t="s">
        <v>847</v>
      </c>
      <c r="B22" s="232">
        <v>0</v>
      </c>
      <c r="C22" s="232">
        <v>0</v>
      </c>
      <c r="D22" s="232" t="s">
        <v>311</v>
      </c>
      <c r="E22" s="232" t="s">
        <v>311</v>
      </c>
      <c r="F22" s="232" t="s">
        <v>311</v>
      </c>
      <c r="G22" s="232" t="s">
        <v>311</v>
      </c>
      <c r="H22" s="232" t="s">
        <v>311</v>
      </c>
      <c r="I22" s="232" t="s">
        <v>311</v>
      </c>
      <c r="J22" s="232" t="s">
        <v>311</v>
      </c>
      <c r="K22" s="232" t="s">
        <v>311</v>
      </c>
      <c r="L22" s="232">
        <v>0</v>
      </c>
      <c r="M22" s="232">
        <v>0</v>
      </c>
      <c r="N22" s="232" t="s">
        <v>311</v>
      </c>
      <c r="O22" s="232" t="s">
        <v>311</v>
      </c>
      <c r="P22" s="232" t="s">
        <v>311</v>
      </c>
      <c r="Q22" s="232" t="s">
        <v>311</v>
      </c>
      <c r="R22" s="232" t="s">
        <v>311</v>
      </c>
      <c r="S22" s="232" t="s">
        <v>311</v>
      </c>
      <c r="T22" s="232" t="s">
        <v>311</v>
      </c>
      <c r="U22" s="232" t="s">
        <v>311</v>
      </c>
    </row>
    <row r="23" spans="1:21" ht="13.8" thickBot="1" x14ac:dyDescent="0.3">
      <c r="A23" s="234"/>
      <c r="B23" s="235"/>
      <c r="C23" s="235"/>
      <c r="D23" s="235"/>
      <c r="E23" s="235"/>
      <c r="F23" s="235"/>
      <c r="G23" s="235"/>
      <c r="H23" s="235"/>
      <c r="I23" s="235"/>
      <c r="J23" s="235"/>
      <c r="K23" s="235"/>
      <c r="L23" s="235"/>
      <c r="M23" s="235"/>
      <c r="N23" s="235"/>
      <c r="O23" s="235"/>
      <c r="P23" s="235"/>
      <c r="Q23" s="235"/>
      <c r="R23" s="235"/>
      <c r="S23" s="235"/>
      <c r="T23" s="235"/>
      <c r="U23" s="235"/>
    </row>
    <row r="24" spans="1:21" ht="13.8" thickTop="1" x14ac:dyDescent="0.25"/>
  </sheetData>
  <pageMargins left="0.70866141732283472" right="0.70866141732283472" top="0.74803149606299213" bottom="0.74803149606299213" header="0.31496062992125984" footer="0.31496062992125984"/>
  <pageSetup paperSize="9" orientation="landscape" r:id="rId1"/>
  <headerFooter>
    <oddHeader>&amp;L&amp;"Calibri"&amp;10&amp;K000000Sensitivity - General&amp;1#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3</vt:i4>
      </vt:variant>
    </vt:vector>
  </HeadingPairs>
  <TitlesOfParts>
    <vt:vector size="10" baseType="lpstr">
      <vt:lpstr>TEND 1X</vt:lpstr>
      <vt:lpstr>B6 - Scoring - Past Performance</vt:lpstr>
      <vt:lpstr>WORKINGS MATRIX</vt:lpstr>
      <vt:lpstr>Annex 1 PSP Perf. Report</vt:lpstr>
      <vt:lpstr>Affidavit for Past Performance</vt:lpstr>
      <vt:lpstr>Proj Relevance Codes</vt:lpstr>
      <vt:lpstr>SETUP</vt:lpstr>
      <vt:lpstr>'Annex 1 PSP Perf. Report'!Print_Area</vt:lpstr>
      <vt:lpstr>'TEND 1X'!Print_Area</vt:lpstr>
      <vt:lpstr>SETUP!Print_Titles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Lippertm</dc:creator>
  <cp:keywords/>
  <dc:description/>
  <cp:lastModifiedBy>Sibongile Makamba (NR)</cp:lastModifiedBy>
  <cp:revision/>
  <dcterms:created xsi:type="dcterms:W3CDTF">2008-02-11T13:57:00Z</dcterms:created>
  <dcterms:modified xsi:type="dcterms:W3CDTF">2024-04-23T11:04:24Z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M_Links_Updated">
    <vt:bool>true</vt:bool>
  </property>
  <property fmtid="{D5CDD505-2E9C-101B-9397-08002B2CF9AE}" pid="3" name="MSIP_Label_5a024da7-7918-49c2-a744-b84d0bf2c679_Enabled">
    <vt:lpwstr>true</vt:lpwstr>
  </property>
  <property fmtid="{D5CDD505-2E9C-101B-9397-08002B2CF9AE}" pid="4" name="MSIP_Label_5a024da7-7918-49c2-a744-b84d0bf2c679_SetDate">
    <vt:lpwstr>2021-07-04T12:21:40Z</vt:lpwstr>
  </property>
  <property fmtid="{D5CDD505-2E9C-101B-9397-08002B2CF9AE}" pid="5" name="MSIP_Label_5a024da7-7918-49c2-a744-b84d0bf2c679_Method">
    <vt:lpwstr>Standard</vt:lpwstr>
  </property>
  <property fmtid="{D5CDD505-2E9C-101B-9397-08002B2CF9AE}" pid="6" name="MSIP_Label_5a024da7-7918-49c2-a744-b84d0bf2c679_Name">
    <vt:lpwstr>General</vt:lpwstr>
  </property>
  <property fmtid="{D5CDD505-2E9C-101B-9397-08002B2CF9AE}" pid="7" name="MSIP_Label_5a024da7-7918-49c2-a744-b84d0bf2c679_SiteId">
    <vt:lpwstr>24236235-bb51-454e-8f47-206699c7e33b</vt:lpwstr>
  </property>
  <property fmtid="{D5CDD505-2E9C-101B-9397-08002B2CF9AE}" pid="8" name="MSIP_Label_5a024da7-7918-49c2-a744-b84d0bf2c679_ActionId">
    <vt:lpwstr>53dcc993-bc01-4c1a-9847-b08f5db80345</vt:lpwstr>
  </property>
  <property fmtid="{D5CDD505-2E9C-101B-9397-08002B2CF9AE}" pid="9" name="MSIP_Label_5a024da7-7918-49c2-a744-b84d0bf2c679_ContentBits">
    <vt:lpwstr>1</vt:lpwstr>
  </property>
</Properties>
</file>